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tables/table1.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updateLinks="never" codeName="ThisWorkbook"/>
  <mc:AlternateContent xmlns:mc="http://schemas.openxmlformats.org/markup-compatibility/2006">
    <mc:Choice Requires="x15">
      <x15ac:absPath xmlns:x15ac="http://schemas.microsoft.com/office/spreadsheetml/2010/11/ac" url="/Users/vvogel/Desktop/"/>
    </mc:Choice>
  </mc:AlternateContent>
  <xr:revisionPtr revIDLastSave="0" documentId="13_ncr:1_{668F9B13-49AA-C645-9A43-0E1F3CAFD2E3}" xr6:coauthVersionLast="45" xr6:coauthVersionMax="45" xr10:uidLastSave="{00000000-0000-0000-0000-000000000000}"/>
  <bookViews>
    <workbookView xWindow="38400" yWindow="460" windowWidth="38400" windowHeight="23540" tabRatio="934" xr2:uid="{00000000-000D-0000-FFFF-FFFF00000000}"/>
  </bookViews>
  <sheets>
    <sheet name="Introduction" sheetId="17" r:id="rId1"/>
    <sheet name="Instructions" sheetId="7" r:id="rId2"/>
    <sheet name="HECVAT - Full" sheetId="1" r:id="rId3"/>
    <sheet name="Standards Crosswalk" sheetId="10" r:id="rId4"/>
    <sheet name="Analyst Report" sheetId="14" r:id="rId5"/>
    <sheet name="Analyst Reference" sheetId="18" r:id="rId6"/>
    <sheet name="Summary Report" sheetId="15" r:id="rId7"/>
    <sheet name="Crosswalk Detail" sheetId="12" state="hidden" r:id="rId8"/>
    <sheet name="Questions" sheetId="13" state="hidden" r:id="rId9"/>
    <sheet name="High Risk Non-Compliant" sheetId="16" state="hidden" r:id="rId10"/>
    <sheet name="Acknowledgments" sheetId="19" r:id="rId11"/>
    <sheet name="ChangeLog" sheetId="3" r:id="rId12"/>
    <sheet name="Values" sheetId="2" state="hidden" r:id="rId13"/>
  </sheets>
  <definedNames>
    <definedName name="_ftn1" localSheetId="1">Instructions!$A$35</definedName>
    <definedName name="_ftnref1" localSheetId="1">Instructions!$A$4</definedName>
    <definedName name="_xlcn.LinkedTable_Table110" hidden="1">Table1[]</definedName>
    <definedName name="dr" localSheetId="10">#REF!</definedName>
    <definedName name="dr">Values!$A$4:$A$6</definedName>
    <definedName name="drpt" localSheetId="10">#REF!</definedName>
    <definedName name="drpt">Values!$A$9:$A$12</definedName>
    <definedName name="network" localSheetId="10">V+Values!$A$15:$A$19</definedName>
    <definedName name="network">V+Values!$A$15:$A$19</definedName>
    <definedName name="sharedassessments" localSheetId="10">#REF!</definedName>
    <definedName name="sharedassessments">Values!$A$26:$A$27</definedName>
    <definedName name="sharedassessmentslisting" localSheetId="10">#REF!</definedName>
    <definedName name="sharedassessmentslisting">Values!$A$30:$A$31</definedName>
    <definedName name="uptime" localSheetId="10">Values!$A$34:$A$38</definedName>
    <definedName name="uptime">Values!$A$34:$A$38</definedName>
    <definedName name="yes" localSheetId="10">Values!$A$4:$A$5</definedName>
    <definedName name="yes">Values!$A$4:$A$5</definedName>
    <definedName name="yesna" localSheetId="10">#REF!</definedName>
    <definedName name="yesna">Values!$A$4:$A$6</definedName>
  </definedNames>
  <calcPr calcId="191029"/>
  <pivotCaches>
    <pivotCache cacheId="0" r:id="rId14"/>
  </pivotCaches>
  <extLst>
    <ext xmlns:x15="http://schemas.microsoft.com/office/spreadsheetml/2010/11/main" uri="{FCE2AD5D-F65C-4FA6-A056-5C36A1767C68}">
      <x15:dataModel>
        <x15:modelTables>
          <x15:modelTable id="Table1" name="Table1" connection="LinkedTable_Table1"/>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84" i="18" l="1"/>
  <c r="A312" i="18" l="1"/>
  <c r="A311" i="18"/>
  <c r="A310" i="18"/>
  <c r="A309" i="18"/>
  <c r="A308" i="18"/>
  <c r="A307" i="18"/>
  <c r="A306" i="18"/>
  <c r="A305" i="18"/>
  <c r="A304" i="18"/>
  <c r="A303" i="18"/>
  <c r="A302" i="18"/>
  <c r="A301" i="18"/>
  <c r="A299" i="18"/>
  <c r="A298" i="18"/>
  <c r="A297" i="18"/>
  <c r="A296" i="18"/>
  <c r="A295" i="18"/>
  <c r="A294" i="18"/>
  <c r="A293" i="18"/>
  <c r="A292" i="18"/>
  <c r="A291" i="18"/>
  <c r="A290" i="18"/>
  <c r="A289" i="18"/>
  <c r="A288" i="18"/>
  <c r="A287" i="18"/>
  <c r="A286" i="18"/>
  <c r="A285" i="18"/>
  <c r="A284" i="18"/>
  <c r="A283" i="18"/>
  <c r="A282" i="18"/>
  <c r="A281" i="18"/>
  <c r="A280" i="18"/>
  <c r="A279" i="18"/>
  <c r="A278" i="18"/>
  <c r="A277" i="18"/>
  <c r="A276" i="18"/>
  <c r="A275" i="18"/>
  <c r="A274" i="18"/>
  <c r="A273" i="18"/>
  <c r="A272" i="18"/>
  <c r="A271" i="18"/>
  <c r="A270" i="18"/>
  <c r="A269" i="18"/>
  <c r="A267" i="18"/>
  <c r="A266" i="18"/>
  <c r="A265" i="18"/>
  <c r="A264" i="18"/>
  <c r="A263" i="18"/>
  <c r="A262" i="18"/>
  <c r="A261" i="18"/>
  <c r="A260" i="18"/>
  <c r="A259" i="18"/>
  <c r="A257" i="18"/>
  <c r="A256" i="18"/>
  <c r="A255" i="18"/>
  <c r="A254" i="18"/>
  <c r="A252" i="18"/>
  <c r="A251" i="18"/>
  <c r="A250" i="18"/>
  <c r="A249" i="18"/>
  <c r="A248" i="18"/>
  <c r="A246" i="18"/>
  <c r="A245" i="18"/>
  <c r="A243" i="18"/>
  <c r="A242" i="18"/>
  <c r="A241" i="18"/>
  <c r="A240" i="18"/>
  <c r="A239" i="18"/>
  <c r="A238" i="18"/>
  <c r="A237" i="18"/>
  <c r="A236" i="18"/>
  <c r="A235" i="18"/>
  <c r="A234" i="18"/>
  <c r="A233" i="18"/>
  <c r="A232" i="18"/>
  <c r="A231" i="18"/>
  <c r="A230" i="18"/>
  <c r="A229" i="18"/>
  <c r="A228" i="18"/>
  <c r="A227" i="18"/>
  <c r="A226" i="18"/>
  <c r="A225" i="18"/>
  <c r="A224" i="18"/>
  <c r="A222" i="18"/>
  <c r="A221" i="18"/>
  <c r="A220" i="18"/>
  <c r="A219" i="18"/>
  <c r="A218" i="18"/>
  <c r="A216" i="18"/>
  <c r="A215" i="18"/>
  <c r="A214" i="18"/>
  <c r="A213" i="18"/>
  <c r="A212" i="18"/>
  <c r="A211" i="18"/>
  <c r="A210" i="18"/>
  <c r="A209" i="18"/>
  <c r="A208" i="18"/>
  <c r="A207" i="18"/>
  <c r="A206" i="18"/>
  <c r="A204" i="18"/>
  <c r="A203" i="18"/>
  <c r="A202" i="18"/>
  <c r="A201" i="18"/>
  <c r="A200" i="18"/>
  <c r="A199" i="18"/>
  <c r="A198" i="18"/>
  <c r="A197" i="18"/>
  <c r="A196" i="18"/>
  <c r="A195" i="18"/>
  <c r="A194" i="18"/>
  <c r="A193" i="18"/>
  <c r="A191" i="18"/>
  <c r="A190" i="18"/>
  <c r="A189" i="18"/>
  <c r="A188" i="18"/>
  <c r="A187" i="18"/>
  <c r="A186" i="18"/>
  <c r="A185" i="18"/>
  <c r="A184" i="18"/>
  <c r="A183" i="18"/>
  <c r="A182" i="18"/>
  <c r="A181" i="18"/>
  <c r="A180" i="18"/>
  <c r="A179" i="18"/>
  <c r="A177" i="18"/>
  <c r="A176" i="18"/>
  <c r="A175" i="18"/>
  <c r="A174" i="18"/>
  <c r="A173" i="18"/>
  <c r="A172" i="18"/>
  <c r="A171" i="18"/>
  <c r="A170" i="18"/>
  <c r="A169" i="18"/>
  <c r="A168" i="18"/>
  <c r="A167" i="18"/>
  <c r="A166" i="18"/>
  <c r="A165" i="18"/>
  <c r="A164" i="18"/>
  <c r="A163" i="18"/>
  <c r="A162" i="18"/>
  <c r="A161" i="18"/>
  <c r="A160" i="18"/>
  <c r="A159" i="18"/>
  <c r="A157" i="18"/>
  <c r="A156" i="18"/>
  <c r="A154" i="18"/>
  <c r="A153" i="18"/>
  <c r="A152" i="18"/>
  <c r="A151" i="18"/>
  <c r="A150" i="18"/>
  <c r="A149" i="18"/>
  <c r="A148" i="18"/>
  <c r="A147" i="18"/>
  <c r="A146" i="18"/>
  <c r="A145" i="18"/>
  <c r="A144" i="18"/>
  <c r="A143" i="18"/>
  <c r="A142" i="18"/>
  <c r="A141" i="18"/>
  <c r="A140" i="18"/>
  <c r="A139" i="18"/>
  <c r="A138" i="18"/>
  <c r="A137" i="18"/>
  <c r="A136" i="18"/>
  <c r="A135" i="18"/>
  <c r="A134" i="18"/>
  <c r="A133" i="18"/>
  <c r="A132" i="18"/>
  <c r="A131" i="18"/>
  <c r="A130" i="18"/>
  <c r="A129" i="18"/>
  <c r="A128" i="18"/>
  <c r="A127" i="18"/>
  <c r="A125" i="18"/>
  <c r="A124" i="18"/>
  <c r="A123" i="18"/>
  <c r="A122" i="18"/>
  <c r="A121" i="18"/>
  <c r="A120" i="18"/>
  <c r="A119" i="18"/>
  <c r="A118" i="18"/>
  <c r="A117" i="18"/>
  <c r="A116" i="18"/>
  <c r="A115" i="18"/>
  <c r="A114" i="18"/>
  <c r="A113" i="18"/>
  <c r="A112" i="18"/>
  <c r="A111" i="18"/>
  <c r="A109" i="18"/>
  <c r="A108" i="18"/>
  <c r="A107" i="18"/>
  <c r="A106" i="18"/>
  <c r="A105" i="18"/>
  <c r="A104" i="18"/>
  <c r="A103" i="18"/>
  <c r="A102" i="18"/>
  <c r="A101" i="18"/>
  <c r="A100" i="18"/>
  <c r="A99" i="18"/>
  <c r="A98" i="18"/>
  <c r="A96" i="18"/>
  <c r="A95" i="18"/>
  <c r="A94" i="18"/>
  <c r="A93" i="18"/>
  <c r="A92" i="18"/>
  <c r="A91" i="18"/>
  <c r="A90" i="18"/>
  <c r="A89" i="18"/>
  <c r="A88" i="18"/>
  <c r="A87" i="18"/>
  <c r="A86" i="18"/>
  <c r="A85" i="18"/>
  <c r="A84" i="18"/>
  <c r="A83" i="18"/>
  <c r="A82" i="18"/>
  <c r="A81" i="18"/>
  <c r="A80" i="18"/>
  <c r="A78" i="18"/>
  <c r="A77" i="18"/>
  <c r="A76" i="18"/>
  <c r="A75" i="18"/>
  <c r="A74" i="18"/>
  <c r="A73" i="18"/>
  <c r="A72" i="18"/>
  <c r="A71" i="18"/>
  <c r="A70" i="18"/>
  <c r="A69" i="18"/>
  <c r="A68" i="18"/>
  <c r="A67" i="18"/>
  <c r="A66" i="18"/>
  <c r="A65" i="18"/>
  <c r="A64" i="18"/>
  <c r="A63" i="18"/>
  <c r="A62" i="18"/>
  <c r="A60" i="18"/>
  <c r="A59" i="18"/>
  <c r="A58" i="18"/>
  <c r="A57" i="18"/>
  <c r="A56" i="18"/>
  <c r="A55" i="18"/>
  <c r="A54" i="18"/>
  <c r="A53" i="18"/>
  <c r="A52" i="18"/>
  <c r="A50" i="18"/>
  <c r="A49" i="18"/>
  <c r="A48" i="18"/>
  <c r="A47" i="18"/>
  <c r="A45" i="18"/>
  <c r="A44" i="18"/>
  <c r="A43" i="18"/>
  <c r="A42" i="18"/>
  <c r="A41" i="18"/>
  <c r="A40" i="18"/>
  <c r="A39" i="18"/>
  <c r="A37" i="18"/>
  <c r="A36" i="18"/>
  <c r="A35" i="18"/>
  <c r="A34" i="18"/>
  <c r="A33" i="18"/>
  <c r="A32" i="18"/>
  <c r="A30" i="18"/>
  <c r="A29" i="18"/>
  <c r="A28" i="18"/>
  <c r="A27" i="18"/>
  <c r="A26" i="18"/>
  <c r="A25" i="18"/>
  <c r="A24" i="18"/>
  <c r="B45" i="18" l="1"/>
  <c r="B44" i="18"/>
  <c r="B43" i="18"/>
  <c r="B42" i="18"/>
  <c r="B41" i="18"/>
  <c r="B40" i="18"/>
  <c r="B39" i="18"/>
  <c r="B37" i="18"/>
  <c r="B36" i="18"/>
  <c r="B35" i="18"/>
  <c r="B34" i="18"/>
  <c r="B33" i="18"/>
  <c r="B32" i="18"/>
  <c r="B30" i="18"/>
  <c r="B29" i="18"/>
  <c r="B28" i="18"/>
  <c r="B27" i="18"/>
  <c r="B26" i="18"/>
  <c r="B25" i="18"/>
  <c r="B24" i="18"/>
  <c r="D300" i="18" l="1"/>
  <c r="C300" i="18"/>
  <c r="A300" i="18"/>
  <c r="D268" i="18"/>
  <c r="C268" i="18"/>
  <c r="A268" i="18"/>
  <c r="D258" i="18"/>
  <c r="C258" i="18"/>
  <c r="A258" i="18"/>
  <c r="D253" i="18"/>
  <c r="C253" i="18"/>
  <c r="A253" i="18"/>
  <c r="D247" i="18"/>
  <c r="C247" i="18"/>
  <c r="A247" i="18"/>
  <c r="D244" i="18"/>
  <c r="C244" i="18"/>
  <c r="A244" i="18"/>
  <c r="D223" i="18"/>
  <c r="C223" i="18"/>
  <c r="A223" i="18"/>
  <c r="D217" i="18"/>
  <c r="C217" i="18"/>
  <c r="A217" i="18"/>
  <c r="D205" i="18"/>
  <c r="C205" i="18"/>
  <c r="A205" i="18"/>
  <c r="D192" i="18"/>
  <c r="C192" i="18"/>
  <c r="A192" i="18"/>
  <c r="D178" i="18"/>
  <c r="C178" i="18"/>
  <c r="A178" i="18"/>
  <c r="D158" i="18"/>
  <c r="C158" i="18"/>
  <c r="A158" i="18"/>
  <c r="D155" i="18"/>
  <c r="C155" i="18"/>
  <c r="A155" i="18"/>
  <c r="D126" i="18"/>
  <c r="C126" i="18"/>
  <c r="A126" i="18"/>
  <c r="D110" i="18"/>
  <c r="C110" i="18"/>
  <c r="A110" i="18"/>
  <c r="D97" i="18"/>
  <c r="C97" i="18"/>
  <c r="A97" i="18"/>
  <c r="D79" i="18"/>
  <c r="C79" i="18"/>
  <c r="A79" i="18"/>
  <c r="D61" i="18"/>
  <c r="C61" i="18"/>
  <c r="A61" i="18"/>
  <c r="D51" i="18"/>
  <c r="C51" i="18"/>
  <c r="A51" i="18"/>
  <c r="D46" i="18"/>
  <c r="C46" i="18"/>
  <c r="A46" i="18"/>
  <c r="D38" i="18"/>
  <c r="C38" i="18"/>
  <c r="D31" i="18"/>
  <c r="C31" i="18"/>
  <c r="B45" i="10" l="1"/>
  <c r="B44" i="10"/>
  <c r="B43" i="10"/>
  <c r="B42" i="10"/>
  <c r="B41" i="10"/>
  <c r="B40" i="10"/>
  <c r="B39" i="10"/>
  <c r="B37" i="10"/>
  <c r="B36" i="10"/>
  <c r="B35" i="10"/>
  <c r="B34" i="10"/>
  <c r="B33" i="10"/>
  <c r="B32" i="10"/>
  <c r="B30" i="10"/>
  <c r="B29" i="10"/>
  <c r="B28" i="10"/>
  <c r="B27" i="10"/>
  <c r="B26" i="10"/>
  <c r="B25" i="10"/>
  <c r="B24" i="10"/>
  <c r="H48" i="15" l="1"/>
  <c r="D78" i="14" l="1"/>
  <c r="D77" i="14"/>
  <c r="D76" i="14"/>
  <c r="D75" i="14"/>
  <c r="A3" i="13"/>
  <c r="A4" i="13" s="1"/>
  <c r="A5" i="13" s="1"/>
  <c r="A7" i="13" s="1"/>
  <c r="A8" i="13" s="1"/>
  <c r="A9" i="13" s="1"/>
  <c r="A10" i="13" s="1"/>
  <c r="A11" i="13" s="1"/>
  <c r="A12" i="13" s="1"/>
  <c r="A13" i="13" s="1"/>
  <c r="A14" i="13" s="1"/>
  <c r="A15" i="13" s="1"/>
  <c r="A16" i="13" s="1"/>
  <c r="A17" i="13" s="1"/>
  <c r="A18" i="13" s="1"/>
  <c r="A19" i="13" s="1"/>
  <c r="A20" i="13" s="1"/>
  <c r="A21" i="13" s="1"/>
  <c r="A22" i="13" s="1"/>
  <c r="A23" i="13" s="1"/>
  <c r="A24" i="13" s="1"/>
  <c r="A25" i="13" s="1"/>
  <c r="A26" i="13" s="1"/>
  <c r="A27" i="13" s="1"/>
  <c r="A28" i="13" s="1"/>
  <c r="A29" i="13" s="1"/>
  <c r="A30" i="13" s="1"/>
  <c r="A31" i="13" s="1"/>
  <c r="A32" i="13" s="1"/>
  <c r="A33" i="13" s="1"/>
  <c r="A34" i="13" s="1"/>
  <c r="A35" i="13" s="1"/>
  <c r="A36" i="13" s="1"/>
  <c r="A37" i="13" s="1"/>
  <c r="A38" i="13" s="1"/>
  <c r="A39" i="13" s="1"/>
  <c r="A40" i="13" s="1"/>
  <c r="A41" i="13" s="1"/>
  <c r="A42" i="13" s="1"/>
  <c r="A43" i="13" s="1"/>
  <c r="A44" i="13" s="1"/>
  <c r="A45" i="13" s="1"/>
  <c r="A46" i="13" s="1"/>
  <c r="A47" i="13" s="1"/>
  <c r="A48" i="13" s="1"/>
  <c r="A49" i="13" s="1"/>
  <c r="A50" i="13" s="1"/>
  <c r="A51" i="13" s="1"/>
  <c r="A52" i="13" s="1"/>
  <c r="A53" i="13" s="1"/>
  <c r="A54" i="13" s="1"/>
  <c r="A55" i="13" s="1"/>
  <c r="A56" i="13" s="1"/>
  <c r="A57" i="13" s="1"/>
  <c r="A58" i="13" s="1"/>
  <c r="A59" i="13" s="1"/>
  <c r="A60" i="13" s="1"/>
  <c r="A61" i="13" s="1"/>
  <c r="A62" i="13" s="1"/>
  <c r="A63" i="13" s="1"/>
  <c r="A64" i="13" s="1"/>
  <c r="A65" i="13" s="1"/>
  <c r="A66" i="13" s="1"/>
  <c r="A67" i="13" s="1"/>
  <c r="A68" i="13" s="1"/>
  <c r="A69" i="13" s="1"/>
  <c r="A70" i="13" s="1"/>
  <c r="A71" i="13" s="1"/>
  <c r="A72" i="13" s="1"/>
  <c r="A73" i="13" s="1"/>
  <c r="A74" i="13" s="1"/>
  <c r="A75" i="13" s="1"/>
  <c r="A76" i="13" s="1"/>
  <c r="A77" i="13" s="1"/>
  <c r="A78" i="13" s="1"/>
  <c r="A79" i="13" s="1"/>
  <c r="A80" i="13" s="1"/>
  <c r="A81" i="13" s="1"/>
  <c r="A82" i="13" s="1"/>
  <c r="A83" i="13" s="1"/>
  <c r="A84" i="13" s="1"/>
  <c r="A85" i="13" s="1"/>
  <c r="A86" i="13" s="1"/>
  <c r="A87" i="13" s="1"/>
  <c r="A88" i="13" s="1"/>
  <c r="A89" i="13" s="1"/>
  <c r="A90" i="13" s="1"/>
  <c r="A91" i="13" s="1"/>
  <c r="A92" i="13" s="1"/>
  <c r="A93" i="13" s="1"/>
  <c r="A94" i="13" s="1"/>
  <c r="A95" i="13" s="1"/>
  <c r="A96" i="13" s="1"/>
  <c r="A97" i="13" s="1"/>
  <c r="A98" i="13" s="1"/>
  <c r="A99" i="13" s="1"/>
  <c r="A100" i="13" s="1"/>
  <c r="A101" i="13" s="1"/>
  <c r="A102" i="13" s="1"/>
  <c r="A103" i="13" s="1"/>
  <c r="A104" i="13" s="1"/>
  <c r="A105" i="13" s="1"/>
  <c r="A106" i="13" s="1"/>
  <c r="A107" i="13" s="1"/>
  <c r="A108" i="13" s="1"/>
  <c r="A109" i="13" s="1"/>
  <c r="A110" i="13" s="1"/>
  <c r="A111" i="13" s="1"/>
  <c r="A112" i="13" s="1"/>
  <c r="A113" i="13" s="1"/>
  <c r="A114" i="13" s="1"/>
  <c r="A115" i="13" s="1"/>
  <c r="A116" i="13" s="1"/>
  <c r="A117" i="13" s="1"/>
  <c r="A118" i="13" s="1"/>
  <c r="A119" i="13" s="1"/>
  <c r="A120" i="13" s="1"/>
  <c r="A121" i="13" s="1"/>
  <c r="A122" i="13" s="1"/>
  <c r="A123" i="13" s="1"/>
  <c r="A124" i="13" s="1"/>
  <c r="A125" i="13" s="1"/>
  <c r="A126" i="13" s="1"/>
  <c r="A127" i="13" s="1"/>
  <c r="A128" i="13" s="1"/>
  <c r="A129" i="13" s="1"/>
  <c r="A130" i="13" s="1"/>
  <c r="A131" i="13" s="1"/>
  <c r="A132" i="13" s="1"/>
  <c r="A133" i="13" s="1"/>
  <c r="A134" i="13" s="1"/>
  <c r="A135" i="13" s="1"/>
  <c r="A136" i="13" s="1"/>
  <c r="A137" i="13" s="1"/>
  <c r="A138" i="13" s="1"/>
  <c r="A139" i="13" s="1"/>
  <c r="A140" i="13" s="1"/>
  <c r="A141" i="13" s="1"/>
  <c r="A142" i="13" s="1"/>
  <c r="A143" i="13" s="1"/>
  <c r="A144" i="13" s="1"/>
  <c r="A145" i="13" s="1"/>
  <c r="A146" i="13" s="1"/>
  <c r="A147" i="13" s="1"/>
  <c r="A148" i="13" s="1"/>
  <c r="A149" i="13" s="1"/>
  <c r="A150" i="13" s="1"/>
  <c r="A151" i="13" s="1"/>
  <c r="A152" i="13" s="1"/>
  <c r="A153" i="13" s="1"/>
  <c r="A154" i="13" s="1"/>
  <c r="A155" i="13" s="1"/>
  <c r="A156" i="13" s="1"/>
  <c r="A157" i="13" s="1"/>
  <c r="A158" i="13" s="1"/>
  <c r="A159" i="13" s="1"/>
  <c r="A160" i="13" s="1"/>
  <c r="A161" i="13" s="1"/>
  <c r="A162" i="13" s="1"/>
  <c r="A163" i="13" s="1"/>
  <c r="A164" i="13" s="1"/>
  <c r="A165" i="13" s="1"/>
  <c r="A166" i="13" s="1"/>
  <c r="A167" i="13" s="1"/>
  <c r="A168" i="13" s="1"/>
  <c r="A169" i="13" s="1"/>
  <c r="A170" i="13" s="1"/>
  <c r="A171" i="13" s="1"/>
  <c r="A172" i="13" s="1"/>
  <c r="A173" i="13" s="1"/>
  <c r="A174" i="13" s="1"/>
  <c r="A175" i="13" s="1"/>
  <c r="A176" i="13" s="1"/>
  <c r="A177" i="13" s="1"/>
  <c r="A178" i="13" s="1"/>
  <c r="A179" i="13" s="1"/>
  <c r="A180" i="13" s="1"/>
  <c r="A181" i="13" s="1"/>
  <c r="A182" i="13" s="1"/>
  <c r="A183" i="13" s="1"/>
  <c r="A184" i="13" s="1"/>
  <c r="A185" i="13" s="1"/>
  <c r="A186" i="13" s="1"/>
  <c r="A187" i="13" s="1"/>
  <c r="A188" i="13" s="1"/>
  <c r="A189" i="13" s="1"/>
  <c r="A190" i="13" s="1"/>
  <c r="A191" i="13" s="1"/>
  <c r="A192" i="13" s="1"/>
  <c r="A193" i="13" s="1"/>
  <c r="A194" i="13" s="1"/>
  <c r="A195" i="13" s="1"/>
  <c r="A196" i="13" s="1"/>
  <c r="A197" i="13" s="1"/>
  <c r="A198" i="13" s="1"/>
  <c r="A199" i="13" s="1"/>
  <c r="A200" i="13" s="1"/>
  <c r="A201" i="13" s="1"/>
  <c r="A202" i="13" s="1"/>
  <c r="A203" i="13" s="1"/>
  <c r="A204" i="13" s="1"/>
  <c r="A205" i="13" s="1"/>
  <c r="A206" i="13" s="1"/>
  <c r="A207" i="13" s="1"/>
  <c r="A208" i="13" s="1"/>
  <c r="A209" i="13" s="1"/>
  <c r="A210" i="13" s="1"/>
  <c r="A211" i="13" s="1"/>
  <c r="A212" i="13" s="1"/>
  <c r="A213" i="13" s="1"/>
  <c r="A214" i="13" s="1"/>
  <c r="A215" i="13" s="1"/>
  <c r="A216" i="13" s="1"/>
  <c r="A217" i="13" s="1"/>
  <c r="A218" i="13" s="1"/>
  <c r="A219" i="13" s="1"/>
  <c r="A220" i="13" s="1"/>
  <c r="A221" i="13" s="1"/>
  <c r="A222" i="13" s="1"/>
  <c r="A223" i="13" s="1"/>
  <c r="A224" i="13" s="1"/>
  <c r="A225" i="13" s="1"/>
  <c r="A226" i="13" s="1"/>
  <c r="A227" i="13" s="1"/>
  <c r="A228" i="13" s="1"/>
  <c r="A229" i="13" s="1"/>
  <c r="A230" i="13" s="1"/>
  <c r="A231" i="13" s="1"/>
  <c r="A232" i="13" s="1"/>
  <c r="A233" i="13" s="1"/>
  <c r="A234" i="13" s="1"/>
  <c r="A235" i="13" s="1"/>
  <c r="A236" i="13" s="1"/>
  <c r="A237" i="13" s="1"/>
  <c r="A238" i="13" s="1"/>
  <c r="A239" i="13" s="1"/>
  <c r="A240" i="13" s="1"/>
  <c r="A241" i="13" s="1"/>
  <c r="A242" i="13" s="1"/>
  <c r="A243" i="13" s="1"/>
  <c r="A244" i="13" s="1"/>
  <c r="A245" i="13" s="1"/>
  <c r="A246" i="13" s="1"/>
  <c r="A247" i="13" s="1"/>
  <c r="A248" i="13" s="1"/>
  <c r="A249" i="13" s="1"/>
  <c r="A250" i="13" s="1"/>
  <c r="A251" i="13" s="1"/>
  <c r="A252" i="13" s="1"/>
  <c r="A253" i="13" s="1"/>
  <c r="A254" i="13" s="1"/>
  <c r="A255" i="13" s="1"/>
  <c r="A256" i="13" s="1"/>
  <c r="A257" i="13" s="1"/>
  <c r="A258" i="13" s="1"/>
  <c r="A259" i="13" s="1"/>
  <c r="A260" i="13" s="1"/>
  <c r="A261" i="13" s="1"/>
  <c r="A262" i="13" s="1"/>
  <c r="A263" i="13" s="1"/>
  <c r="A264" i="13" s="1"/>
  <c r="A265" i="13" s="1"/>
  <c r="A266" i="13" s="1"/>
  <c r="A267" i="13" s="1"/>
  <c r="A268" i="13" s="1"/>
  <c r="A41" i="14"/>
  <c r="A42" i="14"/>
  <c r="A43" i="14"/>
  <c r="A44" i="14"/>
  <c r="B41" i="14"/>
  <c r="D41" i="14"/>
  <c r="H41" i="14"/>
  <c r="B42" i="14"/>
  <c r="D42" i="14"/>
  <c r="H42" i="14"/>
  <c r="B43" i="14"/>
  <c r="D43" i="14"/>
  <c r="H43" i="14"/>
  <c r="B44" i="14"/>
  <c r="D44" i="14"/>
  <c r="H44" i="14"/>
  <c r="A45" i="14"/>
  <c r="B45" i="14"/>
  <c r="D45" i="14"/>
  <c r="H45" i="14"/>
  <c r="A46" i="14"/>
  <c r="B46" i="14"/>
  <c r="D46" i="14"/>
  <c r="H46" i="14"/>
  <c r="A47" i="14"/>
  <c r="B47" i="14"/>
  <c r="D47" i="14"/>
  <c r="H47" i="14"/>
  <c r="A48" i="14"/>
  <c r="B48" i="14"/>
  <c r="D48" i="14"/>
  <c r="H48" i="14"/>
  <c r="A49" i="14"/>
  <c r="B49" i="14"/>
  <c r="D49" i="14"/>
  <c r="H49" i="14"/>
  <c r="A50" i="14"/>
  <c r="B50" i="14"/>
  <c r="D50" i="14"/>
  <c r="H50" i="14"/>
  <c r="A51" i="14"/>
  <c r="B51" i="14"/>
  <c r="D51" i="14"/>
  <c r="H51" i="14"/>
  <c r="A52" i="14"/>
  <c r="B52" i="14"/>
  <c r="D52" i="14"/>
  <c r="H52" i="14"/>
  <c r="A53" i="14"/>
  <c r="B53" i="14"/>
  <c r="D53" i="14"/>
  <c r="H53" i="14"/>
  <c r="A54" i="14"/>
  <c r="B54" i="14"/>
  <c r="D54" i="14"/>
  <c r="H54" i="14"/>
  <c r="A55" i="14"/>
  <c r="B55" i="14"/>
  <c r="D55" i="14"/>
  <c r="H55" i="14"/>
  <c r="A56" i="14"/>
  <c r="B56" i="14"/>
  <c r="D56" i="14"/>
  <c r="H56" i="14"/>
  <c r="A57" i="14"/>
  <c r="B57" i="14"/>
  <c r="D57" i="14"/>
  <c r="H57" i="14"/>
  <c r="A58" i="14"/>
  <c r="B58" i="14"/>
  <c r="D58" i="14"/>
  <c r="H58" i="14"/>
  <c r="A59" i="14"/>
  <c r="B59" i="14"/>
  <c r="D59" i="14"/>
  <c r="H59" i="14"/>
  <c r="A60" i="14"/>
  <c r="B60" i="14"/>
  <c r="D60" i="14"/>
  <c r="H60" i="14"/>
  <c r="A61" i="14"/>
  <c r="B61" i="14"/>
  <c r="D61" i="14"/>
  <c r="H61" i="14"/>
  <c r="A62" i="14"/>
  <c r="B62" i="14"/>
  <c r="D62" i="14"/>
  <c r="H62" i="14"/>
  <c r="A63" i="14"/>
  <c r="B63" i="14"/>
  <c r="D63" i="14"/>
  <c r="H63" i="14"/>
  <c r="A64" i="14"/>
  <c r="B64" i="14"/>
  <c r="D64" i="14"/>
  <c r="H64" i="14"/>
  <c r="A65" i="14"/>
  <c r="B65" i="14"/>
  <c r="D65" i="14"/>
  <c r="H65" i="14"/>
  <c r="A66" i="14"/>
  <c r="B66" i="14"/>
  <c r="D66" i="14"/>
  <c r="H66" i="14"/>
  <c r="B67" i="14"/>
  <c r="A68" i="14"/>
  <c r="B68" i="14"/>
  <c r="D68" i="14"/>
  <c r="H68" i="14"/>
  <c r="B69" i="14"/>
  <c r="H73" i="14" s="1"/>
  <c r="A70" i="14"/>
  <c r="B70" i="14"/>
  <c r="D70" i="14"/>
  <c r="A71" i="14"/>
  <c r="B71" i="14"/>
  <c r="D71" i="14"/>
  <c r="A72" i="14"/>
  <c r="B72" i="14"/>
  <c r="D72" i="14"/>
  <c r="A73" i="14"/>
  <c r="B73" i="14"/>
  <c r="D73" i="14"/>
  <c r="B74" i="14"/>
  <c r="H77" i="14" s="1"/>
  <c r="A75" i="14"/>
  <c r="B75" i="14"/>
  <c r="A76" i="14"/>
  <c r="B76" i="14"/>
  <c r="A77" i="14"/>
  <c r="B77" i="14"/>
  <c r="A78" i="14"/>
  <c r="B78" i="14"/>
  <c r="B79" i="14"/>
  <c r="H80" i="14" s="1"/>
  <c r="A80" i="14"/>
  <c r="B80" i="14"/>
  <c r="D80" i="14"/>
  <c r="B81" i="14"/>
  <c r="H82" i="14" s="1"/>
  <c r="A82" i="14"/>
  <c r="B82" i="14"/>
  <c r="D82" i="14"/>
  <c r="A83" i="14"/>
  <c r="B83" i="14"/>
  <c r="D83" i="14"/>
  <c r="B84" i="14"/>
  <c r="H85" i="14" s="1"/>
  <c r="A85" i="14"/>
  <c r="B85" i="14"/>
  <c r="D85" i="14"/>
  <c r="A86" i="14"/>
  <c r="B86" i="14"/>
  <c r="D86" i="14"/>
  <c r="A87" i="14"/>
  <c r="B87" i="14"/>
  <c r="D87" i="14"/>
  <c r="A88" i="14"/>
  <c r="B88" i="14"/>
  <c r="D88" i="14"/>
  <c r="H88" i="14"/>
  <c r="A46" i="1"/>
  <c r="A51" i="1"/>
  <c r="A61" i="1"/>
  <c r="A79" i="1"/>
  <c r="E24" i="1"/>
  <c r="E25" i="1"/>
  <c r="E26" i="1"/>
  <c r="E27" i="1"/>
  <c r="E28" i="1"/>
  <c r="E29" i="1"/>
  <c r="E30" i="1"/>
  <c r="E32" i="1"/>
  <c r="E33" i="1"/>
  <c r="E34" i="1"/>
  <c r="E35" i="1"/>
  <c r="E36" i="1"/>
  <c r="E37" i="1"/>
  <c r="E41" i="1"/>
  <c r="E42" i="1"/>
  <c r="E43" i="1"/>
  <c r="E44" i="1"/>
  <c r="E52" i="1"/>
  <c r="E53" i="1"/>
  <c r="E54" i="1"/>
  <c r="E55" i="1"/>
  <c r="E56" i="1"/>
  <c r="E57" i="1"/>
  <c r="E58" i="1"/>
  <c r="E59" i="1"/>
  <c r="E60" i="1"/>
  <c r="E62" i="1"/>
  <c r="E63" i="1"/>
  <c r="E64" i="1"/>
  <c r="E65" i="1"/>
  <c r="E66" i="1"/>
  <c r="E67" i="1"/>
  <c r="E69" i="1"/>
  <c r="E72" i="1"/>
  <c r="E74" i="1"/>
  <c r="E75" i="1"/>
  <c r="E80" i="1"/>
  <c r="E81" i="1"/>
  <c r="E82" i="1"/>
  <c r="E83" i="1"/>
  <c r="E84" i="1"/>
  <c r="E85" i="1"/>
  <c r="E86" i="1"/>
  <c r="E87" i="1"/>
  <c r="E88" i="1"/>
  <c r="E89" i="1"/>
  <c r="E90" i="1"/>
  <c r="E91" i="1"/>
  <c r="E92" i="1"/>
  <c r="E93" i="1"/>
  <c r="E94" i="1"/>
  <c r="A97" i="1"/>
  <c r="E99" i="1"/>
  <c r="E100" i="1"/>
  <c r="E101" i="1"/>
  <c r="E102" i="1"/>
  <c r="E103" i="1"/>
  <c r="E104" i="1"/>
  <c r="E105" i="1"/>
  <c r="E106" i="1"/>
  <c r="E107" i="1"/>
  <c r="E108" i="1"/>
  <c r="E109" i="1"/>
  <c r="A110" i="1"/>
  <c r="E111" i="1"/>
  <c r="E113" i="1"/>
  <c r="E114" i="1"/>
  <c r="E117" i="1"/>
  <c r="E118" i="1"/>
  <c r="E119" i="1"/>
  <c r="E120" i="1"/>
  <c r="E121" i="1"/>
  <c r="E122" i="1"/>
  <c r="E123" i="1"/>
  <c r="E124" i="1"/>
  <c r="E125" i="1"/>
  <c r="A126" i="1"/>
  <c r="E127" i="1"/>
  <c r="E128" i="1"/>
  <c r="E129" i="1"/>
  <c r="E130" i="1"/>
  <c r="E131" i="1"/>
  <c r="E132" i="1"/>
  <c r="E134" i="1"/>
  <c r="E135" i="1"/>
  <c r="E136" i="1"/>
  <c r="E137" i="1"/>
  <c r="E138" i="1"/>
  <c r="E139" i="1"/>
  <c r="E141" i="1"/>
  <c r="E143" i="1"/>
  <c r="E144" i="1"/>
  <c r="E145" i="1"/>
  <c r="E146" i="1"/>
  <c r="E147" i="1"/>
  <c r="E148" i="1"/>
  <c r="E149" i="1"/>
  <c r="E150" i="1"/>
  <c r="E151" i="1"/>
  <c r="E152" i="1"/>
  <c r="E153" i="1"/>
  <c r="E154" i="1"/>
  <c r="A155" i="1"/>
  <c r="E156" i="1"/>
  <c r="E157" i="1"/>
  <c r="A158" i="1"/>
  <c r="E159" i="1"/>
  <c r="E160" i="1"/>
  <c r="E161" i="1"/>
  <c r="E162" i="1"/>
  <c r="E163" i="1"/>
  <c r="E164" i="1"/>
  <c r="E166" i="1"/>
  <c r="E167" i="1"/>
  <c r="E169" i="1"/>
  <c r="E170" i="1"/>
  <c r="E172" i="1"/>
  <c r="E173" i="1"/>
  <c r="E174" i="1"/>
  <c r="E177" i="1"/>
  <c r="A178" i="1"/>
  <c r="E180" i="1"/>
  <c r="E181" i="1"/>
  <c r="E182" i="1"/>
  <c r="E183" i="1"/>
  <c r="E184" i="1"/>
  <c r="E185" i="1"/>
  <c r="E186" i="1"/>
  <c r="E188" i="1"/>
  <c r="E189" i="1"/>
  <c r="E190" i="1"/>
  <c r="E191" i="1"/>
  <c r="A192" i="1"/>
  <c r="E193" i="1"/>
  <c r="E194" i="1"/>
  <c r="E196" i="1"/>
  <c r="E197" i="1"/>
  <c r="E198" i="1"/>
  <c r="E199" i="1"/>
  <c r="E200" i="1"/>
  <c r="E201" i="1"/>
  <c r="E202" i="1"/>
  <c r="E204" i="1"/>
  <c r="A205" i="1"/>
  <c r="E208" i="1"/>
  <c r="E209" i="1"/>
  <c r="E210" i="1"/>
  <c r="E211" i="1"/>
  <c r="E212" i="1"/>
  <c r="E213" i="1"/>
  <c r="E214" i="1"/>
  <c r="E215" i="1"/>
  <c r="A217" i="1"/>
  <c r="E218" i="1"/>
  <c r="E219" i="1"/>
  <c r="E220" i="1"/>
  <c r="E221" i="1"/>
  <c r="E222" i="1"/>
  <c r="A223" i="1"/>
  <c r="E224" i="1"/>
  <c r="E225" i="1"/>
  <c r="E226" i="1"/>
  <c r="E227" i="1"/>
  <c r="E228" i="1"/>
  <c r="E229" i="1"/>
  <c r="E230" i="1"/>
  <c r="E231" i="1"/>
  <c r="E232" i="1"/>
  <c r="E233" i="1"/>
  <c r="E234" i="1"/>
  <c r="E235" i="1"/>
  <c r="E236" i="1"/>
  <c r="E237" i="1"/>
  <c r="E238" i="1"/>
  <c r="E239" i="1"/>
  <c r="E240" i="1"/>
  <c r="E241" i="1"/>
  <c r="E242" i="1"/>
  <c r="E243" i="1"/>
  <c r="A244" i="1"/>
  <c r="E245" i="1"/>
  <c r="E246" i="1"/>
  <c r="A247" i="1"/>
  <c r="E249" i="1"/>
  <c r="E250" i="1"/>
  <c r="E251" i="1"/>
  <c r="E252" i="1"/>
  <c r="A253" i="1"/>
  <c r="E254" i="1"/>
  <c r="E255" i="1"/>
  <c r="E256" i="1"/>
  <c r="E257" i="1"/>
  <c r="A258" i="1"/>
  <c r="E259" i="1"/>
  <c r="E260" i="1"/>
  <c r="E261" i="1"/>
  <c r="E262" i="1"/>
  <c r="E263" i="1"/>
  <c r="E265" i="1"/>
  <c r="E267" i="1"/>
  <c r="A268" i="1"/>
  <c r="A300" i="1"/>
  <c r="E311" i="1"/>
  <c r="I147" i="13"/>
  <c r="J147" i="13" s="1"/>
  <c r="C10" i="14"/>
  <c r="I50" i="13"/>
  <c r="J50" i="13" s="1"/>
  <c r="I209" i="13"/>
  <c r="J209" i="13" s="1"/>
  <c r="I179" i="13"/>
  <c r="J179" i="13" s="1"/>
  <c r="I174" i="13"/>
  <c r="J174" i="13" s="1"/>
  <c r="L174" i="13" s="1"/>
  <c r="I159" i="13"/>
  <c r="J159" i="13" s="1"/>
  <c r="I112" i="13"/>
  <c r="J112" i="13" s="1"/>
  <c r="I107" i="13"/>
  <c r="J107" i="13" s="1"/>
  <c r="F8" i="14"/>
  <c r="B8" i="14"/>
  <c r="F5" i="14"/>
  <c r="B6" i="14"/>
  <c r="F6" i="14"/>
  <c r="B7" i="14"/>
  <c r="B5" i="14"/>
  <c r="G48" i="15"/>
  <c r="E3" i="15"/>
  <c r="B3" i="15"/>
  <c r="H1" i="14"/>
  <c r="H1" i="15"/>
  <c r="I27" i="13"/>
  <c r="H28" i="13" s="1"/>
  <c r="I25" i="13"/>
  <c r="I26" i="13" s="1"/>
  <c r="J26" i="13" s="1"/>
  <c r="K209" i="13"/>
  <c r="I122" i="13"/>
  <c r="H124" i="13" s="1"/>
  <c r="K124" i="13" s="1"/>
  <c r="E124" i="13" s="1"/>
  <c r="I124" i="13"/>
  <c r="J124" i="13" s="1"/>
  <c r="I127" i="13"/>
  <c r="B128" i="13" s="1"/>
  <c r="I133" i="13"/>
  <c r="H134" i="13" s="1"/>
  <c r="K134" i="13" s="1"/>
  <c r="E134" i="13" s="1"/>
  <c r="I10" i="13"/>
  <c r="J10" i="13" s="1"/>
  <c r="K10" i="13"/>
  <c r="I11" i="13"/>
  <c r="J11" i="13" s="1"/>
  <c r="K11" i="13"/>
  <c r="I12" i="13"/>
  <c r="J12" i="13" s="1"/>
  <c r="K12" i="13"/>
  <c r="I13" i="13"/>
  <c r="J13" i="13" s="1"/>
  <c r="K13" i="13"/>
  <c r="I14" i="13"/>
  <c r="J14" i="13" s="1"/>
  <c r="K14" i="13"/>
  <c r="I15" i="13"/>
  <c r="J15" i="13" s="1"/>
  <c r="K15" i="13"/>
  <c r="I20" i="13"/>
  <c r="J20" i="13" s="1"/>
  <c r="K20" i="13"/>
  <c r="I21" i="13"/>
  <c r="J21" i="13" s="1"/>
  <c r="K21" i="13"/>
  <c r="I22" i="13"/>
  <c r="J22" i="13" s="1"/>
  <c r="K22" i="13"/>
  <c r="I23" i="13"/>
  <c r="J23" i="13" s="1"/>
  <c r="K23" i="13"/>
  <c r="I24" i="13"/>
  <c r="J24" i="13" s="1"/>
  <c r="K24" i="13"/>
  <c r="K25" i="13"/>
  <c r="J27" i="13"/>
  <c r="L27" i="13" s="1"/>
  <c r="K27" i="13"/>
  <c r="I29" i="13"/>
  <c r="J29" i="13" s="1"/>
  <c r="K29" i="13"/>
  <c r="I30" i="13"/>
  <c r="J30" i="13" s="1"/>
  <c r="K30" i="13"/>
  <c r="I31" i="13"/>
  <c r="J31" i="13" s="1"/>
  <c r="K31" i="13"/>
  <c r="I32" i="13"/>
  <c r="J32" i="13" s="1"/>
  <c r="K32" i="13"/>
  <c r="I33" i="13"/>
  <c r="J33" i="13" s="1"/>
  <c r="K33" i="13"/>
  <c r="I34" i="13"/>
  <c r="J34" i="13" s="1"/>
  <c r="K34" i="13"/>
  <c r="I36" i="13"/>
  <c r="J36" i="13" s="1"/>
  <c r="K36" i="13"/>
  <c r="I39" i="13"/>
  <c r="J39" i="13" s="1"/>
  <c r="K39" i="13"/>
  <c r="I42" i="13"/>
  <c r="J42" i="13" s="1"/>
  <c r="K42" i="13"/>
  <c r="I45" i="13"/>
  <c r="K45" i="13"/>
  <c r="I46" i="13"/>
  <c r="J46" i="13" s="1"/>
  <c r="K46" i="13"/>
  <c r="I47" i="13"/>
  <c r="J47" i="13" s="1"/>
  <c r="K47" i="13"/>
  <c r="I48" i="13"/>
  <c r="J48" i="13" s="1"/>
  <c r="K48" i="13"/>
  <c r="I49" i="13"/>
  <c r="J49" i="13" s="1"/>
  <c r="K49" i="13"/>
  <c r="I51" i="13"/>
  <c r="J51" i="13" s="1"/>
  <c r="K51" i="13"/>
  <c r="I52" i="13"/>
  <c r="J52" i="13" s="1"/>
  <c r="K52" i="13"/>
  <c r="I53" i="13"/>
  <c r="J53" i="13" s="1"/>
  <c r="K53" i="13"/>
  <c r="I54" i="13"/>
  <c r="J54" i="13" s="1"/>
  <c r="K54" i="13"/>
  <c r="I55" i="13"/>
  <c r="J55" i="13" s="1"/>
  <c r="K55" i="13"/>
  <c r="I56" i="13"/>
  <c r="J56" i="13" s="1"/>
  <c r="I57" i="13"/>
  <c r="J57" i="13" s="1"/>
  <c r="K57" i="13"/>
  <c r="I58" i="13"/>
  <c r="J58" i="13" s="1"/>
  <c r="I59" i="13"/>
  <c r="J59" i="13" s="1"/>
  <c r="I60" i="13"/>
  <c r="J60" i="13" s="1"/>
  <c r="K60" i="13"/>
  <c r="I62" i="13"/>
  <c r="J62" i="13" s="1"/>
  <c r="L62" i="13" s="1"/>
  <c r="K62" i="13"/>
  <c r="I64" i="13"/>
  <c r="J64" i="13" s="1"/>
  <c r="K64" i="13"/>
  <c r="I65" i="13"/>
  <c r="J65" i="13" s="1"/>
  <c r="L65" i="13" s="1"/>
  <c r="K65" i="13"/>
  <c r="I66" i="13"/>
  <c r="J66" i="13" s="1"/>
  <c r="K66" i="13"/>
  <c r="I67" i="13"/>
  <c r="J67" i="13" s="1"/>
  <c r="L67" i="13" s="1"/>
  <c r="K67" i="13"/>
  <c r="I68" i="13"/>
  <c r="J68" i="13" s="1"/>
  <c r="K68" i="13"/>
  <c r="I69" i="13"/>
  <c r="J69" i="13" s="1"/>
  <c r="L69" i="13" s="1"/>
  <c r="K69" i="13"/>
  <c r="I70" i="13"/>
  <c r="J70" i="13" s="1"/>
  <c r="K70" i="13"/>
  <c r="I71" i="13"/>
  <c r="J71" i="13" s="1"/>
  <c r="L71" i="13" s="1"/>
  <c r="K71" i="13"/>
  <c r="I72" i="13"/>
  <c r="J72" i="13" s="1"/>
  <c r="K72" i="13"/>
  <c r="I73" i="13"/>
  <c r="J73" i="13" s="1"/>
  <c r="I74" i="13"/>
  <c r="J74" i="13" s="1"/>
  <c r="K74" i="13"/>
  <c r="I75" i="13"/>
  <c r="J75" i="13" s="1"/>
  <c r="K75" i="13"/>
  <c r="I77" i="13"/>
  <c r="J77" i="13" s="1"/>
  <c r="K77" i="13"/>
  <c r="I78" i="13"/>
  <c r="J78" i="13" s="1"/>
  <c r="K78" i="13"/>
  <c r="I81" i="13"/>
  <c r="J81" i="13" s="1"/>
  <c r="K81" i="13"/>
  <c r="I82" i="13"/>
  <c r="J82" i="13" s="1"/>
  <c r="K82" i="13"/>
  <c r="I83" i="13"/>
  <c r="J83" i="13" s="1"/>
  <c r="K83" i="13"/>
  <c r="I84" i="13"/>
  <c r="J84" i="13" s="1"/>
  <c r="K84" i="13"/>
  <c r="I85" i="13"/>
  <c r="J85" i="13" s="1"/>
  <c r="K85" i="13"/>
  <c r="I86" i="13"/>
  <c r="J86" i="13" s="1"/>
  <c r="K86" i="13"/>
  <c r="I87" i="13"/>
  <c r="J87" i="13" s="1"/>
  <c r="K87" i="13"/>
  <c r="I88" i="13"/>
  <c r="J88" i="13" s="1"/>
  <c r="K88" i="13"/>
  <c r="I89" i="13"/>
  <c r="J89" i="13" s="1"/>
  <c r="K89" i="13"/>
  <c r="I90" i="13"/>
  <c r="J90" i="13" s="1"/>
  <c r="K90" i="13"/>
  <c r="I91" i="13"/>
  <c r="J91" i="13" s="1"/>
  <c r="K91" i="13"/>
  <c r="I92" i="13"/>
  <c r="J92" i="13" s="1"/>
  <c r="K92" i="13"/>
  <c r="I93" i="13"/>
  <c r="J93" i="13" s="1"/>
  <c r="K93" i="13"/>
  <c r="I94" i="13"/>
  <c r="J94" i="13" s="1"/>
  <c r="K94" i="13"/>
  <c r="I95" i="13"/>
  <c r="J95" i="13" s="1"/>
  <c r="K95" i="13"/>
  <c r="I97" i="13"/>
  <c r="J97" i="13" s="1"/>
  <c r="K97" i="13"/>
  <c r="I98" i="13"/>
  <c r="J98" i="13" s="1"/>
  <c r="K98" i="13"/>
  <c r="I99" i="13"/>
  <c r="J99" i="13" s="1"/>
  <c r="K99" i="13"/>
  <c r="I100" i="13"/>
  <c r="J100" i="13" s="1"/>
  <c r="K100" i="13"/>
  <c r="I101" i="13"/>
  <c r="J101" i="13" s="1"/>
  <c r="I102" i="13"/>
  <c r="J102" i="13" s="1"/>
  <c r="L102" i="13" s="1"/>
  <c r="K102" i="13"/>
  <c r="I104" i="13"/>
  <c r="J104" i="13" s="1"/>
  <c r="K104" i="13"/>
  <c r="I106" i="13"/>
  <c r="J106" i="13" s="1"/>
  <c r="L106" i="13" s="1"/>
  <c r="K106" i="13"/>
  <c r="I108" i="13"/>
  <c r="J108" i="13" s="1"/>
  <c r="K108" i="13"/>
  <c r="I109" i="13"/>
  <c r="J109" i="13" s="1"/>
  <c r="L109" i="13" s="1"/>
  <c r="K109" i="13"/>
  <c r="I110" i="13"/>
  <c r="J110" i="13" s="1"/>
  <c r="K110" i="13"/>
  <c r="I111" i="13"/>
  <c r="J111" i="13" s="1"/>
  <c r="L111" i="13" s="1"/>
  <c r="K111" i="13"/>
  <c r="I113" i="13"/>
  <c r="J113" i="13" s="1"/>
  <c r="K113" i="13"/>
  <c r="I114" i="13"/>
  <c r="J114" i="13" s="1"/>
  <c r="L114" i="13" s="1"/>
  <c r="K114" i="13"/>
  <c r="I115" i="13"/>
  <c r="J115" i="13" s="1"/>
  <c r="K115" i="13"/>
  <c r="I116" i="13"/>
  <c r="J116" i="13" s="1"/>
  <c r="L116" i="13" s="1"/>
  <c r="K116" i="13"/>
  <c r="I117" i="13"/>
  <c r="J117" i="13" s="1"/>
  <c r="K117" i="13"/>
  <c r="I118" i="13"/>
  <c r="J118" i="13" s="1"/>
  <c r="L118" i="13" s="1"/>
  <c r="K118" i="13"/>
  <c r="I119" i="13"/>
  <c r="J119" i="13" s="1"/>
  <c r="K119" i="13"/>
  <c r="I120" i="13"/>
  <c r="J120" i="13" s="1"/>
  <c r="L120" i="13" s="1"/>
  <c r="K120" i="13"/>
  <c r="I121" i="13"/>
  <c r="J121" i="13" s="1"/>
  <c r="K121" i="13"/>
  <c r="H123" i="13"/>
  <c r="K123" i="13" s="1"/>
  <c r="I126" i="13"/>
  <c r="J126" i="13" s="1"/>
  <c r="K126" i="13"/>
  <c r="J127" i="13"/>
  <c r="L127" i="13" s="1"/>
  <c r="I129" i="13"/>
  <c r="J129" i="13" s="1"/>
  <c r="L129" i="13" s="1"/>
  <c r="K129" i="13"/>
  <c r="I130" i="13"/>
  <c r="J130" i="13" s="1"/>
  <c r="K130" i="13"/>
  <c r="I132" i="13"/>
  <c r="J132" i="13" s="1"/>
  <c r="L132" i="13" s="1"/>
  <c r="K132" i="13"/>
  <c r="K133" i="13"/>
  <c r="I134" i="13"/>
  <c r="J134" i="13" s="1"/>
  <c r="I137" i="13"/>
  <c r="J137" i="13" s="1"/>
  <c r="L137" i="13" s="1"/>
  <c r="K137" i="13"/>
  <c r="I139" i="13"/>
  <c r="J139" i="13" s="1"/>
  <c r="K139" i="13"/>
  <c r="I140" i="13"/>
  <c r="J140" i="13" s="1"/>
  <c r="L140" i="13" s="1"/>
  <c r="K140" i="13"/>
  <c r="I141" i="13"/>
  <c r="J141" i="13" s="1"/>
  <c r="L141" i="13" s="1"/>
  <c r="K141" i="13"/>
  <c r="I142" i="13"/>
  <c r="H143" i="13" s="1"/>
  <c r="L143" i="13" s="1"/>
  <c r="K142" i="13"/>
  <c r="I143" i="13"/>
  <c r="J143" i="13" s="1"/>
  <c r="I144" i="13"/>
  <c r="J144" i="13" s="1"/>
  <c r="L144" i="13" s="1"/>
  <c r="I145" i="13"/>
  <c r="J145" i="13" s="1"/>
  <c r="L145" i="13" s="1"/>
  <c r="K145" i="13"/>
  <c r="H148" i="13"/>
  <c r="K148" i="13" s="1"/>
  <c r="E148" i="13" s="1"/>
  <c r="I148" i="13"/>
  <c r="J148" i="13" s="1"/>
  <c r="I149" i="13"/>
  <c r="J149" i="13" s="1"/>
  <c r="L149" i="13" s="1"/>
  <c r="K149" i="13"/>
  <c r="I150" i="13"/>
  <c r="J150" i="13" s="1"/>
  <c r="K150" i="13"/>
  <c r="I151" i="13"/>
  <c r="J151" i="13" s="1"/>
  <c r="L151" i="13" s="1"/>
  <c r="I152" i="13"/>
  <c r="J152" i="13" s="1"/>
  <c r="L152" i="13" s="1"/>
  <c r="I154" i="13"/>
  <c r="J154" i="13" s="1"/>
  <c r="L154" i="13" s="1"/>
  <c r="I155" i="13"/>
  <c r="J155" i="13" s="1"/>
  <c r="L155" i="13" s="1"/>
  <c r="I156" i="13"/>
  <c r="J156" i="13" s="1"/>
  <c r="L156" i="13" s="1"/>
  <c r="K156" i="13"/>
  <c r="I157" i="13"/>
  <c r="J157" i="13" s="1"/>
  <c r="L157" i="13" s="1"/>
  <c r="I158" i="13"/>
  <c r="J158" i="13" s="1"/>
  <c r="K158" i="13"/>
  <c r="I160" i="13"/>
  <c r="J160" i="13" s="1"/>
  <c r="K160" i="13"/>
  <c r="I162" i="13"/>
  <c r="J162" i="13" s="1"/>
  <c r="K162" i="13"/>
  <c r="I165" i="13"/>
  <c r="J165" i="13" s="1"/>
  <c r="K165" i="13"/>
  <c r="I166" i="13"/>
  <c r="J166" i="13" s="1"/>
  <c r="K166" i="13"/>
  <c r="I167" i="13"/>
  <c r="J167" i="13" s="1"/>
  <c r="K167" i="13"/>
  <c r="I168" i="13"/>
  <c r="J168" i="13" s="1"/>
  <c r="K168" i="13"/>
  <c r="I169" i="13"/>
  <c r="J169" i="13" s="1"/>
  <c r="K169" i="13"/>
  <c r="I171" i="13"/>
  <c r="J171" i="13" s="1"/>
  <c r="K171" i="13"/>
  <c r="I172" i="13"/>
  <c r="J172" i="13" s="1"/>
  <c r="K172" i="13"/>
  <c r="I175" i="13"/>
  <c r="J175" i="13" s="1"/>
  <c r="K175" i="13"/>
  <c r="I176" i="13"/>
  <c r="J176" i="13" s="1"/>
  <c r="K176" i="13"/>
  <c r="I177" i="13"/>
  <c r="J177" i="13" s="1"/>
  <c r="K177" i="13"/>
  <c r="I178" i="13"/>
  <c r="J178" i="13" s="1"/>
  <c r="K178" i="13"/>
  <c r="I180" i="13"/>
  <c r="J180" i="13" s="1"/>
  <c r="K180" i="13"/>
  <c r="I181" i="13"/>
  <c r="J181" i="13" s="1"/>
  <c r="K181" i="13"/>
  <c r="I182" i="13"/>
  <c r="J182" i="13" s="1"/>
  <c r="K182" i="13"/>
  <c r="I183" i="13"/>
  <c r="J183" i="13" s="1"/>
  <c r="K183" i="13"/>
  <c r="I184" i="13"/>
  <c r="J184" i="13" s="1"/>
  <c r="K184" i="13"/>
  <c r="I185" i="13"/>
  <c r="J185" i="13" s="1"/>
  <c r="K185" i="13"/>
  <c r="I186" i="13"/>
  <c r="J186" i="13" s="1"/>
  <c r="K186" i="13"/>
  <c r="I187" i="13"/>
  <c r="J187" i="13" s="1"/>
  <c r="K187" i="13"/>
  <c r="I188" i="13"/>
  <c r="J188" i="13" s="1"/>
  <c r="K188" i="13"/>
  <c r="I189" i="13"/>
  <c r="J189" i="13" s="1"/>
  <c r="K189" i="13"/>
  <c r="I190" i="13"/>
  <c r="J190" i="13" s="1"/>
  <c r="K190" i="13"/>
  <c r="I191" i="13"/>
  <c r="J191" i="13" s="1"/>
  <c r="K191" i="13"/>
  <c r="I192" i="13"/>
  <c r="J192" i="13" s="1"/>
  <c r="K192" i="13"/>
  <c r="I193" i="13"/>
  <c r="J193" i="13" s="1"/>
  <c r="K193" i="13"/>
  <c r="I194" i="13"/>
  <c r="J194" i="13" s="1"/>
  <c r="K194" i="13"/>
  <c r="I195" i="13"/>
  <c r="J195" i="13" s="1"/>
  <c r="K195" i="13"/>
  <c r="I196" i="13"/>
  <c r="J196" i="13" s="1"/>
  <c r="K196" i="13"/>
  <c r="I197" i="13"/>
  <c r="J197" i="13" s="1"/>
  <c r="K197" i="13"/>
  <c r="I198" i="13"/>
  <c r="J198" i="13" s="1"/>
  <c r="K198" i="13"/>
  <c r="I199" i="13"/>
  <c r="J199" i="13" s="1"/>
  <c r="K199" i="13"/>
  <c r="I200" i="13"/>
  <c r="J200" i="13" s="1"/>
  <c r="K200" i="13"/>
  <c r="I202" i="13"/>
  <c r="J202" i="13" s="1"/>
  <c r="K202" i="13"/>
  <c r="I203" i="13"/>
  <c r="J203" i="13" s="1"/>
  <c r="K203" i="13"/>
  <c r="I204" i="13"/>
  <c r="J204" i="13" s="1"/>
  <c r="K204" i="13"/>
  <c r="I205" i="13"/>
  <c r="J205" i="13" s="1"/>
  <c r="K205" i="13"/>
  <c r="I206" i="13"/>
  <c r="J206" i="13" s="1"/>
  <c r="K206" i="13"/>
  <c r="I207" i="13"/>
  <c r="J207" i="13" s="1"/>
  <c r="K207" i="13"/>
  <c r="I208" i="13"/>
  <c r="J208" i="13" s="1"/>
  <c r="K208" i="13"/>
  <c r="I210" i="13"/>
  <c r="H211" i="13" s="1"/>
  <c r="K210" i="13"/>
  <c r="I211" i="13"/>
  <c r="J211" i="13" s="1"/>
  <c r="I212" i="13"/>
  <c r="J212" i="13" s="1"/>
  <c r="K212" i="13"/>
  <c r="I213" i="13"/>
  <c r="J213" i="13" s="1"/>
  <c r="K213" i="13"/>
  <c r="I214" i="13"/>
  <c r="J214" i="13" s="1"/>
  <c r="K214" i="13"/>
  <c r="I216" i="13"/>
  <c r="J216" i="13" s="1"/>
  <c r="K216" i="13"/>
  <c r="I218" i="13"/>
  <c r="J218" i="13" s="1"/>
  <c r="K218" i="13"/>
  <c r="I219" i="13"/>
  <c r="J219" i="13" s="1"/>
  <c r="K219" i="13"/>
  <c r="I220" i="13"/>
  <c r="J220" i="13" s="1"/>
  <c r="K220" i="13"/>
  <c r="I221" i="13"/>
  <c r="J221" i="13" s="1"/>
  <c r="K221" i="13"/>
  <c r="I222" i="13"/>
  <c r="J222" i="13" s="1"/>
  <c r="K222" i="13"/>
  <c r="I223" i="13"/>
  <c r="J223" i="13" s="1"/>
  <c r="K223" i="13"/>
  <c r="I224" i="13"/>
  <c r="J224" i="13" s="1"/>
  <c r="K224" i="13"/>
  <c r="I225" i="13"/>
  <c r="J225" i="13" s="1"/>
  <c r="K225" i="13"/>
  <c r="I226" i="13"/>
  <c r="J226" i="13" s="1"/>
  <c r="K226" i="13"/>
  <c r="I227" i="13"/>
  <c r="J227" i="13" s="1"/>
  <c r="L227" i="13" s="1"/>
  <c r="K227" i="13"/>
  <c r="I228" i="13"/>
  <c r="J228" i="13" s="1"/>
  <c r="L228" i="13" s="1"/>
  <c r="K228" i="13"/>
  <c r="I229" i="13"/>
  <c r="J229" i="13" s="1"/>
  <c r="K229" i="13"/>
  <c r="I230" i="13"/>
  <c r="J230" i="13" s="1"/>
  <c r="K230" i="13"/>
  <c r="I231" i="13"/>
  <c r="J231" i="13" s="1"/>
  <c r="L231" i="13" s="1"/>
  <c r="K231" i="13"/>
  <c r="I232" i="13"/>
  <c r="J232" i="13" s="1"/>
  <c r="L232" i="13" s="1"/>
  <c r="K232" i="13"/>
  <c r="I233" i="13"/>
  <c r="J233" i="13" s="1"/>
  <c r="L233" i="13" s="1"/>
  <c r="K233" i="13"/>
  <c r="I234" i="13"/>
  <c r="J234" i="13" s="1"/>
  <c r="K234" i="13"/>
  <c r="I235" i="13"/>
  <c r="J235" i="13" s="1"/>
  <c r="L235" i="13" s="1"/>
  <c r="K235" i="13"/>
  <c r="I236" i="13"/>
  <c r="J236" i="13" s="1"/>
  <c r="L236" i="13" s="1"/>
  <c r="K236" i="13"/>
  <c r="I237" i="13"/>
  <c r="J237" i="13" s="1"/>
  <c r="L237" i="13" s="1"/>
  <c r="K237" i="13"/>
  <c r="I238" i="13"/>
  <c r="J238" i="13" s="1"/>
  <c r="K238" i="13"/>
  <c r="I239" i="13"/>
  <c r="J239" i="13" s="1"/>
  <c r="L239" i="13" s="1"/>
  <c r="K239" i="13"/>
  <c r="I240" i="13"/>
  <c r="J240" i="13" s="1"/>
  <c r="L240" i="13" s="1"/>
  <c r="K240" i="13"/>
  <c r="I242" i="13"/>
  <c r="J242" i="13" s="1"/>
  <c r="L242" i="13" s="1"/>
  <c r="K242" i="13"/>
  <c r="I243" i="13"/>
  <c r="J243" i="13" s="1"/>
  <c r="K243" i="13"/>
  <c r="I244" i="13"/>
  <c r="J244" i="13" s="1"/>
  <c r="L244" i="13" s="1"/>
  <c r="K244" i="13"/>
  <c r="I245" i="13"/>
  <c r="J245" i="13" s="1"/>
  <c r="L245" i="13" s="1"/>
  <c r="K245" i="13"/>
  <c r="I246" i="13"/>
  <c r="J246" i="13" s="1"/>
  <c r="L246" i="13" s="1"/>
  <c r="K246" i="13"/>
  <c r="I247" i="13"/>
  <c r="J247" i="13" s="1"/>
  <c r="K247" i="13"/>
  <c r="I248" i="13"/>
  <c r="J248" i="13" s="1"/>
  <c r="L248" i="13" s="1"/>
  <c r="K248" i="13"/>
  <c r="I249" i="13"/>
  <c r="J249" i="13" s="1"/>
  <c r="L249" i="13" s="1"/>
  <c r="K249" i="13"/>
  <c r="I250" i="13"/>
  <c r="J250" i="13" s="1"/>
  <c r="L250" i="13" s="1"/>
  <c r="K250" i="13"/>
  <c r="I251" i="13"/>
  <c r="J251" i="13" s="1"/>
  <c r="K251" i="13"/>
  <c r="I252" i="13"/>
  <c r="J252" i="13" s="1"/>
  <c r="L252" i="13" s="1"/>
  <c r="K252" i="13"/>
  <c r="I253" i="13"/>
  <c r="J253" i="13" s="1"/>
  <c r="L253" i="13" s="1"/>
  <c r="K253" i="13"/>
  <c r="I254" i="13"/>
  <c r="J254" i="13" s="1"/>
  <c r="L254" i="13" s="1"/>
  <c r="K254" i="13"/>
  <c r="I258" i="13"/>
  <c r="J258" i="13" s="1"/>
  <c r="K258" i="13"/>
  <c r="I259" i="13"/>
  <c r="J259" i="13" s="1"/>
  <c r="L259" i="13" s="1"/>
  <c r="K259" i="13"/>
  <c r="I260" i="13"/>
  <c r="J260" i="13" s="1"/>
  <c r="L260" i="13" s="1"/>
  <c r="K260" i="13"/>
  <c r="I264" i="13"/>
  <c r="J264" i="13" s="1"/>
  <c r="L264" i="13" s="1"/>
  <c r="K264" i="13"/>
  <c r="I265" i="13"/>
  <c r="J265" i="13" s="1"/>
  <c r="K265" i="13"/>
  <c r="E265" i="13" s="1"/>
  <c r="I266" i="13"/>
  <c r="J266" i="13" s="1"/>
  <c r="L266" i="13" s="1"/>
  <c r="K266" i="13"/>
  <c r="I267" i="13"/>
  <c r="J267" i="13" s="1"/>
  <c r="L267" i="13" s="1"/>
  <c r="K267" i="13"/>
  <c r="E267" i="13" s="1"/>
  <c r="I40" i="13"/>
  <c r="D40" i="13"/>
  <c r="C40" i="13"/>
  <c r="K40" i="13"/>
  <c r="K135" i="13"/>
  <c r="K138" i="13"/>
  <c r="K215" i="13"/>
  <c r="K201" i="13"/>
  <c r="K163" i="13"/>
  <c r="K131" i="13"/>
  <c r="K112" i="13"/>
  <c r="K107" i="13"/>
  <c r="K268" i="13"/>
  <c r="E268" i="13" s="1"/>
  <c r="K255" i="13"/>
  <c r="K173" i="13"/>
  <c r="K261" i="13"/>
  <c r="K257" i="13"/>
  <c r="K256" i="13"/>
  <c r="K241" i="13"/>
  <c r="K217" i="13"/>
  <c r="K179" i="13"/>
  <c r="K174" i="13"/>
  <c r="K170" i="13"/>
  <c r="K164" i="13"/>
  <c r="K159" i="13"/>
  <c r="K153" i="13"/>
  <c r="K147" i="13"/>
  <c r="L147" i="13" s="1"/>
  <c r="K146" i="13"/>
  <c r="K136" i="13"/>
  <c r="K125" i="13"/>
  <c r="K105" i="13"/>
  <c r="K103" i="13"/>
  <c r="K96" i="13"/>
  <c r="K76" i="13"/>
  <c r="K50" i="13"/>
  <c r="K79" i="13"/>
  <c r="K63" i="13"/>
  <c r="K61" i="13"/>
  <c r="K44" i="13"/>
  <c r="K43" i="13"/>
  <c r="K38" i="13"/>
  <c r="K19" i="13"/>
  <c r="K18" i="13"/>
  <c r="K17" i="13"/>
  <c r="K16" i="13"/>
  <c r="K35" i="13"/>
  <c r="K41" i="13"/>
  <c r="K37" i="13"/>
  <c r="K263" i="13"/>
  <c r="E263" i="13" s="1"/>
  <c r="K262" i="13"/>
  <c r="K80" i="13"/>
  <c r="K9" i="13"/>
  <c r="L9" i="13" s="1"/>
  <c r="K8" i="13"/>
  <c r="L8" i="13" s="1"/>
  <c r="K7" i="13"/>
  <c r="K5" i="13"/>
  <c r="L5" i="13" s="1"/>
  <c r="K4" i="13"/>
  <c r="K3" i="13"/>
  <c r="L3" i="13" s="1"/>
  <c r="K2" i="13"/>
  <c r="A38" i="14"/>
  <c r="A39" i="14"/>
  <c r="A40" i="14"/>
  <c r="I170" i="13"/>
  <c r="I146" i="13"/>
  <c r="J35" i="13"/>
  <c r="L35" i="13" s="1"/>
  <c r="L7" i="13"/>
  <c r="L4" i="13"/>
  <c r="L2" i="13"/>
  <c r="I161" i="13"/>
  <c r="I80" i="13"/>
  <c r="C17" i="14"/>
  <c r="N6" i="13"/>
  <c r="I268" i="13"/>
  <c r="S268" i="13"/>
  <c r="R268" i="13"/>
  <c r="Q268" i="13"/>
  <c r="P268" i="13"/>
  <c r="O268" i="13"/>
  <c r="N268" i="13"/>
  <c r="M268" i="13"/>
  <c r="D268" i="13"/>
  <c r="C268" i="13"/>
  <c r="S267" i="13"/>
  <c r="R267" i="13"/>
  <c r="Q267" i="13"/>
  <c r="P267" i="13"/>
  <c r="O267" i="13"/>
  <c r="N267" i="13"/>
  <c r="M267" i="13"/>
  <c r="D267" i="13"/>
  <c r="C267" i="13"/>
  <c r="S266" i="13"/>
  <c r="R266" i="13"/>
  <c r="Q266" i="13"/>
  <c r="P266" i="13"/>
  <c r="O266" i="13"/>
  <c r="N266" i="13"/>
  <c r="M266" i="13"/>
  <c r="E266" i="13"/>
  <c r="D266" i="13"/>
  <c r="C266" i="13"/>
  <c r="S265" i="13"/>
  <c r="R265" i="13"/>
  <c r="Q265" i="13"/>
  <c r="P265" i="13"/>
  <c r="O265" i="13"/>
  <c r="N265" i="13"/>
  <c r="M265" i="13"/>
  <c r="D265" i="13"/>
  <c r="C265" i="13"/>
  <c r="S264" i="13"/>
  <c r="R264" i="13"/>
  <c r="Q264" i="13"/>
  <c r="P264" i="13"/>
  <c r="O264" i="13"/>
  <c r="N264" i="13"/>
  <c r="M264" i="13"/>
  <c r="E264" i="13"/>
  <c r="D264" i="13"/>
  <c r="C264" i="13"/>
  <c r="S263" i="13"/>
  <c r="R263" i="13"/>
  <c r="Q263" i="13"/>
  <c r="P263" i="13"/>
  <c r="O263" i="13"/>
  <c r="N263" i="13"/>
  <c r="M263" i="13"/>
  <c r="I263" i="13"/>
  <c r="D263" i="13"/>
  <c r="C263" i="13"/>
  <c r="S262" i="13"/>
  <c r="R262" i="13"/>
  <c r="Q262" i="13"/>
  <c r="P262" i="13"/>
  <c r="O262" i="13"/>
  <c r="N262" i="13"/>
  <c r="M262" i="13"/>
  <c r="I262" i="13"/>
  <c r="E262" i="13"/>
  <c r="D262" i="13"/>
  <c r="C262" i="13"/>
  <c r="D40" i="14"/>
  <c r="B40" i="14"/>
  <c r="D39" i="14"/>
  <c r="B39" i="14"/>
  <c r="H40" i="14"/>
  <c r="H39" i="14"/>
  <c r="H38" i="14"/>
  <c r="D38" i="14"/>
  <c r="B38" i="14"/>
  <c r="I9" i="13"/>
  <c r="W21" i="13" s="1"/>
  <c r="E32" i="14" s="1"/>
  <c r="B957" i="12"/>
  <c r="B956" i="12"/>
  <c r="B955" i="12"/>
  <c r="B954" i="12"/>
  <c r="B953" i="12"/>
  <c r="B952" i="12"/>
  <c r="B951" i="12"/>
  <c r="B950" i="12"/>
  <c r="B949" i="12"/>
  <c r="B948" i="12"/>
  <c r="B947" i="12"/>
  <c r="B946" i="12"/>
  <c r="B945" i="12"/>
  <c r="B944" i="12"/>
  <c r="B943" i="12"/>
  <c r="B942" i="12"/>
  <c r="B941" i="12"/>
  <c r="B940" i="12"/>
  <c r="B938" i="12"/>
  <c r="B939" i="12"/>
  <c r="B937" i="12"/>
  <c r="B936" i="12"/>
  <c r="B935" i="12"/>
  <c r="B934" i="12"/>
  <c r="B933" i="12"/>
  <c r="B932" i="12"/>
  <c r="B931" i="12"/>
  <c r="B930" i="12"/>
  <c r="B926" i="12"/>
  <c r="B929" i="12"/>
  <c r="B928" i="12"/>
  <c r="B925" i="12"/>
  <c r="B927" i="12"/>
  <c r="A225" i="15"/>
  <c r="G225" i="15"/>
  <c r="H225" i="15" s="1"/>
  <c r="A224" i="15"/>
  <c r="G224" i="15" s="1"/>
  <c r="H224" i="15" s="1"/>
  <c r="A223" i="15"/>
  <c r="G223" i="15" s="1"/>
  <c r="H223" i="15" s="1"/>
  <c r="A222" i="15"/>
  <c r="G222" i="15"/>
  <c r="A221" i="15"/>
  <c r="G221" i="15"/>
  <c r="H221" i="15" s="1"/>
  <c r="A220" i="15"/>
  <c r="G220" i="15" s="1"/>
  <c r="A219" i="15"/>
  <c r="G219" i="15" s="1"/>
  <c r="H219" i="15" s="1"/>
  <c r="A218" i="15"/>
  <c r="G218" i="15" s="1"/>
  <c r="H218" i="15" s="1"/>
  <c r="A217" i="15"/>
  <c r="G217" i="15" s="1"/>
  <c r="H217" i="15" s="1"/>
  <c r="A216" i="15"/>
  <c r="G216" i="15" s="1"/>
  <c r="H216" i="15" s="1"/>
  <c r="A215" i="15"/>
  <c r="G215" i="15" s="1"/>
  <c r="H215" i="15" s="1"/>
  <c r="A214" i="15"/>
  <c r="G214" i="15" s="1"/>
  <c r="H214" i="15" s="1"/>
  <c r="A213" i="15"/>
  <c r="G213" i="15" s="1"/>
  <c r="H213" i="15" s="1"/>
  <c r="A212" i="15"/>
  <c r="G212" i="15" s="1"/>
  <c r="H212" i="15" s="1"/>
  <c r="A211" i="15"/>
  <c r="G211" i="15" s="1"/>
  <c r="H211" i="15" s="1"/>
  <c r="A210" i="15"/>
  <c r="G210" i="15" s="1"/>
  <c r="H210" i="15" s="1"/>
  <c r="A209" i="15"/>
  <c r="G209" i="15" s="1"/>
  <c r="H209" i="15" s="1"/>
  <c r="A208" i="15"/>
  <c r="G208" i="15" s="1"/>
  <c r="H208" i="15" s="1"/>
  <c r="A207" i="15"/>
  <c r="G207" i="15" s="1"/>
  <c r="H207" i="15" s="1"/>
  <c r="A206" i="15"/>
  <c r="G206" i="15" s="1"/>
  <c r="H206" i="15" s="1"/>
  <c r="A205" i="15"/>
  <c r="G205" i="15" s="1"/>
  <c r="H205" i="15" s="1"/>
  <c r="A204" i="15"/>
  <c r="G204" i="15" s="1"/>
  <c r="H204" i="15" s="1"/>
  <c r="A203" i="15"/>
  <c r="G203" i="15" s="1"/>
  <c r="H203" i="15" s="1"/>
  <c r="A202" i="15"/>
  <c r="G202" i="15" s="1"/>
  <c r="H202" i="15" s="1"/>
  <c r="A201" i="15"/>
  <c r="G201" i="15" s="1"/>
  <c r="H201" i="15" s="1"/>
  <c r="A200" i="15"/>
  <c r="G200" i="15" s="1"/>
  <c r="H200" i="15" s="1"/>
  <c r="A199" i="15"/>
  <c r="G199" i="15" s="1"/>
  <c r="H199" i="15" s="1"/>
  <c r="A198" i="15"/>
  <c r="G198" i="15" s="1"/>
  <c r="H198" i="15" s="1"/>
  <c r="A197" i="15"/>
  <c r="G197" i="15" s="1"/>
  <c r="H197" i="15" s="1"/>
  <c r="A196" i="15"/>
  <c r="G196" i="15" s="1"/>
  <c r="H196" i="15" s="1"/>
  <c r="A195" i="15"/>
  <c r="G195" i="15" s="1"/>
  <c r="H195" i="15" s="1"/>
  <c r="A194" i="15"/>
  <c r="G194" i="15" s="1"/>
  <c r="H194" i="15" s="1"/>
  <c r="A193" i="15"/>
  <c r="G193" i="15" s="1"/>
  <c r="H193" i="15" s="1"/>
  <c r="A192" i="15"/>
  <c r="G192" i="15" s="1"/>
  <c r="H192" i="15" s="1"/>
  <c r="A191" i="15"/>
  <c r="G191" i="15" s="1"/>
  <c r="H191" i="15" s="1"/>
  <c r="A190" i="15"/>
  <c r="G190" i="15" s="1"/>
  <c r="H190" i="15" s="1"/>
  <c r="A189" i="15"/>
  <c r="G189" i="15" s="1"/>
  <c r="H189" i="15" s="1"/>
  <c r="A188" i="15"/>
  <c r="G188" i="15" s="1"/>
  <c r="H188" i="15" s="1"/>
  <c r="A187" i="15"/>
  <c r="G187" i="15" s="1"/>
  <c r="H187" i="15" s="1"/>
  <c r="A186" i="15"/>
  <c r="G186" i="15" s="1"/>
  <c r="H186" i="15" s="1"/>
  <c r="A185" i="15"/>
  <c r="G185" i="15" s="1"/>
  <c r="H185" i="15" s="1"/>
  <c r="A184" i="15"/>
  <c r="G184" i="15" s="1"/>
  <c r="H184" i="15" s="1"/>
  <c r="A183" i="15"/>
  <c r="G183" i="15" s="1"/>
  <c r="H183" i="15" s="1"/>
  <c r="A182" i="15"/>
  <c r="G182" i="15" s="1"/>
  <c r="H182" i="15" s="1"/>
  <c r="A181" i="15"/>
  <c r="G181" i="15" s="1"/>
  <c r="H181" i="15" s="1"/>
  <c r="A180" i="15"/>
  <c r="G180" i="15" s="1"/>
  <c r="H180" i="15" s="1"/>
  <c r="A179" i="15"/>
  <c r="G179" i="15" s="1"/>
  <c r="H179" i="15" s="1"/>
  <c r="A178" i="15"/>
  <c r="G178" i="15" s="1"/>
  <c r="H178" i="15" s="1"/>
  <c r="A177" i="15"/>
  <c r="G177" i="15" s="1"/>
  <c r="H177" i="15" s="1"/>
  <c r="A176" i="15"/>
  <c r="G176" i="15" s="1"/>
  <c r="H176" i="15" s="1"/>
  <c r="A175" i="15"/>
  <c r="G175" i="15" s="1"/>
  <c r="H175" i="15" s="1"/>
  <c r="A174" i="15"/>
  <c r="G174" i="15" s="1"/>
  <c r="H174" i="15" s="1"/>
  <c r="A173" i="15"/>
  <c r="G173" i="15" s="1"/>
  <c r="H173" i="15" s="1"/>
  <c r="A172" i="15"/>
  <c r="G172" i="15" s="1"/>
  <c r="H172" i="15" s="1"/>
  <c r="A171" i="15"/>
  <c r="G171" i="15" s="1"/>
  <c r="H171" i="15" s="1"/>
  <c r="A170" i="15"/>
  <c r="G170" i="15" s="1"/>
  <c r="H170" i="15" s="1"/>
  <c r="A169" i="15"/>
  <c r="G169" i="15" s="1"/>
  <c r="H169" i="15" s="1"/>
  <c r="A168" i="15"/>
  <c r="G168" i="15" s="1"/>
  <c r="H168" i="15" s="1"/>
  <c r="A167" i="15"/>
  <c r="G167" i="15" s="1"/>
  <c r="H167" i="15" s="1"/>
  <c r="A166" i="15"/>
  <c r="G166" i="15" s="1"/>
  <c r="H166" i="15" s="1"/>
  <c r="A165" i="15"/>
  <c r="G165" i="15" s="1"/>
  <c r="H165" i="15" s="1"/>
  <c r="A164" i="15"/>
  <c r="G164" i="15" s="1"/>
  <c r="H164" i="15" s="1"/>
  <c r="A163" i="15"/>
  <c r="G163" i="15" s="1"/>
  <c r="H163" i="15" s="1"/>
  <c r="A162" i="15"/>
  <c r="G162" i="15" s="1"/>
  <c r="H162" i="15" s="1"/>
  <c r="A161" i="15"/>
  <c r="G161" i="15" s="1"/>
  <c r="H161" i="15" s="1"/>
  <c r="A160" i="15"/>
  <c r="G160" i="15" s="1"/>
  <c r="H160" i="15" s="1"/>
  <c r="A159" i="15"/>
  <c r="G159" i="15" s="1"/>
  <c r="H159" i="15" s="1"/>
  <c r="A158" i="15"/>
  <c r="G158" i="15" s="1"/>
  <c r="H158" i="15" s="1"/>
  <c r="A157" i="15"/>
  <c r="G157" i="15" s="1"/>
  <c r="H157" i="15" s="1"/>
  <c r="A156" i="15"/>
  <c r="G156" i="15" s="1"/>
  <c r="H156" i="15" s="1"/>
  <c r="A155" i="15"/>
  <c r="G155" i="15" s="1"/>
  <c r="H155" i="15" s="1"/>
  <c r="A154" i="15"/>
  <c r="G154" i="15" s="1"/>
  <c r="H154" i="15" s="1"/>
  <c r="A153" i="15"/>
  <c r="G153" i="15" s="1"/>
  <c r="H153" i="15" s="1"/>
  <c r="A152" i="15"/>
  <c r="G152" i="15" s="1"/>
  <c r="H152" i="15" s="1"/>
  <c r="A151" i="15"/>
  <c r="G151" i="15" s="1"/>
  <c r="H151" i="15" s="1"/>
  <c r="A150" i="15"/>
  <c r="G150" i="15" s="1"/>
  <c r="H150" i="15" s="1"/>
  <c r="A149" i="15"/>
  <c r="G149" i="15" s="1"/>
  <c r="H149" i="15" s="1"/>
  <c r="A148" i="15"/>
  <c r="G148" i="15" s="1"/>
  <c r="H148" i="15" s="1"/>
  <c r="A147" i="15"/>
  <c r="G147" i="15" s="1"/>
  <c r="H147" i="15" s="1"/>
  <c r="A146" i="15"/>
  <c r="G146" i="15" s="1"/>
  <c r="H146" i="15" s="1"/>
  <c r="A145" i="15"/>
  <c r="G145" i="15" s="1"/>
  <c r="H145" i="15" s="1"/>
  <c r="A144" i="15"/>
  <c r="G144" i="15" s="1"/>
  <c r="H144" i="15" s="1"/>
  <c r="A143" i="15"/>
  <c r="G143" i="15" s="1"/>
  <c r="H143" i="15" s="1"/>
  <c r="A142" i="15"/>
  <c r="G142" i="15" s="1"/>
  <c r="H142" i="15" s="1"/>
  <c r="A141" i="15"/>
  <c r="G141" i="15" s="1"/>
  <c r="H141" i="15" s="1"/>
  <c r="A140" i="15"/>
  <c r="G140" i="15" s="1"/>
  <c r="H140" i="15" s="1"/>
  <c r="A139" i="15"/>
  <c r="G139" i="15" s="1"/>
  <c r="H139" i="15" s="1"/>
  <c r="A138" i="15"/>
  <c r="G138" i="15" s="1"/>
  <c r="H138" i="15" s="1"/>
  <c r="A137" i="15"/>
  <c r="G137" i="15" s="1"/>
  <c r="H137" i="15" s="1"/>
  <c r="A136" i="15"/>
  <c r="G136" i="15" s="1"/>
  <c r="H136" i="15" s="1"/>
  <c r="A135" i="15"/>
  <c r="G135" i="15" s="1"/>
  <c r="H135" i="15" s="1"/>
  <c r="A134" i="15"/>
  <c r="G134" i="15" s="1"/>
  <c r="H134" i="15" s="1"/>
  <c r="A133" i="15"/>
  <c r="G133" i="15" s="1"/>
  <c r="H133" i="15" s="1"/>
  <c r="A132" i="15"/>
  <c r="G132" i="15" s="1"/>
  <c r="H132" i="15" s="1"/>
  <c r="A131" i="15"/>
  <c r="G131" i="15" s="1"/>
  <c r="H131" i="15" s="1"/>
  <c r="A130" i="15"/>
  <c r="G130" i="15" s="1"/>
  <c r="H130" i="15" s="1"/>
  <c r="A129" i="15"/>
  <c r="G129" i="15" s="1"/>
  <c r="H129" i="15" s="1"/>
  <c r="A128" i="15"/>
  <c r="G128" i="15" s="1"/>
  <c r="H128" i="15" s="1"/>
  <c r="A127" i="15"/>
  <c r="G127" i="15" s="1"/>
  <c r="H127" i="15" s="1"/>
  <c r="A126" i="15"/>
  <c r="G126" i="15" s="1"/>
  <c r="H126" i="15" s="1"/>
  <c r="A125" i="15"/>
  <c r="G125" i="15" s="1"/>
  <c r="H125" i="15" s="1"/>
  <c r="A124" i="15"/>
  <c r="G124" i="15" s="1"/>
  <c r="H124" i="15" s="1"/>
  <c r="A123" i="15"/>
  <c r="G123" i="15" s="1"/>
  <c r="H123" i="15" s="1"/>
  <c r="A122" i="15"/>
  <c r="G122" i="15" s="1"/>
  <c r="H122" i="15" s="1"/>
  <c r="A121" i="15"/>
  <c r="G121" i="15" s="1"/>
  <c r="H121" i="15" s="1"/>
  <c r="A120" i="15"/>
  <c r="G120" i="15" s="1"/>
  <c r="H120" i="15" s="1"/>
  <c r="A119" i="15"/>
  <c r="G119" i="15" s="1"/>
  <c r="H119" i="15" s="1"/>
  <c r="A118" i="15"/>
  <c r="G118" i="15" s="1"/>
  <c r="H118" i="15" s="1"/>
  <c r="A117" i="15"/>
  <c r="G117" i="15" s="1"/>
  <c r="H117" i="15" s="1"/>
  <c r="A116" i="15"/>
  <c r="G116" i="15" s="1"/>
  <c r="H116" i="15" s="1"/>
  <c r="A115" i="15"/>
  <c r="G115" i="15" s="1"/>
  <c r="H115" i="15" s="1"/>
  <c r="A114" i="15"/>
  <c r="G114" i="15" s="1"/>
  <c r="H114" i="15" s="1"/>
  <c r="A113" i="15"/>
  <c r="G113" i="15" s="1"/>
  <c r="H113" i="15" s="1"/>
  <c r="A112" i="15"/>
  <c r="G112" i="15" s="1"/>
  <c r="H112" i="15" s="1"/>
  <c r="A111" i="15"/>
  <c r="G111" i="15" s="1"/>
  <c r="H111" i="15" s="1"/>
  <c r="A110" i="15"/>
  <c r="G110" i="15" s="1"/>
  <c r="H110" i="15" s="1"/>
  <c r="A109" i="15"/>
  <c r="G109" i="15" s="1"/>
  <c r="H109" i="15" s="1"/>
  <c r="A108" i="15"/>
  <c r="G108" i="15" s="1"/>
  <c r="H108" i="15" s="1"/>
  <c r="A107" i="15"/>
  <c r="G107" i="15" s="1"/>
  <c r="H107" i="15" s="1"/>
  <c r="A106" i="15"/>
  <c r="G106" i="15" s="1"/>
  <c r="H106" i="15" s="1"/>
  <c r="A105" i="15"/>
  <c r="G105" i="15" s="1"/>
  <c r="H105" i="15" s="1"/>
  <c r="A104" i="15"/>
  <c r="G104" i="15" s="1"/>
  <c r="H104" i="15" s="1"/>
  <c r="A103" i="15"/>
  <c r="G103" i="15" s="1"/>
  <c r="H103" i="15" s="1"/>
  <c r="A102" i="15"/>
  <c r="G102" i="15" s="1"/>
  <c r="H102" i="15" s="1"/>
  <c r="A101" i="15"/>
  <c r="G101" i="15" s="1"/>
  <c r="H101" i="15" s="1"/>
  <c r="A100" i="15"/>
  <c r="G100" i="15" s="1"/>
  <c r="H100" i="15" s="1"/>
  <c r="A99" i="15"/>
  <c r="G99" i="15" s="1"/>
  <c r="H99" i="15" s="1"/>
  <c r="A98" i="15"/>
  <c r="G98" i="15" s="1"/>
  <c r="H98" i="15" s="1"/>
  <c r="A97" i="15"/>
  <c r="G97" i="15" s="1"/>
  <c r="H97" i="15" s="1"/>
  <c r="A96" i="15"/>
  <c r="G96" i="15" s="1"/>
  <c r="H96" i="15" s="1"/>
  <c r="A95" i="15"/>
  <c r="G95" i="15" s="1"/>
  <c r="H95" i="15" s="1"/>
  <c r="A94" i="15"/>
  <c r="G94" i="15" s="1"/>
  <c r="H94" i="15" s="1"/>
  <c r="A93" i="15"/>
  <c r="G93" i="15" s="1"/>
  <c r="H93" i="15" s="1"/>
  <c r="A92" i="15"/>
  <c r="G92" i="15" s="1"/>
  <c r="H92" i="15" s="1"/>
  <c r="A91" i="15"/>
  <c r="G91" i="15" s="1"/>
  <c r="H91" i="15" s="1"/>
  <c r="A90" i="15"/>
  <c r="G90" i="15" s="1"/>
  <c r="H90" i="15" s="1"/>
  <c r="A89" i="15"/>
  <c r="G89" i="15" s="1"/>
  <c r="H89" i="15" s="1"/>
  <c r="A88" i="15"/>
  <c r="G88" i="15" s="1"/>
  <c r="H88" i="15" s="1"/>
  <c r="A87" i="15"/>
  <c r="G87" i="15" s="1"/>
  <c r="H87" i="15" s="1"/>
  <c r="A86" i="15"/>
  <c r="G86" i="15" s="1"/>
  <c r="H86" i="15" s="1"/>
  <c r="A85" i="15"/>
  <c r="G85" i="15" s="1"/>
  <c r="H85" i="15" s="1"/>
  <c r="A84" i="15"/>
  <c r="G84" i="15" s="1"/>
  <c r="H84" i="15" s="1"/>
  <c r="A83" i="15"/>
  <c r="G83" i="15" s="1"/>
  <c r="H83" i="15" s="1"/>
  <c r="A82" i="15"/>
  <c r="G82" i="15" s="1"/>
  <c r="H82" i="15" s="1"/>
  <c r="A81" i="15"/>
  <c r="G81" i="15" s="1"/>
  <c r="H81" i="15" s="1"/>
  <c r="A80" i="15"/>
  <c r="G80" i="15" s="1"/>
  <c r="H80" i="15" s="1"/>
  <c r="A79" i="15"/>
  <c r="G79" i="15" s="1"/>
  <c r="H79" i="15" s="1"/>
  <c r="A78" i="15"/>
  <c r="G78" i="15" s="1"/>
  <c r="H78" i="15" s="1"/>
  <c r="A77" i="15"/>
  <c r="G77" i="15" s="1"/>
  <c r="H77" i="15" s="1"/>
  <c r="A76" i="15"/>
  <c r="G76" i="15" s="1"/>
  <c r="H76" i="15" s="1"/>
  <c r="A75" i="15"/>
  <c r="G75" i="15" s="1"/>
  <c r="H75" i="15" s="1"/>
  <c r="A74" i="15"/>
  <c r="G74" i="15" s="1"/>
  <c r="H74" i="15" s="1"/>
  <c r="A73" i="15"/>
  <c r="G73" i="15" s="1"/>
  <c r="H73" i="15" s="1"/>
  <c r="A72" i="15"/>
  <c r="G72" i="15" s="1"/>
  <c r="H72" i="15" s="1"/>
  <c r="A71" i="15"/>
  <c r="G71" i="15" s="1"/>
  <c r="H71" i="15" s="1"/>
  <c r="A70" i="15"/>
  <c r="G70" i="15" s="1"/>
  <c r="H70" i="15" s="1"/>
  <c r="A69" i="15"/>
  <c r="G69" i="15" s="1"/>
  <c r="H69" i="15" s="1"/>
  <c r="A68" i="15"/>
  <c r="G68" i="15" s="1"/>
  <c r="H68" i="15" s="1"/>
  <c r="A67" i="15"/>
  <c r="G67" i="15" s="1"/>
  <c r="H67" i="15" s="1"/>
  <c r="A66" i="15"/>
  <c r="G66" i="15" s="1"/>
  <c r="H66" i="15" s="1"/>
  <c r="A65" i="15"/>
  <c r="G65" i="15" s="1"/>
  <c r="H65" i="15" s="1"/>
  <c r="A64" i="15"/>
  <c r="G64" i="15" s="1"/>
  <c r="H64" i="15" s="1"/>
  <c r="A63" i="15"/>
  <c r="G63" i="15" s="1"/>
  <c r="H63" i="15" s="1"/>
  <c r="A62" i="15"/>
  <c r="G62" i="15" s="1"/>
  <c r="H62" i="15" s="1"/>
  <c r="A61" i="15"/>
  <c r="G61" i="15" s="1"/>
  <c r="H61" i="15" s="1"/>
  <c r="A60" i="15"/>
  <c r="G60" i="15" s="1"/>
  <c r="H60" i="15" s="1"/>
  <c r="A59" i="15"/>
  <c r="G59" i="15" s="1"/>
  <c r="H59" i="15" s="1"/>
  <c r="A58" i="15"/>
  <c r="G58" i="15" s="1"/>
  <c r="H58" i="15" s="1"/>
  <c r="A57" i="15"/>
  <c r="G57" i="15" s="1"/>
  <c r="H57" i="15" s="1"/>
  <c r="A56" i="15"/>
  <c r="G56" i="15" s="1"/>
  <c r="H56" i="15" s="1"/>
  <c r="A55" i="15"/>
  <c r="G55" i="15" s="1"/>
  <c r="H55" i="15" s="1"/>
  <c r="A54" i="15"/>
  <c r="G54" i="15" s="1"/>
  <c r="H54" i="15" s="1"/>
  <c r="A53" i="15"/>
  <c r="G53" i="15" s="1"/>
  <c r="H53" i="15" s="1"/>
  <c r="A52" i="15"/>
  <c r="G52" i="15" s="1"/>
  <c r="H52" i="15" s="1"/>
  <c r="A51" i="15"/>
  <c r="G51" i="15" s="1"/>
  <c r="H51" i="15" s="1"/>
  <c r="A50" i="15"/>
  <c r="G50" i="15" s="1"/>
  <c r="H50" i="15" s="1"/>
  <c r="A49" i="15"/>
  <c r="G49" i="15" s="1"/>
  <c r="H49" i="15" s="1"/>
  <c r="A46" i="10"/>
  <c r="A51" i="10"/>
  <c r="A61" i="10"/>
  <c r="A79" i="10"/>
  <c r="C31" i="10"/>
  <c r="D31" i="10"/>
  <c r="E31" i="10"/>
  <c r="F31" i="10"/>
  <c r="G31" i="10"/>
  <c r="H31" i="10"/>
  <c r="C38" i="10"/>
  <c r="D38" i="10"/>
  <c r="E38" i="10"/>
  <c r="F38" i="10"/>
  <c r="G38" i="10"/>
  <c r="H38" i="10"/>
  <c r="C46" i="10"/>
  <c r="D46" i="10"/>
  <c r="E46" i="10"/>
  <c r="F46" i="10"/>
  <c r="G46" i="10"/>
  <c r="H46" i="10"/>
  <c r="C51" i="10"/>
  <c r="D51" i="10"/>
  <c r="E51" i="10"/>
  <c r="F51" i="10"/>
  <c r="G51" i="10"/>
  <c r="H51" i="10"/>
  <c r="C61" i="10"/>
  <c r="D61" i="10"/>
  <c r="E61" i="10"/>
  <c r="F61" i="10"/>
  <c r="G61" i="10"/>
  <c r="H61" i="10"/>
  <c r="C79" i="10"/>
  <c r="D79" i="10"/>
  <c r="E79" i="10"/>
  <c r="F79" i="10"/>
  <c r="G79" i="10"/>
  <c r="H79" i="10"/>
  <c r="A97" i="10"/>
  <c r="C97" i="10"/>
  <c r="D97" i="10"/>
  <c r="E97" i="10"/>
  <c r="F97" i="10"/>
  <c r="G97" i="10"/>
  <c r="H97" i="10"/>
  <c r="A110" i="10"/>
  <c r="C110" i="10"/>
  <c r="D110" i="10"/>
  <c r="E110" i="10"/>
  <c r="F110" i="10"/>
  <c r="G110" i="10"/>
  <c r="H110" i="10"/>
  <c r="A126" i="10"/>
  <c r="C126" i="10"/>
  <c r="D126" i="10"/>
  <c r="E126" i="10"/>
  <c r="F126" i="10"/>
  <c r="G126" i="10"/>
  <c r="H126" i="10"/>
  <c r="A155" i="10"/>
  <c r="C155" i="10"/>
  <c r="D155" i="10"/>
  <c r="E155" i="10"/>
  <c r="F155" i="10"/>
  <c r="G155" i="10"/>
  <c r="H155" i="10"/>
  <c r="A158" i="10"/>
  <c r="C158" i="10"/>
  <c r="D158" i="10"/>
  <c r="E158" i="10"/>
  <c r="F158" i="10"/>
  <c r="G158" i="10"/>
  <c r="H158" i="10"/>
  <c r="A178" i="10"/>
  <c r="C178" i="10"/>
  <c r="D178" i="10"/>
  <c r="E178" i="10"/>
  <c r="F178" i="10"/>
  <c r="G178" i="10"/>
  <c r="H178" i="10"/>
  <c r="A192" i="10"/>
  <c r="C192" i="10"/>
  <c r="D192" i="10"/>
  <c r="E192" i="10"/>
  <c r="F192" i="10"/>
  <c r="G192" i="10"/>
  <c r="H192" i="10"/>
  <c r="A205" i="10"/>
  <c r="R250" i="13" s="1"/>
  <c r="C205" i="10"/>
  <c r="D205" i="10"/>
  <c r="E205" i="10"/>
  <c r="F205" i="10"/>
  <c r="G205" i="10"/>
  <c r="H205" i="10"/>
  <c r="A217" i="10"/>
  <c r="C217" i="10"/>
  <c r="D217" i="10"/>
  <c r="E217" i="10"/>
  <c r="F217" i="10"/>
  <c r="G217" i="10"/>
  <c r="H217" i="10"/>
  <c r="A223" i="10"/>
  <c r="C223" i="10"/>
  <c r="D223" i="10"/>
  <c r="E223" i="10"/>
  <c r="F223" i="10"/>
  <c r="G223" i="10"/>
  <c r="H223" i="10"/>
  <c r="A244" i="10"/>
  <c r="C244" i="10"/>
  <c r="D244" i="10"/>
  <c r="E244" i="10"/>
  <c r="F244" i="10"/>
  <c r="G244" i="10"/>
  <c r="H244" i="10"/>
  <c r="A247" i="10"/>
  <c r="C247" i="10"/>
  <c r="D247" i="10"/>
  <c r="E247" i="10"/>
  <c r="F247" i="10"/>
  <c r="G247" i="10"/>
  <c r="H247" i="10"/>
  <c r="A253" i="10"/>
  <c r="C253" i="10"/>
  <c r="D253" i="10"/>
  <c r="E253" i="10"/>
  <c r="F253" i="10"/>
  <c r="G253" i="10"/>
  <c r="H253" i="10"/>
  <c r="A258" i="10"/>
  <c r="C258" i="10"/>
  <c r="D258" i="10"/>
  <c r="E258" i="10"/>
  <c r="F258" i="10"/>
  <c r="G258" i="10"/>
  <c r="H258" i="10"/>
  <c r="A268" i="10"/>
  <c r="C268" i="10"/>
  <c r="D268" i="10"/>
  <c r="E268" i="10"/>
  <c r="F268" i="10"/>
  <c r="G268" i="10"/>
  <c r="H268" i="10"/>
  <c r="A300" i="10"/>
  <c r="C300" i="10"/>
  <c r="D300" i="10"/>
  <c r="E300" i="10"/>
  <c r="F300" i="10"/>
  <c r="G300" i="10"/>
  <c r="H300" i="10"/>
  <c r="S52" i="13"/>
  <c r="S21" i="13"/>
  <c r="S19" i="13"/>
  <c r="S18" i="13"/>
  <c r="S17" i="13"/>
  <c r="S15" i="13"/>
  <c r="S14" i="13"/>
  <c r="S13" i="13"/>
  <c r="S12" i="13"/>
  <c r="S11" i="13"/>
  <c r="S10" i="13"/>
  <c r="S9" i="13"/>
  <c r="S8" i="13"/>
  <c r="S7" i="13"/>
  <c r="S5" i="13"/>
  <c r="S4" i="13"/>
  <c r="S3" i="13"/>
  <c r="S2" i="13"/>
  <c r="E11" i="13"/>
  <c r="E12" i="13"/>
  <c r="E13" i="13"/>
  <c r="E14" i="13"/>
  <c r="E15" i="13"/>
  <c r="E16" i="13"/>
  <c r="E17" i="13"/>
  <c r="E18" i="13"/>
  <c r="E19" i="13"/>
  <c r="E20" i="13"/>
  <c r="E21" i="13"/>
  <c r="E22" i="13"/>
  <c r="E23" i="13"/>
  <c r="E24" i="13"/>
  <c r="E25" i="13"/>
  <c r="E27"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7"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2" i="13"/>
  <c r="E103" i="13"/>
  <c r="E104" i="13"/>
  <c r="E105" i="13"/>
  <c r="E106" i="13"/>
  <c r="E107" i="13"/>
  <c r="E108" i="13"/>
  <c r="E109" i="13"/>
  <c r="E110" i="13"/>
  <c r="E111" i="13"/>
  <c r="E112" i="13"/>
  <c r="E113" i="13"/>
  <c r="E114" i="13"/>
  <c r="E115" i="13"/>
  <c r="E116" i="13"/>
  <c r="E117" i="13"/>
  <c r="E118" i="13"/>
  <c r="E119" i="13"/>
  <c r="E120" i="13"/>
  <c r="E121" i="13"/>
  <c r="E122" i="13"/>
  <c r="E123" i="13"/>
  <c r="E125" i="13"/>
  <c r="E126" i="13"/>
  <c r="E127" i="13"/>
  <c r="E129" i="13"/>
  <c r="E130" i="13"/>
  <c r="E131" i="13"/>
  <c r="E132" i="13"/>
  <c r="E133" i="13"/>
  <c r="E135" i="13"/>
  <c r="E136" i="13"/>
  <c r="E137" i="13"/>
  <c r="E138" i="13"/>
  <c r="E139" i="13"/>
  <c r="E140" i="13"/>
  <c r="E141" i="13"/>
  <c r="E142" i="13"/>
  <c r="E144" i="13"/>
  <c r="E145" i="13"/>
  <c r="E146" i="13"/>
  <c r="E147" i="13"/>
  <c r="E149" i="13"/>
  <c r="E150" i="13"/>
  <c r="E151" i="13"/>
  <c r="E152" i="13"/>
  <c r="E153" i="13"/>
  <c r="E154" i="13"/>
  <c r="E155" i="13"/>
  <c r="E156" i="13"/>
  <c r="E157" i="13"/>
  <c r="E158" i="13"/>
  <c r="E159" i="13"/>
  <c r="E160"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10" i="13"/>
  <c r="C33" i="13"/>
  <c r="B4" i="15"/>
  <c r="I2" i="13"/>
  <c r="U15" i="13" s="1"/>
  <c r="I3" i="13"/>
  <c r="X16" i="13" s="1"/>
  <c r="D27" i="14" s="1"/>
  <c r="I4" i="13"/>
  <c r="W17" i="13" s="1"/>
  <c r="E28" i="14" s="1"/>
  <c r="I5" i="13"/>
  <c r="X18" i="13" s="1"/>
  <c r="D29" i="14" s="1"/>
  <c r="I7" i="13"/>
  <c r="U19" i="13" s="1"/>
  <c r="I8" i="13"/>
  <c r="W20" i="13" s="1"/>
  <c r="E31" i="14" s="1"/>
  <c r="I131" i="13"/>
  <c r="C211" i="13"/>
  <c r="D211" i="13"/>
  <c r="C161" i="13"/>
  <c r="D161" i="13"/>
  <c r="C69" i="13"/>
  <c r="D69" i="13"/>
  <c r="C26" i="13"/>
  <c r="D26" i="13"/>
  <c r="I255" i="13"/>
  <c r="D256" i="13"/>
  <c r="C257" i="13"/>
  <c r="D241" i="13"/>
  <c r="C16" i="13"/>
  <c r="D16" i="13"/>
  <c r="C17" i="13"/>
  <c r="D17" i="13"/>
  <c r="C18" i="13"/>
  <c r="D18" i="13"/>
  <c r="I18" i="13"/>
  <c r="M18" i="13"/>
  <c r="N18" i="13"/>
  <c r="P18" i="13"/>
  <c r="Q18" i="13"/>
  <c r="R18" i="13"/>
  <c r="I17" i="13"/>
  <c r="M17" i="13"/>
  <c r="N17" i="13"/>
  <c r="O17" i="13"/>
  <c r="Q17" i="13"/>
  <c r="R17" i="13"/>
  <c r="C19" i="13"/>
  <c r="D19" i="13"/>
  <c r="I19" i="13"/>
  <c r="M19" i="13"/>
  <c r="N19" i="13"/>
  <c r="P19" i="13"/>
  <c r="Q19" i="13"/>
  <c r="R19" i="13"/>
  <c r="C20" i="13"/>
  <c r="D20" i="13"/>
  <c r="R20" i="13"/>
  <c r="I16" i="13"/>
  <c r="M16" i="13"/>
  <c r="N16" i="13"/>
  <c r="O16" i="13"/>
  <c r="Q16" i="13"/>
  <c r="R16" i="13"/>
  <c r="I37" i="13"/>
  <c r="I79" i="13"/>
  <c r="D49" i="15"/>
  <c r="I261" i="13"/>
  <c r="D261" i="13"/>
  <c r="C217" i="13"/>
  <c r="D217" i="13"/>
  <c r="I217" i="13"/>
  <c r="C214" i="13"/>
  <c r="D214" i="13"/>
  <c r="C215" i="13"/>
  <c r="D215" i="13"/>
  <c r="I215" i="13"/>
  <c r="C209" i="13"/>
  <c r="D209" i="13"/>
  <c r="C201" i="13"/>
  <c r="D201" i="13"/>
  <c r="I201" i="13"/>
  <c r="C197" i="13"/>
  <c r="D197" i="13"/>
  <c r="C185" i="13"/>
  <c r="D185" i="13"/>
  <c r="D179" i="13"/>
  <c r="C179" i="13"/>
  <c r="D48" i="15"/>
  <c r="B48" i="15"/>
  <c r="A48" i="15"/>
  <c r="B183" i="15"/>
  <c r="D183" i="15"/>
  <c r="B184" i="15"/>
  <c r="D184" i="15"/>
  <c r="B185" i="15"/>
  <c r="D185" i="15"/>
  <c r="B186" i="15"/>
  <c r="D186" i="15"/>
  <c r="B187" i="15"/>
  <c r="D187" i="15"/>
  <c r="B188" i="15"/>
  <c r="D188" i="15"/>
  <c r="B189" i="15"/>
  <c r="D189" i="15"/>
  <c r="B190" i="15"/>
  <c r="D190" i="15"/>
  <c r="B191" i="15"/>
  <c r="D191" i="15"/>
  <c r="B192" i="15"/>
  <c r="D192" i="15"/>
  <c r="B193" i="15"/>
  <c r="D193" i="15"/>
  <c r="B194" i="15"/>
  <c r="D194" i="15"/>
  <c r="B195" i="15"/>
  <c r="D195" i="15"/>
  <c r="B196" i="15"/>
  <c r="D196" i="15"/>
  <c r="B197" i="15"/>
  <c r="D197" i="15"/>
  <c r="B198" i="15"/>
  <c r="D198" i="15"/>
  <c r="B199" i="15"/>
  <c r="D199" i="15"/>
  <c r="B200" i="15"/>
  <c r="D200" i="15"/>
  <c r="B201" i="15"/>
  <c r="D201" i="15"/>
  <c r="B202" i="15"/>
  <c r="D202" i="15"/>
  <c r="B203" i="15"/>
  <c r="D203" i="15"/>
  <c r="B204" i="15"/>
  <c r="D204" i="15"/>
  <c r="B205" i="15"/>
  <c r="D205" i="15"/>
  <c r="B206" i="15"/>
  <c r="D206" i="15"/>
  <c r="B207" i="15"/>
  <c r="D207" i="15"/>
  <c r="B208" i="15"/>
  <c r="D208" i="15"/>
  <c r="B209" i="15"/>
  <c r="D209" i="15"/>
  <c r="B210" i="15"/>
  <c r="D210" i="15"/>
  <c r="B211" i="15"/>
  <c r="D211" i="15"/>
  <c r="B212" i="15"/>
  <c r="D212" i="15"/>
  <c r="B213" i="15"/>
  <c r="D213" i="15"/>
  <c r="B214" i="15"/>
  <c r="D214" i="15"/>
  <c r="B215" i="15"/>
  <c r="D215" i="15"/>
  <c r="B216" i="15"/>
  <c r="D216" i="15"/>
  <c r="B217" i="15"/>
  <c r="D217" i="15"/>
  <c r="B218" i="15"/>
  <c r="D218" i="15"/>
  <c r="B219" i="15"/>
  <c r="D219" i="15"/>
  <c r="B220" i="15"/>
  <c r="D220" i="15"/>
  <c r="B221" i="15"/>
  <c r="D221" i="15"/>
  <c r="B222" i="15"/>
  <c r="D222" i="15"/>
  <c r="B223" i="15"/>
  <c r="D223" i="15"/>
  <c r="B224" i="15"/>
  <c r="D224" i="15"/>
  <c r="B225" i="15"/>
  <c r="D225" i="15"/>
  <c r="A226" i="15"/>
  <c r="B226" i="15"/>
  <c r="D226" i="15"/>
  <c r="A227" i="15"/>
  <c r="B227" i="15"/>
  <c r="D227" i="15"/>
  <c r="A228" i="15"/>
  <c r="B228" i="15"/>
  <c r="D228" i="15"/>
  <c r="A229" i="15"/>
  <c r="B229" i="15"/>
  <c r="D229" i="15"/>
  <c r="A230" i="15"/>
  <c r="B230" i="15"/>
  <c r="D230" i="15"/>
  <c r="A231" i="15"/>
  <c r="B231" i="15"/>
  <c r="D231" i="15"/>
  <c r="A232" i="15"/>
  <c r="B232" i="15"/>
  <c r="D232" i="15"/>
  <c r="A233" i="15"/>
  <c r="B233" i="15"/>
  <c r="D233" i="15"/>
  <c r="A234" i="15"/>
  <c r="B234" i="15"/>
  <c r="D234" i="15"/>
  <c r="A235" i="15"/>
  <c r="B235" i="15"/>
  <c r="D235" i="15"/>
  <c r="A236" i="15"/>
  <c r="B236" i="15"/>
  <c r="D236" i="15"/>
  <c r="A237" i="15"/>
  <c r="B237" i="15"/>
  <c r="D237" i="15"/>
  <c r="A238" i="15"/>
  <c r="B238" i="15"/>
  <c r="D238" i="15"/>
  <c r="A239" i="15"/>
  <c r="B239" i="15"/>
  <c r="D239" i="15"/>
  <c r="A240" i="15"/>
  <c r="B240" i="15"/>
  <c r="D240" i="15"/>
  <c r="A241" i="15"/>
  <c r="B241" i="15"/>
  <c r="D241" i="15"/>
  <c r="A242" i="15"/>
  <c r="B242" i="15"/>
  <c r="D242" i="15"/>
  <c r="A243" i="15"/>
  <c r="B243" i="15"/>
  <c r="D243" i="15"/>
  <c r="A244" i="15"/>
  <c r="B244" i="15"/>
  <c r="D244" i="15"/>
  <c r="A245" i="15"/>
  <c r="B245" i="15"/>
  <c r="D245" i="15"/>
  <c r="A246" i="15"/>
  <c r="B246" i="15"/>
  <c r="D246" i="15"/>
  <c r="A247" i="15"/>
  <c r="B247" i="15"/>
  <c r="D247" i="15"/>
  <c r="A248" i="15"/>
  <c r="B248" i="15"/>
  <c r="D248" i="15"/>
  <c r="A249" i="15"/>
  <c r="B249" i="15"/>
  <c r="D249" i="15"/>
  <c r="A250" i="15"/>
  <c r="B250" i="15"/>
  <c r="D250" i="15"/>
  <c r="A251" i="15"/>
  <c r="B251" i="15"/>
  <c r="D251" i="15"/>
  <c r="A252" i="15"/>
  <c r="B252" i="15"/>
  <c r="D252" i="15"/>
  <c r="A253" i="15"/>
  <c r="B253" i="15"/>
  <c r="D253" i="15"/>
  <c r="A254" i="15"/>
  <c r="B254" i="15"/>
  <c r="D254" i="15"/>
  <c r="A255" i="15"/>
  <c r="B255" i="15"/>
  <c r="D255" i="15"/>
  <c r="A256" i="15"/>
  <c r="B256" i="15"/>
  <c r="D256" i="15"/>
  <c r="A257" i="15"/>
  <c r="B257" i="15"/>
  <c r="D257" i="15"/>
  <c r="A258" i="15"/>
  <c r="B258" i="15"/>
  <c r="D258" i="15"/>
  <c r="A259" i="15"/>
  <c r="B259" i="15"/>
  <c r="D259" i="15"/>
  <c r="A260" i="15"/>
  <c r="B260" i="15"/>
  <c r="D260" i="15"/>
  <c r="A261" i="15"/>
  <c r="B261" i="15"/>
  <c r="D261" i="15"/>
  <c r="A262" i="15"/>
  <c r="B262" i="15"/>
  <c r="D262" i="15"/>
  <c r="A263" i="15"/>
  <c r="B263" i="15"/>
  <c r="D263" i="15"/>
  <c r="A264" i="15"/>
  <c r="B264" i="15"/>
  <c r="D264" i="15"/>
  <c r="A265" i="15"/>
  <c r="B265" i="15"/>
  <c r="D265" i="15"/>
  <c r="A266" i="15"/>
  <c r="B266" i="15"/>
  <c r="D266" i="15"/>
  <c r="A267" i="15"/>
  <c r="B267" i="15"/>
  <c r="D267" i="15"/>
  <c r="A268" i="15"/>
  <c r="B268" i="15"/>
  <c r="D268" i="15"/>
  <c r="A269" i="15"/>
  <c r="B269" i="15"/>
  <c r="D269" i="15"/>
  <c r="A270" i="15"/>
  <c r="B270" i="15"/>
  <c r="D270" i="15"/>
  <c r="A271" i="15"/>
  <c r="B271" i="15"/>
  <c r="D271" i="15"/>
  <c r="A272" i="15"/>
  <c r="B272" i="15"/>
  <c r="D272" i="15"/>
  <c r="A273" i="15"/>
  <c r="B273" i="15"/>
  <c r="D273" i="15"/>
  <c r="A274" i="15"/>
  <c r="B274" i="15"/>
  <c r="D274" i="15"/>
  <c r="A275" i="15"/>
  <c r="B275" i="15"/>
  <c r="D275" i="15"/>
  <c r="A276" i="15"/>
  <c r="B276" i="15"/>
  <c r="D276" i="15"/>
  <c r="A277" i="15"/>
  <c r="B277" i="15"/>
  <c r="D277" i="15"/>
  <c r="A278" i="15"/>
  <c r="B278" i="15"/>
  <c r="D278" i="15"/>
  <c r="A279" i="15"/>
  <c r="B279" i="15"/>
  <c r="D279" i="15"/>
  <c r="A280" i="15"/>
  <c r="B280" i="15"/>
  <c r="D280" i="15"/>
  <c r="A281" i="15"/>
  <c r="B281" i="15"/>
  <c r="D281" i="15"/>
  <c r="A282" i="15"/>
  <c r="B282" i="15"/>
  <c r="D282" i="15"/>
  <c r="A283" i="15"/>
  <c r="B283" i="15"/>
  <c r="D283" i="15"/>
  <c r="A284" i="15"/>
  <c r="B284" i="15"/>
  <c r="D284" i="15"/>
  <c r="A285" i="15"/>
  <c r="B285" i="15"/>
  <c r="D285" i="15"/>
  <c r="A286" i="15"/>
  <c r="B286" i="15"/>
  <c r="D286" i="15"/>
  <c r="A287" i="15"/>
  <c r="B287" i="15"/>
  <c r="D287" i="15"/>
  <c r="A288" i="15"/>
  <c r="B288" i="15"/>
  <c r="D288" i="15"/>
  <c r="A289" i="15"/>
  <c r="B289" i="15"/>
  <c r="D289" i="15"/>
  <c r="A290" i="15"/>
  <c r="B290" i="15"/>
  <c r="D290" i="15"/>
  <c r="A291" i="15"/>
  <c r="B291" i="15"/>
  <c r="D291" i="15"/>
  <c r="A292" i="15"/>
  <c r="B292" i="15"/>
  <c r="D292" i="15"/>
  <c r="A293" i="15"/>
  <c r="B293" i="15"/>
  <c r="D293" i="15"/>
  <c r="A294" i="15"/>
  <c r="B294" i="15"/>
  <c r="D294" i="15"/>
  <c r="A295" i="15"/>
  <c r="B295" i="15"/>
  <c r="D295" i="15"/>
  <c r="A296" i="15"/>
  <c r="B296" i="15"/>
  <c r="D296" i="15"/>
  <c r="A297" i="15"/>
  <c r="B297" i="15"/>
  <c r="D297" i="15"/>
  <c r="A298" i="15"/>
  <c r="B298" i="15"/>
  <c r="D298" i="15"/>
  <c r="A299" i="15"/>
  <c r="B299" i="15"/>
  <c r="D299" i="15"/>
  <c r="A300" i="15"/>
  <c r="B300" i="15"/>
  <c r="D300" i="15"/>
  <c r="A301" i="15"/>
  <c r="B301" i="15"/>
  <c r="D301" i="15"/>
  <c r="A302" i="15"/>
  <c r="B302" i="15"/>
  <c r="D302" i="15"/>
  <c r="A303" i="15"/>
  <c r="B303" i="15"/>
  <c r="D303" i="15"/>
  <c r="A304" i="15"/>
  <c r="B304" i="15"/>
  <c r="D304" i="15"/>
  <c r="A305" i="15"/>
  <c r="B305" i="15"/>
  <c r="D305" i="15"/>
  <c r="A306" i="15"/>
  <c r="B306" i="15"/>
  <c r="D306" i="15"/>
  <c r="A307" i="15"/>
  <c r="B307" i="15"/>
  <c r="D307" i="15"/>
  <c r="A308" i="15"/>
  <c r="B308" i="15"/>
  <c r="D308" i="15"/>
  <c r="A309" i="15"/>
  <c r="B309" i="15"/>
  <c r="D309" i="15"/>
  <c r="A310" i="15"/>
  <c r="B310" i="15"/>
  <c r="D310" i="15"/>
  <c r="A311" i="15"/>
  <c r="B311" i="15"/>
  <c r="D311" i="15"/>
  <c r="A312" i="15"/>
  <c r="B312" i="15"/>
  <c r="D312" i="15"/>
  <c r="A313" i="15"/>
  <c r="B313" i="15"/>
  <c r="D313" i="15"/>
  <c r="A314" i="15"/>
  <c r="B314" i="15"/>
  <c r="D314" i="15"/>
  <c r="A315" i="15"/>
  <c r="B315" i="15"/>
  <c r="D315" i="15"/>
  <c r="A316" i="15"/>
  <c r="B316" i="15"/>
  <c r="D316" i="15"/>
  <c r="B116" i="15"/>
  <c r="D116" i="15"/>
  <c r="B117" i="15"/>
  <c r="D117" i="15"/>
  <c r="B118" i="15"/>
  <c r="D118" i="15"/>
  <c r="B119" i="15"/>
  <c r="D119" i="15"/>
  <c r="B120" i="15"/>
  <c r="D120" i="15"/>
  <c r="B121" i="15"/>
  <c r="D121" i="15"/>
  <c r="B122" i="15"/>
  <c r="D122" i="15"/>
  <c r="B123" i="15"/>
  <c r="D123" i="15"/>
  <c r="B124" i="15"/>
  <c r="D124" i="15"/>
  <c r="B125" i="15"/>
  <c r="D125" i="15"/>
  <c r="B126" i="15"/>
  <c r="D126" i="15"/>
  <c r="B127" i="15"/>
  <c r="D127" i="15"/>
  <c r="B128" i="15"/>
  <c r="D128" i="15"/>
  <c r="B129" i="15"/>
  <c r="D129" i="15"/>
  <c r="B130" i="15"/>
  <c r="D130" i="15"/>
  <c r="B131" i="15"/>
  <c r="D131" i="15"/>
  <c r="B132" i="15"/>
  <c r="D132" i="15"/>
  <c r="B133" i="15"/>
  <c r="D133" i="15"/>
  <c r="B134" i="15"/>
  <c r="D134" i="15"/>
  <c r="B135" i="15"/>
  <c r="D135" i="15"/>
  <c r="B136" i="15"/>
  <c r="D136" i="15"/>
  <c r="B137" i="15"/>
  <c r="D137" i="15"/>
  <c r="B138" i="15"/>
  <c r="D138" i="15"/>
  <c r="B139" i="15"/>
  <c r="D139" i="15"/>
  <c r="B140" i="15"/>
  <c r="D140" i="15"/>
  <c r="B141" i="15"/>
  <c r="D141" i="15"/>
  <c r="B142" i="15"/>
  <c r="D142" i="15"/>
  <c r="B143" i="15"/>
  <c r="D143" i="15"/>
  <c r="B144" i="15"/>
  <c r="D144" i="15"/>
  <c r="B145" i="15"/>
  <c r="D145" i="15"/>
  <c r="B146" i="15"/>
  <c r="D146" i="15"/>
  <c r="B147" i="15"/>
  <c r="D147" i="15"/>
  <c r="B148" i="15"/>
  <c r="D148" i="15"/>
  <c r="B149" i="15"/>
  <c r="D149" i="15"/>
  <c r="B150" i="15"/>
  <c r="D150" i="15"/>
  <c r="B151" i="15"/>
  <c r="D151" i="15"/>
  <c r="B152" i="15"/>
  <c r="D152" i="15"/>
  <c r="B153" i="15"/>
  <c r="D153" i="15"/>
  <c r="B154" i="15"/>
  <c r="D154" i="15"/>
  <c r="B155" i="15"/>
  <c r="D155" i="15"/>
  <c r="B156" i="15"/>
  <c r="D156" i="15"/>
  <c r="B157" i="15"/>
  <c r="D157" i="15"/>
  <c r="B158" i="15"/>
  <c r="D158" i="15"/>
  <c r="B159" i="15"/>
  <c r="D159" i="15"/>
  <c r="B160" i="15"/>
  <c r="D160" i="15"/>
  <c r="B161" i="15"/>
  <c r="D161" i="15"/>
  <c r="B162" i="15"/>
  <c r="D162" i="15"/>
  <c r="B163" i="15"/>
  <c r="D163" i="15"/>
  <c r="B164" i="15"/>
  <c r="D164" i="15"/>
  <c r="B165" i="15"/>
  <c r="D165" i="15"/>
  <c r="B166" i="15"/>
  <c r="D166" i="15"/>
  <c r="B167" i="15"/>
  <c r="D167" i="15"/>
  <c r="B168" i="15"/>
  <c r="D168" i="15"/>
  <c r="B169" i="15"/>
  <c r="D169" i="15"/>
  <c r="B170" i="15"/>
  <c r="D170" i="15"/>
  <c r="B171" i="15"/>
  <c r="D171" i="15"/>
  <c r="B172" i="15"/>
  <c r="D172" i="15"/>
  <c r="B173" i="15"/>
  <c r="D173" i="15"/>
  <c r="B174" i="15"/>
  <c r="D174" i="15"/>
  <c r="B175" i="15"/>
  <c r="D175" i="15"/>
  <c r="B176" i="15"/>
  <c r="D176" i="15"/>
  <c r="B177" i="15"/>
  <c r="D177" i="15"/>
  <c r="B178" i="15"/>
  <c r="D178" i="15"/>
  <c r="B179" i="15"/>
  <c r="D179" i="15"/>
  <c r="B180" i="15"/>
  <c r="D180" i="15"/>
  <c r="B181" i="15"/>
  <c r="D181" i="15"/>
  <c r="B182" i="15"/>
  <c r="D182" i="15"/>
  <c r="B50" i="15"/>
  <c r="D50" i="15"/>
  <c r="B51" i="15"/>
  <c r="D51" i="15"/>
  <c r="B52" i="15"/>
  <c r="D52" i="15"/>
  <c r="B53" i="15"/>
  <c r="D53" i="15"/>
  <c r="B54" i="15"/>
  <c r="D54" i="15"/>
  <c r="B55" i="15"/>
  <c r="D55" i="15"/>
  <c r="B56" i="15"/>
  <c r="D56" i="15"/>
  <c r="B57" i="15"/>
  <c r="D57" i="15"/>
  <c r="B58" i="15"/>
  <c r="D58" i="15"/>
  <c r="B59" i="15"/>
  <c r="D59" i="15"/>
  <c r="B60" i="15"/>
  <c r="D60" i="15"/>
  <c r="B61" i="15"/>
  <c r="D61" i="15"/>
  <c r="B62" i="15"/>
  <c r="D62" i="15"/>
  <c r="B63" i="15"/>
  <c r="D63" i="15"/>
  <c r="B64" i="15"/>
  <c r="D64" i="15"/>
  <c r="B65" i="15"/>
  <c r="D65" i="15"/>
  <c r="B66" i="15"/>
  <c r="D66" i="15"/>
  <c r="B67" i="15"/>
  <c r="D67" i="15"/>
  <c r="B68" i="15"/>
  <c r="D68" i="15"/>
  <c r="B69" i="15"/>
  <c r="D69" i="15"/>
  <c r="B70" i="15"/>
  <c r="D70" i="15"/>
  <c r="B71" i="15"/>
  <c r="D71" i="15"/>
  <c r="B72" i="15"/>
  <c r="D72" i="15"/>
  <c r="B73" i="15"/>
  <c r="D73" i="15"/>
  <c r="B74" i="15"/>
  <c r="D74" i="15"/>
  <c r="B75" i="15"/>
  <c r="D75" i="15"/>
  <c r="B76" i="15"/>
  <c r="D76" i="15"/>
  <c r="B77" i="15"/>
  <c r="D77" i="15"/>
  <c r="B78" i="15"/>
  <c r="D78" i="15"/>
  <c r="B79" i="15"/>
  <c r="D79" i="15"/>
  <c r="B80" i="15"/>
  <c r="D80" i="15"/>
  <c r="B81" i="15"/>
  <c r="D81" i="15"/>
  <c r="B82" i="15"/>
  <c r="D82" i="15"/>
  <c r="B83" i="15"/>
  <c r="D83" i="15"/>
  <c r="B84" i="15"/>
  <c r="D84" i="15"/>
  <c r="B85" i="15"/>
  <c r="D85" i="15"/>
  <c r="B86" i="15"/>
  <c r="D86" i="15"/>
  <c r="B87" i="15"/>
  <c r="D87" i="15"/>
  <c r="B88" i="15"/>
  <c r="D88" i="15"/>
  <c r="B89" i="15"/>
  <c r="D89" i="15"/>
  <c r="B90" i="15"/>
  <c r="D90" i="15"/>
  <c r="B91" i="15"/>
  <c r="D91" i="15"/>
  <c r="B92" i="15"/>
  <c r="D92" i="15"/>
  <c r="B93" i="15"/>
  <c r="D93" i="15"/>
  <c r="B94" i="15"/>
  <c r="D94" i="15"/>
  <c r="B95" i="15"/>
  <c r="D95" i="15"/>
  <c r="B96" i="15"/>
  <c r="D96" i="15"/>
  <c r="B97" i="15"/>
  <c r="D97" i="15"/>
  <c r="B98" i="15"/>
  <c r="D98" i="15"/>
  <c r="B99" i="15"/>
  <c r="D99" i="15"/>
  <c r="B100" i="15"/>
  <c r="D100" i="15"/>
  <c r="B101" i="15"/>
  <c r="D101" i="15"/>
  <c r="B102" i="15"/>
  <c r="D102" i="15"/>
  <c r="B103" i="15"/>
  <c r="D103" i="15"/>
  <c r="B104" i="15"/>
  <c r="D104" i="15"/>
  <c r="B105" i="15"/>
  <c r="D105" i="15"/>
  <c r="B106" i="15"/>
  <c r="D106" i="15"/>
  <c r="B107" i="15"/>
  <c r="D107" i="15"/>
  <c r="B108" i="15"/>
  <c r="D108" i="15"/>
  <c r="B109" i="15"/>
  <c r="D109" i="15"/>
  <c r="B110" i="15"/>
  <c r="D110" i="15"/>
  <c r="B111" i="15"/>
  <c r="D111" i="15"/>
  <c r="B112" i="15"/>
  <c r="D112" i="15"/>
  <c r="B113" i="15"/>
  <c r="D113" i="15"/>
  <c r="B114" i="15"/>
  <c r="D114" i="15"/>
  <c r="B115" i="15"/>
  <c r="D115" i="15"/>
  <c r="B49" i="15"/>
  <c r="M3" i="13"/>
  <c r="N3" i="13"/>
  <c r="O3" i="13"/>
  <c r="P3" i="13"/>
  <c r="Q3" i="13"/>
  <c r="R3" i="13"/>
  <c r="M4" i="13"/>
  <c r="N4" i="13"/>
  <c r="O4" i="13"/>
  <c r="P4" i="13"/>
  <c r="Q4" i="13"/>
  <c r="R4" i="13"/>
  <c r="M5" i="13"/>
  <c r="N5" i="13"/>
  <c r="O5" i="13"/>
  <c r="P5" i="13"/>
  <c r="Q5" i="13"/>
  <c r="R5" i="13"/>
  <c r="M7" i="13"/>
  <c r="N7" i="13"/>
  <c r="O7" i="13"/>
  <c r="P7" i="13"/>
  <c r="Q7" i="13"/>
  <c r="R7" i="13"/>
  <c r="M8" i="13"/>
  <c r="N8" i="13"/>
  <c r="O8" i="13"/>
  <c r="P8" i="13"/>
  <c r="Q8" i="13"/>
  <c r="R8" i="13"/>
  <c r="M9" i="13"/>
  <c r="N9" i="13"/>
  <c r="O9" i="13"/>
  <c r="P9" i="13"/>
  <c r="Q9" i="13"/>
  <c r="R9" i="13"/>
  <c r="M10" i="13"/>
  <c r="N10" i="13"/>
  <c r="O10" i="13"/>
  <c r="P10" i="13"/>
  <c r="Q10" i="13"/>
  <c r="R10" i="13"/>
  <c r="M11" i="13"/>
  <c r="N11" i="13"/>
  <c r="O11" i="13"/>
  <c r="P11" i="13"/>
  <c r="Q11" i="13"/>
  <c r="R11" i="13"/>
  <c r="M12" i="13"/>
  <c r="N12" i="13"/>
  <c r="O12" i="13"/>
  <c r="P12" i="13"/>
  <c r="Q12" i="13"/>
  <c r="R12" i="13"/>
  <c r="M13" i="13"/>
  <c r="N13" i="13"/>
  <c r="O13" i="13"/>
  <c r="P13" i="13"/>
  <c r="Q13" i="13"/>
  <c r="R13" i="13"/>
  <c r="M14" i="13"/>
  <c r="N14" i="13"/>
  <c r="O14" i="13"/>
  <c r="P14" i="13"/>
  <c r="Q14" i="13"/>
  <c r="R14" i="13"/>
  <c r="M15" i="13"/>
  <c r="N15" i="13"/>
  <c r="O15" i="13"/>
  <c r="P15" i="13"/>
  <c r="Q15" i="13"/>
  <c r="R15" i="13"/>
  <c r="M22" i="13"/>
  <c r="M24" i="13"/>
  <c r="Q25" i="13"/>
  <c r="O33" i="13"/>
  <c r="Q42" i="13"/>
  <c r="O53" i="13"/>
  <c r="M60" i="13"/>
  <c r="O70" i="13"/>
  <c r="Q77" i="13"/>
  <c r="P85" i="13"/>
  <c r="N88" i="13"/>
  <c r="R90" i="13"/>
  <c r="P92" i="13"/>
  <c r="R94" i="13"/>
  <c r="R96" i="13"/>
  <c r="M99" i="13"/>
  <c r="R100" i="13"/>
  <c r="M103" i="13"/>
  <c r="P104" i="13"/>
  <c r="P106" i="13"/>
  <c r="N108" i="13"/>
  <c r="N110" i="13"/>
  <c r="Q111" i="13"/>
  <c r="N113" i="13"/>
  <c r="R113" i="13"/>
  <c r="R114" i="13"/>
  <c r="P115" i="13"/>
  <c r="Q116" i="13"/>
  <c r="O117" i="13"/>
  <c r="P118" i="13"/>
  <c r="N119" i="13"/>
  <c r="N120" i="13"/>
  <c r="R120" i="13"/>
  <c r="M122" i="13"/>
  <c r="Q122" i="13"/>
  <c r="Q125" i="13"/>
  <c r="O126" i="13"/>
  <c r="O127" i="13"/>
  <c r="M128" i="13"/>
  <c r="N129" i="13"/>
  <c r="R129" i="13"/>
  <c r="M131" i="13"/>
  <c r="Q131" i="13"/>
  <c r="Q132" i="13"/>
  <c r="O133" i="13"/>
  <c r="O134" i="13"/>
  <c r="R134" i="13"/>
  <c r="Q135" i="13"/>
  <c r="N136" i="13"/>
  <c r="M137" i="13"/>
  <c r="P137" i="13"/>
  <c r="O138" i="13"/>
  <c r="R138" i="13"/>
  <c r="Q139" i="13"/>
  <c r="N140" i="13"/>
  <c r="M141" i="13"/>
  <c r="P141" i="13"/>
  <c r="O142" i="13"/>
  <c r="R142" i="13"/>
  <c r="Q143" i="13"/>
  <c r="N144" i="13"/>
  <c r="M145" i="13"/>
  <c r="P145" i="13"/>
  <c r="O146" i="13"/>
  <c r="R146" i="13"/>
  <c r="Q147" i="13"/>
  <c r="N148" i="13"/>
  <c r="M149" i="13"/>
  <c r="P149" i="13"/>
  <c r="O150" i="13"/>
  <c r="R150" i="13"/>
  <c r="Q151" i="13"/>
  <c r="N152" i="13"/>
  <c r="M153" i="13"/>
  <c r="P153" i="13"/>
  <c r="O154" i="13"/>
  <c r="R154" i="13"/>
  <c r="Q155" i="13"/>
  <c r="N156" i="13"/>
  <c r="M157" i="13"/>
  <c r="P157" i="13"/>
  <c r="O158" i="13"/>
  <c r="R158" i="13"/>
  <c r="Q159" i="13"/>
  <c r="N160" i="13"/>
  <c r="M162" i="13"/>
  <c r="P162" i="13"/>
  <c r="O163" i="13"/>
  <c r="R163" i="13"/>
  <c r="Q164" i="13"/>
  <c r="N165" i="13"/>
  <c r="M166" i="13"/>
  <c r="P166" i="13"/>
  <c r="O167" i="13"/>
  <c r="R167" i="13"/>
  <c r="Q168" i="13"/>
  <c r="N169" i="13"/>
  <c r="M170" i="13"/>
  <c r="P170" i="13"/>
  <c r="O171" i="13"/>
  <c r="R171" i="13"/>
  <c r="Q172" i="13"/>
  <c r="N173" i="13"/>
  <c r="M174" i="13"/>
  <c r="P174" i="13"/>
  <c r="O175" i="13"/>
  <c r="R175" i="13"/>
  <c r="Q176" i="13"/>
  <c r="N177" i="13"/>
  <c r="M178" i="13"/>
  <c r="P178" i="13"/>
  <c r="O180" i="13"/>
  <c r="R180" i="13"/>
  <c r="Q181" i="13"/>
  <c r="N182" i="13"/>
  <c r="M183" i="13"/>
  <c r="P183" i="13"/>
  <c r="O184" i="13"/>
  <c r="R184" i="13"/>
  <c r="Q186" i="13"/>
  <c r="N187" i="13"/>
  <c r="M188" i="13"/>
  <c r="P188" i="13"/>
  <c r="O189" i="13"/>
  <c r="R189" i="13"/>
  <c r="Q190" i="13"/>
  <c r="N191" i="13"/>
  <c r="M192" i="13"/>
  <c r="P192" i="13"/>
  <c r="O193" i="13"/>
  <c r="R193" i="13"/>
  <c r="Q194" i="13"/>
  <c r="N195" i="13"/>
  <c r="M196" i="13"/>
  <c r="P196" i="13"/>
  <c r="O198" i="13"/>
  <c r="R198" i="13"/>
  <c r="Q199" i="13"/>
  <c r="N200" i="13"/>
  <c r="M202" i="13"/>
  <c r="P202" i="13"/>
  <c r="O203" i="13"/>
  <c r="R203" i="13"/>
  <c r="Q204" i="13"/>
  <c r="N205" i="13"/>
  <c r="M206" i="13"/>
  <c r="P206" i="13"/>
  <c r="O207" i="13"/>
  <c r="R207" i="13"/>
  <c r="Q208" i="13"/>
  <c r="N210" i="13"/>
  <c r="M212" i="13"/>
  <c r="P212" i="13"/>
  <c r="O213" i="13"/>
  <c r="R213" i="13"/>
  <c r="Q216" i="13"/>
  <c r="M218" i="13"/>
  <c r="Q218" i="13"/>
  <c r="R218" i="13"/>
  <c r="P219" i="13"/>
  <c r="Q219" i="13"/>
  <c r="O220" i="13"/>
  <c r="Q220" i="13"/>
  <c r="O221" i="13"/>
  <c r="P221" i="13"/>
  <c r="N222" i="13"/>
  <c r="O222" i="13"/>
  <c r="M223" i="13"/>
  <c r="O223" i="13"/>
  <c r="M224" i="13"/>
  <c r="N224" i="13"/>
  <c r="R224" i="13"/>
  <c r="M225" i="13"/>
  <c r="P225" i="13"/>
  <c r="Q225" i="13"/>
  <c r="N226" i="13"/>
  <c r="O226" i="13"/>
  <c r="R226" i="13"/>
  <c r="M227" i="13"/>
  <c r="P227" i="13"/>
  <c r="Q227" i="13"/>
  <c r="N228" i="13"/>
  <c r="O228" i="13"/>
  <c r="R228" i="13"/>
  <c r="M229" i="13"/>
  <c r="P229" i="13"/>
  <c r="Q229" i="13"/>
  <c r="N230" i="13"/>
  <c r="O230" i="13"/>
  <c r="R230" i="13"/>
  <c r="M231" i="13"/>
  <c r="P231" i="13"/>
  <c r="Q231" i="13"/>
  <c r="N232" i="13"/>
  <c r="O232" i="13"/>
  <c r="R232" i="13"/>
  <c r="M233" i="13"/>
  <c r="P233" i="13"/>
  <c r="Q233" i="13"/>
  <c r="N234" i="13"/>
  <c r="O234" i="13"/>
  <c r="R234" i="13"/>
  <c r="M235" i="13"/>
  <c r="P235" i="13"/>
  <c r="Q235" i="13"/>
  <c r="N236" i="13"/>
  <c r="O236" i="13"/>
  <c r="R236" i="13"/>
  <c r="M237" i="13"/>
  <c r="P237" i="13"/>
  <c r="Q237" i="13"/>
  <c r="N238" i="13"/>
  <c r="O238" i="13"/>
  <c r="R238" i="13"/>
  <c r="M239" i="13"/>
  <c r="P239" i="13"/>
  <c r="Q239" i="13"/>
  <c r="N240" i="13"/>
  <c r="O240" i="13"/>
  <c r="R240" i="13"/>
  <c r="M242" i="13"/>
  <c r="P242" i="13"/>
  <c r="Q242" i="13"/>
  <c r="N243" i="13"/>
  <c r="O243" i="13"/>
  <c r="R243" i="13"/>
  <c r="M244" i="13"/>
  <c r="P244" i="13"/>
  <c r="Q244" i="13"/>
  <c r="N245" i="13"/>
  <c r="O245" i="13"/>
  <c r="R245" i="13"/>
  <c r="M246" i="13"/>
  <c r="P246" i="13"/>
  <c r="Q246" i="13"/>
  <c r="N247" i="13"/>
  <c r="O247" i="13"/>
  <c r="R247" i="13"/>
  <c r="M248" i="13"/>
  <c r="P248" i="13"/>
  <c r="Q248" i="13"/>
  <c r="N249" i="13"/>
  <c r="O249" i="13"/>
  <c r="R249" i="13"/>
  <c r="M250" i="13"/>
  <c r="P250" i="13"/>
  <c r="Q250" i="13"/>
  <c r="N251" i="13"/>
  <c r="O251" i="13"/>
  <c r="R251" i="13"/>
  <c r="M252" i="13"/>
  <c r="P252" i="13"/>
  <c r="Q252" i="13"/>
  <c r="N253" i="13"/>
  <c r="O253" i="13"/>
  <c r="R253" i="13"/>
  <c r="M254" i="13"/>
  <c r="P254" i="13"/>
  <c r="Q254" i="13"/>
  <c r="N258" i="13"/>
  <c r="O258" i="13"/>
  <c r="R258" i="13"/>
  <c r="M259" i="13"/>
  <c r="P259" i="13"/>
  <c r="Q259" i="13"/>
  <c r="N260" i="13"/>
  <c r="O260" i="13"/>
  <c r="R260" i="13"/>
  <c r="R2" i="13"/>
  <c r="Q2" i="13"/>
  <c r="P2" i="13"/>
  <c r="O2" i="13"/>
  <c r="N2" i="13"/>
  <c r="M2" i="13"/>
  <c r="D174" i="13"/>
  <c r="C174" i="13"/>
  <c r="I173" i="13"/>
  <c r="D173" i="13"/>
  <c r="C173" i="13"/>
  <c r="I153" i="13"/>
  <c r="D153" i="13"/>
  <c r="C153" i="13"/>
  <c r="D159" i="13"/>
  <c r="C159" i="13"/>
  <c r="I164" i="13"/>
  <c r="D164" i="13"/>
  <c r="C164" i="13"/>
  <c r="I163" i="13"/>
  <c r="D163" i="13"/>
  <c r="C163" i="13"/>
  <c r="D148" i="13"/>
  <c r="C148" i="13"/>
  <c r="D147" i="13"/>
  <c r="C147" i="13"/>
  <c r="D143" i="13"/>
  <c r="C143" i="13"/>
  <c r="I138" i="13"/>
  <c r="D138" i="13"/>
  <c r="C138" i="13"/>
  <c r="I136" i="13"/>
  <c r="D136" i="13"/>
  <c r="C136" i="13"/>
  <c r="I135" i="13"/>
  <c r="D135" i="13"/>
  <c r="C135" i="13"/>
  <c r="D134" i="13"/>
  <c r="C134" i="13"/>
  <c r="D131" i="13"/>
  <c r="C131" i="13"/>
  <c r="I128" i="13"/>
  <c r="D128" i="13"/>
  <c r="C128" i="13"/>
  <c r="I125" i="13"/>
  <c r="D125" i="13"/>
  <c r="C125" i="13"/>
  <c r="D114" i="13"/>
  <c r="C114" i="13"/>
  <c r="D109" i="13"/>
  <c r="C109" i="13"/>
  <c r="D108" i="13"/>
  <c r="C108" i="13"/>
  <c r="D87" i="13"/>
  <c r="C87" i="13"/>
  <c r="D86" i="13"/>
  <c r="C86" i="13"/>
  <c r="D85" i="13"/>
  <c r="C85" i="13"/>
  <c r="D84" i="13"/>
  <c r="C84" i="13"/>
  <c r="I105" i="13"/>
  <c r="D105" i="13"/>
  <c r="C105" i="13"/>
  <c r="D100" i="13"/>
  <c r="C100" i="13"/>
  <c r="D99" i="13"/>
  <c r="C99" i="13"/>
  <c r="D97" i="13"/>
  <c r="C97" i="13"/>
  <c r="I96" i="13"/>
  <c r="D96" i="13"/>
  <c r="C96" i="13"/>
  <c r="D91" i="13"/>
  <c r="C91" i="13"/>
  <c r="D90" i="13"/>
  <c r="C90" i="13"/>
  <c r="D45" i="13"/>
  <c r="C45" i="13"/>
  <c r="I43" i="13"/>
  <c r="D43" i="13"/>
  <c r="C43" i="13"/>
  <c r="I44" i="13"/>
  <c r="I103" i="13"/>
  <c r="D83" i="13"/>
  <c r="C83" i="13"/>
  <c r="D82" i="13"/>
  <c r="C82" i="13"/>
  <c r="D81" i="13"/>
  <c r="C81" i="13"/>
  <c r="D80" i="13"/>
  <c r="C80" i="13"/>
  <c r="D79" i="13"/>
  <c r="C79" i="13"/>
  <c r="D77" i="13"/>
  <c r="C77" i="13"/>
  <c r="I76" i="13"/>
  <c r="D76" i="13"/>
  <c r="C76" i="13"/>
  <c r="D74" i="13"/>
  <c r="C74" i="13"/>
  <c r="C62" i="13"/>
  <c r="I63" i="13"/>
  <c r="D63" i="13"/>
  <c r="C63" i="13"/>
  <c r="D62" i="13"/>
  <c r="I61" i="13"/>
  <c r="D61" i="13"/>
  <c r="C61" i="13"/>
  <c r="D60" i="13"/>
  <c r="C60" i="13"/>
  <c r="D50" i="13"/>
  <c r="C50" i="13"/>
  <c r="D49" i="13"/>
  <c r="C49" i="13"/>
  <c r="D48" i="13"/>
  <c r="C48" i="13"/>
  <c r="I41" i="13"/>
  <c r="D41" i="13"/>
  <c r="C41" i="13"/>
  <c r="D39" i="13"/>
  <c r="C39" i="13"/>
  <c r="D37" i="13"/>
  <c r="C37" i="13"/>
  <c r="D36" i="13"/>
  <c r="C36" i="13"/>
  <c r="D34" i="13"/>
  <c r="C34" i="13"/>
  <c r="D33" i="13"/>
  <c r="I35" i="13"/>
  <c r="I38" i="13"/>
  <c r="C25" i="14"/>
  <c r="C24" i="14"/>
  <c r="C23" i="14"/>
  <c r="C22" i="14"/>
  <c r="C21" i="14"/>
  <c r="C20" i="14"/>
  <c r="C19" i="14"/>
  <c r="C18" i="14"/>
  <c r="C16" i="14"/>
  <c r="C15" i="14"/>
  <c r="C14" i="14"/>
  <c r="C13" i="14"/>
  <c r="D254" i="13"/>
  <c r="D250" i="13"/>
  <c r="D247" i="13"/>
  <c r="D243" i="13"/>
  <c r="D238" i="13"/>
  <c r="D234" i="13"/>
  <c r="D230" i="13"/>
  <c r="D226" i="13"/>
  <c r="D222" i="13"/>
  <c r="D218" i="13"/>
  <c r="D216" i="13"/>
  <c r="D213" i="13"/>
  <c r="D212" i="13"/>
  <c r="D210" i="13"/>
  <c r="D208" i="13"/>
  <c r="D207" i="13"/>
  <c r="D206" i="13"/>
  <c r="D205" i="13"/>
  <c r="D204" i="13"/>
  <c r="D203" i="13"/>
  <c r="D202" i="13"/>
  <c r="D200" i="13"/>
  <c r="D199" i="13"/>
  <c r="D198" i="13"/>
  <c r="D196" i="13"/>
  <c r="D195" i="13"/>
  <c r="D194" i="13"/>
  <c r="D193" i="13"/>
  <c r="D192" i="13"/>
  <c r="D191" i="13"/>
  <c r="D190" i="13"/>
  <c r="D189" i="13"/>
  <c r="D188" i="13"/>
  <c r="D187" i="13"/>
  <c r="D186" i="13"/>
  <c r="D184" i="13"/>
  <c r="D183" i="13"/>
  <c r="D182" i="13"/>
  <c r="D181" i="13"/>
  <c r="D180" i="13"/>
  <c r="D178" i="13"/>
  <c r="D177" i="13"/>
  <c r="D176" i="13"/>
  <c r="D175" i="13"/>
  <c r="D172" i="13"/>
  <c r="D171" i="13"/>
  <c r="D170" i="13"/>
  <c r="D169" i="13"/>
  <c r="D168" i="13"/>
  <c r="D167" i="13"/>
  <c r="D166" i="13"/>
  <c r="D165" i="13"/>
  <c r="D162" i="13"/>
  <c r="D160" i="13"/>
  <c r="D158" i="13"/>
  <c r="D157" i="13"/>
  <c r="D156" i="13"/>
  <c r="D155" i="13"/>
  <c r="D154" i="13"/>
  <c r="D152" i="13"/>
  <c r="D151" i="13"/>
  <c r="D150" i="13"/>
  <c r="D149" i="13"/>
  <c r="D146" i="13"/>
  <c r="D145" i="13"/>
  <c r="D144" i="13"/>
  <c r="D142" i="13"/>
  <c r="D141" i="13"/>
  <c r="D140" i="13"/>
  <c r="D139" i="13"/>
  <c r="D137" i="13"/>
  <c r="D133" i="13"/>
  <c r="D132" i="13"/>
  <c r="D130" i="13"/>
  <c r="D129" i="13"/>
  <c r="D127" i="13"/>
  <c r="D126" i="13"/>
  <c r="D122" i="13"/>
  <c r="D121" i="13"/>
  <c r="D120" i="13"/>
  <c r="D119" i="13"/>
  <c r="D118" i="13"/>
  <c r="D117" i="13"/>
  <c r="D116" i="13"/>
  <c r="D115" i="13"/>
  <c r="D113" i="13"/>
  <c r="D112" i="13"/>
  <c r="D111" i="13"/>
  <c r="D110" i="13"/>
  <c r="D107" i="13"/>
  <c r="D106" i="13"/>
  <c r="D104" i="13"/>
  <c r="D103" i="13"/>
  <c r="D102" i="13"/>
  <c r="D101" i="13"/>
  <c r="D98" i="13"/>
  <c r="D95" i="13"/>
  <c r="D94" i="13"/>
  <c r="D93" i="13"/>
  <c r="D92" i="13"/>
  <c r="D89" i="13"/>
  <c r="D88" i="13"/>
  <c r="D78" i="13"/>
  <c r="D75" i="13"/>
  <c r="D73" i="13"/>
  <c r="D72" i="13"/>
  <c r="D71" i="13"/>
  <c r="D70" i="13"/>
  <c r="D68" i="13"/>
  <c r="D67" i="13"/>
  <c r="D66" i="13"/>
  <c r="D65" i="13"/>
  <c r="D64" i="13"/>
  <c r="D59" i="13"/>
  <c r="D58" i="13"/>
  <c r="D57" i="13"/>
  <c r="D56" i="13"/>
  <c r="D55" i="13"/>
  <c r="D54" i="13"/>
  <c r="D53" i="13"/>
  <c r="D52" i="13"/>
  <c r="D51" i="13"/>
  <c r="D47" i="13"/>
  <c r="D46" i="13"/>
  <c r="D44" i="13"/>
  <c r="D42" i="13"/>
  <c r="D38" i="13"/>
  <c r="D35" i="13"/>
  <c r="D32" i="13"/>
  <c r="D31" i="13"/>
  <c r="D30" i="13"/>
  <c r="D29" i="13"/>
  <c r="D27" i="13"/>
  <c r="D25" i="13"/>
  <c r="D24" i="13"/>
  <c r="D23" i="13"/>
  <c r="D22" i="13"/>
  <c r="D21" i="13"/>
  <c r="D15" i="13"/>
  <c r="D14" i="13"/>
  <c r="D13" i="13"/>
  <c r="D12" i="13"/>
  <c r="D11" i="13"/>
  <c r="D10" i="13"/>
  <c r="D9" i="13"/>
  <c r="D8" i="13"/>
  <c r="D7" i="13"/>
  <c r="D5" i="13"/>
  <c r="D4" i="13"/>
  <c r="D3" i="13"/>
  <c r="D2" i="13"/>
  <c r="C259" i="13"/>
  <c r="C252" i="13"/>
  <c r="C249" i="13"/>
  <c r="C245" i="13"/>
  <c r="C240" i="13"/>
  <c r="C236" i="13"/>
  <c r="C232" i="13"/>
  <c r="C228" i="13"/>
  <c r="C224" i="13"/>
  <c r="C220" i="13"/>
  <c r="C218" i="13"/>
  <c r="C216" i="13"/>
  <c r="C213" i="13"/>
  <c r="C212" i="13"/>
  <c r="C210" i="13"/>
  <c r="C208" i="13"/>
  <c r="C207" i="13"/>
  <c r="C206" i="13"/>
  <c r="C205" i="13"/>
  <c r="C204" i="13"/>
  <c r="C203" i="13"/>
  <c r="C202" i="13"/>
  <c r="C200" i="13"/>
  <c r="C199" i="13"/>
  <c r="C198" i="13"/>
  <c r="C196" i="13"/>
  <c r="C195" i="13"/>
  <c r="C194" i="13"/>
  <c r="C193" i="13"/>
  <c r="C192" i="13"/>
  <c r="C191" i="13"/>
  <c r="C190" i="13"/>
  <c r="C189" i="13"/>
  <c r="C188" i="13"/>
  <c r="C187" i="13"/>
  <c r="C186" i="13"/>
  <c r="C184" i="13"/>
  <c r="C183" i="13"/>
  <c r="C182" i="13"/>
  <c r="C181" i="13"/>
  <c r="C180" i="13"/>
  <c r="C178" i="13"/>
  <c r="C177" i="13"/>
  <c r="C176" i="13"/>
  <c r="C175" i="13"/>
  <c r="C172" i="13"/>
  <c r="C171" i="13"/>
  <c r="C170" i="13"/>
  <c r="C169" i="13"/>
  <c r="C168" i="13"/>
  <c r="C167" i="13"/>
  <c r="C166" i="13"/>
  <c r="C165" i="13"/>
  <c r="C162" i="13"/>
  <c r="C160" i="13"/>
  <c r="C158" i="13"/>
  <c r="C157" i="13"/>
  <c r="C156" i="13"/>
  <c r="C155" i="13"/>
  <c r="C154" i="13"/>
  <c r="C152" i="13"/>
  <c r="C151" i="13"/>
  <c r="C150" i="13"/>
  <c r="C149" i="13"/>
  <c r="C146" i="13"/>
  <c r="C145" i="13"/>
  <c r="C144" i="13"/>
  <c r="C142" i="13"/>
  <c r="C141" i="13"/>
  <c r="C140" i="13"/>
  <c r="C139" i="13"/>
  <c r="C137" i="13"/>
  <c r="C133" i="13"/>
  <c r="C132" i="13"/>
  <c r="C130" i="13"/>
  <c r="C129" i="13"/>
  <c r="C127" i="13"/>
  <c r="C126" i="13"/>
  <c r="C122" i="13"/>
  <c r="C121" i="13"/>
  <c r="C120" i="13"/>
  <c r="C119" i="13"/>
  <c r="C118" i="13"/>
  <c r="C117" i="13"/>
  <c r="C116" i="13"/>
  <c r="C115" i="13"/>
  <c r="C113" i="13"/>
  <c r="C112" i="13"/>
  <c r="C111" i="13"/>
  <c r="C110" i="13"/>
  <c r="C107" i="13"/>
  <c r="C106" i="13"/>
  <c r="C104" i="13"/>
  <c r="C103" i="13"/>
  <c r="C102" i="13"/>
  <c r="C101" i="13"/>
  <c r="C98" i="13"/>
  <c r="C95" i="13"/>
  <c r="C94" i="13"/>
  <c r="C93" i="13"/>
  <c r="C92" i="13"/>
  <c r="C89" i="13"/>
  <c r="C88" i="13"/>
  <c r="C78" i="13"/>
  <c r="C75" i="13"/>
  <c r="C73" i="13"/>
  <c r="C72" i="13"/>
  <c r="C71" i="13"/>
  <c r="C70" i="13"/>
  <c r="C68" i="13"/>
  <c r="C67" i="13"/>
  <c r="C66" i="13"/>
  <c r="C65" i="13"/>
  <c r="C64" i="13"/>
  <c r="C59" i="13"/>
  <c r="C58" i="13"/>
  <c r="C57" i="13"/>
  <c r="C56" i="13"/>
  <c r="C55" i="13"/>
  <c r="C54" i="13"/>
  <c r="C53" i="13"/>
  <c r="C52" i="13"/>
  <c r="C51" i="13"/>
  <c r="C47" i="13"/>
  <c r="C46" i="13"/>
  <c r="C44" i="13"/>
  <c r="C42" i="13"/>
  <c r="C38" i="13"/>
  <c r="C35" i="13"/>
  <c r="C32" i="13"/>
  <c r="C31" i="13"/>
  <c r="C30" i="13"/>
  <c r="C29" i="13"/>
  <c r="C27" i="13"/>
  <c r="C25" i="13"/>
  <c r="C24" i="13"/>
  <c r="C23" i="13"/>
  <c r="C22" i="13"/>
  <c r="C21" i="13"/>
  <c r="C15" i="13"/>
  <c r="C14" i="13"/>
  <c r="C13" i="13"/>
  <c r="C12" i="13"/>
  <c r="C11" i="13"/>
  <c r="C10" i="13"/>
  <c r="C9" i="13"/>
  <c r="C8" i="13"/>
  <c r="C7" i="13"/>
  <c r="C5" i="13"/>
  <c r="C4" i="13"/>
  <c r="C3" i="13"/>
  <c r="C2" i="13"/>
  <c r="C221" i="13"/>
  <c r="C225" i="13"/>
  <c r="C229" i="13"/>
  <c r="C233" i="13"/>
  <c r="C237" i="13"/>
  <c r="C242" i="13"/>
  <c r="C246" i="13"/>
  <c r="C253" i="13"/>
  <c r="C260" i="13"/>
  <c r="D219" i="13"/>
  <c r="D223" i="13"/>
  <c r="D227" i="13"/>
  <c r="D231" i="13"/>
  <c r="D235" i="13"/>
  <c r="D239" i="13"/>
  <c r="D244" i="13"/>
  <c r="D248" i="13"/>
  <c r="D251" i="13"/>
  <c r="D258" i="13"/>
  <c r="C261" i="13"/>
  <c r="I241" i="13"/>
  <c r="C256" i="13"/>
  <c r="D255" i="13"/>
  <c r="C222" i="13"/>
  <c r="C226" i="13"/>
  <c r="C230" i="13"/>
  <c r="C234" i="13"/>
  <c r="C238" i="13"/>
  <c r="C243" i="13"/>
  <c r="C247" i="13"/>
  <c r="C250" i="13"/>
  <c r="C254" i="13"/>
  <c r="D220" i="13"/>
  <c r="D224" i="13"/>
  <c r="D228" i="13"/>
  <c r="D232" i="13"/>
  <c r="D236" i="13"/>
  <c r="D240" i="13"/>
  <c r="D245" i="13"/>
  <c r="D249" i="13"/>
  <c r="D252" i="13"/>
  <c r="D259" i="13"/>
  <c r="I257" i="13"/>
  <c r="C255" i="13"/>
  <c r="C219" i="13"/>
  <c r="C223" i="13"/>
  <c r="C227" i="13"/>
  <c r="C231" i="13"/>
  <c r="C235" i="13"/>
  <c r="C239" i="13"/>
  <c r="C244" i="13"/>
  <c r="C248" i="13"/>
  <c r="C251" i="13"/>
  <c r="C258" i="13"/>
  <c r="D221" i="13"/>
  <c r="D225" i="13"/>
  <c r="D229" i="13"/>
  <c r="D233" i="13"/>
  <c r="D237" i="13"/>
  <c r="D242" i="13"/>
  <c r="D246" i="13"/>
  <c r="D253" i="13"/>
  <c r="D260" i="13"/>
  <c r="C241" i="13"/>
  <c r="D257" i="13"/>
  <c r="I256" i="13"/>
  <c r="H220" i="15"/>
  <c r="H222" i="15"/>
  <c r="V16" i="13"/>
  <c r="X17" i="13"/>
  <c r="D28" i="14" s="1"/>
  <c r="U17" i="13"/>
  <c r="W16" i="13"/>
  <c r="E27" i="14" s="1"/>
  <c r="W18" i="13"/>
  <c r="E29" i="14" s="1"/>
  <c r="U16" i="13"/>
  <c r="V17" i="13"/>
  <c r="T16" i="13"/>
  <c r="C27" i="14" s="1"/>
  <c r="T18" i="13"/>
  <c r="C29" i="14" s="1"/>
  <c r="T19" i="13"/>
  <c r="C30" i="14" s="1"/>
  <c r="Y16" i="13"/>
  <c r="F27" i="14" s="1"/>
  <c r="Y19" i="13"/>
  <c r="F30" i="14" s="1"/>
  <c r="R217" i="13" l="1"/>
  <c r="Q215" i="13"/>
  <c r="N197" i="13"/>
  <c r="P21" i="13"/>
  <c r="N22" i="13"/>
  <c r="R22" i="13"/>
  <c r="P23" i="13"/>
  <c r="N24" i="13"/>
  <c r="R24" i="13"/>
  <c r="P25" i="13"/>
  <c r="N27" i="13"/>
  <c r="R27" i="13"/>
  <c r="Q32" i="13"/>
  <c r="O37" i="13"/>
  <c r="O41" i="13"/>
  <c r="M44" i="13"/>
  <c r="M48" i="13"/>
  <c r="M52" i="13"/>
  <c r="Q54" i="13"/>
  <c r="M58" i="13"/>
  <c r="Q60" i="13"/>
  <c r="M64" i="13"/>
  <c r="Q66" i="13"/>
  <c r="M71" i="13"/>
  <c r="O74" i="13"/>
  <c r="M77" i="13"/>
  <c r="O80" i="13"/>
  <c r="M83" i="13"/>
  <c r="M85" i="13"/>
  <c r="P86" i="13"/>
  <c r="Q87" i="13"/>
  <c r="P88" i="13"/>
  <c r="P89" i="13"/>
  <c r="O90" i="13"/>
  <c r="N91" i="13"/>
  <c r="M92" i="13"/>
  <c r="R92" i="13"/>
  <c r="P93" i="13"/>
  <c r="O94" i="13"/>
  <c r="M95" i="13"/>
  <c r="R95" i="13"/>
  <c r="P96" i="13"/>
  <c r="O97" i="13"/>
  <c r="N98" i="13"/>
  <c r="R98" i="13"/>
  <c r="Q99" i="13"/>
  <c r="O100" i="13"/>
  <c r="N101" i="13"/>
  <c r="R101" i="13"/>
  <c r="Q102" i="13"/>
  <c r="O103" i="13"/>
  <c r="M104" i="13"/>
  <c r="Q104" i="13"/>
  <c r="O105" i="13"/>
  <c r="M106" i="13"/>
  <c r="Q106" i="13"/>
  <c r="O107" i="13"/>
  <c r="M108" i="13"/>
  <c r="Q108" i="13"/>
  <c r="O109" i="13"/>
  <c r="M110" i="13"/>
  <c r="Q110" i="13"/>
  <c r="O111" i="13"/>
  <c r="M112" i="13"/>
  <c r="S250" i="13"/>
  <c r="S134" i="13"/>
  <c r="S76" i="13"/>
  <c r="S44" i="13"/>
  <c r="S26" i="13"/>
  <c r="S22" i="13"/>
  <c r="R69" i="13"/>
  <c r="N26" i="13"/>
  <c r="R26" i="13"/>
  <c r="P256" i="13"/>
  <c r="Q20" i="13"/>
  <c r="S84" i="13"/>
  <c r="S27" i="13"/>
  <c r="R161" i="13"/>
  <c r="M209" i="13"/>
  <c r="P201" i="13"/>
  <c r="Q21" i="13"/>
  <c r="P22" i="13"/>
  <c r="O23" i="13"/>
  <c r="O24" i="13"/>
  <c r="N25" i="13"/>
  <c r="M27" i="13"/>
  <c r="O29" i="13"/>
  <c r="Q34" i="13"/>
  <c r="M40" i="13"/>
  <c r="O45" i="13"/>
  <c r="O49" i="13"/>
  <c r="M54" i="13"/>
  <c r="Q58" i="13"/>
  <c r="Q62" i="13"/>
  <c r="M66" i="13"/>
  <c r="Q71" i="13"/>
  <c r="Q75" i="13"/>
  <c r="Q79" i="13"/>
  <c r="Q83" i="13"/>
  <c r="Q85" i="13"/>
  <c r="N87" i="13"/>
  <c r="R88" i="13"/>
  <c r="R89" i="13"/>
  <c r="M91" i="13"/>
  <c r="N92" i="13"/>
  <c r="N93" i="13"/>
  <c r="N94" i="13"/>
  <c r="N95" i="13"/>
  <c r="N96" i="13"/>
  <c r="N97" i="13"/>
  <c r="O98" i="13"/>
  <c r="N99" i="13"/>
  <c r="N100" i="13"/>
  <c r="O101" i="13"/>
  <c r="O102" i="13"/>
  <c r="N103" i="13"/>
  <c r="N104" i="13"/>
  <c r="M105" i="13"/>
  <c r="R105" i="13"/>
  <c r="R106" i="13"/>
  <c r="Q107" i="13"/>
  <c r="P108" i="13"/>
  <c r="P109" i="13"/>
  <c r="O110" i="13"/>
  <c r="N111" i="13"/>
  <c r="N112" i="13"/>
  <c r="S234" i="13"/>
  <c r="S72" i="13"/>
  <c r="S25" i="13"/>
  <c r="M26" i="13"/>
  <c r="N20" i="13"/>
  <c r="R214" i="13"/>
  <c r="M215" i="13"/>
  <c r="O179" i="13"/>
  <c r="M21" i="13"/>
  <c r="R21" i="13"/>
  <c r="Q22" i="13"/>
  <c r="Q23" i="13"/>
  <c r="P24" i="13"/>
  <c r="O25" i="13"/>
  <c r="O27" i="13"/>
  <c r="Q30" i="13"/>
  <c r="M36" i="13"/>
  <c r="M42" i="13"/>
  <c r="Q46" i="13"/>
  <c r="Q50" i="13"/>
  <c r="O55" i="13"/>
  <c r="O59" i="13"/>
  <c r="O63" i="13"/>
  <c r="M68" i="13"/>
  <c r="O72" i="13"/>
  <c r="O76" i="13"/>
  <c r="M81" i="13"/>
  <c r="N84" i="13"/>
  <c r="O86" i="13"/>
  <c r="R87" i="13"/>
  <c r="M89" i="13"/>
  <c r="N90" i="13"/>
  <c r="P91" i="13"/>
  <c r="O92" i="13"/>
  <c r="O93" i="13"/>
  <c r="P94" i="13"/>
  <c r="P95" i="13"/>
  <c r="O96" i="13"/>
  <c r="P97" i="13"/>
  <c r="P98" i="13"/>
  <c r="P99" i="13"/>
  <c r="P100" i="13"/>
  <c r="P101" i="13"/>
  <c r="P102" i="13"/>
  <c r="P103" i="13"/>
  <c r="O104" i="13"/>
  <c r="N105" i="13"/>
  <c r="N106" i="13"/>
  <c r="M107" i="13"/>
  <c r="R107" i="13"/>
  <c r="R108" i="13"/>
  <c r="Q109" i="13"/>
  <c r="P110" i="13"/>
  <c r="P111" i="13"/>
  <c r="O112" i="13"/>
  <c r="M113" i="13"/>
  <c r="Q113" i="13"/>
  <c r="O114" i="13"/>
  <c r="M115" i="13"/>
  <c r="Q115" i="13"/>
  <c r="O116" i="13"/>
  <c r="M117" i="13"/>
  <c r="Q117" i="13"/>
  <c r="O118" i="13"/>
  <c r="M119" i="13"/>
  <c r="Q119" i="13"/>
  <c r="O120" i="13"/>
  <c r="M121" i="13"/>
  <c r="Q121" i="13"/>
  <c r="O122" i="13"/>
  <c r="P124" i="13"/>
  <c r="P125" i="13"/>
  <c r="N126" i="13"/>
  <c r="R126" i="13"/>
  <c r="P127" i="13"/>
  <c r="N128" i="13"/>
  <c r="R128" i="13"/>
  <c r="P129" i="13"/>
  <c r="N130" i="13"/>
  <c r="R130" i="13"/>
  <c r="P131" i="13"/>
  <c r="N132" i="13"/>
  <c r="R132" i="13"/>
  <c r="P133" i="13"/>
  <c r="S40" i="13"/>
  <c r="Q26" i="13"/>
  <c r="P241" i="13"/>
  <c r="N21" i="13"/>
  <c r="M23" i="13"/>
  <c r="Q24" i="13"/>
  <c r="P27" i="13"/>
  <c r="M38" i="13"/>
  <c r="O47" i="13"/>
  <c r="M56" i="13"/>
  <c r="Q64" i="13"/>
  <c r="M73" i="13"/>
  <c r="Q81" i="13"/>
  <c r="R86" i="13"/>
  <c r="N89" i="13"/>
  <c r="Q91" i="13"/>
  <c r="Q93" i="13"/>
  <c r="Q95" i="13"/>
  <c r="Q97" i="13"/>
  <c r="R99" i="13"/>
  <c r="Q101" i="13"/>
  <c r="Q103" i="13"/>
  <c r="P105" i="13"/>
  <c r="N107" i="13"/>
  <c r="M109" i="13"/>
  <c r="R110" i="13"/>
  <c r="P112" i="13"/>
  <c r="O113" i="13"/>
  <c r="N114" i="13"/>
  <c r="N115" i="13"/>
  <c r="M116" i="13"/>
  <c r="R116" i="13"/>
  <c r="R117" i="13"/>
  <c r="Q118" i="13"/>
  <c r="P119" i="13"/>
  <c r="P120" i="13"/>
  <c r="O121" i="13"/>
  <c r="N122" i="13"/>
  <c r="M125" i="13"/>
  <c r="R125" i="13"/>
  <c r="Q126" i="13"/>
  <c r="Q127" i="13"/>
  <c r="P128" i="13"/>
  <c r="O129" i="13"/>
  <c r="O130" i="13"/>
  <c r="N131" i="13"/>
  <c r="M132" i="13"/>
  <c r="M133" i="13"/>
  <c r="R133" i="13"/>
  <c r="P134" i="13"/>
  <c r="N135" i="13"/>
  <c r="R135" i="13"/>
  <c r="P136" i="13"/>
  <c r="N137" i="13"/>
  <c r="R137" i="13"/>
  <c r="P138" i="13"/>
  <c r="N139" i="13"/>
  <c r="R139" i="13"/>
  <c r="P140" i="13"/>
  <c r="N141" i="13"/>
  <c r="R141" i="13"/>
  <c r="P142" i="13"/>
  <c r="N143" i="13"/>
  <c r="R143" i="13"/>
  <c r="P144" i="13"/>
  <c r="N145" i="13"/>
  <c r="R145" i="13"/>
  <c r="P146" i="13"/>
  <c r="N147" i="13"/>
  <c r="R147" i="13"/>
  <c r="P148" i="13"/>
  <c r="N149" i="13"/>
  <c r="R149" i="13"/>
  <c r="P150" i="13"/>
  <c r="N151" i="13"/>
  <c r="R151" i="13"/>
  <c r="P152" i="13"/>
  <c r="N153" i="13"/>
  <c r="R153" i="13"/>
  <c r="P154" i="13"/>
  <c r="N155" i="13"/>
  <c r="R155" i="13"/>
  <c r="P156" i="13"/>
  <c r="N157" i="13"/>
  <c r="R157" i="13"/>
  <c r="P158" i="13"/>
  <c r="N159" i="13"/>
  <c r="R159" i="13"/>
  <c r="P160" i="13"/>
  <c r="N162" i="13"/>
  <c r="R162" i="13"/>
  <c r="P163" i="13"/>
  <c r="N164" i="13"/>
  <c r="R164" i="13"/>
  <c r="P165" i="13"/>
  <c r="N166" i="13"/>
  <c r="R166" i="13"/>
  <c r="P167" i="13"/>
  <c r="N168" i="13"/>
  <c r="R168" i="13"/>
  <c r="P169" i="13"/>
  <c r="N170" i="13"/>
  <c r="R170" i="13"/>
  <c r="P171" i="13"/>
  <c r="N172" i="13"/>
  <c r="R172" i="13"/>
  <c r="P173" i="13"/>
  <c r="N174" i="13"/>
  <c r="R174" i="13"/>
  <c r="P175" i="13"/>
  <c r="N176" i="13"/>
  <c r="R176" i="13"/>
  <c r="P177" i="13"/>
  <c r="N178" i="13"/>
  <c r="R178" i="13"/>
  <c r="P180" i="13"/>
  <c r="N181" i="13"/>
  <c r="R181" i="13"/>
  <c r="P182" i="13"/>
  <c r="N183" i="13"/>
  <c r="R183" i="13"/>
  <c r="P184" i="13"/>
  <c r="N186" i="13"/>
  <c r="R186" i="13"/>
  <c r="P187" i="13"/>
  <c r="N188" i="13"/>
  <c r="R188" i="13"/>
  <c r="P189" i="13"/>
  <c r="N190" i="13"/>
  <c r="R190" i="13"/>
  <c r="P191" i="13"/>
  <c r="N192" i="13"/>
  <c r="R192" i="13"/>
  <c r="P193" i="13"/>
  <c r="N194" i="13"/>
  <c r="R194" i="13"/>
  <c r="P195" i="13"/>
  <c r="N196" i="13"/>
  <c r="R196" i="13"/>
  <c r="P198" i="13"/>
  <c r="N199" i="13"/>
  <c r="R199" i="13"/>
  <c r="P200" i="13"/>
  <c r="N202" i="13"/>
  <c r="R202" i="13"/>
  <c r="P203" i="13"/>
  <c r="N204" i="13"/>
  <c r="R204" i="13"/>
  <c r="P205" i="13"/>
  <c r="N206" i="13"/>
  <c r="R206" i="13"/>
  <c r="P207" i="13"/>
  <c r="N208" i="13"/>
  <c r="R208" i="13"/>
  <c r="P210" i="13"/>
  <c r="N212" i="13"/>
  <c r="R212" i="13"/>
  <c r="P213" i="13"/>
  <c r="N216" i="13"/>
  <c r="R216" i="13"/>
  <c r="P218" i="13"/>
  <c r="N219" i="13"/>
  <c r="R219" i="13"/>
  <c r="P220" i="13"/>
  <c r="N221" i="13"/>
  <c r="R221" i="13"/>
  <c r="P222" i="13"/>
  <c r="N223" i="13"/>
  <c r="R223" i="13"/>
  <c r="P224" i="13"/>
  <c r="S154" i="13"/>
  <c r="S23" i="13"/>
  <c r="O21" i="13"/>
  <c r="N23" i="13"/>
  <c r="M25" i="13"/>
  <c r="Q27" i="13"/>
  <c r="Q38" i="13"/>
  <c r="Q48" i="13"/>
  <c r="O57" i="13"/>
  <c r="O65" i="13"/>
  <c r="M75" i="13"/>
  <c r="O82" i="13"/>
  <c r="M87" i="13"/>
  <c r="Q89" i="13"/>
  <c r="R91" i="13"/>
  <c r="R93" i="13"/>
  <c r="M96" i="13"/>
  <c r="R97" i="13"/>
  <c r="M100" i="13"/>
  <c r="N102" i="13"/>
  <c r="R103" i="13"/>
  <c r="Q105" i="13"/>
  <c r="P107" i="13"/>
  <c r="N109" i="13"/>
  <c r="M111" i="13"/>
  <c r="Q112" i="13"/>
  <c r="P113" i="13"/>
  <c r="P114" i="13"/>
  <c r="O115" i="13"/>
  <c r="N116" i="13"/>
  <c r="N117" i="13"/>
  <c r="M118" i="13"/>
  <c r="R118" i="13"/>
  <c r="R119" i="13"/>
  <c r="Q120" i="13"/>
  <c r="P121" i="13"/>
  <c r="P122" i="13"/>
  <c r="N125" i="13"/>
  <c r="M126" i="13"/>
  <c r="M127" i="13"/>
  <c r="R127" i="13"/>
  <c r="Q128" i="13"/>
  <c r="Q129" i="13"/>
  <c r="P130" i="13"/>
  <c r="O131" i="13"/>
  <c r="O132" i="13"/>
  <c r="N133" i="13"/>
  <c r="M134" i="13"/>
  <c r="Q134" i="13"/>
  <c r="O135" i="13"/>
  <c r="M136" i="13"/>
  <c r="Q136" i="13"/>
  <c r="O137" i="13"/>
  <c r="M138" i="13"/>
  <c r="Q138" i="13"/>
  <c r="O139" i="13"/>
  <c r="M140" i="13"/>
  <c r="Q140" i="13"/>
  <c r="O141" i="13"/>
  <c r="M142" i="13"/>
  <c r="Q142" i="13"/>
  <c r="O143" i="13"/>
  <c r="M144" i="13"/>
  <c r="Q144" i="13"/>
  <c r="O145" i="13"/>
  <c r="M146" i="13"/>
  <c r="Q146" i="13"/>
  <c r="O147" i="13"/>
  <c r="M148" i="13"/>
  <c r="Q148" i="13"/>
  <c r="O149" i="13"/>
  <c r="M150" i="13"/>
  <c r="Q150" i="13"/>
  <c r="O151" i="13"/>
  <c r="M152" i="13"/>
  <c r="Q152" i="13"/>
  <c r="O153" i="13"/>
  <c r="M154" i="13"/>
  <c r="Q154" i="13"/>
  <c r="O155" i="13"/>
  <c r="M156" i="13"/>
  <c r="Q156" i="13"/>
  <c r="O157" i="13"/>
  <c r="M158" i="13"/>
  <c r="Q158" i="13"/>
  <c r="O159" i="13"/>
  <c r="M160" i="13"/>
  <c r="Q160" i="13"/>
  <c r="O162" i="13"/>
  <c r="M163" i="13"/>
  <c r="Q163" i="13"/>
  <c r="O164" i="13"/>
  <c r="M165" i="13"/>
  <c r="Q165" i="13"/>
  <c r="O166" i="13"/>
  <c r="M167" i="13"/>
  <c r="Q167" i="13"/>
  <c r="O168" i="13"/>
  <c r="M169" i="13"/>
  <c r="Q169" i="13"/>
  <c r="O170" i="13"/>
  <c r="M171" i="13"/>
  <c r="Q171" i="13"/>
  <c r="O172" i="13"/>
  <c r="M173" i="13"/>
  <c r="Q173" i="13"/>
  <c r="O174" i="13"/>
  <c r="M175" i="13"/>
  <c r="Q175" i="13"/>
  <c r="O176" i="13"/>
  <c r="M177" i="13"/>
  <c r="Q177" i="13"/>
  <c r="O178" i="13"/>
  <c r="M180" i="13"/>
  <c r="Q180" i="13"/>
  <c r="O181" i="13"/>
  <c r="M182" i="13"/>
  <c r="Q182" i="13"/>
  <c r="O183" i="13"/>
  <c r="M184" i="13"/>
  <c r="Q184" i="13"/>
  <c r="O186" i="13"/>
  <c r="M187" i="13"/>
  <c r="Q187" i="13"/>
  <c r="O188" i="13"/>
  <c r="M189" i="13"/>
  <c r="Q189" i="13"/>
  <c r="O190" i="13"/>
  <c r="M191" i="13"/>
  <c r="Q191" i="13"/>
  <c r="O192" i="13"/>
  <c r="M193" i="13"/>
  <c r="Q193" i="13"/>
  <c r="O194" i="13"/>
  <c r="M195" i="13"/>
  <c r="Q195" i="13"/>
  <c r="O196" i="13"/>
  <c r="M198" i="13"/>
  <c r="Q198" i="13"/>
  <c r="O199" i="13"/>
  <c r="M200" i="13"/>
  <c r="Q200" i="13"/>
  <c r="O202" i="13"/>
  <c r="M203" i="13"/>
  <c r="Q203" i="13"/>
  <c r="O204" i="13"/>
  <c r="M205" i="13"/>
  <c r="Q205" i="13"/>
  <c r="O206" i="13"/>
  <c r="M207" i="13"/>
  <c r="Q207" i="13"/>
  <c r="O208" i="13"/>
  <c r="M210" i="13"/>
  <c r="Q210" i="13"/>
  <c r="O212" i="13"/>
  <c r="M213" i="13"/>
  <c r="Q213" i="13"/>
  <c r="O216" i="13"/>
  <c r="Q260" i="13"/>
  <c r="M260" i="13"/>
  <c r="O259" i="13"/>
  <c r="Q258" i="13"/>
  <c r="M258" i="13"/>
  <c r="O254" i="13"/>
  <c r="Q253" i="13"/>
  <c r="M253" i="13"/>
  <c r="O252" i="13"/>
  <c r="Q251" i="13"/>
  <c r="M251" i="13"/>
  <c r="O250" i="13"/>
  <c r="Q249" i="13"/>
  <c r="M249" i="13"/>
  <c r="O248" i="13"/>
  <c r="Q247" i="13"/>
  <c r="M247" i="13"/>
  <c r="O246" i="13"/>
  <c r="Q245" i="13"/>
  <c r="M245" i="13"/>
  <c r="O244" i="13"/>
  <c r="Q243" i="13"/>
  <c r="M243" i="13"/>
  <c r="O242" i="13"/>
  <c r="Q240" i="13"/>
  <c r="M240" i="13"/>
  <c r="O239" i="13"/>
  <c r="Q238" i="13"/>
  <c r="M238" i="13"/>
  <c r="O237" i="13"/>
  <c r="Q236" i="13"/>
  <c r="M236" i="13"/>
  <c r="O235" i="13"/>
  <c r="Q234" i="13"/>
  <c r="M234" i="13"/>
  <c r="O233" i="13"/>
  <c r="Q232" i="13"/>
  <c r="M232" i="13"/>
  <c r="O231" i="13"/>
  <c r="Q230" i="13"/>
  <c r="M230" i="13"/>
  <c r="O229" i="13"/>
  <c r="Q228" i="13"/>
  <c r="M228" i="13"/>
  <c r="O227" i="13"/>
  <c r="Q226" i="13"/>
  <c r="M226" i="13"/>
  <c r="O225" i="13"/>
  <c r="Q224" i="13"/>
  <c r="Q223" i="13"/>
  <c r="R222" i="13"/>
  <c r="M222" i="13"/>
  <c r="M221" i="13"/>
  <c r="N220" i="13"/>
  <c r="O219" i="13"/>
  <c r="O218" i="13"/>
  <c r="P216" i="13"/>
  <c r="N213" i="13"/>
  <c r="R210" i="13"/>
  <c r="P208" i="13"/>
  <c r="N207" i="13"/>
  <c r="R205" i="13"/>
  <c r="P204" i="13"/>
  <c r="N203" i="13"/>
  <c r="R200" i="13"/>
  <c r="P199" i="13"/>
  <c r="N198" i="13"/>
  <c r="R195" i="13"/>
  <c r="P194" i="13"/>
  <c r="N193" i="13"/>
  <c r="R191" i="13"/>
  <c r="P190" i="13"/>
  <c r="N189" i="13"/>
  <c r="R187" i="13"/>
  <c r="P186" i="13"/>
  <c r="N184" i="13"/>
  <c r="R182" i="13"/>
  <c r="P181" i="13"/>
  <c r="N180" i="13"/>
  <c r="R177" i="13"/>
  <c r="P176" i="13"/>
  <c r="N175" i="13"/>
  <c r="R173" i="13"/>
  <c r="P172" i="13"/>
  <c r="N171" i="13"/>
  <c r="R169" i="13"/>
  <c r="P168" i="13"/>
  <c r="N167" i="13"/>
  <c r="R165" i="13"/>
  <c r="P164" i="13"/>
  <c r="N163" i="13"/>
  <c r="R160" i="13"/>
  <c r="P159" i="13"/>
  <c r="N158" i="13"/>
  <c r="R156" i="13"/>
  <c r="P155" i="13"/>
  <c r="N154" i="13"/>
  <c r="R152" i="13"/>
  <c r="P151" i="13"/>
  <c r="N150" i="13"/>
  <c r="R148" i="13"/>
  <c r="P147" i="13"/>
  <c r="N146" i="13"/>
  <c r="R144" i="13"/>
  <c r="P143" i="13"/>
  <c r="N142" i="13"/>
  <c r="R140" i="13"/>
  <c r="P139" i="13"/>
  <c r="N138" i="13"/>
  <c r="R136" i="13"/>
  <c r="P135" i="13"/>
  <c r="N134" i="13"/>
  <c r="P132" i="13"/>
  <c r="Q130" i="13"/>
  <c r="M129" i="13"/>
  <c r="N127" i="13"/>
  <c r="O125" i="13"/>
  <c r="R121" i="13"/>
  <c r="M120" i="13"/>
  <c r="N118" i="13"/>
  <c r="P116" i="13"/>
  <c r="Q114" i="13"/>
  <c r="R112" i="13"/>
  <c r="R109" i="13"/>
  <c r="O106" i="13"/>
  <c r="R102" i="13"/>
  <c r="Q98" i="13"/>
  <c r="Q94" i="13"/>
  <c r="P90" i="13"/>
  <c r="O84" i="13"/>
  <c r="Q68" i="13"/>
  <c r="Q52" i="13"/>
  <c r="M32" i="13"/>
  <c r="R23" i="13"/>
  <c r="P261" i="13"/>
  <c r="P20" i="13"/>
  <c r="S126" i="13"/>
  <c r="P260" i="13"/>
  <c r="R259" i="13"/>
  <c r="N259" i="13"/>
  <c r="P258" i="13"/>
  <c r="R254" i="13"/>
  <c r="N254" i="13"/>
  <c r="P253" i="13"/>
  <c r="R252" i="13"/>
  <c r="N252" i="13"/>
  <c r="P251" i="13"/>
  <c r="N250" i="13"/>
  <c r="P249" i="13"/>
  <c r="R248" i="13"/>
  <c r="N248" i="13"/>
  <c r="P247" i="13"/>
  <c r="R246" i="13"/>
  <c r="N246" i="13"/>
  <c r="P245" i="13"/>
  <c r="R244" i="13"/>
  <c r="N244" i="13"/>
  <c r="P243" i="13"/>
  <c r="R242" i="13"/>
  <c r="N242" i="13"/>
  <c r="P240" i="13"/>
  <c r="R239" i="13"/>
  <c r="N239" i="13"/>
  <c r="P238" i="13"/>
  <c r="R237" i="13"/>
  <c r="N237" i="13"/>
  <c r="P236" i="13"/>
  <c r="R235" i="13"/>
  <c r="N235" i="13"/>
  <c r="P234" i="13"/>
  <c r="R233" i="13"/>
  <c r="N233" i="13"/>
  <c r="P232" i="13"/>
  <c r="R231" i="13"/>
  <c r="N231" i="13"/>
  <c r="P230" i="13"/>
  <c r="R229" i="13"/>
  <c r="N229" i="13"/>
  <c r="P228" i="13"/>
  <c r="R227" i="13"/>
  <c r="N227" i="13"/>
  <c r="P226" i="13"/>
  <c r="R225" i="13"/>
  <c r="N225" i="13"/>
  <c r="O224" i="13"/>
  <c r="P223" i="13"/>
  <c r="Q222" i="13"/>
  <c r="Q221" i="13"/>
  <c r="R220" i="13"/>
  <c r="M220" i="13"/>
  <c r="M219" i="13"/>
  <c r="N218" i="13"/>
  <c r="M216" i="13"/>
  <c r="Q212" i="13"/>
  <c r="O210" i="13"/>
  <c r="M208" i="13"/>
  <c r="Q206" i="13"/>
  <c r="O205" i="13"/>
  <c r="M204" i="13"/>
  <c r="Q202" i="13"/>
  <c r="O200" i="13"/>
  <c r="M199" i="13"/>
  <c r="Q196" i="13"/>
  <c r="O195" i="13"/>
  <c r="M194" i="13"/>
  <c r="Q192" i="13"/>
  <c r="O191" i="13"/>
  <c r="M190" i="13"/>
  <c r="Q188" i="13"/>
  <c r="O187" i="13"/>
  <c r="M186" i="13"/>
  <c r="Q183" i="13"/>
  <c r="O182" i="13"/>
  <c r="M181" i="13"/>
  <c r="Q178" i="13"/>
  <c r="O177" i="13"/>
  <c r="M176" i="13"/>
  <c r="Q174" i="13"/>
  <c r="O173" i="13"/>
  <c r="M172" i="13"/>
  <c r="Q170" i="13"/>
  <c r="O169" i="13"/>
  <c r="M168" i="13"/>
  <c r="Q166" i="13"/>
  <c r="O165" i="13"/>
  <c r="M164" i="13"/>
  <c r="Q162" i="13"/>
  <c r="O160" i="13"/>
  <c r="M159" i="13"/>
  <c r="Q157" i="13"/>
  <c r="O156" i="13"/>
  <c r="M155" i="13"/>
  <c r="Q153" i="13"/>
  <c r="O152" i="13"/>
  <c r="M151" i="13"/>
  <c r="Q149" i="13"/>
  <c r="O148" i="13"/>
  <c r="M147" i="13"/>
  <c r="Q145" i="13"/>
  <c r="O144" i="13"/>
  <c r="M143" i="13"/>
  <c r="Q141" i="13"/>
  <c r="O140" i="13"/>
  <c r="M139" i="13"/>
  <c r="Q137" i="13"/>
  <c r="O136" i="13"/>
  <c r="M135" i="13"/>
  <c r="Q133" i="13"/>
  <c r="R131" i="13"/>
  <c r="M130" i="13"/>
  <c r="O128" i="13"/>
  <c r="P126" i="13"/>
  <c r="R122" i="13"/>
  <c r="N121" i="13"/>
  <c r="O119" i="13"/>
  <c r="P117" i="13"/>
  <c r="R115" i="13"/>
  <c r="M114" i="13"/>
  <c r="R111" i="13"/>
  <c r="O108" i="13"/>
  <c r="R104" i="13"/>
  <c r="M101" i="13"/>
  <c r="M97" i="13"/>
  <c r="M93" i="13"/>
  <c r="O88" i="13"/>
  <c r="O78" i="13"/>
  <c r="O61" i="13"/>
  <c r="O43" i="13"/>
  <c r="R25" i="13"/>
  <c r="O22" i="13"/>
  <c r="O26" i="13"/>
  <c r="S218" i="13"/>
  <c r="L206" i="13"/>
  <c r="L202" i="13"/>
  <c r="L197" i="13"/>
  <c r="L193" i="13"/>
  <c r="L126" i="13"/>
  <c r="L100" i="13"/>
  <c r="L98" i="13"/>
  <c r="L95" i="13"/>
  <c r="L93" i="13"/>
  <c r="L91" i="13"/>
  <c r="L89" i="13"/>
  <c r="L87" i="13"/>
  <c r="L85" i="13"/>
  <c r="L83" i="13"/>
  <c r="L81" i="13"/>
  <c r="L77" i="13"/>
  <c r="L74" i="13"/>
  <c r="L54" i="13"/>
  <c r="L52" i="13"/>
  <c r="L49" i="13"/>
  <c r="L47" i="13"/>
  <c r="L39" i="13"/>
  <c r="L34" i="13"/>
  <c r="L32" i="13"/>
  <c r="L30" i="13"/>
  <c r="L24" i="13"/>
  <c r="L22" i="13"/>
  <c r="L20" i="13"/>
  <c r="L14" i="13"/>
  <c r="L12" i="13"/>
  <c r="L10" i="13"/>
  <c r="L207" i="13"/>
  <c r="L205" i="13"/>
  <c r="L203" i="13"/>
  <c r="L200" i="13"/>
  <c r="L198" i="13"/>
  <c r="L196" i="13"/>
  <c r="L194" i="13"/>
  <c r="L192" i="13"/>
  <c r="L190" i="13"/>
  <c r="L188" i="13"/>
  <c r="L186" i="13"/>
  <c r="L184" i="13"/>
  <c r="L182" i="13"/>
  <c r="L180" i="13"/>
  <c r="L177" i="13"/>
  <c r="L175" i="13"/>
  <c r="L171" i="13"/>
  <c r="L168" i="13"/>
  <c r="L166" i="13"/>
  <c r="L162" i="13"/>
  <c r="L158" i="13"/>
  <c r="L99" i="13"/>
  <c r="L94" i="13"/>
  <c r="L90" i="13"/>
  <c r="L86" i="13"/>
  <c r="L82" i="13"/>
  <c r="L75" i="13"/>
  <c r="L55" i="13"/>
  <c r="L51" i="13"/>
  <c r="L46" i="13"/>
  <c r="L36" i="13"/>
  <c r="L31" i="13"/>
  <c r="L21" i="13"/>
  <c r="L13" i="13"/>
  <c r="H71" i="14"/>
  <c r="P16" i="13"/>
  <c r="O20" i="13"/>
  <c r="M20" i="13"/>
  <c r="O19" i="13"/>
  <c r="P17" i="13"/>
  <c r="O18" i="13"/>
  <c r="M257" i="13"/>
  <c r="O255" i="13"/>
  <c r="P26" i="13"/>
  <c r="R211" i="13"/>
  <c r="S16" i="13"/>
  <c r="S20" i="13"/>
  <c r="S24" i="13"/>
  <c r="S36" i="13"/>
  <c r="S68" i="13"/>
  <c r="S116" i="13"/>
  <c r="S202" i="13"/>
  <c r="H86" i="14"/>
  <c r="H83" i="14"/>
  <c r="T15" i="13"/>
  <c r="C26" i="14" s="1"/>
  <c r="Q36" i="13"/>
  <c r="O31" i="13"/>
  <c r="N217" i="13"/>
  <c r="Q257" i="13"/>
  <c r="N69" i="13"/>
  <c r="N211" i="13"/>
  <c r="S48" i="13"/>
  <c r="S80" i="13"/>
  <c r="S142" i="13"/>
  <c r="M79" i="13"/>
  <c r="Q73" i="13"/>
  <c r="O67" i="13"/>
  <c r="M62" i="13"/>
  <c r="Q56" i="13"/>
  <c r="O51" i="13"/>
  <c r="M46" i="13"/>
  <c r="Q40" i="13"/>
  <c r="O35" i="13"/>
  <c r="M30" i="13"/>
  <c r="Q209" i="13"/>
  <c r="S56" i="13"/>
  <c r="S92" i="13"/>
  <c r="S170" i="13"/>
  <c r="S60" i="13"/>
  <c r="S100" i="13"/>
  <c r="S186" i="13"/>
  <c r="M50" i="13"/>
  <c r="Q44" i="13"/>
  <c r="O39" i="13"/>
  <c r="M34" i="13"/>
  <c r="R197" i="13"/>
  <c r="N214" i="13"/>
  <c r="N161" i="13"/>
  <c r="S32" i="13"/>
  <c r="S64" i="13"/>
  <c r="S108" i="13"/>
  <c r="S261" i="13"/>
  <c r="S242" i="13"/>
  <c r="S210" i="13"/>
  <c r="S178" i="13"/>
  <c r="S146" i="13"/>
  <c r="S130" i="13"/>
  <c r="S112" i="13"/>
  <c r="S96" i="13"/>
  <c r="S82" i="13"/>
  <c r="S74" i="13"/>
  <c r="S66" i="13"/>
  <c r="S58" i="13"/>
  <c r="S50" i="13"/>
  <c r="S42" i="13"/>
  <c r="S34" i="13"/>
  <c r="M255" i="13"/>
  <c r="N256" i="13"/>
  <c r="O257" i="13"/>
  <c r="N241" i="13"/>
  <c r="R261" i="13"/>
  <c r="P217" i="13"/>
  <c r="P214" i="13"/>
  <c r="O215" i="13"/>
  <c r="O209" i="13"/>
  <c r="N201" i="13"/>
  <c r="P197" i="13"/>
  <c r="Q179" i="13"/>
  <c r="M29" i="13"/>
  <c r="O30" i="13"/>
  <c r="Q31" i="13"/>
  <c r="M33" i="13"/>
  <c r="O34" i="13"/>
  <c r="Q35" i="13"/>
  <c r="M37" i="13"/>
  <c r="O38" i="13"/>
  <c r="Q39" i="13"/>
  <c r="M41" i="13"/>
  <c r="O42" i="13"/>
  <c r="Q43" i="13"/>
  <c r="M45" i="13"/>
  <c r="O46" i="13"/>
  <c r="Q47" i="13"/>
  <c r="M49" i="13"/>
  <c r="O50" i="13"/>
  <c r="Q51" i="13"/>
  <c r="M53" i="13"/>
  <c r="O54" i="13"/>
  <c r="Q55" i="13"/>
  <c r="M57" i="13"/>
  <c r="O58" i="13"/>
  <c r="Q59" i="13"/>
  <c r="M61" i="13"/>
  <c r="O62" i="13"/>
  <c r="Q63" i="13"/>
  <c r="M65" i="13"/>
  <c r="O66" i="13"/>
  <c r="Q67" i="13"/>
  <c r="M70" i="13"/>
  <c r="O71" i="13"/>
  <c r="Q72" i="13"/>
  <c r="M74" i="13"/>
  <c r="O75" i="13"/>
  <c r="Q76" i="13"/>
  <c r="M78" i="13"/>
  <c r="O79" i="13"/>
  <c r="Q80" i="13"/>
  <c r="M82" i="13"/>
  <c r="O83" i="13"/>
  <c r="Q84" i="13"/>
  <c r="M86" i="13"/>
  <c r="O87" i="13"/>
  <c r="Q88" i="13"/>
  <c r="M90" i="13"/>
  <c r="O91" i="13"/>
  <c r="Q92" i="13"/>
  <c r="M94" i="13"/>
  <c r="O95" i="13"/>
  <c r="Q96" i="13"/>
  <c r="M98" i="13"/>
  <c r="O99" i="13"/>
  <c r="Q100" i="13"/>
  <c r="M102" i="13"/>
  <c r="S238" i="13"/>
  <c r="S206" i="13"/>
  <c r="S174" i="13"/>
  <c r="S143" i="13"/>
  <c r="S127" i="13"/>
  <c r="S109" i="13"/>
  <c r="S93" i="13"/>
  <c r="S81" i="13"/>
  <c r="S73" i="13"/>
  <c r="S65" i="13"/>
  <c r="S57" i="13"/>
  <c r="S49" i="13"/>
  <c r="S41" i="13"/>
  <c r="S33" i="13"/>
  <c r="M211" i="13"/>
  <c r="M161" i="13"/>
  <c r="M69" i="13"/>
  <c r="N255" i="13"/>
  <c r="O256" i="13"/>
  <c r="P257" i="13"/>
  <c r="M241" i="13"/>
  <c r="Q217" i="13"/>
  <c r="Q214" i="13"/>
  <c r="P215" i="13"/>
  <c r="P209" i="13"/>
  <c r="O201" i="13"/>
  <c r="Q197" i="13"/>
  <c r="R179" i="13"/>
  <c r="N29" i="13"/>
  <c r="P30" i="13"/>
  <c r="R31" i="13"/>
  <c r="N33" i="13"/>
  <c r="P34" i="13"/>
  <c r="R35" i="13"/>
  <c r="N37" i="13"/>
  <c r="P38" i="13"/>
  <c r="R39" i="13"/>
  <c r="N41" i="13"/>
  <c r="P42" i="13"/>
  <c r="R43" i="13"/>
  <c r="N45" i="13"/>
  <c r="P46" i="13"/>
  <c r="R47" i="13"/>
  <c r="N49" i="13"/>
  <c r="P50" i="13"/>
  <c r="R51" i="13"/>
  <c r="N53" i="13"/>
  <c r="P54" i="13"/>
  <c r="R55" i="13"/>
  <c r="N57" i="13"/>
  <c r="P58" i="13"/>
  <c r="R59" i="13"/>
  <c r="N61" i="13"/>
  <c r="P62" i="13"/>
  <c r="R63" i="13"/>
  <c r="N65" i="13"/>
  <c r="P66" i="13"/>
  <c r="R67" i="13"/>
  <c r="N70" i="13"/>
  <c r="P71" i="13"/>
  <c r="R72" i="13"/>
  <c r="N74" i="13"/>
  <c r="P75" i="13"/>
  <c r="R76" i="13"/>
  <c r="N78" i="13"/>
  <c r="P79" i="13"/>
  <c r="R80" i="13"/>
  <c r="N82" i="13"/>
  <c r="P83" i="13"/>
  <c r="R84" i="13"/>
  <c r="N86" i="13"/>
  <c r="P87" i="13"/>
  <c r="S230" i="13"/>
  <c r="S198" i="13"/>
  <c r="S166" i="13"/>
  <c r="S139" i="13"/>
  <c r="S121" i="13"/>
  <c r="S105" i="13"/>
  <c r="S89" i="13"/>
  <c r="S79" i="13"/>
  <c r="S71" i="13"/>
  <c r="S63" i="13"/>
  <c r="S55" i="13"/>
  <c r="S47" i="13"/>
  <c r="S39" i="13"/>
  <c r="S31" i="13"/>
  <c r="O211" i="13"/>
  <c r="O161" i="13"/>
  <c r="O69" i="13"/>
  <c r="P255" i="13"/>
  <c r="Q256" i="13"/>
  <c r="R257" i="13"/>
  <c r="M261" i="13"/>
  <c r="R215" i="13"/>
  <c r="R209" i="13"/>
  <c r="Q201" i="13"/>
  <c r="N179" i="13"/>
  <c r="P29" i="13"/>
  <c r="R30" i="13"/>
  <c r="N32" i="13"/>
  <c r="P33" i="13"/>
  <c r="R34" i="13"/>
  <c r="N36" i="13"/>
  <c r="P37" i="13"/>
  <c r="R38" i="13"/>
  <c r="N40" i="13"/>
  <c r="P41" i="13"/>
  <c r="R42" i="13"/>
  <c r="N44" i="13"/>
  <c r="P45" i="13"/>
  <c r="R46" i="13"/>
  <c r="N48" i="13"/>
  <c r="P49" i="13"/>
  <c r="R50" i="13"/>
  <c r="N52" i="13"/>
  <c r="P53" i="13"/>
  <c r="R54" i="13"/>
  <c r="N56" i="13"/>
  <c r="P57" i="13"/>
  <c r="R58" i="13"/>
  <c r="N60" i="13"/>
  <c r="P61" i="13"/>
  <c r="R62" i="13"/>
  <c r="N64" i="13"/>
  <c r="P65" i="13"/>
  <c r="R66" i="13"/>
  <c r="N68" i="13"/>
  <c r="P70" i="13"/>
  <c r="R71" i="13"/>
  <c r="N73" i="13"/>
  <c r="P74" i="13"/>
  <c r="R75" i="13"/>
  <c r="N77" i="13"/>
  <c r="P78" i="13"/>
  <c r="R79" i="13"/>
  <c r="N81" i="13"/>
  <c r="P82" i="13"/>
  <c r="R83" i="13"/>
  <c r="N85" i="13"/>
  <c r="S258" i="13"/>
  <c r="S226" i="13"/>
  <c r="S194" i="13"/>
  <c r="S162" i="13"/>
  <c r="S138" i="13"/>
  <c r="S120" i="13"/>
  <c r="S104" i="13"/>
  <c r="S88" i="13"/>
  <c r="S78" i="13"/>
  <c r="S70" i="13"/>
  <c r="S62" i="13"/>
  <c r="S54" i="13"/>
  <c r="S46" i="13"/>
  <c r="S38" i="13"/>
  <c r="S30" i="13"/>
  <c r="P211" i="13"/>
  <c r="P161" i="13"/>
  <c r="P69" i="13"/>
  <c r="Q255" i="13"/>
  <c r="R256" i="13"/>
  <c r="R241" i="13"/>
  <c r="N261" i="13"/>
  <c r="R201" i="13"/>
  <c r="M179" i="13"/>
  <c r="Q29" i="13"/>
  <c r="M31" i="13"/>
  <c r="O32" i="13"/>
  <c r="Q33" i="13"/>
  <c r="M35" i="13"/>
  <c r="O36" i="13"/>
  <c r="Q37" i="13"/>
  <c r="M39" i="13"/>
  <c r="O40" i="13"/>
  <c r="Q41" i="13"/>
  <c r="M43" i="13"/>
  <c r="O44" i="13"/>
  <c r="Q45" i="13"/>
  <c r="M47" i="13"/>
  <c r="O48" i="13"/>
  <c r="Q49" i="13"/>
  <c r="M51" i="13"/>
  <c r="O52" i="13"/>
  <c r="Q53" i="13"/>
  <c r="M55" i="13"/>
  <c r="O56" i="13"/>
  <c r="Q57" i="13"/>
  <c r="M59" i="13"/>
  <c r="O60" i="13"/>
  <c r="Q61" i="13"/>
  <c r="M63" i="13"/>
  <c r="O64" i="13"/>
  <c r="Q65" i="13"/>
  <c r="M67" i="13"/>
  <c r="O68" i="13"/>
  <c r="Q70" i="13"/>
  <c r="M72" i="13"/>
  <c r="O73" i="13"/>
  <c r="Q74" i="13"/>
  <c r="M76" i="13"/>
  <c r="O77" i="13"/>
  <c r="Q78" i="13"/>
  <c r="M80" i="13"/>
  <c r="O81" i="13"/>
  <c r="Q82" i="13"/>
  <c r="M84" i="13"/>
  <c r="O85" i="13"/>
  <c r="Q86" i="13"/>
  <c r="M88" i="13"/>
  <c r="O89" i="13"/>
  <c r="Q90" i="13"/>
  <c r="S254" i="13"/>
  <c r="S222" i="13"/>
  <c r="S190" i="13"/>
  <c r="S158" i="13"/>
  <c r="S135" i="13"/>
  <c r="S117" i="13"/>
  <c r="S101" i="13"/>
  <c r="S85" i="13"/>
  <c r="S77" i="13"/>
  <c r="S69" i="13"/>
  <c r="S61" i="13"/>
  <c r="S53" i="13"/>
  <c r="S45" i="13"/>
  <c r="S37" i="13"/>
  <c r="S29" i="13"/>
  <c r="Q211" i="13"/>
  <c r="Q161" i="13"/>
  <c r="Q69" i="13"/>
  <c r="R255" i="13"/>
  <c r="Q241" i="13"/>
  <c r="O261" i="13"/>
  <c r="M217" i="13"/>
  <c r="M214" i="13"/>
  <c r="M197" i="13"/>
  <c r="R29" i="13"/>
  <c r="N31" i="13"/>
  <c r="P32" i="13"/>
  <c r="R33" i="13"/>
  <c r="N35" i="13"/>
  <c r="P36" i="13"/>
  <c r="R37" i="13"/>
  <c r="N39" i="13"/>
  <c r="P40" i="13"/>
  <c r="R41" i="13"/>
  <c r="N43" i="13"/>
  <c r="P44" i="13"/>
  <c r="R45" i="13"/>
  <c r="N47" i="13"/>
  <c r="P48" i="13"/>
  <c r="R49" i="13"/>
  <c r="N51" i="13"/>
  <c r="P52" i="13"/>
  <c r="R53" i="13"/>
  <c r="N55" i="13"/>
  <c r="P56" i="13"/>
  <c r="R57" i="13"/>
  <c r="N59" i="13"/>
  <c r="P60" i="13"/>
  <c r="R61" i="13"/>
  <c r="N63" i="13"/>
  <c r="P64" i="13"/>
  <c r="R65" i="13"/>
  <c r="N67" i="13"/>
  <c r="P68" i="13"/>
  <c r="R70" i="13"/>
  <c r="N72" i="13"/>
  <c r="P73" i="13"/>
  <c r="R74" i="13"/>
  <c r="N76" i="13"/>
  <c r="P77" i="13"/>
  <c r="R78" i="13"/>
  <c r="N80" i="13"/>
  <c r="P81" i="13"/>
  <c r="R82" i="13"/>
  <c r="S246" i="13"/>
  <c r="S214" i="13"/>
  <c r="S182" i="13"/>
  <c r="S150" i="13"/>
  <c r="S131" i="13"/>
  <c r="S113" i="13"/>
  <c r="S97" i="13"/>
  <c r="S83" i="13"/>
  <c r="S75" i="13"/>
  <c r="S67" i="13"/>
  <c r="S59" i="13"/>
  <c r="S51" i="13"/>
  <c r="S43" i="13"/>
  <c r="S35" i="13"/>
  <c r="M256" i="13"/>
  <c r="N257" i="13"/>
  <c r="O241" i="13"/>
  <c r="Q261" i="13"/>
  <c r="O217" i="13"/>
  <c r="O214" i="13"/>
  <c r="N215" i="13"/>
  <c r="N209" i="13"/>
  <c r="M201" i="13"/>
  <c r="O197" i="13"/>
  <c r="P179" i="13"/>
  <c r="N30" i="13"/>
  <c r="P31" i="13"/>
  <c r="R32" i="13"/>
  <c r="N34" i="13"/>
  <c r="P35" i="13"/>
  <c r="R36" i="13"/>
  <c r="N38" i="13"/>
  <c r="P39" i="13"/>
  <c r="R40" i="13"/>
  <c r="N42" i="13"/>
  <c r="P43" i="13"/>
  <c r="R44" i="13"/>
  <c r="N46" i="13"/>
  <c r="P47" i="13"/>
  <c r="R48" i="13"/>
  <c r="N50" i="13"/>
  <c r="P51" i="13"/>
  <c r="R52" i="13"/>
  <c r="N54" i="13"/>
  <c r="P55" i="13"/>
  <c r="R56" i="13"/>
  <c r="N58" i="13"/>
  <c r="P59" i="13"/>
  <c r="R60" i="13"/>
  <c r="N62" i="13"/>
  <c r="P63" i="13"/>
  <c r="R64" i="13"/>
  <c r="N66" i="13"/>
  <c r="P67" i="13"/>
  <c r="R68" i="13"/>
  <c r="N71" i="13"/>
  <c r="P72" i="13"/>
  <c r="R73" i="13"/>
  <c r="N75" i="13"/>
  <c r="P76" i="13"/>
  <c r="R77" i="13"/>
  <c r="N79" i="13"/>
  <c r="P80" i="13"/>
  <c r="R81" i="13"/>
  <c r="N83" i="13"/>
  <c r="P84" i="13"/>
  <c r="R85" i="13"/>
  <c r="S233" i="13"/>
  <c r="L50" i="13"/>
  <c r="L224" i="13"/>
  <c r="L220" i="13"/>
  <c r="L214" i="13"/>
  <c r="S87" i="13"/>
  <c r="L208" i="13"/>
  <c r="L204" i="13"/>
  <c r="L199" i="13"/>
  <c r="L195" i="13"/>
  <c r="L191" i="13"/>
  <c r="L187" i="13"/>
  <c r="L183" i="13"/>
  <c r="L178" i="13"/>
  <c r="L172" i="13"/>
  <c r="L167" i="13"/>
  <c r="L160" i="13"/>
  <c r="L119" i="13"/>
  <c r="L115" i="13"/>
  <c r="L110" i="13"/>
  <c r="L104" i="13"/>
  <c r="L70" i="13"/>
  <c r="L66" i="13"/>
  <c r="L60" i="13"/>
  <c r="B312" i="18"/>
  <c r="B304" i="18"/>
  <c r="B295" i="18"/>
  <c r="B287" i="18"/>
  <c r="B279" i="18"/>
  <c r="B271" i="18"/>
  <c r="B262" i="18"/>
  <c r="B252" i="18"/>
  <c r="B242" i="18"/>
  <c r="B234" i="18"/>
  <c r="B226" i="18"/>
  <c r="B216" i="18"/>
  <c r="B208" i="18"/>
  <c r="B199" i="18"/>
  <c r="B190" i="18"/>
  <c r="B182" i="18"/>
  <c r="B173" i="18"/>
  <c r="B165" i="18"/>
  <c r="B156" i="18"/>
  <c r="B147" i="18"/>
  <c r="B139" i="18"/>
  <c r="B131" i="18"/>
  <c r="B122" i="18"/>
  <c r="B114" i="18"/>
  <c r="B105" i="18"/>
  <c r="B96" i="18"/>
  <c r="B88" i="18"/>
  <c r="B80" i="18"/>
  <c r="B71" i="18"/>
  <c r="B63" i="18"/>
  <c r="B54" i="18"/>
  <c r="B311" i="18"/>
  <c r="B303" i="18"/>
  <c r="B294" i="18"/>
  <c r="B286" i="18"/>
  <c r="B278" i="18"/>
  <c r="B270" i="18"/>
  <c r="B261" i="18"/>
  <c r="B251" i="18"/>
  <c r="B241" i="18"/>
  <c r="B233" i="18"/>
  <c r="B225" i="18"/>
  <c r="B215" i="18"/>
  <c r="B207" i="18"/>
  <c r="B198" i="18"/>
  <c r="B189" i="18"/>
  <c r="B181" i="18"/>
  <c r="B172" i="18"/>
  <c r="B164" i="18"/>
  <c r="B154" i="18"/>
  <c r="B146" i="18"/>
  <c r="B138" i="18"/>
  <c r="B130" i="18"/>
  <c r="B121" i="18"/>
  <c r="B113" i="18"/>
  <c r="B104" i="18"/>
  <c r="B95" i="18"/>
  <c r="B87" i="18"/>
  <c r="B78" i="18"/>
  <c r="B70" i="18"/>
  <c r="B62" i="18"/>
  <c r="B53" i="18"/>
  <c r="B136" i="18"/>
  <c r="B119" i="18"/>
  <c r="B93" i="18"/>
  <c r="B59" i="18"/>
  <c r="B310" i="18"/>
  <c r="B302" i="18"/>
  <c r="B293" i="18"/>
  <c r="B285" i="18"/>
  <c r="B277" i="18"/>
  <c r="B269" i="18"/>
  <c r="B260" i="18"/>
  <c r="B250" i="18"/>
  <c r="B240" i="18"/>
  <c r="B232" i="18"/>
  <c r="B224" i="18"/>
  <c r="B214" i="18"/>
  <c r="B206" i="18"/>
  <c r="B197" i="18"/>
  <c r="B188" i="18"/>
  <c r="B180" i="18"/>
  <c r="B171" i="18"/>
  <c r="B163" i="18"/>
  <c r="B153" i="18"/>
  <c r="B145" i="18"/>
  <c r="B137" i="18"/>
  <c r="B129" i="18"/>
  <c r="B120" i="18"/>
  <c r="B112" i="18"/>
  <c r="B103" i="18"/>
  <c r="B94" i="18"/>
  <c r="B86" i="18"/>
  <c r="B77" i="18"/>
  <c r="B69" i="18"/>
  <c r="B60" i="18"/>
  <c r="B52" i="18"/>
  <c r="B128" i="18"/>
  <c r="B111" i="18"/>
  <c r="B85" i="18"/>
  <c r="B309" i="18"/>
  <c r="B301" i="18"/>
  <c r="B292" i="18"/>
  <c r="B284" i="18"/>
  <c r="B276" i="18"/>
  <c r="B267" i="18"/>
  <c r="B259" i="18"/>
  <c r="B249" i="18"/>
  <c r="B239" i="18"/>
  <c r="B231" i="18"/>
  <c r="B222" i="18"/>
  <c r="B213" i="18"/>
  <c r="B204" i="18"/>
  <c r="B196" i="18"/>
  <c r="B187" i="18"/>
  <c r="B179" i="18"/>
  <c r="B170" i="18"/>
  <c r="B162" i="18"/>
  <c r="B152" i="18"/>
  <c r="B144" i="18"/>
  <c r="B308" i="18"/>
  <c r="B299" i="18"/>
  <c r="B291" i="18"/>
  <c r="B283" i="18"/>
  <c r="B275" i="18"/>
  <c r="B266" i="18"/>
  <c r="B257" i="18"/>
  <c r="B248" i="18"/>
  <c r="B238" i="18"/>
  <c r="B230" i="18"/>
  <c r="B221" i="18"/>
  <c r="B212" i="18"/>
  <c r="B203" i="18"/>
  <c r="B195" i="18"/>
  <c r="B186" i="18"/>
  <c r="B177" i="18"/>
  <c r="B169" i="18"/>
  <c r="B161" i="18"/>
  <c r="B151" i="18"/>
  <c r="B143" i="18"/>
  <c r="B135" i="18"/>
  <c r="B127" i="18"/>
  <c r="B118" i="18"/>
  <c r="B109" i="18"/>
  <c r="B101" i="18"/>
  <c r="B92" i="18"/>
  <c r="B75" i="18"/>
  <c r="B67" i="18"/>
  <c r="B58" i="18"/>
  <c r="B49" i="18"/>
  <c r="B102" i="18"/>
  <c r="B50" i="18"/>
  <c r="B307" i="18"/>
  <c r="B298" i="18"/>
  <c r="B290" i="18"/>
  <c r="B282" i="18"/>
  <c r="B274" i="18"/>
  <c r="B265" i="18"/>
  <c r="B256" i="18"/>
  <c r="B246" i="18"/>
  <c r="B237" i="18"/>
  <c r="B229" i="18"/>
  <c r="B220" i="18"/>
  <c r="B211" i="18"/>
  <c r="B202" i="18"/>
  <c r="B194" i="18"/>
  <c r="B185" i="18"/>
  <c r="B176" i="18"/>
  <c r="B168" i="18"/>
  <c r="B160" i="18"/>
  <c r="B150" i="18"/>
  <c r="B142" i="18"/>
  <c r="B134" i="18"/>
  <c r="B125" i="18"/>
  <c r="B117" i="18"/>
  <c r="B108" i="18"/>
  <c r="B100" i="18"/>
  <c r="B91" i="18"/>
  <c r="B83" i="18"/>
  <c r="B74" i="18"/>
  <c r="B66" i="18"/>
  <c r="B57" i="18"/>
  <c r="B48" i="18"/>
  <c r="B68" i="18"/>
  <c r="B306" i="18"/>
  <c r="B297" i="18"/>
  <c r="B289" i="18"/>
  <c r="B281" i="18"/>
  <c r="B273" i="18"/>
  <c r="B264" i="18"/>
  <c r="B255" i="18"/>
  <c r="B245" i="18"/>
  <c r="B236" i="18"/>
  <c r="B228" i="18"/>
  <c r="B219" i="18"/>
  <c r="B210" i="18"/>
  <c r="B201" i="18"/>
  <c r="B193" i="18"/>
  <c r="B184" i="18"/>
  <c r="B175" i="18"/>
  <c r="B167" i="18"/>
  <c r="B159" i="18"/>
  <c r="B149" i="18"/>
  <c r="B141" i="18"/>
  <c r="B133" i="18"/>
  <c r="B124" i="18"/>
  <c r="B116" i="18"/>
  <c r="B107" i="18"/>
  <c r="B99" i="18"/>
  <c r="B90" i="18"/>
  <c r="B82" i="18"/>
  <c r="B73" i="18"/>
  <c r="B65" i="18"/>
  <c r="B56" i="18"/>
  <c r="B47" i="18"/>
  <c r="B305" i="18"/>
  <c r="B296" i="18"/>
  <c r="B288" i="18"/>
  <c r="B280" i="18"/>
  <c r="B272" i="18"/>
  <c r="B263" i="18"/>
  <c r="B254" i="18"/>
  <c r="B243" i="18"/>
  <c r="B235" i="18"/>
  <c r="B227" i="18"/>
  <c r="B218" i="18"/>
  <c r="B209" i="18"/>
  <c r="B200" i="18"/>
  <c r="B191" i="18"/>
  <c r="B183" i="18"/>
  <c r="B174" i="18"/>
  <c r="B166" i="18"/>
  <c r="B157" i="18"/>
  <c r="B148" i="18"/>
  <c r="B140" i="18"/>
  <c r="B132" i="18"/>
  <c r="B123" i="18"/>
  <c r="B115" i="18"/>
  <c r="B106" i="18"/>
  <c r="B98" i="18"/>
  <c r="B89" i="18"/>
  <c r="B81" i="18"/>
  <c r="B72" i="18"/>
  <c r="B64" i="18"/>
  <c r="B55" i="18"/>
  <c r="B76" i="18"/>
  <c r="B312" i="10"/>
  <c r="B304" i="10"/>
  <c r="B295" i="10"/>
  <c r="B287" i="10"/>
  <c r="B279" i="10"/>
  <c r="B271" i="10"/>
  <c r="B262" i="10"/>
  <c r="B252" i="10"/>
  <c r="B242" i="10"/>
  <c r="B234" i="10"/>
  <c r="B226" i="10"/>
  <c r="B216" i="10"/>
  <c r="B208" i="10"/>
  <c r="B199" i="10"/>
  <c r="B190" i="10"/>
  <c r="B182" i="10"/>
  <c r="B173" i="10"/>
  <c r="B165" i="10"/>
  <c r="B156" i="10"/>
  <c r="B147" i="10"/>
  <c r="B139" i="10"/>
  <c r="B131" i="10"/>
  <c r="B122" i="10"/>
  <c r="B114" i="10"/>
  <c r="B105" i="10"/>
  <c r="B96" i="10"/>
  <c r="B88" i="10"/>
  <c r="B80" i="10"/>
  <c r="B71" i="10"/>
  <c r="B63" i="10"/>
  <c r="B54" i="10"/>
  <c r="B108" i="10"/>
  <c r="B264" i="10"/>
  <c r="B236" i="10"/>
  <c r="B175" i="10"/>
  <c r="B133" i="10"/>
  <c r="B73" i="10"/>
  <c r="B305" i="10"/>
  <c r="B263" i="10"/>
  <c r="B218" i="10"/>
  <c r="B166" i="10"/>
  <c r="B115" i="10"/>
  <c r="B72" i="10"/>
  <c r="B311" i="10"/>
  <c r="B303" i="10"/>
  <c r="B294" i="10"/>
  <c r="B286" i="10"/>
  <c r="B278" i="10"/>
  <c r="B270" i="10"/>
  <c r="B261" i="10"/>
  <c r="B251" i="10"/>
  <c r="B241" i="10"/>
  <c r="B233" i="10"/>
  <c r="B225" i="10"/>
  <c r="B215" i="10"/>
  <c r="B207" i="10"/>
  <c r="B198" i="10"/>
  <c r="B189" i="10"/>
  <c r="B181" i="10"/>
  <c r="B172" i="10"/>
  <c r="B164" i="10"/>
  <c r="B154" i="10"/>
  <c r="B146" i="10"/>
  <c r="B138" i="10"/>
  <c r="B130" i="10"/>
  <c r="B121" i="10"/>
  <c r="B113" i="10"/>
  <c r="B104" i="10"/>
  <c r="B95" i="10"/>
  <c r="B87" i="10"/>
  <c r="B78" i="10"/>
  <c r="B70" i="10"/>
  <c r="B62" i="10"/>
  <c r="B53" i="10"/>
  <c r="B83" i="10"/>
  <c r="B273" i="10"/>
  <c r="B210" i="10"/>
  <c r="B159" i="10"/>
  <c r="B116" i="10"/>
  <c r="B65" i="10"/>
  <c r="B288" i="10"/>
  <c r="B243" i="10"/>
  <c r="B200" i="10"/>
  <c r="B148" i="10"/>
  <c r="B89" i="10"/>
  <c r="B310" i="10"/>
  <c r="B302" i="10"/>
  <c r="B293" i="10"/>
  <c r="B285" i="10"/>
  <c r="B277" i="10"/>
  <c r="B269" i="10"/>
  <c r="B260" i="10"/>
  <c r="B250" i="10"/>
  <c r="B240" i="10"/>
  <c r="B232" i="10"/>
  <c r="B224" i="10"/>
  <c r="B214" i="10"/>
  <c r="B206" i="10"/>
  <c r="B197" i="10"/>
  <c r="B188" i="10"/>
  <c r="B180" i="10"/>
  <c r="B171" i="10"/>
  <c r="B163" i="10"/>
  <c r="B153" i="10"/>
  <c r="B145" i="10"/>
  <c r="B137" i="10"/>
  <c r="B129" i="10"/>
  <c r="B120" i="10"/>
  <c r="B112" i="10"/>
  <c r="B103" i="10"/>
  <c r="B94" i="10"/>
  <c r="B86" i="10"/>
  <c r="B77" i="10"/>
  <c r="B69" i="10"/>
  <c r="B60" i="10"/>
  <c r="B52" i="10"/>
  <c r="B125" i="10"/>
  <c r="B66" i="10"/>
  <c r="B297" i="10"/>
  <c r="B255" i="10"/>
  <c r="B201" i="10"/>
  <c r="B141" i="10"/>
  <c r="B90" i="10"/>
  <c r="B272" i="10"/>
  <c r="B209" i="10"/>
  <c r="B157" i="10"/>
  <c r="B106" i="10"/>
  <c r="B55" i="10"/>
  <c r="B309" i="10"/>
  <c r="B301" i="10"/>
  <c r="B292" i="10"/>
  <c r="B284" i="10"/>
  <c r="B276" i="10"/>
  <c r="B267" i="10"/>
  <c r="B259" i="10"/>
  <c r="B249" i="10"/>
  <c r="B239" i="10"/>
  <c r="B231" i="10"/>
  <c r="B222" i="10"/>
  <c r="B213" i="10"/>
  <c r="B204" i="10"/>
  <c r="B196" i="10"/>
  <c r="B187" i="10"/>
  <c r="B179" i="10"/>
  <c r="B170" i="10"/>
  <c r="B162" i="10"/>
  <c r="B152" i="10"/>
  <c r="B144" i="10"/>
  <c r="B136" i="10"/>
  <c r="B128" i="10"/>
  <c r="B119" i="10"/>
  <c r="B111" i="10"/>
  <c r="B102" i="10"/>
  <c r="B93" i="10"/>
  <c r="B85" i="10"/>
  <c r="B76" i="10"/>
  <c r="B68" i="10"/>
  <c r="B59" i="10"/>
  <c r="B91" i="10"/>
  <c r="B281" i="10"/>
  <c r="B219" i="10"/>
  <c r="B167" i="10"/>
  <c r="B107" i="10"/>
  <c r="B56" i="10"/>
  <c r="B296" i="10"/>
  <c r="B254" i="10"/>
  <c r="B191" i="10"/>
  <c r="B140" i="10"/>
  <c r="B98" i="10"/>
  <c r="B308" i="10"/>
  <c r="B299" i="10"/>
  <c r="B291" i="10"/>
  <c r="B283" i="10"/>
  <c r="B275" i="10"/>
  <c r="B266" i="10"/>
  <c r="B257" i="10"/>
  <c r="B248" i="10"/>
  <c r="B238" i="10"/>
  <c r="B230" i="10"/>
  <c r="B221" i="10"/>
  <c r="B212" i="10"/>
  <c r="B203" i="10"/>
  <c r="B195" i="10"/>
  <c r="B186" i="10"/>
  <c r="B177" i="10"/>
  <c r="B169" i="10"/>
  <c r="B161" i="10"/>
  <c r="B151" i="10"/>
  <c r="B143" i="10"/>
  <c r="B135" i="10"/>
  <c r="B127" i="10"/>
  <c r="B118" i="10"/>
  <c r="B109" i="10"/>
  <c r="B101" i="10"/>
  <c r="B92" i="10"/>
  <c r="B84" i="10"/>
  <c r="B75" i="10"/>
  <c r="B67" i="10"/>
  <c r="B58" i="10"/>
  <c r="B100" i="10"/>
  <c r="B57" i="10"/>
  <c r="B289" i="10"/>
  <c r="B228" i="10"/>
  <c r="B184" i="10"/>
  <c r="B124" i="10"/>
  <c r="B82" i="10"/>
  <c r="B280" i="10"/>
  <c r="B227" i="10"/>
  <c r="B174" i="10"/>
  <c r="B123" i="10"/>
  <c r="B64" i="10"/>
  <c r="B307" i="10"/>
  <c r="B298" i="10"/>
  <c r="B290" i="10"/>
  <c r="B282" i="10"/>
  <c r="B274" i="10"/>
  <c r="B265" i="10"/>
  <c r="B256" i="10"/>
  <c r="B246" i="10"/>
  <c r="B237" i="10"/>
  <c r="B229" i="10"/>
  <c r="B220" i="10"/>
  <c r="B211" i="10"/>
  <c r="B202" i="10"/>
  <c r="B194" i="10"/>
  <c r="B185" i="10"/>
  <c r="B176" i="10"/>
  <c r="B168" i="10"/>
  <c r="B160" i="10"/>
  <c r="B150" i="10"/>
  <c r="B142" i="10"/>
  <c r="B134" i="10"/>
  <c r="B117" i="10"/>
  <c r="B74" i="10"/>
  <c r="B306" i="10"/>
  <c r="B245" i="10"/>
  <c r="B193" i="10"/>
  <c r="B149" i="10"/>
  <c r="B99" i="10"/>
  <c r="B235" i="10"/>
  <c r="B183" i="10"/>
  <c r="B132" i="10"/>
  <c r="B81" i="10"/>
  <c r="L223" i="13"/>
  <c r="L219" i="13"/>
  <c r="L213" i="13"/>
  <c r="L107" i="13"/>
  <c r="L112" i="13"/>
  <c r="J241" i="13"/>
  <c r="L241" i="13" s="1"/>
  <c r="L265" i="13"/>
  <c r="L258" i="13"/>
  <c r="L251" i="13"/>
  <c r="L247" i="13"/>
  <c r="L243" i="13"/>
  <c r="L238" i="13"/>
  <c r="L234" i="13"/>
  <c r="L230" i="13"/>
  <c r="L226" i="13"/>
  <c r="L222" i="13"/>
  <c r="L218" i="13"/>
  <c r="L212" i="13"/>
  <c r="L150" i="13"/>
  <c r="L139" i="13"/>
  <c r="L130" i="13"/>
  <c r="L97" i="13"/>
  <c r="L92" i="13"/>
  <c r="L88" i="13"/>
  <c r="L84" i="13"/>
  <c r="L78" i="13"/>
  <c r="L53" i="13"/>
  <c r="L48" i="13"/>
  <c r="L42" i="13"/>
  <c r="L33" i="13"/>
  <c r="L29" i="13"/>
  <c r="L23" i="13"/>
  <c r="L15" i="13"/>
  <c r="L11" i="13"/>
  <c r="L159" i="13"/>
  <c r="H70" i="14"/>
  <c r="J261" i="13"/>
  <c r="L261" i="13" s="1"/>
  <c r="L189" i="13"/>
  <c r="L185" i="13"/>
  <c r="L181" i="13"/>
  <c r="L176" i="13"/>
  <c r="L169" i="13"/>
  <c r="L165" i="13"/>
  <c r="L121" i="13"/>
  <c r="L117" i="13"/>
  <c r="L113" i="13"/>
  <c r="L108" i="13"/>
  <c r="L72" i="13"/>
  <c r="L68" i="13"/>
  <c r="L64" i="13"/>
  <c r="L57" i="13"/>
  <c r="L229" i="13"/>
  <c r="L225" i="13"/>
  <c r="L221" i="13"/>
  <c r="L216" i="13"/>
  <c r="L179" i="13"/>
  <c r="H87" i="14"/>
  <c r="H128" i="13"/>
  <c r="K128" i="13" s="1"/>
  <c r="E128" i="13" s="1"/>
  <c r="L209" i="13"/>
  <c r="J122" i="13"/>
  <c r="L122" i="13" s="1"/>
  <c r="L148" i="13"/>
  <c r="J133" i="13"/>
  <c r="L133" i="13" s="1"/>
  <c r="V18" i="13"/>
  <c r="Y18" i="13"/>
  <c r="F29" i="14" s="1"/>
  <c r="V21" i="13"/>
  <c r="U21" i="13"/>
  <c r="U18" i="13"/>
  <c r="Y21" i="13"/>
  <c r="J142" i="13"/>
  <c r="L142" i="13" s="1"/>
  <c r="L123" i="13"/>
  <c r="H58" i="13"/>
  <c r="K58" i="13" s="1"/>
  <c r="E58" i="13" s="1"/>
  <c r="S147" i="13"/>
  <c r="S151" i="13"/>
  <c r="S155" i="13"/>
  <c r="S159" i="13"/>
  <c r="S163" i="13"/>
  <c r="S167" i="13"/>
  <c r="S171" i="13"/>
  <c r="S175" i="13"/>
  <c r="S179" i="13"/>
  <c r="S183" i="13"/>
  <c r="S187" i="13"/>
  <c r="S191" i="13"/>
  <c r="S195" i="13"/>
  <c r="S199" i="13"/>
  <c r="S203" i="13"/>
  <c r="S207" i="13"/>
  <c r="S211" i="13"/>
  <c r="S215" i="13"/>
  <c r="S219" i="13"/>
  <c r="S223" i="13"/>
  <c r="S227" i="13"/>
  <c r="S231" i="13"/>
  <c r="S235" i="13"/>
  <c r="S239" i="13"/>
  <c r="S243" i="13"/>
  <c r="S247" i="13"/>
  <c r="S251" i="13"/>
  <c r="S255" i="13"/>
  <c r="S259" i="13"/>
  <c r="S86" i="13"/>
  <c r="S90" i="13"/>
  <c r="S94" i="13"/>
  <c r="S98" i="13"/>
  <c r="S102" i="13"/>
  <c r="S106" i="13"/>
  <c r="S110" i="13"/>
  <c r="S114" i="13"/>
  <c r="S118" i="13"/>
  <c r="S122" i="13"/>
  <c r="S128" i="13"/>
  <c r="S132" i="13"/>
  <c r="S136" i="13"/>
  <c r="S140" i="13"/>
  <c r="S144" i="13"/>
  <c r="S148" i="13"/>
  <c r="S152" i="13"/>
  <c r="S156" i="13"/>
  <c r="S160" i="13"/>
  <c r="S164" i="13"/>
  <c r="S168" i="13"/>
  <c r="S172" i="13"/>
  <c r="S176" i="13"/>
  <c r="S180" i="13"/>
  <c r="S184" i="13"/>
  <c r="S188" i="13"/>
  <c r="S192" i="13"/>
  <c r="S196" i="13"/>
  <c r="S200" i="13"/>
  <c r="S204" i="13"/>
  <c r="S208" i="13"/>
  <c r="S212" i="13"/>
  <c r="S216" i="13"/>
  <c r="S220" i="13"/>
  <c r="S224" i="13"/>
  <c r="S228" i="13"/>
  <c r="S232" i="13"/>
  <c r="S236" i="13"/>
  <c r="S240" i="13"/>
  <c r="S244" i="13"/>
  <c r="S248" i="13"/>
  <c r="S252" i="13"/>
  <c r="S256" i="13"/>
  <c r="S260" i="13"/>
  <c r="S91" i="13"/>
  <c r="S95" i="13"/>
  <c r="S99" i="13"/>
  <c r="S103" i="13"/>
  <c r="S107" i="13"/>
  <c r="S111" i="13"/>
  <c r="S115" i="13"/>
  <c r="S119" i="13"/>
  <c r="S125" i="13"/>
  <c r="S129" i="13"/>
  <c r="S133" i="13"/>
  <c r="S137" i="13"/>
  <c r="S141" i="13"/>
  <c r="S145" i="13"/>
  <c r="S149" i="13"/>
  <c r="S153" i="13"/>
  <c r="S157" i="13"/>
  <c r="S161" i="13"/>
  <c r="S165" i="13"/>
  <c r="S169" i="13"/>
  <c r="S173" i="13"/>
  <c r="S177" i="13"/>
  <c r="S181" i="13"/>
  <c r="S185" i="13"/>
  <c r="S189" i="13"/>
  <c r="S193" i="13"/>
  <c r="S197" i="13"/>
  <c r="S201" i="13"/>
  <c r="S205" i="13"/>
  <c r="S209" i="13"/>
  <c r="S213" i="13"/>
  <c r="S217" i="13"/>
  <c r="S221" i="13"/>
  <c r="S225" i="13"/>
  <c r="S229" i="13"/>
  <c r="S237" i="13"/>
  <c r="S241" i="13"/>
  <c r="S245" i="13"/>
  <c r="S249" i="13"/>
  <c r="S253" i="13"/>
  <c r="S257" i="13"/>
  <c r="Y15" i="13"/>
  <c r="F26" i="14" s="1"/>
  <c r="W15" i="13"/>
  <c r="E26" i="14" s="1"/>
  <c r="V19" i="13"/>
  <c r="H161" i="13"/>
  <c r="L161" i="13" s="1"/>
  <c r="K143" i="13"/>
  <c r="E143" i="13" s="1"/>
  <c r="L134" i="13"/>
  <c r="W19" i="13"/>
  <c r="E30" i="14" s="1"/>
  <c r="X19" i="13"/>
  <c r="D30" i="14" s="1"/>
  <c r="V15" i="13"/>
  <c r="X15" i="13"/>
  <c r="D26" i="14" s="1"/>
  <c r="J210" i="13"/>
  <c r="L210" i="13" s="1"/>
  <c r="J25" i="13"/>
  <c r="L25" i="13" s="1"/>
  <c r="H26" i="13"/>
  <c r="K26" i="13" s="1"/>
  <c r="E26" i="13" s="1"/>
  <c r="J63" i="13"/>
  <c r="L63" i="13" s="1"/>
  <c r="J268" i="13"/>
  <c r="L268" i="13" s="1"/>
  <c r="J128" i="13"/>
  <c r="J146" i="13"/>
  <c r="L146" i="13" s="1"/>
  <c r="J79" i="13"/>
  <c r="L79" i="13" s="1"/>
  <c r="J215" i="13"/>
  <c r="L215" i="13" s="1"/>
  <c r="J263" i="13"/>
  <c r="L263" i="13" s="1"/>
  <c r="H78" i="14"/>
  <c r="J170" i="13"/>
  <c r="L170" i="13" s="1"/>
  <c r="J96" i="13"/>
  <c r="L96" i="13" s="1"/>
  <c r="J45" i="13"/>
  <c r="L45" i="13" s="1"/>
  <c r="J105" i="13"/>
  <c r="L105" i="13" s="1"/>
  <c r="J256" i="13"/>
  <c r="L256" i="13" s="1"/>
  <c r="J16" i="13"/>
  <c r="L16" i="13" s="1"/>
  <c r="J18" i="13"/>
  <c r="L18" i="13" s="1"/>
  <c r="J43" i="13"/>
  <c r="L43" i="13" s="1"/>
  <c r="J131" i="13"/>
  <c r="L131" i="13" s="1"/>
  <c r="J163" i="13"/>
  <c r="L163" i="13" s="1"/>
  <c r="J161" i="13"/>
  <c r="J61" i="13"/>
  <c r="L61" i="13" s="1"/>
  <c r="J76" i="13"/>
  <c r="L76" i="13" s="1"/>
  <c r="J80" i="13"/>
  <c r="L80" i="13" s="1"/>
  <c r="J103" i="13"/>
  <c r="L103" i="13" s="1"/>
  <c r="J201" i="13"/>
  <c r="L201" i="13" s="1"/>
  <c r="J217" i="13"/>
  <c r="L217" i="13" s="1"/>
  <c r="J255" i="13"/>
  <c r="L255" i="13" s="1"/>
  <c r="J257" i="13"/>
  <c r="L257" i="13" s="1"/>
  <c r="J262" i="13"/>
  <c r="L262" i="13" s="1"/>
  <c r="J40" i="13"/>
  <c r="L40" i="13" s="1"/>
  <c r="H76" i="14"/>
  <c r="J38" i="13"/>
  <c r="L38" i="13" s="1"/>
  <c r="J136" i="13"/>
  <c r="L136" i="13" s="1"/>
  <c r="H75" i="14"/>
  <c r="J17" i="13"/>
  <c r="L17" i="13" s="1"/>
  <c r="J19" i="13"/>
  <c r="L19" i="13" s="1"/>
  <c r="J37" i="13"/>
  <c r="L37" i="13" s="1"/>
  <c r="J41" i="13"/>
  <c r="L41" i="13" s="1"/>
  <c r="J44" i="13"/>
  <c r="L44" i="13" s="1"/>
  <c r="J125" i="13"/>
  <c r="L125" i="13" s="1"/>
  <c r="J135" i="13"/>
  <c r="L135" i="13" s="1"/>
  <c r="J153" i="13"/>
  <c r="L153" i="13" s="1"/>
  <c r="J164" i="13"/>
  <c r="L164" i="13" s="1"/>
  <c r="J173" i="13"/>
  <c r="L173" i="13" s="1"/>
  <c r="J138" i="13"/>
  <c r="L138" i="13" s="1"/>
  <c r="O123" i="13"/>
  <c r="R123" i="13"/>
  <c r="D123" i="13"/>
  <c r="I123" i="13"/>
  <c r="J123" i="13" s="1"/>
  <c r="S123" i="13"/>
  <c r="P123" i="13"/>
  <c r="C123" i="13"/>
  <c r="M123" i="13"/>
  <c r="Q123" i="13"/>
  <c r="N123" i="13"/>
  <c r="L211" i="13"/>
  <c r="K211" i="13"/>
  <c r="E211" i="13" s="1"/>
  <c r="T17" i="13"/>
  <c r="C28" i="14" s="1"/>
  <c r="U20" i="13"/>
  <c r="D124" i="13"/>
  <c r="O124" i="13"/>
  <c r="Y20" i="13"/>
  <c r="F31" i="14" s="1"/>
  <c r="V20" i="13"/>
  <c r="X20" i="13"/>
  <c r="D31" i="14" s="1"/>
  <c r="Y17" i="13"/>
  <c r="F28" i="14" s="1"/>
  <c r="R124" i="13"/>
  <c r="N124" i="13"/>
  <c r="T21" i="13"/>
  <c r="C32" i="14" s="1"/>
  <c r="L124" i="13"/>
  <c r="H101" i="13"/>
  <c r="K101" i="13" s="1"/>
  <c r="E101" i="13" s="1"/>
  <c r="T20" i="13"/>
  <c r="C31" i="14" s="1"/>
  <c r="C124" i="13"/>
  <c r="Q124" i="13"/>
  <c r="M124" i="13"/>
  <c r="S124" i="13"/>
  <c r="H56" i="13"/>
  <c r="H73" i="13"/>
  <c r="L73" i="13" s="1"/>
  <c r="X21" i="13"/>
  <c r="D32" i="14" s="1"/>
  <c r="K28" i="13"/>
  <c r="E28" i="13" s="1"/>
  <c r="L28" i="13"/>
  <c r="H59" i="13"/>
  <c r="U9" i="13" l="1"/>
  <c r="L128" i="13"/>
  <c r="L58" i="13"/>
  <c r="L101" i="13"/>
  <c r="L26" i="13"/>
  <c r="K161" i="13"/>
  <c r="E161" i="13" s="1"/>
  <c r="L56" i="13"/>
  <c r="W4" i="13" s="1"/>
  <c r="K56" i="13"/>
  <c r="E56" i="13" s="1"/>
  <c r="K59" i="13"/>
  <c r="E59" i="13" s="1"/>
  <c r="L59" i="13"/>
  <c r="I28" i="13"/>
  <c r="J28" i="13" s="1"/>
  <c r="W13" i="13"/>
  <c r="X6" i="13"/>
  <c r="D17" i="14" s="1"/>
  <c r="X14" i="13"/>
  <c r="D25" i="14" s="1"/>
  <c r="X10" i="13"/>
  <c r="D21" i="14" s="1"/>
  <c r="X5" i="13"/>
  <c r="D16" i="14" s="1"/>
  <c r="O28" i="13"/>
  <c r="V10" i="13"/>
  <c r="V14" i="13"/>
  <c r="V3" i="13"/>
  <c r="X13" i="13"/>
  <c r="D24" i="14" s="1"/>
  <c r="X9" i="13"/>
  <c r="D20" i="14" s="1"/>
  <c r="P28" i="13"/>
  <c r="V7" i="13"/>
  <c r="V11" i="13"/>
  <c r="V2" i="13"/>
  <c r="U7" i="13"/>
  <c r="W10" i="13"/>
  <c r="W8" i="13"/>
  <c r="W12" i="13"/>
  <c r="V8" i="13"/>
  <c r="V12" i="13"/>
  <c r="V5" i="13"/>
  <c r="C28" i="13"/>
  <c r="U4" i="13"/>
  <c r="V6" i="13"/>
  <c r="S28" i="13"/>
  <c r="X12" i="13"/>
  <c r="D23" i="14" s="1"/>
  <c r="X8" i="13"/>
  <c r="D19" i="14" s="1"/>
  <c r="X3" i="13"/>
  <c r="D14" i="14" s="1"/>
  <c r="M28" i="13"/>
  <c r="Q28" i="13"/>
  <c r="U5" i="13"/>
  <c r="W6" i="13"/>
  <c r="U6" i="13"/>
  <c r="X11" i="13"/>
  <c r="D22" i="14" s="1"/>
  <c r="X7" i="13"/>
  <c r="D18" i="14" s="1"/>
  <c r="X2" i="13"/>
  <c r="D13" i="14" s="1"/>
  <c r="N28" i="13"/>
  <c r="R28" i="13"/>
  <c r="W5" i="13"/>
  <c r="U3" i="13"/>
  <c r="U11" i="13"/>
  <c r="U12" i="13"/>
  <c r="W7" i="13"/>
  <c r="U13" i="13"/>
  <c r="U2" i="13"/>
  <c r="V9" i="13"/>
  <c r="W2" i="13"/>
  <c r="W9" i="13"/>
  <c r="U8" i="13"/>
  <c r="U10" i="13"/>
  <c r="W14" i="13"/>
  <c r="W3" i="13"/>
  <c r="U14" i="13"/>
  <c r="V13" i="13"/>
  <c r="D28" i="13"/>
  <c r="V4" i="13"/>
  <c r="W11" i="13"/>
  <c r="U23" i="13" l="1"/>
  <c r="X4" i="13"/>
  <c r="D15" i="14" s="1"/>
  <c r="V23" i="13"/>
  <c r="E13" i="14"/>
  <c r="Y2" i="13"/>
  <c r="Y23" i="13"/>
  <c r="E33" i="14" s="1"/>
  <c r="E18" i="14"/>
  <c r="Y7" i="13"/>
  <c r="F18" i="14" s="1"/>
  <c r="E16" i="14"/>
  <c r="Y5" i="13"/>
  <c r="F16" i="14" s="1"/>
  <c r="E24" i="14"/>
  <c r="Y13" i="13"/>
  <c r="F24" i="14" s="1"/>
  <c r="E23" i="14"/>
  <c r="Y12" i="13"/>
  <c r="F23" i="14" s="1"/>
  <c r="E22" i="14"/>
  <c r="Y11" i="13"/>
  <c r="F22" i="14" s="1"/>
  <c r="Y8" i="13"/>
  <c r="F19" i="14" s="1"/>
  <c r="E19" i="14"/>
  <c r="E15" i="14"/>
  <c r="Y3" i="13"/>
  <c r="F14" i="14" s="1"/>
  <c r="E14" i="14"/>
  <c r="E25" i="14"/>
  <c r="Y14" i="13"/>
  <c r="F25" i="14" s="1"/>
  <c r="Y9" i="13"/>
  <c r="F20" i="14" s="1"/>
  <c r="E20" i="14"/>
  <c r="E17" i="14"/>
  <c r="Y6" i="13"/>
  <c r="F17" i="14" s="1"/>
  <c r="E21" i="14"/>
  <c r="Y10" i="13"/>
  <c r="F21" i="14" s="1"/>
  <c r="Y4" i="13" l="1"/>
  <c r="F15" i="14" s="1"/>
  <c r="F13" i="14"/>
  <c r="W23" i="13" l="1"/>
  <c r="X23" i="13" s="1"/>
  <c r="D6" i="15" l="1"/>
  <c r="F33" i="14"/>
  <c r="E6" i="15"/>
  <c r="D33"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Charles Escue</author>
    <author/>
  </authors>
  <commentList>
    <comment ref="B26" authorId="0" shapeId="0" xr:uid="{00000000-0006-0000-0200-000001000000}">
      <text>
        <r>
          <rPr>
            <b/>
            <sz val="10"/>
            <color rgb="FF000000"/>
            <rFont val="Calibri"/>
            <family val="2"/>
          </rPr>
          <t>The Institution views hosted solutions such as AWS, Rackspace, Azure, and other PaaS/SaaS offerings as third parties. If services such as these are used in your environment, respond "Yes".</t>
        </r>
      </text>
    </comment>
    <comment ref="B32" authorId="1" shapeId="0" xr:uid="{00000000-0006-0000-0200-000002000000}">
      <text>
        <r>
          <rPr>
            <sz val="12"/>
            <color rgb="FF000000"/>
            <rFont val="Verdana"/>
            <family val="2"/>
          </rPr>
          <t xml:space="preserve">In 2011, Statement on Standards for Attestation Engagements (SSAE) No. 16 took effect and replaced SAS 70 as the authoritative guidance for performing a service auditor's examination.  SSAE 16 established a new attestation standard (AT 801) to contain the professional guidance. 
</t>
        </r>
        <r>
          <rPr>
            <sz val="12"/>
            <color rgb="FF000000"/>
            <rFont val="Verdana"/>
            <family val="2"/>
          </rPr>
          <t>You can learn more about SSAE 16 at www.ssae16.com.</t>
        </r>
      </text>
    </comment>
    <comment ref="B33" authorId="1" shapeId="0" xr:uid="{00000000-0006-0000-0200-000003000000}">
      <text>
        <r>
          <rPr>
            <sz val="12"/>
            <color rgb="FF000000"/>
            <rFont val="Verdana"/>
            <family val="2"/>
          </rPr>
          <t xml:space="preserve">CSA STAR Self Assessment is free and open to all cloud providers and allows them to submit self assessment reports that document compliance to CSA-published best practices.
</t>
        </r>
        <r>
          <rPr>
            <sz val="12"/>
            <color rgb="FF000000"/>
            <rFont val="Verdana"/>
            <family val="2"/>
          </rPr>
          <t>Website: https://cloudsecurityalliance.org/star/self-assessment/</t>
        </r>
      </text>
    </comment>
    <comment ref="B34" authorId="1" shapeId="0" xr:uid="{00000000-0006-0000-0200-000004000000}">
      <text>
        <r>
          <rPr>
            <sz val="12"/>
            <color rgb="FF000000"/>
            <rFont val="Verdana"/>
            <family val="2"/>
          </rPr>
          <t xml:space="preserve">The CSA STAR Certification is a rigorous third party independent assessment of the security of a cloud service provider. The technology-neutral certification leverages the requirements of the ISO/IEC 27001 management system standard together with the CSA Cloud Controls Matrix, a specified set of criteria that measures the capability levels of the cloud service.
</t>
        </r>
        <r>
          <rPr>
            <sz val="12"/>
            <color rgb="FF000000"/>
            <rFont val="Verdana"/>
            <family val="2"/>
          </rPr>
          <t>Website: https://cloudsecurityalliance.org/star/certification/</t>
        </r>
      </text>
    </comment>
    <comment ref="B36" authorId="1" shapeId="0" xr:uid="{00000000-0006-0000-0200-000005000000}">
      <text>
        <r>
          <rPr>
            <sz val="12"/>
            <color rgb="FF000000"/>
            <rFont val="Verdana"/>
            <family val="2"/>
          </rPr>
          <t xml:space="preserve">The Federal Information Security Management Act (FISMA) is United States legislation that defines a comprehensive framework to protect government information, operations and assets against natural or man-made threats.
</t>
        </r>
        <r>
          <rPr>
            <sz val="12"/>
            <color rgb="FF000000"/>
            <rFont val="Verdana"/>
            <family val="2"/>
          </rPr>
          <t xml:space="preserve">Website: http://www.dhs.gov/FISMA
</t>
        </r>
        <r>
          <rPr>
            <sz val="12"/>
            <color rgb="FF000000"/>
            <rFont val="Verdana"/>
            <family val="2"/>
          </rPr>
          <t xml:space="preserve">----
</t>
        </r>
        <r>
          <rPr>
            <sz val="12"/>
            <color rgb="FF000000"/>
            <rFont val="Verdana"/>
            <family val="2"/>
          </rPr>
          <t xml:space="preserve">slight wording change
</t>
        </r>
        <r>
          <rPr>
            <sz val="12"/>
            <color rgb="FF000000"/>
            <rFont val="Verdana"/>
            <family val="2"/>
          </rPr>
          <t xml:space="preserve">	-Josh Callahan</t>
        </r>
      </text>
    </comment>
    <comment ref="B171" authorId="0" shapeId="0" xr:uid="{00000000-0006-0000-0200-000006000000}">
      <text>
        <r>
          <rPr>
            <sz val="10"/>
            <color rgb="FF000000"/>
            <rFont val="Calibri"/>
            <family val="2"/>
          </rPr>
          <t xml:space="preserve">https://uptimeinstitute.com/tiers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Charles Escue</author>
    <author/>
  </authors>
  <commentList>
    <comment ref="B26" authorId="0" shapeId="0" xr:uid="{00000000-0006-0000-0300-000001000000}">
      <text>
        <r>
          <rPr>
            <b/>
            <sz val="10"/>
            <color rgb="FF000000"/>
            <rFont val="Calibri"/>
            <family val="2"/>
          </rPr>
          <t>The Institution views hosted solutions such as AWS, Rackspace, Azure, and other PaaS/SaaS offerings as third parties. If services such as these are used in your environment, respond "Yes".</t>
        </r>
      </text>
    </comment>
    <comment ref="B32" authorId="1" shapeId="0" xr:uid="{00000000-0006-0000-0300-000002000000}">
      <text>
        <r>
          <rPr>
            <sz val="12"/>
            <color rgb="FF000000"/>
            <rFont val="Verdana"/>
            <family val="2"/>
          </rPr>
          <t xml:space="preserve">In 2011, Statement on Standards for Attestation Engagements (SSAE) No. 16 took effect and replaced SAS 70 as the authoritative guidance for performing a service auditor's examination.  SSAE 16 established a new attestation standard (AT 801) to contain the professional guidance. 
</t>
        </r>
        <r>
          <rPr>
            <sz val="12"/>
            <color rgb="FF000000"/>
            <rFont val="Verdana"/>
            <family val="2"/>
          </rPr>
          <t>You can learn more about SSAE 16 at www.ssae16.com.</t>
        </r>
      </text>
    </comment>
    <comment ref="B33" authorId="1" shapeId="0" xr:uid="{00000000-0006-0000-0300-000003000000}">
      <text>
        <r>
          <rPr>
            <sz val="12"/>
            <color rgb="FF000000"/>
            <rFont val="Verdana"/>
            <family val="2"/>
          </rPr>
          <t xml:space="preserve">CSA STAR Self Assessment is free and open to all cloud providers and allows them to submit self assessment reports that document compliance to CSA-published best practices.
</t>
        </r>
        <r>
          <rPr>
            <sz val="12"/>
            <color rgb="FF000000"/>
            <rFont val="Verdana"/>
            <family val="2"/>
          </rPr>
          <t>Website: https://cloudsecurityalliance.org/star/self-assessment/</t>
        </r>
      </text>
    </comment>
    <comment ref="B34" authorId="1" shapeId="0" xr:uid="{00000000-0006-0000-0300-000004000000}">
      <text>
        <r>
          <rPr>
            <sz val="12"/>
            <color rgb="FF000000"/>
            <rFont val="Verdana"/>
            <family val="2"/>
          </rPr>
          <t xml:space="preserve">The CSA STAR Certification is a rigorous third party independent assessment of the security of a cloud service provider. The technology-neutral certification leverages the requirements of the ISO/IEC 27001 management system standard together with the CSA Cloud Controls Matrix, a specified set of criteria that measures the capability levels of the cloud service.
</t>
        </r>
        <r>
          <rPr>
            <sz val="12"/>
            <color rgb="FF000000"/>
            <rFont val="Verdana"/>
            <family val="2"/>
          </rPr>
          <t>Website: https://cloudsecurityalliance.org/star/certification/</t>
        </r>
      </text>
    </comment>
    <comment ref="B36" authorId="1" shapeId="0" xr:uid="{00000000-0006-0000-0300-000005000000}">
      <text>
        <r>
          <rPr>
            <sz val="12"/>
            <color rgb="FF000000"/>
            <rFont val="Verdana"/>
            <family val="2"/>
          </rPr>
          <t xml:space="preserve">The Federal Information Security Management Act (FISMA) is United States legislation that defines a comprehensive framework to protect government information, operations and assets against natural or man-made threats.
</t>
        </r>
        <r>
          <rPr>
            <sz val="12"/>
            <color rgb="FF000000"/>
            <rFont val="Verdana"/>
            <family val="2"/>
          </rPr>
          <t xml:space="preserve">Website: http://www.dhs.gov/FISMA
</t>
        </r>
        <r>
          <rPr>
            <sz val="12"/>
            <color rgb="FF000000"/>
            <rFont val="Verdana"/>
            <family val="2"/>
          </rPr>
          <t xml:space="preserve">----
</t>
        </r>
        <r>
          <rPr>
            <sz val="12"/>
            <color rgb="FF000000"/>
            <rFont val="Verdana"/>
            <family val="2"/>
          </rPr>
          <t xml:space="preserve">slight wording change
</t>
        </r>
        <r>
          <rPr>
            <sz val="12"/>
            <color rgb="FF000000"/>
            <rFont val="Verdana"/>
            <family val="2"/>
          </rPr>
          <t xml:space="preserve">	-Josh Callahan</t>
        </r>
      </text>
    </comment>
    <comment ref="B171" authorId="0" shapeId="0" xr:uid="{00000000-0006-0000-0300-000006000000}">
      <text>
        <r>
          <rPr>
            <sz val="10"/>
            <color rgb="FF000000"/>
            <rFont val="Calibri"/>
            <family val="2"/>
          </rPr>
          <t xml:space="preserve">https://uptimeinstitute.com/tiers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Table1" type="102" refreshedVersion="6" minRefreshableVersion="5">
    <extLst>
      <ext xmlns:x15="http://schemas.microsoft.com/office/spreadsheetml/2010/11/main" uri="{DE250136-89BD-433C-8126-D09CA5730AF9}">
        <x15:connection id="Table1">
          <x15:rangePr sourceName="_xlcn.LinkedTable_Table110"/>
        </x15:connection>
      </ext>
    </extLst>
  </connection>
  <connection id="2" xr16:uid="{00000000-0015-0000-FFFF-FFFF01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<sst xmlns="http://schemas.openxmlformats.org/spreadsheetml/2006/main" count="5941" uniqueCount="3067">
  <si>
    <t>Date</t>
  </si>
  <si>
    <t>General Information</t>
  </si>
  <si>
    <t>555-555-5555</t>
  </si>
  <si>
    <t>Vendor Name</t>
  </si>
  <si>
    <t>Product Name</t>
  </si>
  <si>
    <t>Product Description</t>
  </si>
  <si>
    <t>Web Link to Product Privacy Notice</t>
  </si>
  <si>
    <t>Vendor Contact Name</t>
  </si>
  <si>
    <t>Vendor Contact Title</t>
  </si>
  <si>
    <t>Vendor Contact Email</t>
  </si>
  <si>
    <t>Vendor Contact Phone Number</t>
  </si>
  <si>
    <t>Instructions</t>
  </si>
  <si>
    <t>Qualifiers</t>
  </si>
  <si>
    <t>Vendor Answers</t>
  </si>
  <si>
    <t>Additional Information</t>
  </si>
  <si>
    <t>Guidance</t>
  </si>
  <si>
    <t>Will data regulated by PCI DSS reside in the vended product?</t>
  </si>
  <si>
    <t>Yes</t>
  </si>
  <si>
    <t>Documentation</t>
  </si>
  <si>
    <t>Have you undergone a SSAE 16 audit?</t>
  </si>
  <si>
    <t>Have you received the Cloud Security Alliance STAR certification?</t>
  </si>
  <si>
    <t>No</t>
  </si>
  <si>
    <t>What legal agreements (i.e. contracts) do you have in place with these third parties that address liability in the event of a data breach?</t>
  </si>
  <si>
    <t>Can we restrict that access based on source IP address?</t>
  </si>
  <si>
    <t>How long are data backups stored?</t>
  </si>
  <si>
    <t>Will you handle data in a FERPA compliant manner?</t>
  </si>
  <si>
    <t>Does the database support encryption of specified data elements in storage?</t>
  </si>
  <si>
    <t>Do any of your servers reside in a co-located data center?</t>
  </si>
  <si>
    <t>Are your servers separated from other companies via a physical barrier, such as a cage or hardened walls?</t>
  </si>
  <si>
    <t>Are your primary and secondary data centers geographically diverse?</t>
  </si>
  <si>
    <t>Select the option that best describes the network segment that servers are connected to.</t>
  </si>
  <si>
    <t>Other</t>
  </si>
  <si>
    <t xml:space="preserve">Does the system provide data input validation and error messages? </t>
  </si>
  <si>
    <t>Are you utilizing a web application firewall (WAF)?</t>
  </si>
  <si>
    <t>Are you utilizing a stateful packet inspection (SPI) firewall?</t>
  </si>
  <si>
    <t>Can you enforce password/passphrase aging requirements?</t>
  </si>
  <si>
    <t>Are user account passwords/passphrases visible in administration modules?</t>
  </si>
  <si>
    <t>Are user account passwords/passphrases stored encrypted?</t>
  </si>
  <si>
    <t>Are individuals required to sign in/out for installation and removal of equipment?</t>
  </si>
  <si>
    <t>Do you have a documented patch management process?</t>
  </si>
  <si>
    <t>Can you accommodate encryption requirements using open standards?</t>
  </si>
  <si>
    <t>Have your developers been trained in secure coding techniques?</t>
  </si>
  <si>
    <t>Was your application developed using secure coding techniques?</t>
  </si>
  <si>
    <t>Are information security principles designed into the product lifecycle?</t>
  </si>
  <si>
    <t>Do you have a documented systems development life cycle (SDLC)?</t>
  </si>
  <si>
    <t>Do you have a formal incident response plan?</t>
  </si>
  <si>
    <t xml:space="preserve">Do you require new employees to fill out agreements and review policies?  </t>
  </si>
  <si>
    <t>Do you have an information security awareness program?</t>
  </si>
  <si>
    <t>Do you incorporate customer feedback into security feature requests?</t>
  </si>
  <si>
    <r>
      <t xml:space="preserve">Are your </t>
    </r>
    <r>
      <rPr>
        <i/>
        <sz val="11"/>
        <color theme="1"/>
        <rFont val="Verdana"/>
        <family val="2"/>
      </rPr>
      <t>applications</t>
    </r>
    <r>
      <rPr>
        <sz val="11"/>
        <color theme="1"/>
        <rFont val="Verdana"/>
        <family val="2"/>
      </rPr>
      <t xml:space="preserve"> scanned externally for vulnerabilities?</t>
    </r>
  </si>
  <si>
    <t>Are your applications scanned for vulnerabilities prior to new releases?</t>
  </si>
  <si>
    <r>
      <t xml:space="preserve">Are your </t>
    </r>
    <r>
      <rPr>
        <i/>
        <sz val="11"/>
        <color theme="1"/>
        <rFont val="Verdana"/>
        <family val="2"/>
      </rPr>
      <t>systems</t>
    </r>
    <r>
      <rPr>
        <sz val="11"/>
        <color theme="1"/>
        <rFont val="Verdana"/>
        <family val="2"/>
      </rPr>
      <t xml:space="preserve"> scanned externally for vulnerabilities?</t>
    </r>
  </si>
  <si>
    <t>On which mobile operating systems is your software or service supported?</t>
  </si>
  <si>
    <t>Is the application available from a trusted source (e.g., iTunes App Store, Android Market, BB World)?</t>
  </si>
  <si>
    <t>Does the application store, process, or transmit critical data?</t>
  </si>
  <si>
    <t>Does the mobile application support Kerberos, CAS, or Active Directory authentication?</t>
  </si>
  <si>
    <t>Has the application been tested for vulnerabilities by a third party?</t>
  </si>
  <si>
    <t>Does your application require user and system administrator password changes at a frequency no greater than 90 days?</t>
  </si>
  <si>
    <t>Does your application require a user to set their own password after an administrator reset or on first use of the account?</t>
  </si>
  <si>
    <t xml:space="preserve">Does your application lock-out an account after a number of failed login attempts? </t>
  </si>
  <si>
    <t>Does your application automatically lock or log-out an account after a period of inactivity?</t>
  </si>
  <si>
    <t>Are passwords visible in plain text, whether when stored or entered, including service level accounts (i.e. database accounts, etc.)?</t>
  </si>
  <si>
    <t>Does your application provide the ability to define user access levels?</t>
  </si>
  <si>
    <t>Does your application support varying levels of access to records based on user ID?</t>
  </si>
  <si>
    <t>Is there a limit to the number of groups a user can be assigned?</t>
  </si>
  <si>
    <t xml:space="preserve">Does the application log record access including specific user, date/time of access, and originating IP or device? </t>
  </si>
  <si>
    <t>Does the application log administrative activity, such user account access changes and password changes, including specific user, date/time of changes, and originating IP or device?</t>
  </si>
  <si>
    <t>How long does the application keep access/change logs?</t>
  </si>
  <si>
    <t xml:space="preserve">Can the application logs be archived? </t>
  </si>
  <si>
    <t xml:space="preserve">Can the application logs be saved externally? </t>
  </si>
  <si>
    <t>Do accounts used for vendor supplied remote support abide by the same authentication policies and access logging as the rest of the system?</t>
  </si>
  <si>
    <t>Can you provide a HIPAA compliance attestation document?</t>
  </si>
  <si>
    <t>Are you compliant with the Payment Card Industry Data Security Standard (PCI DSS)?</t>
  </si>
  <si>
    <t>Do you have a current, executed within the past year, Attestation of Compliance (AoC) or Report on Compliance (RoC)?</t>
  </si>
  <si>
    <t>Are you classified as a service provider?</t>
  </si>
  <si>
    <t xml:space="preserve">Are you on the list of VISA approved service providers? </t>
  </si>
  <si>
    <t>Are you classified as a merchant?  If so, what level (1, 2, 3, 4)?</t>
  </si>
  <si>
    <t>Describe the architecture employed by the system to verify and authorize credit card transactions.</t>
  </si>
  <si>
    <t xml:space="preserve">What payment processors/gateways does the system support? </t>
  </si>
  <si>
    <t>Can the application be installed in a PCI DSS compliant manner ?</t>
  </si>
  <si>
    <t xml:space="preserve">Is the application listed as an approved PA-DSS application? </t>
  </si>
  <si>
    <t xml:space="preserve">Include documentation describing the systems' abilities to comply with the PCI DSS and any features or capabilities of the system that must be added or changed in order to operate in compliance with the standards. </t>
  </si>
  <si>
    <t>Campus</t>
  </si>
  <si>
    <t>Answers</t>
  </si>
  <si>
    <t>N/A</t>
  </si>
  <si>
    <t>DRPTestingSchedule</t>
  </si>
  <si>
    <t>Quarterly</t>
  </si>
  <si>
    <t>Semi-annually</t>
  </si>
  <si>
    <t>Annually</t>
  </si>
  <si>
    <t>NetworkTypes</t>
  </si>
  <si>
    <t>Exclusive VLAN</t>
  </si>
  <si>
    <t>Shared VLAN</t>
  </si>
  <si>
    <t>Physically Separate</t>
  </si>
  <si>
    <t>Flat Shared Network</t>
  </si>
  <si>
    <t>Consulting</t>
  </si>
  <si>
    <t>Does the system operate in a mixed authentication mode (i.e. external and local authentication)?</t>
  </si>
  <si>
    <t>Does your product process protected health information (PHI) or any data covered by the Health Insurance Portability and Accountability Act?</t>
  </si>
  <si>
    <t>HEISC Shared Assessments Working Group</t>
  </si>
  <si>
    <t>Assessment Contact</t>
  </si>
  <si>
    <t>Do clients have the option to not participate in or postpone an upgrade to a new release?</t>
  </si>
  <si>
    <t>Are these rights retained even through a provider acquisition or bankruptcy event?</t>
  </si>
  <si>
    <t>In the event of imminent bankruptcy, closing of business, or retirement of service, will you provide 90 days for customers to get their data out of the system and migrate applications?</t>
  </si>
  <si>
    <t xml:space="preserve">Do you have a documented and currently followed change management process (CMP)? </t>
  </si>
  <si>
    <t>Are upgrades or system changes installed during off-peak hours or in a manner that does not impact the customer?</t>
  </si>
  <si>
    <t>Do procedures exist to provide that emergency changes are documented and authorized (including after the fact approval)?</t>
  </si>
  <si>
    <t>What Tier Level is your data center (per levels defined by the Uptime Institute)?</t>
  </si>
  <si>
    <t>Are backup copies made according to pre-defined schedules and securely stored and protected?</t>
  </si>
  <si>
    <t>Is media used for long-term retention of business data and archival purposes stored in a secure, environmentally protected area?</t>
  </si>
  <si>
    <t>Do procedures exist to ensure that retention and destruction of data meets established business and regulatory requirements?</t>
  </si>
  <si>
    <t>Have you implemented an Intrusion Detection System (network-based)?</t>
  </si>
  <si>
    <t>Have you implemented an Intrusion Prevention System (network-based)?</t>
  </si>
  <si>
    <t>Do you monitor for intrusions on a 24x7x365 basis?</t>
  </si>
  <si>
    <t>Is intrusion monitoring performed internally or by a third-party service?</t>
  </si>
  <si>
    <t>Identify the most current version of the software. Detail the percentage of live customers that are utilizing the proposed version of the software as well as each version of the software currently in use.</t>
  </si>
  <si>
    <t xml:space="preserve">Can your system take advantage of mobile and/or GPS enabled mobile devices?  </t>
  </si>
  <si>
    <t>Do the documented test results identify your organizations actual recovery time capabilities for technology and facilities?</t>
  </si>
  <si>
    <t>DR Types</t>
  </si>
  <si>
    <t>Cold</t>
  </si>
  <si>
    <t>Hot</t>
  </si>
  <si>
    <t>Does your organization conduct an annual test of relocating to this site for disaster recovery purposes?</t>
  </si>
  <si>
    <t>Is an owner assigned who is responsible for the maintenance and review of the Business Continuity Plan?</t>
  </si>
  <si>
    <t>Is there a documented communication plan in your DRP for impacted clients?</t>
  </si>
  <si>
    <t>Is there a defined problem/issue escalation plan in your DRP for impacted clients?</t>
  </si>
  <si>
    <t>Is there a defined problem/issue escalation plan in your BCP for impacted clients?</t>
  </si>
  <si>
    <t>Is there a documented communication plan in your BCP for impacted clients?</t>
  </si>
  <si>
    <t>Does your organization conduct training and awareness activities to validate its employees understanding of their roles and responsibilities during a crisis?</t>
  </si>
  <si>
    <t>Are specific crisis management roles and responsibilities defined and documented?</t>
  </si>
  <si>
    <t>Does your organization have an alternative business site or a contracted Business Recovery provider?</t>
  </si>
  <si>
    <t>Do you employ host-based intrusion detection?</t>
  </si>
  <si>
    <t>Do you employ host-based intrusion prevention?</t>
  </si>
  <si>
    <t>Have you completed the Cloud Security Alliance (CSA) self assessment or CAIQ?</t>
  </si>
  <si>
    <t>Describe how you perform security assessments of third party companies with which you share data (i.e. hosting providers, cloud services, PaaS, IaaS, SaaS, etc.). Provide a summary of your practices that assures that the third party will be subject to the appropriate standards regarding security, service recoverability, and confidentiality.</t>
  </si>
  <si>
    <r>
      <t xml:space="preserve">Does the </t>
    </r>
    <r>
      <rPr>
        <i/>
        <sz val="11"/>
        <color theme="1"/>
        <rFont val="Verdana"/>
        <family val="2"/>
      </rPr>
      <t>system</t>
    </r>
    <r>
      <rPr>
        <sz val="11"/>
        <color theme="1"/>
        <rFont val="Verdana"/>
        <family val="2"/>
      </rPr>
      <t xml:space="preserve"> (servers/infrastructure) support external authentication services (e.g. Active Directory, LDAP) in place of local authentication?</t>
    </r>
  </si>
  <si>
    <r>
      <t xml:space="preserve">Does your </t>
    </r>
    <r>
      <rPr>
        <i/>
        <sz val="11"/>
        <color theme="1"/>
        <rFont val="Verdana"/>
        <family val="2"/>
      </rPr>
      <t>application</t>
    </r>
    <r>
      <rPr>
        <sz val="11"/>
        <color theme="1"/>
        <rFont val="Verdana"/>
        <family val="2"/>
      </rPr>
      <t xml:space="preserve"> and/or user-frontend/portal support multi-factor authentication? (e.g. Duo, Google Authenticator, OTP, etc.)</t>
    </r>
  </si>
  <si>
    <t>Do your workforce members receive regular training related to the HIPAA Privacy and Security Rules and the HITECH Act?</t>
  </si>
  <si>
    <t>Do you monitor or receive information regarding changes in HIPAA regulations?</t>
  </si>
  <si>
    <t>Has your organization designated HIPAA Privacy and Security officers as required by the Rules?</t>
  </si>
  <si>
    <t>Do you comply with the requirements of the Health Information Technology for Economic and Clinical Health Act (HITECH)?</t>
  </si>
  <si>
    <t>Do you have an incident response process and reporting in place to investigate any potential incidents and report actual incidents?</t>
  </si>
  <si>
    <t>Do you have a plan to comply with the Breach Notification requirements if there is a breach of data?</t>
  </si>
  <si>
    <t>Have you conducted a risk analysis as required under the Security Rule?</t>
  </si>
  <si>
    <t>Have you identified areas of risks?</t>
  </si>
  <si>
    <t>Have you taken actions to mitigate the identified risks?</t>
  </si>
  <si>
    <t>Does your data backup and retention policies and practices meet HIPAA requirements?</t>
  </si>
  <si>
    <t>Do you have a disaster recovery plan and emergency mode operation plan?</t>
  </si>
  <si>
    <t>Have the policies/plans mentioned above been tested?</t>
  </si>
  <si>
    <t>Are you willing to enter into a Business Associate Agreement (BAA)?</t>
  </si>
  <si>
    <t>Version</t>
  </si>
  <si>
    <t>Description of Change</t>
  </si>
  <si>
    <t>v0.6</t>
  </si>
  <si>
    <t>Do you comply with ISO 9001?</t>
  </si>
  <si>
    <t>Will your company provide quality and performance metrics in relation to the scope of services and performance expectations for the services you are offering?</t>
  </si>
  <si>
    <t>Do you have a program to keep your customers abreast of higher education and/or industry issues?</t>
  </si>
  <si>
    <t>Company Overview</t>
  </si>
  <si>
    <t>Describe your organization’s business background and ownership structure, including all parent and subsidiary relationships.</t>
  </si>
  <si>
    <t>Describe how long your organization has conducted business in this product area.</t>
  </si>
  <si>
    <t>Do you have a Business Continuity Plan (BCP)?</t>
  </si>
  <si>
    <t>Do you have a Disaster Recovery Plan (DRP)?</t>
  </si>
  <si>
    <t>Provide a general summary of your Quality Assurance program.</t>
  </si>
  <si>
    <t>Are video monitoring feeds retained?</t>
  </si>
  <si>
    <t>v0.7</t>
  </si>
  <si>
    <t>v0.8</t>
  </si>
  <si>
    <t>Are systems that support this service managed via a separate management network?</t>
  </si>
  <si>
    <t>Are employee mobile devices managed by your company's Mobile Device Management (MDM) platform?</t>
  </si>
  <si>
    <t>v0.9</t>
  </si>
  <si>
    <t>QUAL-01</t>
  </si>
  <si>
    <t>QUAL-02</t>
  </si>
  <si>
    <t>QUAL-03</t>
  </si>
  <si>
    <t>QUAL-04</t>
  </si>
  <si>
    <t>QUAL-05</t>
  </si>
  <si>
    <t>QUAL-06</t>
  </si>
  <si>
    <t>QUAL-07</t>
  </si>
  <si>
    <t>DOCU-01</t>
  </si>
  <si>
    <t>DOCU-02</t>
  </si>
  <si>
    <t>DOCU-03</t>
  </si>
  <si>
    <t>DOCU-04</t>
  </si>
  <si>
    <t>DOCU-05</t>
  </si>
  <si>
    <t>DOCU-06</t>
  </si>
  <si>
    <t>COMP-01</t>
  </si>
  <si>
    <t>COMP-02</t>
  </si>
  <si>
    <t>COMP-03</t>
  </si>
  <si>
    <t>COMP-04</t>
  </si>
  <si>
    <t>COMP-05</t>
  </si>
  <si>
    <t>COMP-06</t>
  </si>
  <si>
    <t>THRD-01</t>
  </si>
  <si>
    <t>THRD-02</t>
  </si>
  <si>
    <t>THRD-03</t>
  </si>
  <si>
    <t>CONS-01</t>
  </si>
  <si>
    <t>CONS-02</t>
  </si>
  <si>
    <t>CONS-03</t>
  </si>
  <si>
    <t>CONS-04</t>
  </si>
  <si>
    <t>CONS-05</t>
  </si>
  <si>
    <t>CONS-06</t>
  </si>
  <si>
    <t>CONS-07</t>
  </si>
  <si>
    <t>CONS-08</t>
  </si>
  <si>
    <t>CONS-09</t>
  </si>
  <si>
    <t>APPL-01</t>
  </si>
  <si>
    <t>APPL-02</t>
  </si>
  <si>
    <t>APPL-04</t>
  </si>
  <si>
    <t>APPL-05</t>
  </si>
  <si>
    <t>APPL-06</t>
  </si>
  <si>
    <t>APPL-07</t>
  </si>
  <si>
    <t>APPL-08</t>
  </si>
  <si>
    <t>APPL-09</t>
  </si>
  <si>
    <t>APPL-10</t>
  </si>
  <si>
    <t>APPL-11</t>
  </si>
  <si>
    <t>APPL-12</t>
  </si>
  <si>
    <t>APPL-13</t>
  </si>
  <si>
    <t>APPL-14</t>
  </si>
  <si>
    <t>APPL-16</t>
  </si>
  <si>
    <t>APPL-17</t>
  </si>
  <si>
    <t>BCPL-01</t>
  </si>
  <si>
    <t>AAAI-01</t>
  </si>
  <si>
    <t>AAAI-02</t>
  </si>
  <si>
    <t>AAAI-03</t>
  </si>
  <si>
    <t>AAAI-04</t>
  </si>
  <si>
    <t>AAAI-05</t>
  </si>
  <si>
    <t>AAAI-06</t>
  </si>
  <si>
    <t>AAAI-07</t>
  </si>
  <si>
    <t>AAAI-08</t>
  </si>
  <si>
    <t>AAAI-09</t>
  </si>
  <si>
    <t>AAAI-10</t>
  </si>
  <si>
    <t>AAAI-11</t>
  </si>
  <si>
    <t>AAAI-12</t>
  </si>
  <si>
    <t>AAAI-13</t>
  </si>
  <si>
    <t>AAAI-14</t>
  </si>
  <si>
    <t>AAAI-15</t>
  </si>
  <si>
    <t>AAAI-16</t>
  </si>
  <si>
    <t>AAAI-17</t>
  </si>
  <si>
    <t>BCPL-02</t>
  </si>
  <si>
    <t>BCPL-03</t>
  </si>
  <si>
    <t>BCPL-04</t>
  </si>
  <si>
    <t>BCPL-05</t>
  </si>
  <si>
    <t>BCPL-06</t>
  </si>
  <si>
    <t>BCPL-07</t>
  </si>
  <si>
    <t>BCPL-08</t>
  </si>
  <si>
    <t>BCPL-09</t>
  </si>
  <si>
    <t>BCPL-10</t>
  </si>
  <si>
    <t>BCPL-11</t>
  </si>
  <si>
    <t>BCPL-12</t>
  </si>
  <si>
    <t>CHNG-01</t>
  </si>
  <si>
    <t>CHNG-02</t>
  </si>
  <si>
    <t>CHNG-03</t>
  </si>
  <si>
    <t>CHNG-04</t>
  </si>
  <si>
    <t>CHNG-05</t>
  </si>
  <si>
    <t>CHNG-06</t>
  </si>
  <si>
    <t>CHNG-07</t>
  </si>
  <si>
    <t>CHNG-08</t>
  </si>
  <si>
    <t>CHNG-09</t>
  </si>
  <si>
    <t>CHNG-10</t>
  </si>
  <si>
    <t>CHNG-11</t>
  </si>
  <si>
    <t>CHNG-12</t>
  </si>
  <si>
    <t>CHNG-13</t>
  </si>
  <si>
    <t>CHNG-14</t>
  </si>
  <si>
    <t>CHNG-15</t>
  </si>
  <si>
    <t>DATA-01</t>
  </si>
  <si>
    <t>DATA-02</t>
  </si>
  <si>
    <t>DATA-03</t>
  </si>
  <si>
    <t>DATA-04</t>
  </si>
  <si>
    <t>DATA-05</t>
  </si>
  <si>
    <t>DATA-06</t>
  </si>
  <si>
    <t>DATA-07</t>
  </si>
  <si>
    <t>DATA-08</t>
  </si>
  <si>
    <t>DATA-09</t>
  </si>
  <si>
    <t>DATA-10</t>
  </si>
  <si>
    <t>DATA-11</t>
  </si>
  <si>
    <t>DATA-12</t>
  </si>
  <si>
    <t>DATA-13</t>
  </si>
  <si>
    <t>DATA-14</t>
  </si>
  <si>
    <t>DATA-15</t>
  </si>
  <si>
    <t>DATA-16</t>
  </si>
  <si>
    <t>DATA-17</t>
  </si>
  <si>
    <t>DATA-18</t>
  </si>
  <si>
    <t>DATA-19</t>
  </si>
  <si>
    <t>DATA-20</t>
  </si>
  <si>
    <t>DATA-21</t>
  </si>
  <si>
    <t>DATA-22</t>
  </si>
  <si>
    <t>DATA-23</t>
  </si>
  <si>
    <t>DATA-24</t>
  </si>
  <si>
    <t>DATA-25</t>
  </si>
  <si>
    <t>DATA-26</t>
  </si>
  <si>
    <t>DATA-27</t>
  </si>
  <si>
    <t>DATA-28</t>
  </si>
  <si>
    <t>DBAS-01</t>
  </si>
  <si>
    <t>DBAS-02</t>
  </si>
  <si>
    <t>DCTR-01</t>
  </si>
  <si>
    <t>DCTR-02</t>
  </si>
  <si>
    <t>DCTR-03</t>
  </si>
  <si>
    <t>DCTR-04</t>
  </si>
  <si>
    <t>DCTR-05</t>
  </si>
  <si>
    <t>DCTR-06</t>
  </si>
  <si>
    <t>DCTR-07</t>
  </si>
  <si>
    <t>DCTR-08</t>
  </si>
  <si>
    <t>DCTR-09</t>
  </si>
  <si>
    <t>DCTR-10</t>
  </si>
  <si>
    <t>DCTR-11</t>
  </si>
  <si>
    <t>DCTR-12</t>
  </si>
  <si>
    <t>DCTR-13</t>
  </si>
  <si>
    <t>DCTR-14</t>
  </si>
  <si>
    <t>DCTR-15</t>
  </si>
  <si>
    <t>DCTR-16</t>
  </si>
  <si>
    <t>DCTR-17</t>
  </si>
  <si>
    <t>DCTR-18</t>
  </si>
  <si>
    <t>DCTR-19</t>
  </si>
  <si>
    <t>DRPL-01</t>
  </si>
  <si>
    <t>DRPL-02</t>
  </si>
  <si>
    <t>DRPL-03</t>
  </si>
  <si>
    <t>DRPL-04</t>
  </si>
  <si>
    <t>DRPL-05</t>
  </si>
  <si>
    <t>DRPL-06</t>
  </si>
  <si>
    <t>DRPL-07</t>
  </si>
  <si>
    <t>DRPL-08</t>
  </si>
  <si>
    <t>DRPL-09</t>
  </si>
  <si>
    <t>DRPL-10</t>
  </si>
  <si>
    <t>DRPL-11</t>
  </si>
  <si>
    <t>DRPL-12</t>
  </si>
  <si>
    <t>DRPL-13</t>
  </si>
  <si>
    <t>FIDP-01</t>
  </si>
  <si>
    <t>FIDP-02</t>
  </si>
  <si>
    <t>FIDP-03</t>
  </si>
  <si>
    <t>FIDP-04</t>
  </si>
  <si>
    <t>FIDP-05</t>
  </si>
  <si>
    <t>FIDP-06</t>
  </si>
  <si>
    <t>FIDP-07</t>
  </si>
  <si>
    <t>FIDP-08</t>
  </si>
  <si>
    <t>FIDP-09</t>
  </si>
  <si>
    <t>FIDP-10</t>
  </si>
  <si>
    <t>FIDP-11</t>
  </si>
  <si>
    <t>FIDP-12</t>
  </si>
  <si>
    <t>MAPP-01</t>
  </si>
  <si>
    <t>MAPP-02</t>
  </si>
  <si>
    <t>MAPP-03</t>
  </si>
  <si>
    <t>MAPP-04</t>
  </si>
  <si>
    <t>MAPP-05</t>
  </si>
  <si>
    <t>MAPP-06</t>
  </si>
  <si>
    <t>MAPP-07</t>
  </si>
  <si>
    <t>MAPP-08</t>
  </si>
  <si>
    <t>MAPP-09</t>
  </si>
  <si>
    <t>MAPP-10</t>
  </si>
  <si>
    <t>PHYS-01</t>
  </si>
  <si>
    <t>PHYS-02</t>
  </si>
  <si>
    <t>PHYS-03</t>
  </si>
  <si>
    <t>PHYS-04</t>
  </si>
  <si>
    <t>PHYS-05</t>
  </si>
  <si>
    <t>PPPR-01</t>
  </si>
  <si>
    <t>PPPR-02</t>
  </si>
  <si>
    <t>PPPR-03</t>
  </si>
  <si>
    <t>PPPR-04</t>
  </si>
  <si>
    <t>PPPR-05</t>
  </si>
  <si>
    <t>PPPR-06</t>
  </si>
  <si>
    <t>PPPR-07</t>
  </si>
  <si>
    <t>PPPR-08</t>
  </si>
  <si>
    <t>PPPR-09</t>
  </si>
  <si>
    <t>PPPR-10</t>
  </si>
  <si>
    <t>PPPR-11</t>
  </si>
  <si>
    <t>PPPR-12</t>
  </si>
  <si>
    <t>PPPR-13</t>
  </si>
  <si>
    <t>PPPR-14</t>
  </si>
  <si>
    <t>PPPR-15</t>
  </si>
  <si>
    <t>PPPR-16</t>
  </si>
  <si>
    <t>PPPR-17</t>
  </si>
  <si>
    <t>PPPR-18</t>
  </si>
  <si>
    <t>PPPR-19</t>
  </si>
  <si>
    <t>PPPR-20</t>
  </si>
  <si>
    <t>PROD-01</t>
  </si>
  <si>
    <t>PROD-02</t>
  </si>
  <si>
    <t>QLAS-01</t>
  </si>
  <si>
    <t>QLAS-02</t>
  </si>
  <si>
    <t>QLAS-03</t>
  </si>
  <si>
    <t>QLAS-04</t>
  </si>
  <si>
    <t>QLAS-05</t>
  </si>
  <si>
    <t>SYST-01</t>
  </si>
  <si>
    <t>SYST-02</t>
  </si>
  <si>
    <t>SYST-03</t>
  </si>
  <si>
    <t>SYST-04</t>
  </si>
  <si>
    <t>VULN-01</t>
  </si>
  <si>
    <t>VULN-02</t>
  </si>
  <si>
    <t>VULN-03</t>
  </si>
  <si>
    <t>VULN-04</t>
  </si>
  <si>
    <t>VULN-05</t>
  </si>
  <si>
    <t>VULN-06</t>
  </si>
  <si>
    <t>VULN-07</t>
  </si>
  <si>
    <t>VULN-08</t>
  </si>
  <si>
    <t>VULN-09</t>
  </si>
  <si>
    <t>HIPA-01</t>
  </si>
  <si>
    <t>HIPA-02</t>
  </si>
  <si>
    <t>HIPA-03</t>
  </si>
  <si>
    <t>HIPA-04</t>
  </si>
  <si>
    <t>HIPA-05</t>
  </si>
  <si>
    <t>HIPA-06</t>
  </si>
  <si>
    <t>HIPA-07</t>
  </si>
  <si>
    <t>HIPA-08</t>
  </si>
  <si>
    <t>HIPA-09</t>
  </si>
  <si>
    <t>HIPA-10</t>
  </si>
  <si>
    <t>HIPA-11</t>
  </si>
  <si>
    <t>HIPA-12</t>
  </si>
  <si>
    <t>HIPA-13</t>
  </si>
  <si>
    <t>HIPA-14</t>
  </si>
  <si>
    <t>HIPA-15</t>
  </si>
  <si>
    <t>HIPA-16</t>
  </si>
  <si>
    <t>HIPA-17</t>
  </si>
  <si>
    <t>HIPA-18</t>
  </si>
  <si>
    <t>HIPA-19</t>
  </si>
  <si>
    <t>HIPA-20</t>
  </si>
  <si>
    <t>HIPA-21</t>
  </si>
  <si>
    <t>HIPA-22</t>
  </si>
  <si>
    <t>HIPA-23</t>
  </si>
  <si>
    <t>HIPA-24</t>
  </si>
  <si>
    <t>HIPA-25</t>
  </si>
  <si>
    <t>HIPA-26</t>
  </si>
  <si>
    <t>HIPA-27</t>
  </si>
  <si>
    <t>HIPA-28</t>
  </si>
  <si>
    <t>HIPA-29</t>
  </si>
  <si>
    <t>HIPA-30</t>
  </si>
  <si>
    <t>HIPA-31</t>
  </si>
  <si>
    <t>PCID-01</t>
  </si>
  <si>
    <t>PCID-02</t>
  </si>
  <si>
    <t>PCID-03</t>
  </si>
  <si>
    <t>PCID-04</t>
  </si>
  <si>
    <t>PCID-05</t>
  </si>
  <si>
    <t>PCID-06</t>
  </si>
  <si>
    <t>PCID-07</t>
  </si>
  <si>
    <t>PCID-08</t>
  </si>
  <si>
    <t>PCID-09</t>
  </si>
  <si>
    <t>PCID-10</t>
  </si>
  <si>
    <t>PCID-11</t>
  </si>
  <si>
    <t>PCID-12</t>
  </si>
  <si>
    <t>DATE-01</t>
  </si>
  <si>
    <t>v0.91</t>
  </si>
  <si>
    <t>v0.92</t>
  </si>
  <si>
    <t>THRD-04</t>
  </si>
  <si>
    <t>COMP-07</t>
  </si>
  <si>
    <t>GNRL-01</t>
  </si>
  <si>
    <t>GNRL-02</t>
  </si>
  <si>
    <t>GNRL-03</t>
  </si>
  <si>
    <t>GNRL-04</t>
  </si>
  <si>
    <t>GNRL-05</t>
  </si>
  <si>
    <t>GNRL-06</t>
  </si>
  <si>
    <t>GNRL-07</t>
  </si>
  <si>
    <t>GNRL-08</t>
  </si>
  <si>
    <t>GNRL-09</t>
  </si>
  <si>
    <t>GNRL-10</t>
  </si>
  <si>
    <t>Describe or provide references to your third party management strategy or provide additional information that may help analysts better understand your environment and how it relates to third-party solutions.</t>
  </si>
  <si>
    <t xml:space="preserve">Describe or provide a reference to additional software/products necessary to implement a functional system on either the backend or user-interface side of the system. </t>
  </si>
  <si>
    <t xml:space="preserve">Describe or provide a reference to the overall system and/or application architecture(s), including appropriate diagrams. Include a full description of the data communications architecture for all components of the system. </t>
  </si>
  <si>
    <t xml:space="preserve">Describe or provide a reference to all web-enabled features and functionality of the system (i.e. accessed via a web-based interface). </t>
  </si>
  <si>
    <t>Describe or provide a reference to the facilities available in the system to provide separation of duties between security administration and system administration functions.</t>
  </si>
  <si>
    <t>Describe or provide a reference to the retention period for those logs, how logs are protected, and whether they are accessible to the customer (and if so, how).</t>
  </si>
  <si>
    <t xml:space="preserve">Describe or provide a reference to the backup processes for the servers on which the service and/or data resides. </t>
  </si>
  <si>
    <t>Describe or provide a reference to the tool(s) used to scan for vulnerabilities in your applications and systems.</t>
  </si>
  <si>
    <t>Describe or provide a reference to how you monitor for and protect against common web application security vulnerabilities (e.g. SQL injection, XSS, XSRF, etc.).</t>
  </si>
  <si>
    <t>Describe or provide a reference to your solution support strategy in relation to maintaining software currency. (i.e. how many concurrent versions are you willing to run and support?)</t>
  </si>
  <si>
    <t>v0.93</t>
  </si>
  <si>
    <t>Do you employ or allow any cryptographic modules that do not conform to the Federal Information Processing Standards (FIPS PUB 140-2)?</t>
  </si>
  <si>
    <t>Target Audience</t>
  </si>
  <si>
    <t>Document Layout</t>
  </si>
  <si>
    <t>Safeguards</t>
  </si>
  <si>
    <r>
      <t xml:space="preserve">Populate this section </t>
    </r>
    <r>
      <rPr>
        <b/>
        <sz val="11"/>
        <color indexed="8"/>
        <rFont val="Verdana"/>
        <family val="2"/>
      </rPr>
      <t>completely</t>
    </r>
    <r>
      <rPr>
        <sz val="11"/>
        <color indexed="8"/>
        <rFont val="Verdana"/>
        <family val="2"/>
      </rPr>
      <t xml:space="preserve"> before continuing. Answers in this section can determine which sections will be required for this assessment. By answering "No" to Qualifiers, their matched sections become optional and are highlighted in orange.</t>
    </r>
  </si>
  <si>
    <t>This section is focused on company background, size, and business area experience.</t>
  </si>
  <si>
    <t xml:space="preserve">Figure 1: </t>
  </si>
  <si>
    <t xml:space="preserve">Figure 2: </t>
  </si>
  <si>
    <t>In sections where vendor input is required there are only one or two columns that need modification, Vendor Answers and Additional Information, columns C and D respectively (see Figure 1 below). You will see that sometimes C and D are separate and other times are merged. If they are separate, C will be a selectable, drop-down box and any supporting information should be added to column D. If C and D are merged, the question is looking for the answer to be in narrative form. At the far right is a column titled “Guidance”. After answering questions, check this column to ensure you have submitted information/documentation to sufficiently answer the question. Use the “Additional Information” column to provide any requested details.</t>
  </si>
  <si>
    <t>Optional Safeguards Based on Qualifiers</t>
  </si>
  <si>
    <t xml:space="preserve">Not all questions are relevant to all vendors. Qualifiers are used to make whole sections optional to vendors depending on the scope of product usage and the data involved in the engagement being assessed. Sections that become optional have the section titles and questions highlighted in orange (see Figure 2). </t>
  </si>
  <si>
    <t>v0.94</t>
  </si>
  <si>
    <t>Added Instructions tab, adjusted question ID background color, updated DRP/BCP copy error.</t>
  </si>
  <si>
    <t>v0.95</t>
  </si>
  <si>
    <t>Changed document title to HECVAT. Integrated KDH input.</t>
  </si>
  <si>
    <t>Is the service hosted in a high availability environment?</t>
  </si>
  <si>
    <t>Has the consultant received training on [sensitive, HIPAA, PCI, etc.] data handling?</t>
  </si>
  <si>
    <t>v0.96</t>
  </si>
  <si>
    <t>Does your organization have a data privacy policy?</t>
  </si>
  <si>
    <t>Will any data be transferred to the consultant's possession?</t>
  </si>
  <si>
    <t>Is it encrypted (at rest) while in the consultant's possession?</t>
  </si>
  <si>
    <t>Is sensitive data encrypted in storage (e.g. disk encryption, at-rest)?</t>
  </si>
  <si>
    <t>Do you carry cyber-risk insurance to protect against unforeseen service outages, data that is lost or stolen, and security incidents?</t>
  </si>
  <si>
    <t>Do you perform background screenings or multi-state background checks on all employees prior to their first day of work?</t>
  </si>
  <si>
    <t>Have you entered into a BAA with all subcontractors who may have access to protected health information (PHI)?</t>
  </si>
  <si>
    <t>v0.97</t>
  </si>
  <si>
    <t>Updated Sharing Read Me tab with final language and options table.</t>
  </si>
  <si>
    <t>Added input from NL, 36 modifications across all sections.</t>
  </si>
  <si>
    <t xml:space="preserve">Merged initial comments and suggestions of sub-group members. </t>
  </si>
  <si>
    <t>Added SOC2T2 question to datacenter section.</t>
  </si>
  <si>
    <t>Added Systems and Configuration Management section, added MDM, sep. management networks, system configuration images, Internal audit processes and procedures.</t>
  </si>
  <si>
    <t>Added input from WG meeting on 8/22, removed RiskMgmt section, added question ID's, and removed dup network question.</t>
  </si>
  <si>
    <t>Added Introduction, Sharing Read Me, and Acknowledgements tabs and content. Also updated report specifics in Documentation.</t>
  </si>
  <si>
    <t>Integrated grammatical corrections set by Karl, fixed a minor formula error in a guidance cell.</t>
  </si>
  <si>
    <t>SharedAssessmentsConfirmation</t>
  </si>
  <si>
    <t>Yes; OK to Share</t>
  </si>
  <si>
    <t>No; Sharing Disallowed</t>
  </si>
  <si>
    <t>SharedAssessmentListingConfirmation</t>
  </si>
  <si>
    <t>Yes; OK to List</t>
  </si>
  <si>
    <t>No; Listing Disallowed</t>
  </si>
  <si>
    <t>v0.98</t>
  </si>
  <si>
    <t>v1.00</t>
  </si>
  <si>
    <t>v1.01</t>
  </si>
  <si>
    <t>Corrections for grammar, conditional formatting, and question clarification.</t>
  </si>
  <si>
    <t>UptimeTiers</t>
  </si>
  <si>
    <t>Tier I</t>
  </si>
  <si>
    <t>Tier II</t>
  </si>
  <si>
    <t>Tier III</t>
  </si>
  <si>
    <t>Tier IV</t>
  </si>
  <si>
    <t>v1.02</t>
  </si>
  <si>
    <t>Are databases used in the system segregated from front-end systems? (e.g. web and application servers)</t>
  </si>
  <si>
    <t>Describe or provide a reference that details how administrator access is handled (e.g. provisioning, principle of least privilege, deprovisioning, etc.)</t>
  </si>
  <si>
    <t>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t>
  </si>
  <si>
    <t>Does the hosting provider have a SOC 2 Type 2 report available?</t>
  </si>
  <si>
    <t>Describe or provide a reference to how your disaster recovery plan is tested? (i.e. scope of DR tests, end-to-end testing, etc.)</t>
  </si>
  <si>
    <t>State and describe who has the authority to change firewall rules?</t>
  </si>
  <si>
    <t>Do you have a documented policy for firewall change requests?</t>
  </si>
  <si>
    <t>Describe or provide a reference to the application's architecture and functionality.</t>
  </si>
  <si>
    <t>Does your application support varying levels of access to administrative tasks defined individually per user?</t>
  </si>
  <si>
    <t>v1.03</t>
  </si>
  <si>
    <t>Grammar and spelling cleanup.</t>
  </si>
  <si>
    <t>Sharing Confirmation section added, updated instructions, updated Sharing Read Me tab, fixed a ton of conditional formatting issues.</t>
  </si>
  <si>
    <t>Finalized for distribution.</t>
  </si>
  <si>
    <t>Is your company a consulting firm providing only consultation to the Institution?</t>
  </si>
  <si>
    <t>Provide a brief description for why each of these third parties will have access to institution data.</t>
  </si>
  <si>
    <t>Have you or any third party you contract with that may have access or allow access to the institution's data experienced a breach?</t>
  </si>
  <si>
    <t>Can you enforce password/passphrase complexity requirements [provided by the institution]?</t>
  </si>
  <si>
    <t>Will any external authentication or authorization system be utilized by an application with access to the institution's data?</t>
  </si>
  <si>
    <t>Will any external authentication or authorization system be utilized by a system with access to institution data?</t>
  </si>
  <si>
    <t>List all locations (i.e. city + datacenter name) where the institution's data will be stored?</t>
  </si>
  <si>
    <t>At the completion of this contract, will data be returned to the institution?</t>
  </si>
  <si>
    <t>Can the institution extract a full backup of data?</t>
  </si>
  <si>
    <t>Is any institution data visible in system administration modules/tools?</t>
  </si>
  <si>
    <t xml:space="preserve">Is redundant power available for all datacenters where institution data will reside? </t>
  </si>
  <si>
    <t>Describe or provide a reference to the availability of cooling and fire suppression systems in all datacenters where institution data will reside.</t>
  </si>
  <si>
    <t>Can you provide an evaluation site to the institution for testing?</t>
  </si>
  <si>
    <t>Have you supplied products and/or services to the Institution (or its Campuses) in the last five years?</t>
  </si>
  <si>
    <t>Will you allow the institution to perform its own security testing of your systems and/or application provided that testing is performed at a mutually agreed upon time and date?</t>
  </si>
  <si>
    <t>If the application is institution-hosted, can all service level and administrative account passwords be changed by the institution?</t>
  </si>
  <si>
    <t>v1.04</t>
  </si>
  <si>
    <t>Minor layout change in preparation for HECVAT-Lite split</t>
  </si>
  <si>
    <t>v1.05</t>
  </si>
  <si>
    <t>Changed University mentions to Institution; final version before SPC 2017</t>
  </si>
  <si>
    <t>Will the consultant require access to Institution's network resources?</t>
  </si>
  <si>
    <t>Will the consultant require access to hardware in the Institution's data centers?</t>
  </si>
  <si>
    <t>Will the consultant require an account within the Institution's domain (@*.edu)?</t>
  </si>
  <si>
    <t>Will the consultant need remote access to the Institution's network or systems?</t>
  </si>
  <si>
    <t>APPL-03</t>
  </si>
  <si>
    <t>APPL-15</t>
  </si>
  <si>
    <t>Are audit logs available that include AT LEAST all of the following; login, logout, actions performed, and source IP address?</t>
  </si>
  <si>
    <t>Describe or provide a reference to your Business Continuity Plan (BCP).</t>
  </si>
  <si>
    <t xml:space="preserve">Are all components of the BCP reviewed at least annually and updated as needed to reflect change? </t>
  </si>
  <si>
    <t>Will Institution's data be stored on any devices (database servers, file servers, SAN, NAS, …) configured with non-RFC 1918/4193 (i.e. publicly routable) IP addresses?</t>
  </si>
  <si>
    <t>Are data backups encrypted?</t>
  </si>
  <si>
    <t>Do current backups include all operating system software, utilities, security software, application software, and data files necessary for recovery?</t>
  </si>
  <si>
    <t>Are physical backups taken off site? (i.e. physically moved off site)</t>
  </si>
  <si>
    <t>Does your company own the physical data center where the Institution's data will reside?</t>
  </si>
  <si>
    <t xml:space="preserve">State how many Internet Service Providers (ISPs) provide connectivity to each datacenter where the institution's data will reside. </t>
  </si>
  <si>
    <t>Does every datacenter where the Institution's data will reside have multiple telephone company or network provider entrances to the facility?</t>
  </si>
  <si>
    <t>Describe or provide a reference to your Disaster Recovery Plan (DRP).</t>
  </si>
  <si>
    <t>Is an owner assigned who is responsible for the maintenance and review of the DRP?</t>
  </si>
  <si>
    <t xml:space="preserve">Are all components of the DRP reviewed at least annually and updated as needed to reflect change? </t>
  </si>
  <si>
    <t>Will any of these systems be implemented on systems hosting the Institution's data?</t>
  </si>
  <si>
    <t>MAPP-11</t>
  </si>
  <si>
    <t>Are employees allowed to take home Institution's data in any form?</t>
  </si>
  <si>
    <t>Will you comply with the Institution's IT policies with regards to user privacy and data protection?</t>
  </si>
  <si>
    <t>Do you have an implemented system configuration management process? (e.g. secure "gold" images, etc.)</t>
  </si>
  <si>
    <t>Do you currently use encryption in your database(s)?</t>
  </si>
  <si>
    <t>What operating system(s) is/are leveraged by the system(s)/application(s) that will have access to institution's data?</t>
  </si>
  <si>
    <t>CIS Critical Security Controls v6.1</t>
  </si>
  <si>
    <t>HIPAA</t>
  </si>
  <si>
    <t>NIST SP 800-53r4</t>
  </si>
  <si>
    <t>NIST SP 800-171r1</t>
  </si>
  <si>
    <t>NIST Cybersecurity Framework</t>
  </si>
  <si>
    <t>Does the vended product host/support a mobile application? (e.g. app)</t>
  </si>
  <si>
    <t>Will institution data be shared with or hosted by any third parties? (e.g. any entity not wholly-owned by your company is considered a third-party)</t>
  </si>
  <si>
    <t>CSC 13</t>
  </si>
  <si>
    <t>CSC 18</t>
  </si>
  <si>
    <t>CSC 10</t>
  </si>
  <si>
    <t>CSC 14</t>
  </si>
  <si>
    <t>CSC16</t>
  </si>
  <si>
    <t>CSC 12</t>
  </si>
  <si>
    <t>CSC 2</t>
  </si>
  <si>
    <t>CSC 7</t>
  </si>
  <si>
    <t>CSC 5</t>
  </si>
  <si>
    <t>CSC 16</t>
  </si>
  <si>
    <t>CSC 2, CSC 3</t>
  </si>
  <si>
    <t>CSC 6</t>
  </si>
  <si>
    <t>CSC 1</t>
  </si>
  <si>
    <t>CAC 13</t>
  </si>
  <si>
    <t>CSC 13, CSC 14</t>
  </si>
  <si>
    <t>CSC 3</t>
  </si>
  <si>
    <t>CSC 9</t>
  </si>
  <si>
    <t>CSC 3, CSC 14</t>
  </si>
  <si>
    <t>CSC 10, CSC 12</t>
  </si>
  <si>
    <t>CSC 19</t>
  </si>
  <si>
    <t>CSC 6, CSC 19</t>
  </si>
  <si>
    <t>CSC 13, CSC 18</t>
  </si>
  <si>
    <t>CSC 4</t>
  </si>
  <si>
    <t>CSC 17</t>
  </si>
  <si>
    <t>CSC 4, CSC 17</t>
  </si>
  <si>
    <t>CSC 20</t>
  </si>
  <si>
    <t>CSC 7, CSC 18</t>
  </si>
  <si>
    <t>CSC 16, 5</t>
  </si>
  <si>
    <t>CSC 6, CSC 16</t>
  </si>
  <si>
    <t>CSC 1, CSC 2</t>
  </si>
  <si>
    <t>CSC 12, CSC 13</t>
  </si>
  <si>
    <t>§164.308(a)(1)(i)</t>
  </si>
  <si>
    <t>§164.308(a)(1)(ii)(B)</t>
  </si>
  <si>
    <t>§164.308(a)(5)(i)</t>
  </si>
  <si>
    <t>§164.316(b)(2)(iii)</t>
  </si>
  <si>
    <t>§164.308(a)(2)</t>
  </si>
  <si>
    <t>§164.308(a)(6)(i)</t>
  </si>
  <si>
    <t>§164.308(a)(5)(ii)(D)</t>
  </si>
  <si>
    <t>§ 164.308(a)(1)(ii)(D)</t>
  </si>
  <si>
    <t>§164.312(b)</t>
  </si>
  <si>
    <t>§164.312(a)(2)(ii)</t>
  </si>
  <si>
    <t>§164.308(a)(7)(i)</t>
  </si>
  <si>
    <t>§164.308(b)(2)</t>
  </si>
  <si>
    <t>§164.308(a)(1)(i), §164.308(a)(1)(ii)(A)</t>
  </si>
  <si>
    <t>§164.308(a)(4), §164.312(a)(2)(ii),  
§164.312(a)(2)(iii)</t>
  </si>
  <si>
    <t>§164.308(a)(4),
§164.312(a)(2)(ii), §164.312(a)(2)(iii)</t>
  </si>
  <si>
    <t>§164.308(b)(1),
§164.308(b)(3), §164.314(a)(1)(i)</t>
  </si>
  <si>
    <t>Discovery</t>
  </si>
  <si>
    <t>18.1.1</t>
  </si>
  <si>
    <t>17.1.2</t>
  </si>
  <si>
    <t>15.2.1</t>
  </si>
  <si>
    <t>18.1.4</t>
  </si>
  <si>
    <t>15.2.2</t>
  </si>
  <si>
    <t>14.2.1</t>
  </si>
  <si>
    <t>15.1.3</t>
  </si>
  <si>
    <t>9.1.2</t>
  </si>
  <si>
    <t>9.2.6</t>
  </si>
  <si>
    <t>11.2.6</t>
  </si>
  <si>
    <t>9.2.2</t>
  </si>
  <si>
    <t>9.1.1</t>
  </si>
  <si>
    <t>12.5.1</t>
  </si>
  <si>
    <t>12.1.1</t>
  </si>
  <si>
    <t>12.1.4</t>
  </si>
  <si>
    <t>14.2.5</t>
  </si>
  <si>
    <t>9.2.3, 12.1.4</t>
  </si>
  <si>
    <t>9.4.3</t>
  </si>
  <si>
    <t>12.4</t>
  </si>
  <si>
    <t>9.2.3, 9.3.1, 9.4.3</t>
  </si>
  <si>
    <t>9.1.1, 9.2.3, 9.3.1, 9.4.3</t>
  </si>
  <si>
    <t>9</t>
  </si>
  <si>
    <t>10</t>
  </si>
  <si>
    <t>13</t>
  </si>
  <si>
    <t>17.1.1</t>
  </si>
  <si>
    <t>17.1.3</t>
  </si>
  <si>
    <t>17.2.1</t>
  </si>
  <si>
    <t>17</t>
  </si>
  <si>
    <t>7.2.2, 16.1.1, 17.1.3</t>
  </si>
  <si>
    <t>7.2.2, 17.1.3</t>
  </si>
  <si>
    <t>12.1.2</t>
  </si>
  <si>
    <t>12.6.1</t>
  </si>
  <si>
    <t>8.2.1</t>
  </si>
  <si>
    <t>10.1.1</t>
  </si>
  <si>
    <t>8.2.3, 10.1.1</t>
  </si>
  <si>
    <t>8.1.4</t>
  </si>
  <si>
    <t>12.3.1</t>
  </si>
  <si>
    <t>8.1.2</t>
  </si>
  <si>
    <t>10.1.2</t>
  </si>
  <si>
    <t>8.3.1</t>
  </si>
  <si>
    <t>13.2</t>
  </si>
  <si>
    <t>8.3.1, 18.1.1</t>
  </si>
  <si>
    <t>11.1.1</t>
  </si>
  <si>
    <t>13.1.2</t>
  </si>
  <si>
    <t>11.2.1</t>
  </si>
  <si>
    <t>11.1.4</t>
  </si>
  <si>
    <t>11.1.1, 11.1.2</t>
  </si>
  <si>
    <t>7.1.3</t>
  </si>
  <si>
    <t>16.1.1, 17.1.1</t>
  </si>
  <si>
    <t>13.1.1</t>
  </si>
  <si>
    <t>12.4.1</t>
  </si>
  <si>
    <t>8.2.1; 8.2.3</t>
  </si>
  <si>
    <t>8.2.3</t>
  </si>
  <si>
    <t>9.4.2</t>
  </si>
  <si>
    <t>12.7.1, 18.2.1</t>
  </si>
  <si>
    <t>11.1.2</t>
  </si>
  <si>
    <t>11.1.2, 11.1.3</t>
  </si>
  <si>
    <t>11.1.2,  11.1.3</t>
  </si>
  <si>
    <t>5.1.1</t>
  </si>
  <si>
    <t>14.2.8</t>
  </si>
  <si>
    <t>16.1.5</t>
  </si>
  <si>
    <t>7.1.1</t>
  </si>
  <si>
    <t>7.1.2</t>
  </si>
  <si>
    <t>7.2.2</t>
  </si>
  <si>
    <t>9.2.5</t>
  </si>
  <si>
    <t>12.7.1</t>
  </si>
  <si>
    <t>10.1.1, 18.1.5</t>
  </si>
  <si>
    <t>14.2.1, 14.2.5, 14.2.8</t>
  </si>
  <si>
    <t>6.2.1</t>
  </si>
  <si>
    <t>18.2.1</t>
  </si>
  <si>
    <t>16.1.1</t>
  </si>
  <si>
    <t>9.2.3</t>
  </si>
  <si>
    <t>18.1.1, 7.2.2</t>
  </si>
  <si>
    <t>16.1.2, 16.1.5, 18.1.1</t>
  </si>
  <si>
    <t>§164.308(a)(6)(ii)</t>
  </si>
  <si>
    <t>§164.308(a)(4),
§164.312(a)(1), §164.312(a)(2)(i), 
§164.312(d)</t>
  </si>
  <si>
    <t>§164.308(a)(4), 
§164.312(a)(1), §164.312(a)(2)(i),
§164.312(d)</t>
  </si>
  <si>
    <t>§164.308(a)(4), 
§164.312(a)(1), §164.312(a)(2)(i), 
§164.312(d)</t>
  </si>
  <si>
    <t>§164.308(a)(3)(i), §164.308(b)(1), 
§164.308(b)(3), §164.314(a)(1)(i)</t>
  </si>
  <si>
    <t>§164.308(a)(4), 
§164.312(a)(1)</t>
  </si>
  <si>
    <t>§164.308(a)(4), 
§164.312(d)</t>
  </si>
  <si>
    <t>ID.GV-3</t>
  </si>
  <si>
    <t>ID.AM-6, PR.AT-3</t>
  </si>
  <si>
    <t>PR.IP-9</t>
  </si>
  <si>
    <t>3.8.2</t>
  </si>
  <si>
    <t>3.1.2, 3.1.3</t>
  </si>
  <si>
    <t>3.1.2</t>
  </si>
  <si>
    <t>3.1.2, 3.1.19, 3.8.2</t>
  </si>
  <si>
    <t>3.1.1, 3.1.2, 3.1.7</t>
  </si>
  <si>
    <t>3.4.9</t>
  </si>
  <si>
    <t>3.1.12, 3.1.13, 3.1.14, 3.1.14, 3.1.15, 3.1.8, 3.1.20, 3.7.5, 3.8.2, 3.13.7</t>
  </si>
  <si>
    <t>3.1.4</t>
  </si>
  <si>
    <t>3.1.1, 3.1.5, 3.1.6, 3.7.1, 3.7.2</t>
  </si>
  <si>
    <t>3.5.6</t>
  </si>
  <si>
    <t>3.5.7</t>
  </si>
  <si>
    <t>3.5.5, 3.5.8</t>
  </si>
  <si>
    <t>3.5.1</t>
  </si>
  <si>
    <t>3.5.10</t>
  </si>
  <si>
    <t>3.5.2, 3.5.3</t>
  </si>
  <si>
    <t>3.1.1</t>
  </si>
  <si>
    <t>3.1.7, 3.3.1</t>
  </si>
  <si>
    <t>3.1.7, 3.3.2, 3.3.3, 3.3.4, 3.3.5, 3.4.3, 3.7.1, 3.7.6, 3.10.4, 3.10.5</t>
  </si>
  <si>
    <t>3.3.8, 3.3.9</t>
  </si>
  <si>
    <t>3.12.2</t>
  </si>
  <si>
    <t>3.2.1, 3.2.2</t>
  </si>
  <si>
    <t>3.4.3, 3.4.4</t>
  </si>
  <si>
    <t>3.4.3, 3.4.4, 3.4.5</t>
  </si>
  <si>
    <t>3.4.4</t>
  </si>
  <si>
    <t>3.14.4</t>
  </si>
  <si>
    <t>3.1.3, 3.8.1</t>
  </si>
  <si>
    <t>3.1.22</t>
  </si>
  <si>
    <t>3.1.19, 3.8.1</t>
  </si>
  <si>
    <t>3.8.1</t>
  </si>
  <si>
    <t>3.8.9</t>
  </si>
  <si>
    <t>3.13.10</t>
  </si>
  <si>
    <t>3.8.1, 3.8.9</t>
  </si>
  <si>
    <t>3.8.1, 3.8.5, 3.8.9</t>
  </si>
  <si>
    <t>3.7.1, 3.7.2, 3.8.3</t>
  </si>
  <si>
    <t>3.7.3, 3.8.3,</t>
  </si>
  <si>
    <t>3.8.1, 3.8.2</t>
  </si>
  <si>
    <t>3.8.6, 3.13.11</t>
  </si>
  <si>
    <t>3.1.3</t>
  </si>
  <si>
    <t>3.6.2</t>
  </si>
  <si>
    <t>3.6.1, 3.14.6, 3.14.7</t>
  </si>
  <si>
    <t>3.3.1</t>
  </si>
  <si>
    <t>3.1.19</t>
  </si>
  <si>
    <t>3.8.2, 3.10.1, 3.10.2, 3.10.5, 3.10.6, 3.12.1</t>
  </si>
  <si>
    <t>3.10.2</t>
  </si>
  <si>
    <t>3.8.1, 3.8.5, 3.8.7</t>
  </si>
  <si>
    <t>3.7.3, 3.8.1, 3.8.5, 3.8.7, 3.10.3</t>
  </si>
  <si>
    <t>3.9.1, 3.9.2</t>
  </si>
  <si>
    <t>3.13.2</t>
  </si>
  <si>
    <t>3.6.1, 3.12.2</t>
  </si>
  <si>
    <t>3.6.2,</t>
  </si>
  <si>
    <t>3.9.1</t>
  </si>
  <si>
    <t>3.2.1</t>
  </si>
  <si>
    <t>3.2.1, 3.2.2, 3.2.3</t>
  </si>
  <si>
    <t>3.1.7</t>
  </si>
  <si>
    <t>3.4.1, 3.4.2, 3.4.3</t>
  </si>
  <si>
    <t>3.13.13</t>
  </si>
  <si>
    <t>3.1.18, 3.7.1, 3.13.13</t>
  </si>
  <si>
    <t>3.11.1, 3.11.2, 3.11.3</t>
  </si>
  <si>
    <t>3.11.1, 3.11.2, 3.11.3, 3.14.2</t>
  </si>
  <si>
    <t>3.2.2</t>
  </si>
  <si>
    <t>3.6.1, 3.14.1</t>
  </si>
  <si>
    <t>3.6.2, 3.12.2</t>
  </si>
  <si>
    <t>3.5.9</t>
  </si>
  <si>
    <t>3.1.8</t>
  </si>
  <si>
    <t>3.1.10, 3.1.11</t>
  </si>
  <si>
    <t>3.1.2, 3.1.5</t>
  </si>
  <si>
    <t>3.3.2</t>
  </si>
  <si>
    <t>3.6.3, 3.12.2</t>
  </si>
  <si>
    <t>ID.AM-6, PR-AT-3</t>
  </si>
  <si>
    <t>ID.AM-5</t>
  </si>
  <si>
    <t>PR.AC-4</t>
  </si>
  <si>
    <t>PR.AC-4, PR.PT-3</t>
  </si>
  <si>
    <t>PR.AC-3, PR.MA-2</t>
  </si>
  <si>
    <t>PR.PT-3</t>
  </si>
  <si>
    <t>ID.AM-2</t>
  </si>
  <si>
    <t>ID.AM-1, ID.AM-2, ID.AM-4</t>
  </si>
  <si>
    <t>PR.DS-6</t>
  </si>
  <si>
    <t>PR.AC-1</t>
  </si>
  <si>
    <t>PR.AC-1, PR.AC-4</t>
  </si>
  <si>
    <t>PR.PT-1</t>
  </si>
  <si>
    <t>PR.IP-3</t>
  </si>
  <si>
    <t>PR.IP-3, PR.DS-7</t>
  </si>
  <si>
    <t>ID.AM-3</t>
  </si>
  <si>
    <t>PR.AC-2, PR.IP-5</t>
  </si>
  <si>
    <t>PR.DS-2</t>
  </si>
  <si>
    <t>PR.DS-1</t>
  </si>
  <si>
    <t>PR.IP-4</t>
  </si>
  <si>
    <t>PR.DS-1, PR.IP-4</t>
  </si>
  <si>
    <t>ID.AM-1, ID.AM-2, PR.IP-9</t>
  </si>
  <si>
    <t>PR.DS-3</t>
  </si>
  <si>
    <t>PR.DS-3, ID.GV-3</t>
  </si>
  <si>
    <t>PR.DS-1, PR.DS-2</t>
  </si>
  <si>
    <t>PR.AC-2</t>
  </si>
  <si>
    <t>PR.AC-5</t>
  </si>
  <si>
    <t>PR.DS-4</t>
  </si>
  <si>
    <t>PR.DS-5</t>
  </si>
  <si>
    <t>DE.CM-1</t>
  </si>
  <si>
    <t>DE.CM-1, DE.CM-2, DE.CM-7</t>
  </si>
  <si>
    <t>DE.AE-1, DE.CM-1, PR.PT-4</t>
  </si>
  <si>
    <t>DE.CM-7</t>
  </si>
  <si>
    <t>DE.CM-7, PR.DS-2</t>
  </si>
  <si>
    <t>DE.CM-7, PR.DS-1</t>
  </si>
  <si>
    <t>DE.CM-7, DE.CM-8, ID.RA-1</t>
  </si>
  <si>
    <t>PR.AC-2, PR.AT-5, PR.IP-5, DE.CM-2</t>
  </si>
  <si>
    <t>PR.AC-2, PR.AC-4, PR.DS-1, PR.DS-3, PR.DS-5</t>
  </si>
  <si>
    <t>DE.CM-2</t>
  </si>
  <si>
    <t>ID.GV-2</t>
  </si>
  <si>
    <t>PR.IP-12</t>
  </si>
  <si>
    <t>DE.CM-8, RS.MI-3</t>
  </si>
  <si>
    <t>PR.DS-7</t>
  </si>
  <si>
    <t>PR.IP-2</t>
  </si>
  <si>
    <t>PR.IP-11</t>
  </si>
  <si>
    <t>PR.AT-1</t>
  </si>
  <si>
    <t>PR.PT-4</t>
  </si>
  <si>
    <t>PR.IP-1</t>
  </si>
  <si>
    <t>PR.IP-1, PR.IP-2</t>
  </si>
  <si>
    <t>DE.CM-8</t>
  </si>
  <si>
    <t>ID.RA-1, DE.CM-8, PR.IP-12</t>
  </si>
  <si>
    <t>RA-2</t>
  </si>
  <si>
    <t>IA-2, IA-3, CM-3, SI-2</t>
  </si>
  <si>
    <t>AU-7, AU-9, IR-4</t>
  </si>
  <si>
    <t>CA-5, PL-2</t>
  </si>
  <si>
    <t>SA-9</t>
  </si>
  <si>
    <t>PE-2, PE-3, PE-5, PE-11, PE-13, PE-14, SA-9</t>
  </si>
  <si>
    <t xml:space="preserve">SA-3, SA-15, SC-2, PM-2, PM-10, SI-5,PM-3 </t>
  </si>
  <si>
    <t>MP-2, RA-3</t>
  </si>
  <si>
    <t>PS-3</t>
  </si>
  <si>
    <t>PS-5</t>
  </si>
  <si>
    <t>AC-4</t>
  </si>
  <si>
    <t>MP-2</t>
  </si>
  <si>
    <t>AC-2, AC-3, AC-6</t>
  </si>
  <si>
    <t>CM-11</t>
  </si>
  <si>
    <t>AC-17; NIST SP 800-46</t>
  </si>
  <si>
    <t>AC-3, CM-7; NIST SP 800-46</t>
  </si>
  <si>
    <t>CA-9, SC-4</t>
  </si>
  <si>
    <t>AC-5</t>
  </si>
  <si>
    <t>AC-2, AC-3, AC-6, MA-2, MA-3</t>
  </si>
  <si>
    <t>IA-4</t>
  </si>
  <si>
    <t>IA-5(1)</t>
  </si>
  <si>
    <t>IA-2, IA-5</t>
  </si>
  <si>
    <t>IA-5</t>
  </si>
  <si>
    <t>AC-6(1,3,9), AU-2, AU-2(3), AU-3, AU-7, AU-9(4), AU-12, NIST 800-92</t>
  </si>
  <si>
    <t>AU-2(3), AU-6, AU-12, AC-6(9), CM-3, MA-2, MA-5, PE-3</t>
  </si>
  <si>
    <t>AU-9</t>
  </si>
  <si>
    <t>AU-7, AU-9, IR-4, AC-5, CP-4, CP-10; NIST SP 800-34</t>
  </si>
  <si>
    <t>AC-5, CP-4, CP-10; NIST SP 800-34</t>
  </si>
  <si>
    <t>AT-3, AC-5, CP-4, CP-10; NIST SP 800-34</t>
  </si>
  <si>
    <t>CM-3, CM-4, CM-5</t>
  </si>
  <si>
    <t>AC-4, MP-2, MP-4</t>
  </si>
  <si>
    <t>AC-22</t>
  </si>
  <si>
    <t>MP-2, AC-19(5)</t>
  </si>
  <si>
    <t>PE-2, PE-3, PE-5, MP-5</t>
  </si>
  <si>
    <t>CP-9</t>
  </si>
  <si>
    <t>CP-9 MP-6, NIST SP 800-60, NIST SP 800-88, AC-2, AC-6, IA-4, PM-2, PM-10, SI-5, MA-2, MA-3, MP-6</t>
  </si>
  <si>
    <t>AC-2, AC-6, IA-4, PM-2, PM-10, SI-5, MA-2</t>
  </si>
  <si>
    <t>SI-12, AC-2, AC-6, IA-4, PM-2, PM-10, SI-5, MA-2</t>
  </si>
  <si>
    <t>AC-2, AC-6, IA-4, PM-2, PM-10, SI-5</t>
  </si>
  <si>
    <t>SC-28, SC-13, FIPS PUB 140-2</t>
  </si>
  <si>
    <t>CP-9, MP-5</t>
  </si>
  <si>
    <t>PE-2, PE-3, PE-5, PE-11, PE-13, PE-14</t>
  </si>
  <si>
    <t>IR-2, IR-4, IR-5</t>
  </si>
  <si>
    <t>IR-2, IR-4, IR-9</t>
  </si>
  <si>
    <t>IR-2, IR-4, IR-10</t>
  </si>
  <si>
    <t>AU-2</t>
  </si>
  <si>
    <t>AC-19(5)</t>
  </si>
  <si>
    <t>MP-4, PE-2, PE-5, PE-6, PE-17</t>
  </si>
  <si>
    <t>MP-2, MP-5, MP-7</t>
  </si>
  <si>
    <t>PE-6</t>
  </si>
  <si>
    <t>PM-2, PM-10, SI-5, CA-5, PM-1</t>
  </si>
  <si>
    <t>CA-5, PM-1</t>
  </si>
  <si>
    <t>CM-3, SA-15, SA-3, SA-8, SC-2, CA-5, PM-1</t>
  </si>
  <si>
    <t>CA-5, PM-1, IR-4, IR-5, IR-7, IR-8</t>
  </si>
  <si>
    <t>CA-5, PM-1, IR-4, IR-5, IR-6, IR-7, IR-8</t>
  </si>
  <si>
    <t>CA-2, SA-15, CA-5, PM-1, IR-4, IR-5, IR-6, R-7, IR-8</t>
  </si>
  <si>
    <t>CA-5, PM-1, PS-3</t>
  </si>
  <si>
    <t>AT-2, CA-5, PM-1</t>
  </si>
  <si>
    <t>AT-2, AT-3, CA-5, PM-1</t>
  </si>
  <si>
    <t>CA-5, PM-1, PS-4, PS-5, PE-2, PE-3, PE-5, AC-6, RA-3, SA-8, CA-2, NIST SP 800-37; NIST SP 800-39; NIST SP 800-115; NIST SP 800-137</t>
  </si>
  <si>
    <t>CM-2, CM-3, CM-6, CM-8</t>
  </si>
  <si>
    <t>CM-2, CM-6, CM-3, AC-19, MA-2</t>
  </si>
  <si>
    <t>SI-2</t>
  </si>
  <si>
    <t>AT-3</t>
  </si>
  <si>
    <t>IR-2, IR-4, IR-5, IR-7</t>
  </si>
  <si>
    <t>IR-6</t>
  </si>
  <si>
    <t>AC-7</t>
  </si>
  <si>
    <t>AC-11, AC-11(1), AC-12</t>
  </si>
  <si>
    <t>AU-2, AU-6, AU-12</t>
  </si>
  <si>
    <t>AU-3</t>
  </si>
  <si>
    <t>ISO 27002:2013</t>
  </si>
  <si>
    <t>v1.06</t>
  </si>
  <si>
    <t>Added standards crosswalk and Cloud Broker Index (CBI) information</t>
  </si>
  <si>
    <t>Are you compliant with FISMA standards?</t>
  </si>
  <si>
    <t>Do you have existing higher education customers?</t>
  </si>
  <si>
    <t>Have you had a significant breach in the last 5 years?</t>
  </si>
  <si>
    <t>Do you have a dedicated Information Security staff or office?</t>
  </si>
  <si>
    <t>Use this area to share information about your environment that will assist those who are assessing your company data security program.</t>
  </si>
  <si>
    <t>Do you support role-based access control (RBAC) for end-users?</t>
  </si>
  <si>
    <t>Do you support role-based access control (RBAC) for system administrators?</t>
  </si>
  <si>
    <t>Can employees access customer data remotely?</t>
  </si>
  <si>
    <t>Can you provide overall system and/or application architecture diagrams including a full description of the data communications architecture for all components of the system?</t>
  </si>
  <si>
    <t xml:space="preserve">Do you employ a single-tenant environment? </t>
  </si>
  <si>
    <t>Will the consulting take place on-premises?</t>
  </si>
  <si>
    <r>
      <t xml:space="preserve">Does your </t>
    </r>
    <r>
      <rPr>
        <i/>
        <sz val="11"/>
        <color theme="1"/>
        <rFont val="Verdana"/>
        <family val="2"/>
      </rPr>
      <t xml:space="preserve">application </t>
    </r>
    <r>
      <rPr>
        <sz val="11"/>
        <color theme="1"/>
        <rFont val="Verdana"/>
        <family val="2"/>
      </rPr>
      <t>support integration with other authentication and authorization systems?  List which ones (such as Active Directory, Kerberos and what version) in Additional Info?</t>
    </r>
  </si>
  <si>
    <t>Has the Disaster Recovery Plan been tested in the last year?  Please provide a summary of the results in Additional Information (including actual recovery time).</t>
  </si>
  <si>
    <t>Policies for information security</t>
  </si>
  <si>
    <t>5.1.2</t>
  </si>
  <si>
    <t>Review of the policies for information security</t>
  </si>
  <si>
    <t>6.1.1</t>
  </si>
  <si>
    <t>Information security roles and responsibilities</t>
  </si>
  <si>
    <t>6.1.2</t>
  </si>
  <si>
    <t>Segregation of duties</t>
  </si>
  <si>
    <t>6.1.3</t>
  </si>
  <si>
    <t>Contact with authorities</t>
  </si>
  <si>
    <t>6.1.4</t>
  </si>
  <si>
    <t>Contact with special interest groups</t>
  </si>
  <si>
    <t>6.1.5</t>
  </si>
  <si>
    <t>Information security in project management</t>
  </si>
  <si>
    <t>Mobile device policy</t>
  </si>
  <si>
    <t>6.2.2</t>
  </si>
  <si>
    <t>Teleworking</t>
  </si>
  <si>
    <t>Screening</t>
  </si>
  <si>
    <t>Terms and conditions of employment</t>
  </si>
  <si>
    <t>7.2.1</t>
  </si>
  <si>
    <t>Management responsibilities</t>
  </si>
  <si>
    <t>Information security awareness, education and training</t>
  </si>
  <si>
    <t>7.2.3</t>
  </si>
  <si>
    <t>Disciplinary process</t>
  </si>
  <si>
    <t>7.3.1</t>
  </si>
  <si>
    <t>Termination or change of employment responsibilities</t>
  </si>
  <si>
    <t>8.1.1</t>
  </si>
  <si>
    <t>Inventory of assets</t>
  </si>
  <si>
    <t>Ownership of assets</t>
  </si>
  <si>
    <t>8.1.3</t>
  </si>
  <si>
    <t>Acceptable use of assets</t>
  </si>
  <si>
    <t>Return of assets</t>
  </si>
  <si>
    <t>Classification of information</t>
  </si>
  <si>
    <t>8.2.2</t>
  </si>
  <si>
    <t>Labelling of information</t>
  </si>
  <si>
    <t>Handling of assets</t>
  </si>
  <si>
    <t>Management of removable media</t>
  </si>
  <si>
    <t>8.3.2</t>
  </si>
  <si>
    <t>Disposal of media</t>
  </si>
  <si>
    <t>8.3.3</t>
  </si>
  <si>
    <t>Physical media transfer</t>
  </si>
  <si>
    <t>Access control policy</t>
  </si>
  <si>
    <t>Access to networks and network services</t>
  </si>
  <si>
    <t>9.2.1</t>
  </si>
  <si>
    <t>User registration and de-registration</t>
  </si>
  <si>
    <t>User access provisioning</t>
  </si>
  <si>
    <t>Management of privileged access rights</t>
  </si>
  <si>
    <t>9.2.4</t>
  </si>
  <si>
    <t>Management of secret authentication information of users</t>
  </si>
  <si>
    <t>Review of user access rights</t>
  </si>
  <si>
    <t>Removal or adjustment of access rights</t>
  </si>
  <si>
    <t>9.3.1</t>
  </si>
  <si>
    <t>Use of secret authentication information</t>
  </si>
  <si>
    <t>9.4.1</t>
  </si>
  <si>
    <t>Information access restriction</t>
  </si>
  <si>
    <t>Secure log-on procedures</t>
  </si>
  <si>
    <t>Password management system</t>
  </si>
  <si>
    <t>9.4.4</t>
  </si>
  <si>
    <t>Use of privileged utility programs</t>
  </si>
  <si>
    <t>9.4.5</t>
  </si>
  <si>
    <t>Access control to program source code</t>
  </si>
  <si>
    <t>Policy on the use of cryptographic controls</t>
  </si>
  <si>
    <t>Key management</t>
  </si>
  <si>
    <t>Physical security perimeter</t>
  </si>
  <si>
    <t>Physical entry controls</t>
  </si>
  <si>
    <t>11.1.3</t>
  </si>
  <si>
    <t>Securing offices, rooms and facilities</t>
  </si>
  <si>
    <t>Protecting against external and environmental threats</t>
  </si>
  <si>
    <t>11.1.5</t>
  </si>
  <si>
    <t>Working in secure areas</t>
  </si>
  <si>
    <t>11.1.6</t>
  </si>
  <si>
    <t>Delivery and loading areas</t>
  </si>
  <si>
    <t>Equipment siting and protection</t>
  </si>
  <si>
    <t>11.2.2</t>
  </si>
  <si>
    <t>Supporting utilities</t>
  </si>
  <si>
    <t>11.2.3</t>
  </si>
  <si>
    <t>Cabling security</t>
  </si>
  <si>
    <t>11.2.4</t>
  </si>
  <si>
    <t>Equipment maintenance</t>
  </si>
  <si>
    <t>11.2.5</t>
  </si>
  <si>
    <t>Removal of assets</t>
  </si>
  <si>
    <t>Security of equipment and assets off-premises</t>
  </si>
  <si>
    <t>11.2.7</t>
  </si>
  <si>
    <t>Secure disposal or re-use of equipment</t>
  </si>
  <si>
    <t>11.2.8</t>
  </si>
  <si>
    <t>Unattended user equipment</t>
  </si>
  <si>
    <t>11.2.9</t>
  </si>
  <si>
    <t>Clear desk and clear screen policy</t>
  </si>
  <si>
    <t>Documented operating procedures</t>
  </si>
  <si>
    <t>Change management</t>
  </si>
  <si>
    <t>12.1.3</t>
  </si>
  <si>
    <t>Capacity management</t>
  </si>
  <si>
    <t>Separation of development, testing and operational environments</t>
  </si>
  <si>
    <t>12.2.1</t>
  </si>
  <si>
    <t>Controls against malware</t>
  </si>
  <si>
    <t>Information backup</t>
  </si>
  <si>
    <t>Event logging</t>
  </si>
  <si>
    <t>12.4.2</t>
  </si>
  <si>
    <t>Protection of log information</t>
  </si>
  <si>
    <t>12.4.3</t>
  </si>
  <si>
    <t>Administrator and operator logs</t>
  </si>
  <si>
    <t>12.4.4</t>
  </si>
  <si>
    <t>Clock synchronisation</t>
  </si>
  <si>
    <t>Installation of software on operational systems</t>
  </si>
  <si>
    <t>Management of technical vulnerabilities</t>
  </si>
  <si>
    <t>12.6.2</t>
  </si>
  <si>
    <t>Restrictions on software installation</t>
  </si>
  <si>
    <t>Information systems audit controls</t>
  </si>
  <si>
    <t xml:space="preserve">Network controls </t>
  </si>
  <si>
    <t>Security of network services</t>
  </si>
  <si>
    <t>13.1.3</t>
  </si>
  <si>
    <t>Segregation in networks</t>
  </si>
  <si>
    <t>13.2.1</t>
  </si>
  <si>
    <t>Information transfer policies and procedures</t>
  </si>
  <si>
    <t>13.2.2</t>
  </si>
  <si>
    <t>Agreements on information transfer</t>
  </si>
  <si>
    <t>13.2.3</t>
  </si>
  <si>
    <t>Electronic messaging</t>
  </si>
  <si>
    <t>13.2.4</t>
  </si>
  <si>
    <t>Confidentiality or non-disclosure agreements</t>
  </si>
  <si>
    <t>14.1.1</t>
  </si>
  <si>
    <t>Information Security requirements analysis and specification</t>
  </si>
  <si>
    <t>14.1.2</t>
  </si>
  <si>
    <t>Securing application services on public networks</t>
  </si>
  <si>
    <t>14.1.3</t>
  </si>
  <si>
    <t>Protecting application services transactions</t>
  </si>
  <si>
    <t>Secure development policy</t>
  </si>
  <si>
    <t>14.2.2</t>
  </si>
  <si>
    <t>System change control procedures</t>
  </si>
  <si>
    <t>14.2.3</t>
  </si>
  <si>
    <t>Technical review of applications after operating platform changes</t>
  </si>
  <si>
    <t>14.2.4</t>
  </si>
  <si>
    <t>Restrictions on changes to software packages</t>
  </si>
  <si>
    <t>Secure system engineering principles</t>
  </si>
  <si>
    <t>14.2.6</t>
  </si>
  <si>
    <t>Secure development environment</t>
  </si>
  <si>
    <t>14.2.7</t>
  </si>
  <si>
    <t>Outsourced development</t>
  </si>
  <si>
    <t>System security testing</t>
  </si>
  <si>
    <t>14.2.9</t>
  </si>
  <si>
    <t>System acceptance testing</t>
  </si>
  <si>
    <t>14.3.1</t>
  </si>
  <si>
    <t>Protection of test data</t>
  </si>
  <si>
    <t>15.1.1</t>
  </si>
  <si>
    <t>Information security policy for supplier relationships</t>
  </si>
  <si>
    <t>15.1.2</t>
  </si>
  <si>
    <t>Addressing security within supplier agreements</t>
  </si>
  <si>
    <t>Information and communication technology supply chain</t>
  </si>
  <si>
    <t>Monitoring and review of supplier services</t>
  </si>
  <si>
    <t>Managing changes to supplier services</t>
  </si>
  <si>
    <t>Responsibilities and procedures</t>
  </si>
  <si>
    <t>16.1.2</t>
  </si>
  <si>
    <t>Reporting information security events</t>
  </si>
  <si>
    <t>16.1.3</t>
  </si>
  <si>
    <t>Reporting information security weaknesses</t>
  </si>
  <si>
    <t>16.1.4</t>
  </si>
  <si>
    <t>Assessment of and decision on information security events</t>
  </si>
  <si>
    <t>Response to information security incidents</t>
  </si>
  <si>
    <t>16.1.6</t>
  </si>
  <si>
    <t>Learning from information security incidents</t>
  </si>
  <si>
    <t>16.1.7</t>
  </si>
  <si>
    <t>Collection of evidence</t>
  </si>
  <si>
    <t>Planning information security continuity</t>
  </si>
  <si>
    <t>Implementing information security continuity</t>
  </si>
  <si>
    <t>Verify, review and evaluate information security continuity</t>
  </si>
  <si>
    <t>Availability of information processing facilities</t>
  </si>
  <si>
    <t>Identification of applicable legislation and contractual requirements</t>
  </si>
  <si>
    <t>18.1.2</t>
  </si>
  <si>
    <t>Intellectual property rights</t>
  </si>
  <si>
    <t>18.1.3</t>
  </si>
  <si>
    <t>Protection of records</t>
  </si>
  <si>
    <t>Privacy and protection of personally identifiable information</t>
  </si>
  <si>
    <t>18.1.5</t>
  </si>
  <si>
    <t>Regulation of cryptographic controls</t>
  </si>
  <si>
    <t>Independent review of information security</t>
  </si>
  <si>
    <t>18.2.2</t>
  </si>
  <si>
    <t>Compliance with security policies and standards</t>
  </si>
  <si>
    <t>18.2.3</t>
  </si>
  <si>
    <t>Technical compliance review</t>
  </si>
  <si>
    <t>Handling of assets; Policy on the use of cryptographic controls</t>
  </si>
  <si>
    <t>11.1.1,11.1.2</t>
  </si>
  <si>
    <t>Physical security perimeter; Physical entry controls</t>
  </si>
  <si>
    <t>Management of privileged access rights; Use of secret authentication information; Password management system</t>
  </si>
  <si>
    <t>Access control policy; Management of privileged access rights; Use of secret authentication information; Password management system</t>
  </si>
  <si>
    <t>Inventory of Authorized and Unauthorized Devices</t>
  </si>
  <si>
    <t>Inventory of Authorized and Unauthorized Software</t>
  </si>
  <si>
    <t>Secure Configurations for Hardware and Software</t>
  </si>
  <si>
    <t>Continuous Vulnerability Assessment and Remediation</t>
  </si>
  <si>
    <t>Malware Defenses</t>
  </si>
  <si>
    <t>Application Software Security</t>
  </si>
  <si>
    <t>Wireless Access Control</t>
  </si>
  <si>
    <t>CSC 8</t>
  </si>
  <si>
    <t>Data Recovery Capability</t>
  </si>
  <si>
    <t>Security Skills Assessment and Appropriate Training to Fill Gaps</t>
  </si>
  <si>
    <t>Secure Configurations for Network Devices</t>
  </si>
  <si>
    <t>CSC 11</t>
  </si>
  <si>
    <t>Limitation and Control of Network Ports</t>
  </si>
  <si>
    <t>Controlled Use of Administrative Privileges</t>
  </si>
  <si>
    <t>Boundary Defense</t>
  </si>
  <si>
    <t>Maintenance, Monitoring, and Analysis of Audit Logs</t>
  </si>
  <si>
    <t>CSC 15</t>
  </si>
  <si>
    <t>Controlled Access Based on the Need to Know</t>
  </si>
  <si>
    <t>Account Monitoring and Control</t>
  </si>
  <si>
    <t>Data Protection</t>
  </si>
  <si>
    <t>Incident Response and Management</t>
  </si>
  <si>
    <t>Secure Network Engineering</t>
  </si>
  <si>
    <t>Penetration Tests and Red Team Exercises</t>
  </si>
  <si>
    <t>ID.AM-1</t>
  </si>
  <si>
    <t xml:space="preserve"> Physical devices and systems within the organization are inventoried</t>
  </si>
  <si>
    <t xml:space="preserve"> Software platforms and applications within the organization are inventoried</t>
  </si>
  <si>
    <t xml:space="preserve"> Organizational communication and data flows are mapped</t>
  </si>
  <si>
    <t>ID.AM-4</t>
  </si>
  <si>
    <t xml:space="preserve"> External information systems are catalogued</t>
  </si>
  <si>
    <t xml:space="preserve"> Resources (e.g., hardware, devices, data, and software) are prioritized based on their classification, criticality, and business value </t>
  </si>
  <si>
    <t>ID.AM-6</t>
  </si>
  <si>
    <t xml:space="preserve"> Cybersecurity roles and responsibilities for the entire workforce and third-party stakeholders (e.g., suppliers, customers, partners) are established</t>
  </si>
  <si>
    <t>ID.BE-1</t>
  </si>
  <si>
    <t xml:space="preserve"> The organization’s role in the supply chain is identified and communicated</t>
  </si>
  <si>
    <t>ID.BE-2</t>
  </si>
  <si>
    <t xml:space="preserve"> The organization’s place in critical infrastructure and its industry sector is identified and communicated</t>
  </si>
  <si>
    <t>ID.BE-3</t>
  </si>
  <si>
    <t xml:space="preserve"> Priorities for organizational mission, objectives, and activities are established and communicated</t>
  </si>
  <si>
    <t>ID.BE-4</t>
  </si>
  <si>
    <t xml:space="preserve"> Dependencies and critical functions for delivery of critical services are established</t>
  </si>
  <si>
    <t>ID.BE-5</t>
  </si>
  <si>
    <t xml:space="preserve"> Resilience requirements to support delivery of critical services are established</t>
  </si>
  <si>
    <t>ID.GV-1</t>
  </si>
  <si>
    <t xml:space="preserve"> Organizational information security policy is established</t>
  </si>
  <si>
    <t xml:space="preserve"> Information security roles &amp; responsibilities are coordinated and aligned with internal roles and external partners</t>
  </si>
  <si>
    <t xml:space="preserve"> Legal and regulatory requirements regarding cybersecurity, including privacy and civil liberties obligations, are understood and managed</t>
  </si>
  <si>
    <t>ID.GV-4</t>
  </si>
  <si>
    <t xml:space="preserve"> Governance and risk management processes address cybersecurity risks</t>
  </si>
  <si>
    <t>ID.RA-1</t>
  </si>
  <si>
    <t xml:space="preserve"> Asset vulnerabilities are identified and documented</t>
  </si>
  <si>
    <t>ID.RA-2</t>
  </si>
  <si>
    <t xml:space="preserve"> Threat and vulnerability information is received from information sharing forums and sources</t>
  </si>
  <si>
    <t>ID.RA-3</t>
  </si>
  <si>
    <t xml:space="preserve"> Threats, both internal and external, are identified and documented</t>
  </si>
  <si>
    <t>ID.RA-4</t>
  </si>
  <si>
    <t xml:space="preserve"> Potential business impacts and likelihoods are identified</t>
  </si>
  <si>
    <t>ID.RA-5</t>
  </si>
  <si>
    <t xml:space="preserve"> Threats, vulnerabilities, likelihoods, and impacts are used to determine risk</t>
  </si>
  <si>
    <t>ID.RA-6</t>
  </si>
  <si>
    <t xml:space="preserve"> Risk responses are identified and prioritized</t>
  </si>
  <si>
    <t>ID.RM-1</t>
  </si>
  <si>
    <t xml:space="preserve"> Risk management processes are established, managed, and agreed to by organizational stakeholders</t>
  </si>
  <si>
    <t>ID.RM-2</t>
  </si>
  <si>
    <t xml:space="preserve"> Organizational risk tolerance is determined and clearly expressed</t>
  </si>
  <si>
    <t>ID.RM-3</t>
  </si>
  <si>
    <t xml:space="preserve"> The organization’s determination of risk tolerance is informed by its role in critical infrastructure and sector specific risk analysis</t>
  </si>
  <si>
    <t xml:space="preserve"> Identities and credentials are managed for authorized devices and users</t>
  </si>
  <si>
    <t xml:space="preserve"> Physical access to assets is managed and protected</t>
  </si>
  <si>
    <t>PR.AC-3</t>
  </si>
  <si>
    <t xml:space="preserve"> Remote access is managed</t>
  </si>
  <si>
    <t xml:space="preserve"> Access permissions are managed, incorporating the principles of least privilege and separation of duties</t>
  </si>
  <si>
    <t xml:space="preserve"> Network integrity is protected, incorporating network segregation where appropriate</t>
  </si>
  <si>
    <t xml:space="preserve"> All users are informed and trained </t>
  </si>
  <si>
    <t>PR.AT-2</t>
  </si>
  <si>
    <t xml:space="preserve"> Privileged users understand roles &amp; responsibilities </t>
  </si>
  <si>
    <t>PR.AT-3</t>
  </si>
  <si>
    <t xml:space="preserve"> Third-party stakeholders (e.g., suppliers, customers, partners) understand roles &amp; responsibilities </t>
  </si>
  <si>
    <t>PR.AT-4</t>
  </si>
  <si>
    <t xml:space="preserve"> Senior executives understand roles &amp; responsibilities </t>
  </si>
  <si>
    <t>PR.AT-5</t>
  </si>
  <si>
    <t xml:space="preserve"> Physical and information security personnel understand roles &amp; responsibilities </t>
  </si>
  <si>
    <t xml:space="preserve"> Data-at-rest is protected</t>
  </si>
  <si>
    <t xml:space="preserve"> Data-in-transit is protected</t>
  </si>
  <si>
    <t xml:space="preserve"> Assets are formally managed throughout removal, transfers, and disposition</t>
  </si>
  <si>
    <t xml:space="preserve"> Adequate capacity to ensure availability is maintained</t>
  </si>
  <si>
    <t xml:space="preserve"> Protections against data leaks are implemented</t>
  </si>
  <si>
    <t xml:space="preserve"> Integrity checking mechanisms are used to verify software, firmware, and information integrity</t>
  </si>
  <si>
    <t xml:space="preserve"> The development and testing environment(s) are separate from the production environment</t>
  </si>
  <si>
    <t xml:space="preserve"> A baseline configuration of information technology/industrial control systems is created and maintained</t>
  </si>
  <si>
    <t xml:space="preserve"> A System Development Life Cycle to manage systems is implemented</t>
  </si>
  <si>
    <t xml:space="preserve"> Configuration change control processes are in place</t>
  </si>
  <si>
    <t xml:space="preserve"> Backups of information are conducted, maintained, and tested periodically</t>
  </si>
  <si>
    <t>PR.IP-5</t>
  </si>
  <si>
    <t xml:space="preserve"> Policy and regulations regarding the physical operating environment for organizational assets are met</t>
  </si>
  <si>
    <t>PR.IP-6</t>
  </si>
  <si>
    <t xml:space="preserve"> Data is destroyed according to policy</t>
  </si>
  <si>
    <t>PR.IP-7</t>
  </si>
  <si>
    <t xml:space="preserve"> Protection processes are continuously improved</t>
  </si>
  <si>
    <t>PR.IP-8</t>
  </si>
  <si>
    <t xml:space="preserve"> Effectiveness of protection technologies is shared with appropriate parties</t>
  </si>
  <si>
    <t xml:space="preserve"> Response plans (Incident Response and Business Continuity) and recovery plans (Incident Recovery and Disaster Recovery) are in place and managed</t>
  </si>
  <si>
    <t>PR.IP-10</t>
  </si>
  <si>
    <t xml:space="preserve"> Response and recovery plans are tested</t>
  </si>
  <si>
    <t xml:space="preserve"> Cybersecurity is included in human resources practices (e.g., deprovisioning, personnel screening)</t>
  </si>
  <si>
    <t xml:space="preserve"> A vulnerability management plan is developed and implemented</t>
  </si>
  <si>
    <t>PR.MA-1</t>
  </si>
  <si>
    <t xml:space="preserve"> Maintenance and repair of organizational assets is performed and logged in a timely manner, with approved and controlled tools</t>
  </si>
  <si>
    <t>PR.MA-2</t>
  </si>
  <si>
    <t xml:space="preserve"> Remote maintenance of organizational assets is approved, logged, and performed in a manner that prevents unauthorized access</t>
  </si>
  <si>
    <t xml:space="preserve"> Audit/log records are determined, documented, implemented, and reviewed in accordance with policy</t>
  </si>
  <si>
    <t>PR.PT-2</t>
  </si>
  <si>
    <t xml:space="preserve"> Removable media is protected and its use restricted according to policy</t>
  </si>
  <si>
    <t xml:space="preserve"> Access to systems and assets is controlled, incorporating the principle of least functionality</t>
  </si>
  <si>
    <t xml:space="preserve"> Communications and control networks are protected</t>
  </si>
  <si>
    <t>DE.AE-1</t>
  </si>
  <si>
    <t xml:space="preserve"> A baseline of network operations and expected data flows for users and systems is established and managed</t>
  </si>
  <si>
    <t>DE.AE-2</t>
  </si>
  <si>
    <t xml:space="preserve"> Detected events are analyzed to understand attack targets and methods</t>
  </si>
  <si>
    <t>DE.AE-3</t>
  </si>
  <si>
    <t xml:space="preserve"> Event data are aggregated and correlated from multiple sources and sensors</t>
  </si>
  <si>
    <t>DE.AE-4</t>
  </si>
  <si>
    <t xml:space="preserve"> Impact of events is determined</t>
  </si>
  <si>
    <t>DE.AE-5</t>
  </si>
  <si>
    <t xml:space="preserve"> Incident alert thresholds are established</t>
  </si>
  <si>
    <t xml:space="preserve"> The network is monitored to detect potential cybersecurity events</t>
  </si>
  <si>
    <t xml:space="preserve"> The physical environment is monitored to detect potential cybersecurity events</t>
  </si>
  <si>
    <t>DE.CM-3</t>
  </si>
  <si>
    <t xml:space="preserve"> Personnel activity is monitored to detect potential cybersecurity events</t>
  </si>
  <si>
    <t>DE.CM-4</t>
  </si>
  <si>
    <t xml:space="preserve"> Malicious code is detected</t>
  </si>
  <si>
    <t>DE.CM-5</t>
  </si>
  <si>
    <t xml:space="preserve"> Unauthorized mobile code is detected</t>
  </si>
  <si>
    <t>DE.CM-6</t>
  </si>
  <si>
    <t xml:space="preserve"> External service provider activity is monitored to detect potential cybersecurity events</t>
  </si>
  <si>
    <t xml:space="preserve"> Monitoring for unauthorized personnel, connections, devices, and software is performed</t>
  </si>
  <si>
    <t xml:space="preserve"> Vulnerability scans are performed</t>
  </si>
  <si>
    <t>DE.DP-1</t>
  </si>
  <si>
    <t xml:space="preserve"> Roles and responsibilities for detection are well defined to ensure accountability</t>
  </si>
  <si>
    <t>DE.DP-2</t>
  </si>
  <si>
    <t xml:space="preserve"> Detection activities comply with all applicable requirements</t>
  </si>
  <si>
    <t>DE.DP-3</t>
  </si>
  <si>
    <t xml:space="preserve"> Detection processes are tested</t>
  </si>
  <si>
    <t>DE.DP-4</t>
  </si>
  <si>
    <t xml:space="preserve"> Event detection information is communicated to appropriate parties</t>
  </si>
  <si>
    <t>DE.DP-5</t>
  </si>
  <si>
    <t xml:space="preserve"> Detection processes are continuously improved</t>
  </si>
  <si>
    <t>RS.RP-1</t>
  </si>
  <si>
    <t xml:space="preserve"> Response plan is executed during or after an event</t>
  </si>
  <si>
    <t>RS.CO-1</t>
  </si>
  <si>
    <t xml:space="preserve"> Personnel know their roles and order of operations when a response is needed</t>
  </si>
  <si>
    <t>RS.CO-2</t>
  </si>
  <si>
    <t xml:space="preserve"> Events are reported consistent with established criteria</t>
  </si>
  <si>
    <t>RS.CO-3</t>
  </si>
  <si>
    <t xml:space="preserve"> Information is shared consistent with response plans</t>
  </si>
  <si>
    <t>RS.CO-4</t>
  </si>
  <si>
    <t xml:space="preserve"> Coordination with stakeholders occurs consistent with response plans</t>
  </si>
  <si>
    <t>RS.CO-5</t>
  </si>
  <si>
    <t xml:space="preserve"> Voluntary information sharing occurs with external stakeholders to achieve broader cybersecurity situational awareness </t>
  </si>
  <si>
    <t>RS.AN-1</t>
  </si>
  <si>
    <t xml:space="preserve"> Notifications from detection systems are investigated </t>
  </si>
  <si>
    <t>RS.AN-2</t>
  </si>
  <si>
    <t xml:space="preserve"> The impact of the incident is understood</t>
  </si>
  <si>
    <t>RS.AN-3</t>
  </si>
  <si>
    <t xml:space="preserve"> Forensics are performed</t>
  </si>
  <si>
    <t>RS.AN-4</t>
  </si>
  <si>
    <t xml:space="preserve"> Incidents are categorized consistent with response plans</t>
  </si>
  <si>
    <t>RS.MI-1</t>
  </si>
  <si>
    <t xml:space="preserve"> Incidents are contained</t>
  </si>
  <si>
    <t>RS.MI-2</t>
  </si>
  <si>
    <t xml:space="preserve"> Incidents are mitigated</t>
  </si>
  <si>
    <t>RS.MI-3</t>
  </si>
  <si>
    <t xml:space="preserve"> Newly identified vulnerabilities are mitigated or documented as accepted risks</t>
  </si>
  <si>
    <t>RS.IM-1</t>
  </si>
  <si>
    <t xml:space="preserve"> Response plans incorporate lessons learned</t>
  </si>
  <si>
    <t>RS.IM-2</t>
  </si>
  <si>
    <t xml:space="preserve"> Response strategies are updated</t>
  </si>
  <si>
    <t>RC.RP-1</t>
  </si>
  <si>
    <t xml:space="preserve"> Recovery plan is executed during or after an event</t>
  </si>
  <si>
    <t>RC.IM-1</t>
  </si>
  <si>
    <t xml:space="preserve"> Recovery plans incorporate lessons learned</t>
  </si>
  <si>
    <t>RC.IM-2</t>
  </si>
  <si>
    <t xml:space="preserve"> Recovery strategies are updated</t>
  </si>
  <si>
    <t>RC.CO-1</t>
  </si>
  <si>
    <t xml:space="preserve"> Public relations are managed</t>
  </si>
  <si>
    <t>RC.CO-2</t>
  </si>
  <si>
    <t xml:space="preserve"> Reputation after an event is repaired</t>
  </si>
  <si>
    <t>RC.CO-3</t>
  </si>
  <si>
    <t xml:space="preserve"> Recovery activities are communicated to internal stakeholders and executive and management teams</t>
  </si>
  <si>
    <t xml:space="preserve"> Access permissions are managed, incorporating the principles of least privilege and separation of duties;  Access to systems and assets is controlled, incorporating the principle of least functionality</t>
  </si>
  <si>
    <t xml:space="preserve"> Physical devices and systems within the organization are inventoried;  Software platforms and applications within the organization are inventoried;  Organizational communication and data flows are mapped</t>
  </si>
  <si>
    <t xml:space="preserve"> Identities and credentials are managed for authorized devices and users;  Access permissions are managed, incorporating the principles of least privilege and separation of duties</t>
  </si>
  <si>
    <t xml:space="preserve"> Physical access to assets is managed and protected;  Policy and regulations regarding the physical operating environment for organizational assets are met</t>
  </si>
  <si>
    <t xml:space="preserve"> Data-at-rest is protected;  Data-in-transit is protected</t>
  </si>
  <si>
    <t xml:space="preserve"> The network is monitored to detect potential cybersecurity events;  The physical environment is monitored to detect potential cybersecurity events;  Monitoring for unauthorized personnel, connections, devices, and software is performed</t>
  </si>
  <si>
    <t xml:space="preserve"> Physical access to assets is managed and protected;  Physical and information security personnel understand roles &amp; responsibilities ;  Policy and regulations regarding the physical operating environment for organizational assets are met;  The physical environment is monitored to detect potential cybersecurity events</t>
  </si>
  <si>
    <t xml:space="preserve"> Physical access to assets is managed and protected,  Access permissions are managed, incorporating the principles of least privilege and separation of duties;  Data-at-rest is protected;  Assets are formally managed throughout removal, transfers, and disposition;  Protections against data leaks are implemented</t>
  </si>
  <si>
    <t xml:space="preserve"> A baseline configuration of information technology/industrial control systems is created and maintained;  A System Development Life Cycle to manage systems is implemented</t>
  </si>
  <si>
    <t>Limit system access to authorized users, processes acting on behalf of authorized users, and devices (including other systems).</t>
  </si>
  <si>
    <t>Limit system access to the types of transactions and functions that authorized users are permitted to execute.</t>
  </si>
  <si>
    <t>Control the flow of CUI in accordance with approved authorizations.</t>
  </si>
  <si>
    <t>Separate the duties of individuals to reduce the risk of malevolent activity without collusion.</t>
  </si>
  <si>
    <t>3.1.5</t>
  </si>
  <si>
    <t>Employ the principle of least privilege, including for specific security functions and privileged accounts.</t>
  </si>
  <si>
    <t>3.1.6</t>
  </si>
  <si>
    <t>Use non-privileged accounts or roles when accessing nonsecurity functions.</t>
  </si>
  <si>
    <t>Prevent non-privileged users from executing privileged functions and capture the execution of such functions in audit logs.</t>
  </si>
  <si>
    <t>Limit unsuccessful logon attempts.</t>
  </si>
  <si>
    <t>3.1.9</t>
  </si>
  <si>
    <t>Provide privacy and security notices consistent with applicable CUI rules.</t>
  </si>
  <si>
    <t>3.1.10</t>
  </si>
  <si>
    <t>Use session lock with pattern-hiding displays to prevent access and viewing of data after a period of inactivity.</t>
  </si>
  <si>
    <t>3.1.11</t>
  </si>
  <si>
    <t>Terminate (automatically) a user session after a defined condition.</t>
  </si>
  <si>
    <t>3.1.12</t>
  </si>
  <si>
    <t>Monitor and control remote access sessions.</t>
  </si>
  <si>
    <t>3.1.13</t>
  </si>
  <si>
    <t>Employ cryptographic mechanisms to protect the confidentiality of remote access sessions.</t>
  </si>
  <si>
    <t>3.1.14</t>
  </si>
  <si>
    <t>Route remote access via managed access control points.</t>
  </si>
  <si>
    <t>3.1.15</t>
  </si>
  <si>
    <t>Authorize remote execution of privileged commands and remote access to security-relevant information</t>
  </si>
  <si>
    <t>3.1.16</t>
  </si>
  <si>
    <t>Authorize wireless access prior to allowing such connections.</t>
  </si>
  <si>
    <t>3.1.17</t>
  </si>
  <si>
    <t>Protect wireless access using authentication and encryption.</t>
  </si>
  <si>
    <t>3.1.18</t>
  </si>
  <si>
    <t>Control connection of mobile devices.</t>
  </si>
  <si>
    <t>Encrypt CUI on mobile devices and mobile computing platforms.21</t>
  </si>
  <si>
    <t>3.1.20</t>
  </si>
  <si>
    <t>Verify and control/limit connections to and use of external systems.</t>
  </si>
  <si>
    <t>3.1.21</t>
  </si>
  <si>
    <t>Limit use of portable storage devices on external systems.</t>
  </si>
  <si>
    <t>Control CUI posted or processed on publicly accessible systems.</t>
  </si>
  <si>
    <t>Ensure that managers, systems administrators, and users of organizational systems are made aware of the security risks associated with their activities and of the applicable policies, standards, and procedures related to the security of those systems.</t>
  </si>
  <si>
    <t>Ensure that personnel are trained to carry out their assigned information security-related duties and responsibilities.</t>
  </si>
  <si>
    <t>3.2.3</t>
  </si>
  <si>
    <t>Provide security awareness training on recognizing and reporting potential indicators of insider reat.</t>
  </si>
  <si>
    <t>Create and retain system audit logs and records to the extent needed to enable the monitoring, analysis, investigation, and reporting of unlawful or unauthorized system activity.</t>
  </si>
  <si>
    <t>Ensure that the actions of individual system users can be uniquely traced to those users so they can be held accountable for their actions.</t>
  </si>
  <si>
    <t>3.3.3</t>
  </si>
  <si>
    <t>Review and update logged events.</t>
  </si>
  <si>
    <t>3.3.4</t>
  </si>
  <si>
    <t>Alert in the event of an audit logging process failure.</t>
  </si>
  <si>
    <t>3.3.5</t>
  </si>
  <si>
    <t>Correlate audit record review, analysis, and reporting processes for investigation and response to indications of unlawful, unauthorized, suspicious, or unusual activity.</t>
  </si>
  <si>
    <t>3.3.6</t>
  </si>
  <si>
    <t>Provide audit record reduction and report generation to support on-demand analysis and reporting.</t>
  </si>
  <si>
    <t>3.3.7</t>
  </si>
  <si>
    <t>Provide a system capability that compares and synchronizes internal system clocks with an authoritative source to generate time stamps for audit records.</t>
  </si>
  <si>
    <t>3.3.8</t>
  </si>
  <si>
    <t>Protect audit information and audit logging tools from unauthorized access, modification, and deletion.</t>
  </si>
  <si>
    <t>3.3.9</t>
  </si>
  <si>
    <t>Limit management of audit logging functionality to a subset of privileged users.</t>
  </si>
  <si>
    <t>3.4.1</t>
  </si>
  <si>
    <t>Establish and maintain baseline configurations and inventories of organizational systems (including hardware, software, firmware, and documentation) throughout the respective system development life cycles.</t>
  </si>
  <si>
    <t>3.4.2</t>
  </si>
  <si>
    <t>Establish and enforce security configuration settings for information technology products employed in organizational systems.</t>
  </si>
  <si>
    <t>3.4.3</t>
  </si>
  <si>
    <t>Track, review, approve or disapprove, and log changes to organizational systems.</t>
  </si>
  <si>
    <t>Analyze the security impact of changes prior to implementation.</t>
  </si>
  <si>
    <t>3.4.5</t>
  </si>
  <si>
    <t>Define, document, approve, and enforce physical and logical access restrictions associated with changes to organizational systems.</t>
  </si>
  <si>
    <t>3.4.6</t>
  </si>
  <si>
    <t>Employ the principle of least functionality by configuring organizational systems to provide only essential capabilities.</t>
  </si>
  <si>
    <t>3.4.7</t>
  </si>
  <si>
    <t>Restrict, disable, or prevent the use of nonessential programs, functions, ports, protocols, and services.</t>
  </si>
  <si>
    <t>3.4.8</t>
  </si>
  <si>
    <t>Apply deny-by-exception (blacklisting) policy to prevent the use of unauthorized software or deny-all, permit-by-exception (whitelisting) policy to allow the execution of authorized software.</t>
  </si>
  <si>
    <t>Control and monitor user-installed software.</t>
  </si>
  <si>
    <t>Identify system users, processes acting on behalf of users, and devices.</t>
  </si>
  <si>
    <t>3.5.2</t>
  </si>
  <si>
    <t>Authenticate (or verify) the identities of users, processes, or devices, as a prerequisite to allowing access to organizational systems.</t>
  </si>
  <si>
    <t>3.5.3</t>
  </si>
  <si>
    <t>Use multifactor authentication 22 for local and network access 23 to privileged accounts and for network access to non-privileged accounts.</t>
  </si>
  <si>
    <t>3.5.4</t>
  </si>
  <si>
    <t>Employ replay-resistant authentication mechanisms for network access to privileged and non- privileged accounts.</t>
  </si>
  <si>
    <t>3.5.5</t>
  </si>
  <si>
    <t>Prevent reuse of identifiers for a defined period.</t>
  </si>
  <si>
    <t>Disable identifiers after a defined period of inactivity.</t>
  </si>
  <si>
    <t>Enforce a minimum password complexity and change of characters when new passwords are created.</t>
  </si>
  <si>
    <t>3.5.8</t>
  </si>
  <si>
    <t>Prohibit password reuse for a specified number of generations.</t>
  </si>
  <si>
    <t>Allow temporary password use for system logons with an immediate change to a permanent password.</t>
  </si>
  <si>
    <t>Store and transmit only cryptographically-protected passwords.</t>
  </si>
  <si>
    <t>3.5.11</t>
  </si>
  <si>
    <t>Obscure feedback of authentication information.</t>
  </si>
  <si>
    <t>3.6.1</t>
  </si>
  <si>
    <t>Establish an operational incident-handling capability for organizational systems that includes preparation, detection, analysis, containment, recovery, and user response activities.</t>
  </si>
  <si>
    <t>Track, document, and report incidents to designated officials and/or authorities both internal and external to the organization.</t>
  </si>
  <si>
    <t>3.6.3</t>
  </si>
  <si>
    <t>Test the organizational incident response capability.</t>
  </si>
  <si>
    <t>3.7.1</t>
  </si>
  <si>
    <t>Perform maintenance on organizational systems.</t>
  </si>
  <si>
    <t>3.7.2</t>
  </si>
  <si>
    <t>Provide controls on the tools, techniques, mechanisms, and personnel used to conduct system maintenance.</t>
  </si>
  <si>
    <t>3.7.3</t>
  </si>
  <si>
    <t>Ensure equipment removed for off-site maintenance is sanitized of any CUI.</t>
  </si>
  <si>
    <t>3.7.4</t>
  </si>
  <si>
    <t>Check media containing diagnostic and test programs for malicious code before the media are used in organizational systems.</t>
  </si>
  <si>
    <t>3.7.5</t>
  </si>
  <si>
    <t>Require multifactor authentication to establish nonlocal maintenance sessions via external netw connections and terminate such connections when nonlocal maintenance is complete.</t>
  </si>
  <si>
    <t>3.7.6</t>
  </si>
  <si>
    <t>Supervise the maintenance activities of maintenance personnel without required access authorization.</t>
  </si>
  <si>
    <t>Protect (i.e., physically control and securely store) system media containing CUI, both paper and digital.</t>
  </si>
  <si>
    <t>Limit access to CUI on system media to authorized users.</t>
  </si>
  <si>
    <t>3.8.3</t>
  </si>
  <si>
    <t>Sanitize or destroy system media containing CUI before disposal or release for reuse.</t>
  </si>
  <si>
    <t>3.8.4</t>
  </si>
  <si>
    <t xml:space="preserve">Mark media with necessary CUI markings and distribution limitations. </t>
  </si>
  <si>
    <t>3.8.5</t>
  </si>
  <si>
    <t>Control access to media containing CUI and maintain accountability for media during transport outside of controlled areas.</t>
  </si>
  <si>
    <t>3.8.6</t>
  </si>
  <si>
    <t>Implement cryptographic mechanisms to protect the confidentiality of CUI stored on digital media during transport unless otherwise protected by alternative physical safeguards.</t>
  </si>
  <si>
    <t>3.8.7</t>
  </si>
  <si>
    <t>Control the use of removable media on system components.</t>
  </si>
  <si>
    <t>3.8.8</t>
  </si>
  <si>
    <t>Prohibit the use of portable storage devices when such devices have no identifiable owner.</t>
  </si>
  <si>
    <t>Protect the confidentiality of backup CUI at storage locations.</t>
  </si>
  <si>
    <t>Screen individuals prior to authorizing access to organizational systems containing CUI.</t>
  </si>
  <si>
    <t>3.9.2</t>
  </si>
  <si>
    <t>Ensure that organizational systems containing CUI are protected during and after personnel actions such as terminations and transfers.</t>
  </si>
  <si>
    <t>3.10.1</t>
  </si>
  <si>
    <t>Limit physical access to organizational systems, equipment, and the respective operating environments to authorized individuals.</t>
  </si>
  <si>
    <t>Protect and monitor the physical facility and support infrastructure for organizational systems.</t>
  </si>
  <si>
    <t>3.10.3</t>
  </si>
  <si>
    <t>Escort visitors and monitor visitor activity.</t>
  </si>
  <si>
    <t>3.10.4</t>
  </si>
  <si>
    <t>Maintain audit logs of physical access.</t>
  </si>
  <si>
    <t>3.10.5</t>
  </si>
  <si>
    <t>Control and manage physical access devices.</t>
  </si>
  <si>
    <t>3.10.6</t>
  </si>
  <si>
    <t>Enforce safeguarding measures for CUI at alternate work sites.</t>
  </si>
  <si>
    <t>3.11.1</t>
  </si>
  <si>
    <t>Periodically assess the risk to organizational operations (including mission, functions, image, or reputation), organizational assets, and individuals, resulting from the operation of organizational systems and the associated processing, storage, or transmission of CUI.</t>
  </si>
  <si>
    <t>3.11.2</t>
  </si>
  <si>
    <t>Scan for vulnerabilities in organizational systems and applications periodically and when new vulnerabilities affecting those systems and applications are identified.</t>
  </si>
  <si>
    <t>3.11.3</t>
  </si>
  <si>
    <t>Remediate vulnerabilities in accordance with risk assessments.</t>
  </si>
  <si>
    <t>3.12.1</t>
  </si>
  <si>
    <t>Periodically assess the security controls in organizational systems to determine if the controls are effective in their application.</t>
  </si>
  <si>
    <t>Develop and implement plans of action designed to correct deficiencies and reduce or eliminate vulnerabilities in organizational systems.</t>
  </si>
  <si>
    <t>3.12.3</t>
  </si>
  <si>
    <t>Monitor security controls on an ongoing basis to ensure the continued effectiveness of the controls.</t>
  </si>
  <si>
    <t>3.12.4</t>
  </si>
  <si>
    <t>Develop, document, and periodically update system security plans that describe system boundaries, system environments of operation, how security requirements are implemented, and the relationships with or connections to other systems.</t>
  </si>
  <si>
    <t>3.13.1</t>
  </si>
  <si>
    <t>Monitor, control, and protect communications (i.e., information transmitted or received by organizational systems) at the external boundaries and key internal boundaries of organizational systems.</t>
  </si>
  <si>
    <t>Employ architectural designs, software development techniques, and systems engineering principles that promote effective information security within organizational systems.</t>
  </si>
  <si>
    <t>3.13.3</t>
  </si>
  <si>
    <t>Separate user functionality from system management functionality.</t>
  </si>
  <si>
    <t>3.13.4</t>
  </si>
  <si>
    <t>Prevent unauthorized and unintended information transfer via shared system resources.</t>
  </si>
  <si>
    <t>3.13.5</t>
  </si>
  <si>
    <t>Implement subnetworks for publicly accessible system components that are physically or logically separated from internal networks.</t>
  </si>
  <si>
    <t>3.13.6</t>
  </si>
  <si>
    <t>Deny network communications traffic by default and allow network communications traffic by exception (i.e., deny all, permit by exception).</t>
  </si>
  <si>
    <t>3.13.7</t>
  </si>
  <si>
    <t>Prevent remote devices from simultaneously establishing non-remote connections with organizational systems and communicating via some other connection to resources in external networks (i.e., split tunneling).</t>
  </si>
  <si>
    <t>3.13.8</t>
  </si>
  <si>
    <t>Implement cryptographic mechanisms to prevent unauthorized disclosure of CUI during transmission unless otherwise protected by alternative physical safeguards.</t>
  </si>
  <si>
    <t>3.13.9</t>
  </si>
  <si>
    <t>Terminate network connections associated with communications sessions at the end of the sessions or after a defined period of inactivity.</t>
  </si>
  <si>
    <t>Establish and manage cryptographic keys for cryptography employed in organizational systems.</t>
  </si>
  <si>
    <t>3.13.11</t>
  </si>
  <si>
    <t>Employ FIPS-validated cryptography when used to protect the confidentiality of CUI.</t>
  </si>
  <si>
    <t>3.13.12</t>
  </si>
  <si>
    <t>Prohibit remote activation 27 of collaborative computing devices and provide indication of devices in use to users present at the device.</t>
  </si>
  <si>
    <t>Control and monitor the use of mobile code.</t>
  </si>
  <si>
    <t>3.13.14</t>
  </si>
  <si>
    <t>Control and monitor the use of Voice over Internet Protocol (VoIP) technologies.</t>
  </si>
  <si>
    <t>3.13.15</t>
  </si>
  <si>
    <t>Protect the authenticity of communications sessions.</t>
  </si>
  <si>
    <t>3.13.16</t>
  </si>
  <si>
    <t>Protect the confidentiality of CUI at rest.</t>
  </si>
  <si>
    <t>3.14.1</t>
  </si>
  <si>
    <t>Identify, report, and correct system flaws in a timely manner.</t>
  </si>
  <si>
    <t>3.14.2</t>
  </si>
  <si>
    <t>Provide protection from malicious code at designated locations within organizational systems.</t>
  </si>
  <si>
    <t>3.14.3</t>
  </si>
  <si>
    <t>Monitor system security alerts and advisories and take action in response.</t>
  </si>
  <si>
    <t>Update malicious code protection mechanisms when new releases are available.</t>
  </si>
  <si>
    <t>3.14.5</t>
  </si>
  <si>
    <t>Perform periodic scans of organizational systems and real-time scans of files from external sources as files are downloaded, opened, or executed.</t>
  </si>
  <si>
    <t>3.14.6</t>
  </si>
  <si>
    <t>Monitor organizational systems, including inbound and outbound communications traffic, to detect attacks and indicators of potential attacks.</t>
  </si>
  <si>
    <t>3.14.7</t>
  </si>
  <si>
    <t>Identify unauthorized use of organizational systems.</t>
  </si>
  <si>
    <t>Limit system access to authorized users, processes acting on behalf of authorized users, and devices (including other systems).; Limit system access to the types of transactions and functions that authorized users are permitted to execute.; Prevent non-privileged users from executing privileged functions and capture the execution of such functions in audit logs.</t>
  </si>
  <si>
    <t>Monitor and control remote access sessions.; Employ cryptographic mechanisms to protect the confidentiality of remote access sessions.; Route remote access via managed access control points.; Authorize remote execution of privileged commands and remote access to security-relevant information; Limit unsuccessful logon attempts.; Require multifactor authentication to establish nonlocal maintenance sessions via external netw connections and terminate such connections when nonlocal maintenance is complete.; Limit access to CUI on system media to authorized users.; Prevent remote devices from simultaneously establishing non-remote connections with organizational systems and communicating via some other connection to resources in external networks (i.e., split tunneling).</t>
  </si>
  <si>
    <t>Prevent non-privileged users from executing privileged functions and capture the execution of such functions in audit logs.; Ensure that the actions of individual system users can be uniquely traced to those users so they can be held accountable for their actions.; Review and update logged events.; Alert in the event of an audit logging process failure.; Correlate audit record review, analysis, and reporting processes for investigation and response to indications of unlawful, unauthorized, suspicious, or unusual activity.; Track, review, approve or disapprove, and log changes to organizational systems.; Perform maintenance on organizational systems.; Supervise the maintenance activities of maintenance personnel without required access authorization.;Maintain audit logs of physical access.;Control and manage physical access devices.</t>
  </si>
  <si>
    <t>Track, review, approve or disapprove, and log changes to organizational systems.; Analyze the security impact of changes prior to implementation.</t>
  </si>
  <si>
    <t>Control the flow of CUI in accordance with approved authorizations.;Protect (i.e., physically control and securely store) system media containing CUI, both paper and digital.</t>
  </si>
  <si>
    <t>Encrypt CUI on mobile devices and mobile computing platforms.21;Protect (i.e., physically control and securely store) system media containing CUI, both paper and digital.</t>
  </si>
  <si>
    <t>Perform maintenance on organizational systems.;Provide controls on the tools, techniques, mechanisms, and personnel used to conduct system maintenance.;Sanitize or destroy system media containing CUI before disposal or release for reuse.</t>
  </si>
  <si>
    <t>Protect (i.e., physically control and securely store) system media containing CUI, both paper and digital.;Limit access to CUI on system media to authorized users.</t>
  </si>
  <si>
    <t>Establish an operational incident-handling capability for organizational systems that includes preparation, detection, analysis, containment, recovery, and user response activities.;Monitor organizational systems, including inbound and outbound communications traffic, to detect attacks and indicators of potential attacks.;Identify unauthorized use of organizational systems.</t>
  </si>
  <si>
    <t>Limit access to CUI on system media to authorized users.; Limit physical access to organizational systems, equipment, and the respective operating environments to authorized individuals.; Protect and monitor the physical facility and support infrastructure for organizational systems.; Control and manage physical access devices.; Enforce safeguarding measures for CUI at alternate work sites.; Periodically assess the security controls in organizational systems to determine if the controls are effective in their application.</t>
  </si>
  <si>
    <t>Protect (i.e., physically control and securely store) system media containing CUI, both paper and digital.;Control access to media containing CUI and maintain accountability for media during transport outside of controlled areas.;Control the use of removable media on system components.</t>
  </si>
  <si>
    <t>Screen individuals prior to authorizing access to organizational systems containing CUI.;Ensure that organizational systems containing CUI are protected during and after personnel actions such as terminations and transfers.</t>
  </si>
  <si>
    <t>Establish an operational incident-handling capability for organizational systems that includes preparation, detection, analysis, containment, recovery, and user response activities.;Develop and implement plans of action designed to correct deficiencies and reduce or eliminate vulnerabilities in organizational systems.</t>
  </si>
  <si>
    <t>Control connection of mobile devices.;Perform maintenance on organizational systems.;Separate user functionality from system management functionality.</t>
  </si>
  <si>
    <t>Periodically assess the risk to organizational operations (including mission, functions, image, or reputation), organizational assets, and individuals, resulting from the operation of organizational systems and the associated processing, storage, or transmission of CUI.;Scan for vulnerabilities in organizational systems and applications periodically and when new vulnerabilities affecting those systems and applications are identified.;Remediate vulnerabilities in accordance with risk assessments.</t>
  </si>
  <si>
    <r>
      <rPr>
        <sz val="10"/>
        <color rgb="FF231F20"/>
        <rFont val="Helvetica"/>
        <family val="2"/>
        <scheme val="minor"/>
      </rPr>
      <t>AC-1</t>
    </r>
  </si>
  <si>
    <r>
      <rPr>
        <sz val="10"/>
        <color rgb="FF231F20"/>
        <rFont val="Helvetica"/>
        <family val="2"/>
        <scheme val="minor"/>
      </rPr>
      <t>Access Control Policy and Procedures</t>
    </r>
  </si>
  <si>
    <r>
      <rPr>
        <sz val="10"/>
        <color rgb="FF231F20"/>
        <rFont val="Helvetica"/>
        <family val="2"/>
        <scheme val="minor"/>
      </rPr>
      <t>AC-2</t>
    </r>
  </si>
  <si>
    <r>
      <rPr>
        <sz val="10"/>
        <color rgb="FF231F20"/>
        <rFont val="Helvetica"/>
        <family val="2"/>
        <scheme val="minor"/>
      </rPr>
      <t>Account Management</t>
    </r>
  </si>
  <si>
    <r>
      <rPr>
        <sz val="10"/>
        <color rgb="FF231F20"/>
        <rFont val="Helvetica"/>
        <family val="2"/>
        <scheme val="minor"/>
      </rPr>
      <t>AC-3</t>
    </r>
  </si>
  <si>
    <r>
      <rPr>
        <sz val="10"/>
        <color rgb="FF231F20"/>
        <rFont val="Helvetica"/>
        <family val="2"/>
        <scheme val="minor"/>
      </rPr>
      <t>Access Enforcement</t>
    </r>
  </si>
  <si>
    <r>
      <rPr>
        <sz val="10"/>
        <color rgb="FF231F20"/>
        <rFont val="Helvetica"/>
        <family val="2"/>
        <scheme val="minor"/>
      </rPr>
      <t>AC-4</t>
    </r>
  </si>
  <si>
    <r>
      <rPr>
        <sz val="10"/>
        <color rgb="FF231F20"/>
        <rFont val="Helvetica"/>
        <family val="2"/>
        <scheme val="minor"/>
      </rPr>
      <t>Information Flow Enforcement</t>
    </r>
  </si>
  <si>
    <r>
      <rPr>
        <sz val="10"/>
        <color rgb="FF231F20"/>
        <rFont val="Helvetica"/>
        <family val="2"/>
        <scheme val="minor"/>
      </rPr>
      <t>AC-5</t>
    </r>
  </si>
  <si>
    <r>
      <rPr>
        <sz val="10"/>
        <color rgb="FF231F20"/>
        <rFont val="Helvetica"/>
        <family val="2"/>
        <scheme val="minor"/>
      </rPr>
      <t>Separation of Duties</t>
    </r>
  </si>
  <si>
    <r>
      <rPr>
        <sz val="10"/>
        <color rgb="FF231F20"/>
        <rFont val="Helvetica"/>
        <family val="2"/>
        <scheme val="minor"/>
      </rPr>
      <t>AC-6</t>
    </r>
  </si>
  <si>
    <r>
      <rPr>
        <sz val="10"/>
        <color rgb="FF231F20"/>
        <rFont val="Helvetica"/>
        <family val="2"/>
        <scheme val="minor"/>
      </rPr>
      <t>Least Privilege</t>
    </r>
  </si>
  <si>
    <t>AC-6(9)</t>
  </si>
  <si>
    <t>Access Control: Auditing use of privileged functions</t>
  </si>
  <si>
    <r>
      <rPr>
        <sz val="10"/>
        <color rgb="FF231F20"/>
        <rFont val="Helvetica"/>
        <family val="2"/>
        <scheme val="minor"/>
      </rPr>
      <t>AC-7</t>
    </r>
  </si>
  <si>
    <r>
      <rPr>
        <sz val="10"/>
        <color rgb="FF231F20"/>
        <rFont val="Helvetica"/>
        <family val="2"/>
        <scheme val="minor"/>
      </rPr>
      <t>Unsuccessful Logon Attempts</t>
    </r>
  </si>
  <si>
    <r>
      <rPr>
        <sz val="10"/>
        <color rgb="FF231F20"/>
        <rFont val="Helvetica"/>
        <family val="2"/>
        <scheme val="minor"/>
      </rPr>
      <t>AC-8</t>
    </r>
  </si>
  <si>
    <r>
      <rPr>
        <sz val="10"/>
        <color rgb="FF231F20"/>
        <rFont val="Helvetica"/>
        <family val="2"/>
        <scheme val="minor"/>
      </rPr>
      <t>System Use Notification</t>
    </r>
  </si>
  <si>
    <r>
      <rPr>
        <sz val="10"/>
        <color rgb="FF231F20"/>
        <rFont val="Helvetica"/>
        <family val="2"/>
        <scheme val="minor"/>
      </rPr>
      <t>AC-9</t>
    </r>
  </si>
  <si>
    <r>
      <rPr>
        <sz val="10"/>
        <color rgb="FF231F20"/>
        <rFont val="Helvetica"/>
        <family val="2"/>
        <scheme val="minor"/>
      </rPr>
      <t>Previous Logon (Access) Notification</t>
    </r>
  </si>
  <si>
    <r>
      <rPr>
        <sz val="10"/>
        <color rgb="FF231F20"/>
        <rFont val="Helvetica"/>
        <family val="2"/>
        <scheme val="minor"/>
      </rPr>
      <t>AC-10</t>
    </r>
  </si>
  <si>
    <r>
      <rPr>
        <sz val="10"/>
        <color rgb="FF231F20"/>
        <rFont val="Helvetica"/>
        <family val="2"/>
        <scheme val="minor"/>
      </rPr>
      <t>Concurrent Session Control</t>
    </r>
  </si>
  <si>
    <r>
      <rPr>
        <sz val="10"/>
        <color rgb="FF231F20"/>
        <rFont val="Helvetica"/>
        <family val="2"/>
        <scheme val="minor"/>
      </rPr>
      <t>AC-11</t>
    </r>
  </si>
  <si>
    <r>
      <rPr>
        <sz val="10"/>
        <color rgb="FF231F20"/>
        <rFont val="Helvetica"/>
        <family val="2"/>
        <scheme val="minor"/>
      </rPr>
      <t>Session Lock</t>
    </r>
  </si>
  <si>
    <r>
      <rPr>
        <sz val="10"/>
        <color rgb="FF231F20"/>
        <rFont val="Helvetica"/>
        <family val="2"/>
        <scheme val="minor"/>
      </rPr>
      <t>AC-12</t>
    </r>
  </si>
  <si>
    <r>
      <rPr>
        <sz val="10"/>
        <color rgb="FF231F20"/>
        <rFont val="Helvetica"/>
        <family val="2"/>
        <scheme val="minor"/>
      </rPr>
      <t>Session Termination</t>
    </r>
  </si>
  <si>
    <r>
      <rPr>
        <sz val="10"/>
        <color rgb="FF231F20"/>
        <rFont val="Helvetica"/>
        <family val="2"/>
        <scheme val="minor"/>
      </rPr>
      <t>AC-13</t>
    </r>
  </si>
  <si>
    <r>
      <rPr>
        <b/>
        <sz val="10"/>
        <color rgb="FF231F20"/>
        <rFont val="Helvetica"/>
        <family val="2"/>
        <scheme val="minor"/>
      </rPr>
      <t>Withdrawn</t>
    </r>
  </si>
  <si>
    <r>
      <rPr>
        <sz val="10"/>
        <color rgb="FF231F20"/>
        <rFont val="Helvetica"/>
        <family val="2"/>
        <scheme val="minor"/>
      </rPr>
      <t>AC-14</t>
    </r>
  </si>
  <si>
    <t>Permitted Actions without Identification or Authentication</t>
  </si>
  <si>
    <r>
      <rPr>
        <sz val="10"/>
        <color rgb="FF231F20"/>
        <rFont val="Helvetica"/>
        <family val="2"/>
        <scheme val="minor"/>
      </rPr>
      <t>AC-15</t>
    </r>
  </si>
  <si>
    <r>
      <rPr>
        <sz val="10"/>
        <color rgb="FF231F20"/>
        <rFont val="Helvetica"/>
        <family val="2"/>
        <scheme val="minor"/>
      </rPr>
      <t>AC-16</t>
    </r>
  </si>
  <si>
    <r>
      <rPr>
        <sz val="10"/>
        <color rgb="FF231F20"/>
        <rFont val="Helvetica"/>
        <family val="2"/>
        <scheme val="minor"/>
      </rPr>
      <t>Security Attributes</t>
    </r>
  </si>
  <si>
    <r>
      <rPr>
        <sz val="10"/>
        <color rgb="FF231F20"/>
        <rFont val="Helvetica"/>
        <family val="2"/>
        <scheme val="minor"/>
      </rPr>
      <t>AC-17</t>
    </r>
  </si>
  <si>
    <r>
      <rPr>
        <sz val="10"/>
        <color rgb="FF231F20"/>
        <rFont val="Helvetica"/>
        <family val="2"/>
        <scheme val="minor"/>
      </rPr>
      <t>Remote Access</t>
    </r>
  </si>
  <si>
    <r>
      <rPr>
        <sz val="10"/>
        <color rgb="FF231F20"/>
        <rFont val="Helvetica"/>
        <family val="2"/>
        <scheme val="minor"/>
      </rPr>
      <t>AC-18</t>
    </r>
  </si>
  <si>
    <r>
      <rPr>
        <sz val="10"/>
        <color rgb="FF231F20"/>
        <rFont val="Helvetica"/>
        <family val="2"/>
        <scheme val="minor"/>
      </rPr>
      <t>Wireless Access</t>
    </r>
  </si>
  <si>
    <r>
      <rPr>
        <sz val="10"/>
        <color rgb="FF231F20"/>
        <rFont val="Helvetica"/>
        <family val="2"/>
        <scheme val="minor"/>
      </rPr>
      <t>AC-19</t>
    </r>
  </si>
  <si>
    <r>
      <rPr>
        <sz val="10"/>
        <color rgb="FF231F20"/>
        <rFont val="Helvetica"/>
        <family val="2"/>
        <scheme val="minor"/>
      </rPr>
      <t>Access Control for Mobile Devices</t>
    </r>
  </si>
  <si>
    <t>Access Control: Full device / container based encryption</t>
  </si>
  <si>
    <r>
      <rPr>
        <sz val="10"/>
        <color rgb="FF231F20"/>
        <rFont val="Helvetica"/>
        <family val="2"/>
        <scheme val="minor"/>
      </rPr>
      <t>AC-20</t>
    </r>
  </si>
  <si>
    <r>
      <rPr>
        <sz val="10"/>
        <color rgb="FF231F20"/>
        <rFont val="Helvetica"/>
        <family val="2"/>
        <scheme val="minor"/>
      </rPr>
      <t>Use of External Information Systems</t>
    </r>
  </si>
  <si>
    <r>
      <rPr>
        <sz val="10"/>
        <color rgb="FF231F20"/>
        <rFont val="Helvetica"/>
        <family val="2"/>
        <scheme val="minor"/>
      </rPr>
      <t>AC-21</t>
    </r>
  </si>
  <si>
    <r>
      <rPr>
        <sz val="10"/>
        <color rgb="FF231F20"/>
        <rFont val="Helvetica"/>
        <family val="2"/>
        <scheme val="minor"/>
      </rPr>
      <t>Information Sharing</t>
    </r>
  </si>
  <si>
    <r>
      <rPr>
        <sz val="10"/>
        <color rgb="FF231F20"/>
        <rFont val="Helvetica"/>
        <family val="2"/>
        <scheme val="minor"/>
      </rPr>
      <t>AC-22</t>
    </r>
  </si>
  <si>
    <r>
      <rPr>
        <sz val="10"/>
        <color rgb="FF231F20"/>
        <rFont val="Helvetica"/>
        <family val="2"/>
        <scheme val="minor"/>
      </rPr>
      <t>Publicly Accessible Content</t>
    </r>
  </si>
  <si>
    <r>
      <rPr>
        <sz val="10"/>
        <color rgb="FF231F20"/>
        <rFont val="Helvetica"/>
        <family val="2"/>
        <scheme val="minor"/>
      </rPr>
      <t>AC-23</t>
    </r>
  </si>
  <si>
    <r>
      <rPr>
        <sz val="10"/>
        <color rgb="FF231F20"/>
        <rFont val="Helvetica"/>
        <family val="2"/>
        <scheme val="minor"/>
      </rPr>
      <t>Data Mining Protection</t>
    </r>
  </si>
  <si>
    <r>
      <rPr>
        <sz val="10"/>
        <color rgb="FF231F20"/>
        <rFont val="Helvetica"/>
        <family val="2"/>
        <scheme val="minor"/>
      </rPr>
      <t>AC-24</t>
    </r>
  </si>
  <si>
    <r>
      <rPr>
        <sz val="10"/>
        <color rgb="FF231F20"/>
        <rFont val="Helvetica"/>
        <family val="2"/>
        <scheme val="minor"/>
      </rPr>
      <t>Access Control Decisions</t>
    </r>
  </si>
  <si>
    <r>
      <rPr>
        <sz val="10"/>
        <color rgb="FF231F20"/>
        <rFont val="Helvetica"/>
        <family val="2"/>
        <scheme val="minor"/>
      </rPr>
      <t>AC-25</t>
    </r>
  </si>
  <si>
    <r>
      <rPr>
        <sz val="10"/>
        <color rgb="FF231F20"/>
        <rFont val="Helvetica"/>
        <family val="2"/>
        <scheme val="minor"/>
      </rPr>
      <t>Reference Monitor</t>
    </r>
  </si>
  <si>
    <r>
      <rPr>
        <sz val="10"/>
        <color rgb="FF231F20"/>
        <rFont val="Helvetica"/>
        <family val="2"/>
        <scheme val="minor"/>
      </rPr>
      <t>AT-1</t>
    </r>
  </si>
  <si>
    <t>Security Awareness and Training Policy and Procedures</t>
  </si>
  <si>
    <r>
      <rPr>
        <sz val="10"/>
        <color rgb="FF231F20"/>
        <rFont val="Helvetica"/>
        <family val="2"/>
        <scheme val="minor"/>
      </rPr>
      <t>AT-2</t>
    </r>
  </si>
  <si>
    <r>
      <rPr>
        <sz val="10"/>
        <color rgb="FF231F20"/>
        <rFont val="Helvetica"/>
        <family val="2"/>
        <scheme val="minor"/>
      </rPr>
      <t>Security Awareness Training</t>
    </r>
  </si>
  <si>
    <r>
      <rPr>
        <sz val="10"/>
        <color rgb="FF231F20"/>
        <rFont val="Helvetica"/>
        <family val="2"/>
        <scheme val="minor"/>
      </rPr>
      <t>AT-3</t>
    </r>
  </si>
  <si>
    <r>
      <rPr>
        <sz val="10"/>
        <color rgb="FF231F20"/>
        <rFont val="Helvetica"/>
        <family val="2"/>
        <scheme val="minor"/>
      </rPr>
      <t>Role-Based Security Training</t>
    </r>
  </si>
  <si>
    <r>
      <rPr>
        <sz val="10"/>
        <color rgb="FF231F20"/>
        <rFont val="Helvetica"/>
        <family val="2"/>
        <scheme val="minor"/>
      </rPr>
      <t>AT-4</t>
    </r>
  </si>
  <si>
    <r>
      <rPr>
        <sz val="10"/>
        <color rgb="FF231F20"/>
        <rFont val="Helvetica"/>
        <family val="2"/>
        <scheme val="minor"/>
      </rPr>
      <t>Security Training Records</t>
    </r>
  </si>
  <si>
    <r>
      <rPr>
        <sz val="10"/>
        <color rgb="FF231F20"/>
        <rFont val="Helvetica"/>
        <family val="2"/>
        <scheme val="minor"/>
      </rPr>
      <t>AT-5</t>
    </r>
  </si>
  <si>
    <r>
      <rPr>
        <sz val="10"/>
        <color rgb="FF231F20"/>
        <rFont val="Helvetica"/>
        <family val="2"/>
        <scheme val="minor"/>
      </rPr>
      <t>AU-1</t>
    </r>
  </si>
  <si>
    <t>Audit and Accountability Policy and Procedures</t>
  </si>
  <si>
    <r>
      <rPr>
        <sz val="10"/>
        <color rgb="FF231F20"/>
        <rFont val="Helvetica"/>
        <family val="2"/>
        <scheme val="minor"/>
      </rPr>
      <t>AU-2</t>
    </r>
  </si>
  <si>
    <r>
      <rPr>
        <sz val="10"/>
        <color rgb="FF231F20"/>
        <rFont val="Helvetica"/>
        <family val="2"/>
        <scheme val="minor"/>
      </rPr>
      <t>Audit Events</t>
    </r>
  </si>
  <si>
    <t>AU-2(3)</t>
  </si>
  <si>
    <t>Audit and Accountability: reviews and updates</t>
  </si>
  <si>
    <r>
      <rPr>
        <sz val="10"/>
        <color rgb="FF231F20"/>
        <rFont val="Helvetica"/>
        <family val="2"/>
        <scheme val="minor"/>
      </rPr>
      <t>AU-3</t>
    </r>
  </si>
  <si>
    <r>
      <rPr>
        <sz val="10"/>
        <color rgb="FF231F20"/>
        <rFont val="Helvetica"/>
        <family val="2"/>
        <scheme val="minor"/>
      </rPr>
      <t>Content of Audit Records</t>
    </r>
  </si>
  <si>
    <r>
      <rPr>
        <sz val="10"/>
        <color rgb="FF231F20"/>
        <rFont val="Helvetica"/>
        <family val="2"/>
        <scheme val="minor"/>
      </rPr>
      <t>AU-4</t>
    </r>
  </si>
  <si>
    <r>
      <rPr>
        <sz val="10"/>
        <color rgb="FF231F20"/>
        <rFont val="Helvetica"/>
        <family val="2"/>
        <scheme val="minor"/>
      </rPr>
      <t>Audit Storage Capacity</t>
    </r>
  </si>
  <si>
    <r>
      <rPr>
        <sz val="10"/>
        <color rgb="FF231F20"/>
        <rFont val="Helvetica"/>
        <family val="2"/>
        <scheme val="minor"/>
      </rPr>
      <t>AU-5</t>
    </r>
  </si>
  <si>
    <r>
      <rPr>
        <sz val="10"/>
        <color rgb="FF231F20"/>
        <rFont val="Helvetica"/>
        <family val="2"/>
        <scheme val="minor"/>
      </rPr>
      <t>Response to Audit Processing Failures</t>
    </r>
  </si>
  <si>
    <r>
      <rPr>
        <sz val="10"/>
        <color rgb="FF231F20"/>
        <rFont val="Helvetica"/>
        <family val="2"/>
        <scheme val="minor"/>
      </rPr>
      <t>AU-6</t>
    </r>
  </si>
  <si>
    <r>
      <rPr>
        <sz val="10"/>
        <color rgb="FF231F20"/>
        <rFont val="Helvetica"/>
        <family val="2"/>
        <scheme val="minor"/>
      </rPr>
      <t>Audit Review, Analysis, and Reporting</t>
    </r>
  </si>
  <si>
    <r>
      <rPr>
        <sz val="10"/>
        <color rgb="FF231F20"/>
        <rFont val="Helvetica"/>
        <family val="2"/>
        <scheme val="minor"/>
      </rPr>
      <t>AU-7</t>
    </r>
  </si>
  <si>
    <r>
      <rPr>
        <sz val="10"/>
        <color rgb="FF231F20"/>
        <rFont val="Helvetica"/>
        <family val="2"/>
        <scheme val="minor"/>
      </rPr>
      <t>Audit Reduction and Report Generation</t>
    </r>
  </si>
  <si>
    <r>
      <rPr>
        <sz val="10"/>
        <color rgb="FF231F20"/>
        <rFont val="Helvetica"/>
        <family val="2"/>
        <scheme val="minor"/>
      </rPr>
      <t>AU-8</t>
    </r>
  </si>
  <si>
    <r>
      <rPr>
        <sz val="10"/>
        <color rgb="FF231F20"/>
        <rFont val="Helvetica"/>
        <family val="2"/>
        <scheme val="minor"/>
      </rPr>
      <t>Time Stamps</t>
    </r>
  </si>
  <si>
    <r>
      <rPr>
        <sz val="10"/>
        <color rgb="FF231F20"/>
        <rFont val="Helvetica"/>
        <family val="2"/>
        <scheme val="minor"/>
      </rPr>
      <t>AU-9</t>
    </r>
  </si>
  <si>
    <r>
      <rPr>
        <sz val="10"/>
        <color rgb="FF231F20"/>
        <rFont val="Helvetica"/>
        <family val="2"/>
        <scheme val="minor"/>
      </rPr>
      <t>Protection of Audit Information</t>
    </r>
  </si>
  <si>
    <r>
      <rPr>
        <sz val="10"/>
        <color rgb="FF231F20"/>
        <rFont val="Helvetica"/>
        <family val="2"/>
        <scheme val="minor"/>
      </rPr>
      <t>AU-10</t>
    </r>
  </si>
  <si>
    <r>
      <rPr>
        <sz val="10"/>
        <color rgb="FF231F20"/>
        <rFont val="Helvetica"/>
        <family val="2"/>
        <scheme val="minor"/>
      </rPr>
      <t>Non-repudiation</t>
    </r>
  </si>
  <si>
    <r>
      <rPr>
        <sz val="10"/>
        <color rgb="FF231F20"/>
        <rFont val="Helvetica"/>
        <family val="2"/>
        <scheme val="minor"/>
      </rPr>
      <t>AU-11</t>
    </r>
  </si>
  <si>
    <r>
      <rPr>
        <sz val="10"/>
        <color rgb="FF231F20"/>
        <rFont val="Helvetica"/>
        <family val="2"/>
        <scheme val="minor"/>
      </rPr>
      <t>Audit Record Retention</t>
    </r>
  </si>
  <si>
    <r>
      <rPr>
        <sz val="10"/>
        <color rgb="FF231F20"/>
        <rFont val="Helvetica"/>
        <family val="2"/>
        <scheme val="minor"/>
      </rPr>
      <t>AU-12</t>
    </r>
  </si>
  <si>
    <r>
      <rPr>
        <sz val="10"/>
        <color rgb="FF231F20"/>
        <rFont val="Helvetica"/>
        <family val="2"/>
        <scheme val="minor"/>
      </rPr>
      <t>Audit Generation</t>
    </r>
  </si>
  <si>
    <r>
      <rPr>
        <sz val="10"/>
        <color rgb="FF231F20"/>
        <rFont val="Helvetica"/>
        <family val="2"/>
        <scheme val="minor"/>
      </rPr>
      <t>AU-13</t>
    </r>
  </si>
  <si>
    <r>
      <rPr>
        <sz val="10"/>
        <color rgb="FF231F20"/>
        <rFont val="Helvetica"/>
        <family val="2"/>
        <scheme val="minor"/>
      </rPr>
      <t>Monitoring for Information Disclosure</t>
    </r>
  </si>
  <si>
    <r>
      <rPr>
        <sz val="10"/>
        <color rgb="FF231F20"/>
        <rFont val="Helvetica"/>
        <family val="2"/>
        <scheme val="minor"/>
      </rPr>
      <t>AU-14</t>
    </r>
  </si>
  <si>
    <r>
      <rPr>
        <sz val="10"/>
        <color rgb="FF231F20"/>
        <rFont val="Helvetica"/>
        <family val="2"/>
        <scheme val="minor"/>
      </rPr>
      <t>Session Audit</t>
    </r>
  </si>
  <si>
    <r>
      <rPr>
        <sz val="10"/>
        <color rgb="FF231F20"/>
        <rFont val="Helvetica"/>
        <family val="2"/>
        <scheme val="minor"/>
      </rPr>
      <t>AU-15</t>
    </r>
  </si>
  <si>
    <r>
      <rPr>
        <sz val="10"/>
        <color rgb="FF231F20"/>
        <rFont val="Helvetica"/>
        <family val="2"/>
        <scheme val="minor"/>
      </rPr>
      <t>Alternate Audit Capability</t>
    </r>
  </si>
  <si>
    <r>
      <rPr>
        <sz val="10"/>
        <color rgb="FF231F20"/>
        <rFont val="Helvetica"/>
        <family val="2"/>
        <scheme val="minor"/>
      </rPr>
      <t>AU-16</t>
    </r>
  </si>
  <si>
    <r>
      <rPr>
        <sz val="10"/>
        <color rgb="FF231F20"/>
        <rFont val="Helvetica"/>
        <family val="2"/>
        <scheme val="minor"/>
      </rPr>
      <t>Cross-Organizational Auditing</t>
    </r>
  </si>
  <si>
    <r>
      <rPr>
        <sz val="10"/>
        <color rgb="FF231F20"/>
        <rFont val="Helvetica"/>
        <family val="2"/>
        <scheme val="minor"/>
      </rPr>
      <t>CA-1</t>
    </r>
  </si>
  <si>
    <t>Security Assessment and Authorization Policies and Procedures</t>
  </si>
  <si>
    <r>
      <rPr>
        <sz val="10"/>
        <color rgb="FF231F20"/>
        <rFont val="Helvetica"/>
        <family val="2"/>
        <scheme val="minor"/>
      </rPr>
      <t>CA-2</t>
    </r>
  </si>
  <si>
    <r>
      <rPr>
        <sz val="10"/>
        <color rgb="FF231F20"/>
        <rFont val="Helvetica"/>
        <family val="2"/>
        <scheme val="minor"/>
      </rPr>
      <t>Security Assessments</t>
    </r>
  </si>
  <si>
    <r>
      <rPr>
        <sz val="10"/>
        <color rgb="FF231F20"/>
        <rFont val="Helvetica"/>
        <family val="2"/>
        <scheme val="minor"/>
      </rPr>
      <t>CA-3</t>
    </r>
  </si>
  <si>
    <r>
      <rPr>
        <sz val="10"/>
        <color rgb="FF231F20"/>
        <rFont val="Helvetica"/>
        <family val="2"/>
        <scheme val="minor"/>
      </rPr>
      <t>System Interconnections</t>
    </r>
  </si>
  <si>
    <r>
      <rPr>
        <sz val="10"/>
        <color rgb="FF231F20"/>
        <rFont val="Helvetica"/>
        <family val="2"/>
        <scheme val="minor"/>
      </rPr>
      <t>CA-4</t>
    </r>
  </si>
  <si>
    <r>
      <rPr>
        <sz val="10"/>
        <color rgb="FF231F20"/>
        <rFont val="Helvetica"/>
        <family val="2"/>
        <scheme val="minor"/>
      </rPr>
      <t>CA-5</t>
    </r>
  </si>
  <si>
    <r>
      <rPr>
        <sz val="10"/>
        <color rgb="FF231F20"/>
        <rFont val="Helvetica"/>
        <family val="2"/>
        <scheme val="minor"/>
      </rPr>
      <t>Plan of Action and Milestones</t>
    </r>
  </si>
  <si>
    <r>
      <rPr>
        <sz val="10"/>
        <color rgb="FF231F20"/>
        <rFont val="Helvetica"/>
        <family val="2"/>
        <scheme val="minor"/>
      </rPr>
      <t>CA-6</t>
    </r>
  </si>
  <si>
    <r>
      <rPr>
        <sz val="10"/>
        <color rgb="FF231F20"/>
        <rFont val="Helvetica"/>
        <family val="2"/>
        <scheme val="minor"/>
      </rPr>
      <t>Security Authorization</t>
    </r>
  </si>
  <si>
    <r>
      <rPr>
        <sz val="10"/>
        <color rgb="FF231F20"/>
        <rFont val="Helvetica"/>
        <family val="2"/>
        <scheme val="minor"/>
      </rPr>
      <t>CA-7</t>
    </r>
  </si>
  <si>
    <r>
      <rPr>
        <sz val="10"/>
        <color rgb="FF231F20"/>
        <rFont val="Helvetica"/>
        <family val="2"/>
        <scheme val="minor"/>
      </rPr>
      <t>Continuous Monitoring</t>
    </r>
  </si>
  <si>
    <r>
      <rPr>
        <sz val="10"/>
        <color rgb="FF231F20"/>
        <rFont val="Helvetica"/>
        <family val="2"/>
        <scheme val="minor"/>
      </rPr>
      <t>CA-8</t>
    </r>
  </si>
  <si>
    <r>
      <rPr>
        <sz val="10"/>
        <color rgb="FF231F20"/>
        <rFont val="Helvetica"/>
        <family val="2"/>
        <scheme val="minor"/>
      </rPr>
      <t>Penetration Testing</t>
    </r>
  </si>
  <si>
    <r>
      <rPr>
        <sz val="10"/>
        <color rgb="FF231F20"/>
        <rFont val="Helvetica"/>
        <family val="2"/>
        <scheme val="minor"/>
      </rPr>
      <t>CA-9</t>
    </r>
  </si>
  <si>
    <r>
      <rPr>
        <sz val="10"/>
        <color rgb="FF231F20"/>
        <rFont val="Helvetica"/>
        <family val="2"/>
        <scheme val="minor"/>
      </rPr>
      <t>Internal System Connections</t>
    </r>
  </si>
  <si>
    <r>
      <rPr>
        <sz val="10"/>
        <color rgb="FF231F20"/>
        <rFont val="Helvetica"/>
        <family val="2"/>
        <scheme val="minor"/>
      </rPr>
      <t>CM-1</t>
    </r>
  </si>
  <si>
    <t>Configuration Management Policy and Procedures</t>
  </si>
  <si>
    <r>
      <rPr>
        <sz val="10"/>
        <color rgb="FF231F20"/>
        <rFont val="Helvetica"/>
        <family val="2"/>
        <scheme val="minor"/>
      </rPr>
      <t>CM-2</t>
    </r>
  </si>
  <si>
    <r>
      <rPr>
        <sz val="10"/>
        <color rgb="FF231F20"/>
        <rFont val="Helvetica"/>
        <family val="2"/>
        <scheme val="minor"/>
      </rPr>
      <t>Baseline Configuration</t>
    </r>
  </si>
  <si>
    <r>
      <rPr>
        <sz val="10"/>
        <color rgb="FF231F20"/>
        <rFont val="Helvetica"/>
        <family val="2"/>
        <scheme val="minor"/>
      </rPr>
      <t>CM-3</t>
    </r>
  </si>
  <si>
    <r>
      <rPr>
        <sz val="10"/>
        <color rgb="FF231F20"/>
        <rFont val="Helvetica"/>
        <family val="2"/>
        <scheme val="minor"/>
      </rPr>
      <t>Configuration Change Control</t>
    </r>
  </si>
  <si>
    <r>
      <rPr>
        <sz val="10"/>
        <color rgb="FF231F20"/>
        <rFont val="Helvetica"/>
        <family val="2"/>
        <scheme val="minor"/>
      </rPr>
      <t>CM-4</t>
    </r>
  </si>
  <si>
    <r>
      <rPr>
        <sz val="10"/>
        <color rgb="FF231F20"/>
        <rFont val="Helvetica"/>
        <family val="2"/>
        <scheme val="minor"/>
      </rPr>
      <t>Security Impact Analysis</t>
    </r>
  </si>
  <si>
    <r>
      <rPr>
        <sz val="10"/>
        <color rgb="FF231F20"/>
        <rFont val="Helvetica"/>
        <family val="2"/>
        <scheme val="minor"/>
      </rPr>
      <t>CM-5</t>
    </r>
  </si>
  <si>
    <r>
      <rPr>
        <sz val="10"/>
        <color rgb="FF231F20"/>
        <rFont val="Helvetica"/>
        <family val="2"/>
        <scheme val="minor"/>
      </rPr>
      <t>Access Restrictions for Change</t>
    </r>
  </si>
  <si>
    <r>
      <rPr>
        <sz val="10"/>
        <color rgb="FF231F20"/>
        <rFont val="Helvetica"/>
        <family val="2"/>
        <scheme val="minor"/>
      </rPr>
      <t>CM-6</t>
    </r>
  </si>
  <si>
    <r>
      <rPr>
        <sz val="10"/>
        <color rgb="FF231F20"/>
        <rFont val="Helvetica"/>
        <family val="2"/>
        <scheme val="minor"/>
      </rPr>
      <t>Configuration Settings</t>
    </r>
  </si>
  <si>
    <r>
      <rPr>
        <sz val="10"/>
        <color rgb="FF231F20"/>
        <rFont val="Helvetica"/>
        <family val="2"/>
        <scheme val="minor"/>
      </rPr>
      <t>CM-7</t>
    </r>
  </si>
  <si>
    <r>
      <rPr>
        <sz val="10"/>
        <color rgb="FF231F20"/>
        <rFont val="Helvetica"/>
        <family val="2"/>
        <scheme val="minor"/>
      </rPr>
      <t>Least Functionality</t>
    </r>
  </si>
  <si>
    <r>
      <rPr>
        <sz val="10"/>
        <color rgb="FF231F20"/>
        <rFont val="Helvetica"/>
        <family val="2"/>
        <scheme val="minor"/>
      </rPr>
      <t>CM-8</t>
    </r>
  </si>
  <si>
    <r>
      <rPr>
        <sz val="10"/>
        <color rgb="FF231F20"/>
        <rFont val="Helvetica"/>
        <family val="2"/>
        <scheme val="minor"/>
      </rPr>
      <t>Information System Component Inventory</t>
    </r>
  </si>
  <si>
    <r>
      <rPr>
        <sz val="10"/>
        <color rgb="FF231F20"/>
        <rFont val="Helvetica"/>
        <family val="2"/>
        <scheme val="minor"/>
      </rPr>
      <t>CM-9</t>
    </r>
  </si>
  <si>
    <r>
      <rPr>
        <sz val="10"/>
        <color rgb="FF231F20"/>
        <rFont val="Helvetica"/>
        <family val="2"/>
        <scheme val="minor"/>
      </rPr>
      <t>Configuration Management Plan</t>
    </r>
  </si>
  <si>
    <r>
      <rPr>
        <sz val="10"/>
        <color rgb="FF231F20"/>
        <rFont val="Helvetica"/>
        <family val="2"/>
        <scheme val="minor"/>
      </rPr>
      <t>CM-10</t>
    </r>
  </si>
  <si>
    <r>
      <rPr>
        <sz val="10"/>
        <color rgb="FF231F20"/>
        <rFont val="Helvetica"/>
        <family val="2"/>
        <scheme val="minor"/>
      </rPr>
      <t>Software Usage Restrictions</t>
    </r>
  </si>
  <si>
    <r>
      <rPr>
        <sz val="10"/>
        <color rgb="FF231F20"/>
        <rFont val="Helvetica"/>
        <family val="2"/>
        <scheme val="minor"/>
      </rPr>
      <t>CM-11</t>
    </r>
  </si>
  <si>
    <r>
      <rPr>
        <sz val="10"/>
        <color rgb="FF231F20"/>
        <rFont val="Helvetica"/>
        <family val="2"/>
        <scheme val="minor"/>
      </rPr>
      <t>User-Installed Software</t>
    </r>
  </si>
  <si>
    <r>
      <rPr>
        <sz val="10"/>
        <color rgb="FF231F20"/>
        <rFont val="Helvetica"/>
        <family val="2"/>
        <scheme val="minor"/>
      </rPr>
      <t>CP-1</t>
    </r>
  </si>
  <si>
    <t>Contingency Planning Policy and Procedures</t>
  </si>
  <si>
    <r>
      <rPr>
        <sz val="10"/>
        <color rgb="FF231F20"/>
        <rFont val="Helvetica"/>
        <family val="2"/>
        <scheme val="minor"/>
      </rPr>
      <t>CP-2</t>
    </r>
  </si>
  <si>
    <r>
      <rPr>
        <sz val="10"/>
        <color rgb="FF231F20"/>
        <rFont val="Helvetica"/>
        <family val="2"/>
        <scheme val="minor"/>
      </rPr>
      <t>Contingency Plan</t>
    </r>
  </si>
  <si>
    <r>
      <rPr>
        <sz val="10"/>
        <color rgb="FF231F20"/>
        <rFont val="Helvetica"/>
        <family val="2"/>
        <scheme val="minor"/>
      </rPr>
      <t>CP-3</t>
    </r>
  </si>
  <si>
    <r>
      <rPr>
        <sz val="10"/>
        <color rgb="FF231F20"/>
        <rFont val="Helvetica"/>
        <family val="2"/>
        <scheme val="minor"/>
      </rPr>
      <t>Contingency Training</t>
    </r>
  </si>
  <si>
    <r>
      <rPr>
        <sz val="10"/>
        <color rgb="FF231F20"/>
        <rFont val="Helvetica"/>
        <family val="2"/>
        <scheme val="minor"/>
      </rPr>
      <t>CP-4</t>
    </r>
  </si>
  <si>
    <r>
      <rPr>
        <sz val="10"/>
        <color rgb="FF231F20"/>
        <rFont val="Helvetica"/>
        <family val="2"/>
        <scheme val="minor"/>
      </rPr>
      <t>Contingency Plan Testing</t>
    </r>
  </si>
  <si>
    <r>
      <rPr>
        <sz val="10"/>
        <color rgb="FF231F20"/>
        <rFont val="Helvetica"/>
        <family val="2"/>
        <scheme val="minor"/>
      </rPr>
      <t>CP-5</t>
    </r>
  </si>
  <si>
    <r>
      <rPr>
        <sz val="10"/>
        <color rgb="FF231F20"/>
        <rFont val="Helvetica"/>
        <family val="2"/>
        <scheme val="minor"/>
      </rPr>
      <t>CP-6</t>
    </r>
  </si>
  <si>
    <r>
      <rPr>
        <sz val="10"/>
        <color rgb="FF231F20"/>
        <rFont val="Helvetica"/>
        <family val="2"/>
        <scheme val="minor"/>
      </rPr>
      <t>Alternate Storage Site</t>
    </r>
  </si>
  <si>
    <r>
      <rPr>
        <sz val="10"/>
        <color rgb="FF231F20"/>
        <rFont val="Helvetica"/>
        <family val="2"/>
        <scheme val="minor"/>
      </rPr>
      <t>CP-7</t>
    </r>
  </si>
  <si>
    <r>
      <rPr>
        <sz val="10"/>
        <color rgb="FF231F20"/>
        <rFont val="Helvetica"/>
        <family val="2"/>
        <scheme val="minor"/>
      </rPr>
      <t>Alternate Processing Site</t>
    </r>
  </si>
  <si>
    <r>
      <rPr>
        <sz val="10"/>
        <color rgb="FF231F20"/>
        <rFont val="Helvetica"/>
        <family val="2"/>
        <scheme val="minor"/>
      </rPr>
      <t>CP-8</t>
    </r>
  </si>
  <si>
    <r>
      <rPr>
        <sz val="10"/>
        <color rgb="FF231F20"/>
        <rFont val="Helvetica"/>
        <family val="2"/>
        <scheme val="minor"/>
      </rPr>
      <t>Telecommunications Services</t>
    </r>
  </si>
  <si>
    <r>
      <rPr>
        <sz val="10"/>
        <color rgb="FF231F20"/>
        <rFont val="Helvetica"/>
        <family val="2"/>
        <scheme val="minor"/>
      </rPr>
      <t>CP-9</t>
    </r>
  </si>
  <si>
    <r>
      <rPr>
        <sz val="10"/>
        <color rgb="FF231F20"/>
        <rFont val="Helvetica"/>
        <family val="2"/>
        <scheme val="minor"/>
      </rPr>
      <t>Information System Backup</t>
    </r>
  </si>
  <si>
    <r>
      <rPr>
        <sz val="10"/>
        <color rgb="FF231F20"/>
        <rFont val="Helvetica"/>
        <family val="2"/>
        <scheme val="minor"/>
      </rPr>
      <t>CP-10</t>
    </r>
  </si>
  <si>
    <t>Information System Recovery and Reconstitution</t>
  </si>
  <si>
    <r>
      <rPr>
        <sz val="10"/>
        <color rgb="FF231F20"/>
        <rFont val="Helvetica"/>
        <family val="2"/>
        <scheme val="minor"/>
      </rPr>
      <t>CP-11</t>
    </r>
  </si>
  <si>
    <r>
      <rPr>
        <sz val="10"/>
        <color rgb="FF231F20"/>
        <rFont val="Helvetica"/>
        <family val="2"/>
        <scheme val="minor"/>
      </rPr>
      <t>Alternate Communications Protocols</t>
    </r>
  </si>
  <si>
    <r>
      <rPr>
        <sz val="10"/>
        <color rgb="FF231F20"/>
        <rFont val="Helvetica"/>
        <family val="2"/>
        <scheme val="minor"/>
      </rPr>
      <t>CP-12</t>
    </r>
  </si>
  <si>
    <r>
      <rPr>
        <sz val="10"/>
        <color rgb="FF231F20"/>
        <rFont val="Helvetica"/>
        <family val="2"/>
        <scheme val="minor"/>
      </rPr>
      <t>Safe Mode</t>
    </r>
  </si>
  <si>
    <r>
      <rPr>
        <sz val="10"/>
        <color rgb="FF231F20"/>
        <rFont val="Helvetica"/>
        <family val="2"/>
        <scheme val="minor"/>
      </rPr>
      <t>CP-13</t>
    </r>
  </si>
  <si>
    <r>
      <rPr>
        <sz val="10"/>
        <color rgb="FF231F20"/>
        <rFont val="Helvetica"/>
        <family val="2"/>
        <scheme val="minor"/>
      </rPr>
      <t>Alternative Security Mechanisms</t>
    </r>
  </si>
  <si>
    <r>
      <rPr>
        <sz val="10"/>
        <color rgb="FF231F20"/>
        <rFont val="Helvetica"/>
        <family val="2"/>
        <scheme val="minor"/>
      </rPr>
      <t>IA-1</t>
    </r>
  </si>
  <si>
    <t>Identification and Authentication Policy and Procedures</t>
  </si>
  <si>
    <r>
      <rPr>
        <sz val="10"/>
        <color rgb="FF231F20"/>
        <rFont val="Helvetica"/>
        <family val="2"/>
        <scheme val="minor"/>
      </rPr>
      <t>IA-2</t>
    </r>
  </si>
  <si>
    <t>Identification and Authentication (Organizational Users)</t>
  </si>
  <si>
    <r>
      <rPr>
        <sz val="10"/>
        <color rgb="FF231F20"/>
        <rFont val="Helvetica"/>
        <family val="2"/>
        <scheme val="minor"/>
      </rPr>
      <t>IA-3</t>
    </r>
  </si>
  <si>
    <r>
      <rPr>
        <sz val="10"/>
        <color rgb="FF231F20"/>
        <rFont val="Helvetica"/>
        <family val="2"/>
        <scheme val="minor"/>
      </rPr>
      <t>Device Identification and Authentication</t>
    </r>
  </si>
  <si>
    <r>
      <rPr>
        <sz val="10"/>
        <color rgb="FF231F20"/>
        <rFont val="Helvetica"/>
        <family val="2"/>
        <scheme val="minor"/>
      </rPr>
      <t>IA-4</t>
    </r>
  </si>
  <si>
    <r>
      <rPr>
        <sz val="10"/>
        <color rgb="FF231F20"/>
        <rFont val="Helvetica"/>
        <family val="2"/>
        <scheme val="minor"/>
      </rPr>
      <t>Identifier Management</t>
    </r>
  </si>
  <si>
    <r>
      <rPr>
        <sz val="10"/>
        <color rgb="FF231F20"/>
        <rFont val="Helvetica"/>
        <family val="2"/>
        <scheme val="minor"/>
      </rPr>
      <t>IA-5</t>
    </r>
  </si>
  <si>
    <r>
      <rPr>
        <sz val="10"/>
        <color rgb="FF231F20"/>
        <rFont val="Helvetica"/>
        <family val="2"/>
        <scheme val="minor"/>
      </rPr>
      <t>Authenticator Management</t>
    </r>
  </si>
  <si>
    <t>Password -Based Authentication: Enforces minimum complexity</t>
  </si>
  <si>
    <r>
      <rPr>
        <sz val="10"/>
        <color rgb="FF231F20"/>
        <rFont val="Helvetica"/>
        <family val="2"/>
        <scheme val="minor"/>
      </rPr>
      <t>IA-6</t>
    </r>
  </si>
  <si>
    <r>
      <rPr>
        <sz val="10"/>
        <color rgb="FF231F20"/>
        <rFont val="Helvetica"/>
        <family val="2"/>
        <scheme val="minor"/>
      </rPr>
      <t>Authenticator Feedback</t>
    </r>
  </si>
  <si>
    <r>
      <rPr>
        <sz val="10"/>
        <color rgb="FF231F20"/>
        <rFont val="Helvetica"/>
        <family val="2"/>
        <scheme val="minor"/>
      </rPr>
      <t>IA-7</t>
    </r>
  </si>
  <si>
    <r>
      <rPr>
        <sz val="10"/>
        <color rgb="FF231F20"/>
        <rFont val="Helvetica"/>
        <family val="2"/>
        <scheme val="minor"/>
      </rPr>
      <t>Cryptographic Module Authentication</t>
    </r>
  </si>
  <si>
    <r>
      <rPr>
        <sz val="10"/>
        <color rgb="FF231F20"/>
        <rFont val="Helvetica"/>
        <family val="2"/>
        <scheme val="minor"/>
      </rPr>
      <t>IA-8</t>
    </r>
  </si>
  <si>
    <r>
      <rPr>
        <sz val="10"/>
        <color rgb="FF231F20"/>
        <rFont val="Helvetica"/>
        <family val="2"/>
        <scheme val="minor"/>
      </rPr>
      <t>Identification and Authentication (Non- Organizational Users)</t>
    </r>
  </si>
  <si>
    <r>
      <rPr>
        <sz val="10"/>
        <color rgb="FF231F20"/>
        <rFont val="Helvetica"/>
        <family val="2"/>
        <scheme val="minor"/>
      </rPr>
      <t>IA-9</t>
    </r>
  </si>
  <si>
    <r>
      <rPr>
        <sz val="10"/>
        <color rgb="FF231F20"/>
        <rFont val="Helvetica"/>
        <family val="2"/>
        <scheme val="minor"/>
      </rPr>
      <t>Service Identification and Authentication</t>
    </r>
  </si>
  <si>
    <r>
      <rPr>
        <sz val="10"/>
        <color rgb="FF231F20"/>
        <rFont val="Helvetica"/>
        <family val="2"/>
        <scheme val="minor"/>
      </rPr>
      <t>IA-10</t>
    </r>
  </si>
  <si>
    <r>
      <rPr>
        <sz val="10"/>
        <color rgb="FF231F20"/>
        <rFont val="Helvetica"/>
        <family val="2"/>
        <scheme val="minor"/>
      </rPr>
      <t>Adaptive Identification and Authentication</t>
    </r>
  </si>
  <si>
    <r>
      <rPr>
        <sz val="10"/>
        <color rgb="FF231F20"/>
        <rFont val="Helvetica"/>
        <family val="2"/>
        <scheme val="minor"/>
      </rPr>
      <t>IA-11</t>
    </r>
  </si>
  <si>
    <r>
      <rPr>
        <sz val="10"/>
        <color rgb="FF231F20"/>
        <rFont val="Helvetica"/>
        <family val="2"/>
        <scheme val="minor"/>
      </rPr>
      <t>Re-authentication</t>
    </r>
  </si>
  <si>
    <r>
      <rPr>
        <sz val="10"/>
        <color rgb="FF231F20"/>
        <rFont val="Helvetica"/>
        <family val="2"/>
        <scheme val="minor"/>
      </rPr>
      <t>IR-1</t>
    </r>
  </si>
  <si>
    <r>
      <rPr>
        <sz val="10"/>
        <color rgb="FF231F20"/>
        <rFont val="Helvetica"/>
        <family val="2"/>
        <scheme val="minor"/>
      </rPr>
      <t>Incident Response Policy and Procedures</t>
    </r>
  </si>
  <si>
    <r>
      <rPr>
        <sz val="10"/>
        <color rgb="FF231F20"/>
        <rFont val="Helvetica"/>
        <family val="2"/>
        <scheme val="minor"/>
      </rPr>
      <t>IR-2</t>
    </r>
  </si>
  <si>
    <r>
      <rPr>
        <sz val="10"/>
        <color rgb="FF231F20"/>
        <rFont val="Helvetica"/>
        <family val="2"/>
        <scheme val="minor"/>
      </rPr>
      <t>Incident Response Training</t>
    </r>
  </si>
  <si>
    <r>
      <rPr>
        <sz val="10"/>
        <color rgb="FF231F20"/>
        <rFont val="Helvetica"/>
        <family val="2"/>
        <scheme val="minor"/>
      </rPr>
      <t>IR-3</t>
    </r>
  </si>
  <si>
    <r>
      <rPr>
        <sz val="10"/>
        <color rgb="FF231F20"/>
        <rFont val="Helvetica"/>
        <family val="2"/>
        <scheme val="minor"/>
      </rPr>
      <t>Incident Response Testing</t>
    </r>
  </si>
  <si>
    <r>
      <rPr>
        <sz val="10"/>
        <color rgb="FF231F20"/>
        <rFont val="Helvetica"/>
        <family val="2"/>
        <scheme val="minor"/>
      </rPr>
      <t>IR-4</t>
    </r>
  </si>
  <si>
    <r>
      <rPr>
        <sz val="10"/>
        <color rgb="FF231F20"/>
        <rFont val="Helvetica"/>
        <family val="2"/>
        <scheme val="minor"/>
      </rPr>
      <t>Incident Handling</t>
    </r>
  </si>
  <si>
    <r>
      <rPr>
        <sz val="10"/>
        <color rgb="FF231F20"/>
        <rFont val="Helvetica"/>
        <family val="2"/>
        <scheme val="minor"/>
      </rPr>
      <t>IR-5</t>
    </r>
  </si>
  <si>
    <r>
      <rPr>
        <sz val="10"/>
        <color rgb="FF231F20"/>
        <rFont val="Helvetica"/>
        <family val="2"/>
        <scheme val="minor"/>
      </rPr>
      <t>Incident Monitoring</t>
    </r>
  </si>
  <si>
    <r>
      <rPr>
        <sz val="10"/>
        <color rgb="FF231F20"/>
        <rFont val="Helvetica"/>
        <family val="2"/>
        <scheme val="minor"/>
      </rPr>
      <t>IR-6</t>
    </r>
  </si>
  <si>
    <r>
      <rPr>
        <sz val="10"/>
        <color rgb="FF231F20"/>
        <rFont val="Helvetica"/>
        <family val="2"/>
        <scheme val="minor"/>
      </rPr>
      <t>Incident Reporting</t>
    </r>
  </si>
  <si>
    <r>
      <rPr>
        <sz val="10"/>
        <color rgb="FF231F20"/>
        <rFont val="Helvetica"/>
        <family val="2"/>
        <scheme val="minor"/>
      </rPr>
      <t>IR-7</t>
    </r>
  </si>
  <si>
    <r>
      <rPr>
        <sz val="10"/>
        <color rgb="FF231F20"/>
        <rFont val="Helvetica"/>
        <family val="2"/>
        <scheme val="minor"/>
      </rPr>
      <t>Incident Response Assistance</t>
    </r>
  </si>
  <si>
    <r>
      <rPr>
        <sz val="10"/>
        <color rgb="FF231F20"/>
        <rFont val="Helvetica"/>
        <family val="2"/>
        <scheme val="minor"/>
      </rPr>
      <t>IR-8</t>
    </r>
  </si>
  <si>
    <r>
      <rPr>
        <sz val="10"/>
        <color rgb="FF231F20"/>
        <rFont val="Helvetica"/>
        <family val="2"/>
        <scheme val="minor"/>
      </rPr>
      <t>Incident Response Plan</t>
    </r>
  </si>
  <si>
    <r>
      <rPr>
        <sz val="10"/>
        <color rgb="FF231F20"/>
        <rFont val="Helvetica"/>
        <family val="2"/>
        <scheme val="minor"/>
      </rPr>
      <t>IR-9</t>
    </r>
  </si>
  <si>
    <r>
      <rPr>
        <sz val="10"/>
        <color rgb="FF231F20"/>
        <rFont val="Helvetica"/>
        <family val="2"/>
        <scheme val="minor"/>
      </rPr>
      <t>Information Spillage Response</t>
    </r>
  </si>
  <si>
    <r>
      <rPr>
        <sz val="10"/>
        <color rgb="FF231F20"/>
        <rFont val="Helvetica"/>
        <family val="2"/>
        <scheme val="minor"/>
      </rPr>
      <t>IR-10</t>
    </r>
  </si>
  <si>
    <t>Integrated Information Security Analysis Team</t>
  </si>
  <si>
    <r>
      <rPr>
        <sz val="10"/>
        <color rgb="FF231F20"/>
        <rFont val="Helvetica"/>
        <family val="2"/>
        <scheme val="minor"/>
      </rPr>
      <t>MA-1</t>
    </r>
  </si>
  <si>
    <r>
      <rPr>
        <sz val="10"/>
        <color rgb="FF231F20"/>
        <rFont val="Helvetica"/>
        <family val="2"/>
        <scheme val="minor"/>
      </rPr>
      <t>System Maintenance Policy and Procedures</t>
    </r>
  </si>
  <si>
    <r>
      <rPr>
        <sz val="10"/>
        <color rgb="FF231F20"/>
        <rFont val="Helvetica"/>
        <family val="2"/>
        <scheme val="minor"/>
      </rPr>
      <t>MA-2</t>
    </r>
  </si>
  <si>
    <r>
      <rPr>
        <sz val="10"/>
        <color rgb="FF231F20"/>
        <rFont val="Helvetica"/>
        <family val="2"/>
        <scheme val="minor"/>
      </rPr>
      <t>Controlled Maintenance</t>
    </r>
  </si>
  <si>
    <r>
      <rPr>
        <sz val="10"/>
        <color rgb="FF231F20"/>
        <rFont val="Helvetica"/>
        <family val="2"/>
        <scheme val="minor"/>
      </rPr>
      <t>MA-3</t>
    </r>
  </si>
  <si>
    <r>
      <rPr>
        <sz val="10"/>
        <color rgb="FF231F20"/>
        <rFont val="Helvetica"/>
        <family val="2"/>
        <scheme val="minor"/>
      </rPr>
      <t>Maintenance Tools</t>
    </r>
  </si>
  <si>
    <r>
      <rPr>
        <sz val="10"/>
        <color rgb="FF231F20"/>
        <rFont val="Helvetica"/>
        <family val="2"/>
        <scheme val="minor"/>
      </rPr>
      <t>MA-4</t>
    </r>
  </si>
  <si>
    <r>
      <rPr>
        <sz val="10"/>
        <color rgb="FF231F20"/>
        <rFont val="Helvetica"/>
        <family val="2"/>
        <scheme val="minor"/>
      </rPr>
      <t>Nonlocal Maintenance</t>
    </r>
  </si>
  <si>
    <r>
      <rPr>
        <sz val="10"/>
        <color rgb="FF231F20"/>
        <rFont val="Helvetica"/>
        <family val="2"/>
        <scheme val="minor"/>
      </rPr>
      <t>MA-5</t>
    </r>
  </si>
  <si>
    <r>
      <rPr>
        <sz val="10"/>
        <color rgb="FF231F20"/>
        <rFont val="Helvetica"/>
        <family val="2"/>
        <scheme val="minor"/>
      </rPr>
      <t>Maintenance Personnel</t>
    </r>
  </si>
  <si>
    <r>
      <rPr>
        <sz val="10"/>
        <color rgb="FF231F20"/>
        <rFont val="Helvetica"/>
        <family val="2"/>
        <scheme val="minor"/>
      </rPr>
      <t>MA-6</t>
    </r>
  </si>
  <si>
    <r>
      <rPr>
        <sz val="10"/>
        <color rgb="FF231F20"/>
        <rFont val="Helvetica"/>
        <family val="2"/>
        <scheme val="minor"/>
      </rPr>
      <t>Timely Maintenance</t>
    </r>
  </si>
  <si>
    <r>
      <rPr>
        <sz val="10"/>
        <color rgb="FF231F20"/>
        <rFont val="Helvetica"/>
        <family val="2"/>
        <scheme val="minor"/>
      </rPr>
      <t>MP-1</t>
    </r>
  </si>
  <si>
    <r>
      <rPr>
        <sz val="10"/>
        <color rgb="FF231F20"/>
        <rFont val="Helvetica"/>
        <family val="2"/>
        <scheme val="minor"/>
      </rPr>
      <t>Media Protection Policy and Procedures</t>
    </r>
  </si>
  <si>
    <r>
      <rPr>
        <sz val="10"/>
        <color rgb="FF231F20"/>
        <rFont val="Helvetica"/>
        <family val="2"/>
        <scheme val="minor"/>
      </rPr>
      <t>MP-2</t>
    </r>
  </si>
  <si>
    <r>
      <rPr>
        <sz val="10"/>
        <color rgb="FF231F20"/>
        <rFont val="Helvetica"/>
        <family val="2"/>
        <scheme val="minor"/>
      </rPr>
      <t>Media Access</t>
    </r>
  </si>
  <si>
    <r>
      <rPr>
        <sz val="10"/>
        <color rgb="FF231F20"/>
        <rFont val="Helvetica"/>
        <family val="2"/>
        <scheme val="minor"/>
      </rPr>
      <t>MP-3</t>
    </r>
  </si>
  <si>
    <r>
      <rPr>
        <sz val="10"/>
        <color rgb="FF231F20"/>
        <rFont val="Helvetica"/>
        <family val="2"/>
        <scheme val="minor"/>
      </rPr>
      <t>Media Marking</t>
    </r>
  </si>
  <si>
    <r>
      <rPr>
        <sz val="10"/>
        <color rgb="FF231F20"/>
        <rFont val="Helvetica"/>
        <family val="2"/>
        <scheme val="minor"/>
      </rPr>
      <t>MP-4</t>
    </r>
  </si>
  <si>
    <r>
      <rPr>
        <sz val="10"/>
        <color rgb="FF231F20"/>
        <rFont val="Helvetica"/>
        <family val="2"/>
        <scheme val="minor"/>
      </rPr>
      <t>Media Storage</t>
    </r>
  </si>
  <si>
    <r>
      <rPr>
        <sz val="10"/>
        <color rgb="FF231F20"/>
        <rFont val="Helvetica"/>
        <family val="2"/>
        <scheme val="minor"/>
      </rPr>
      <t>MP-5</t>
    </r>
  </si>
  <si>
    <r>
      <rPr>
        <sz val="10"/>
        <color rgb="FF231F20"/>
        <rFont val="Helvetica"/>
        <family val="2"/>
        <scheme val="minor"/>
      </rPr>
      <t>Media Transport</t>
    </r>
  </si>
  <si>
    <r>
      <rPr>
        <sz val="10"/>
        <color rgb="FF231F20"/>
        <rFont val="Helvetica"/>
        <family val="2"/>
        <scheme val="minor"/>
      </rPr>
      <t>MP-6</t>
    </r>
  </si>
  <si>
    <r>
      <rPr>
        <sz val="10"/>
        <color rgb="FF231F20"/>
        <rFont val="Helvetica"/>
        <family val="2"/>
        <scheme val="minor"/>
      </rPr>
      <t>Media Sanitization</t>
    </r>
  </si>
  <si>
    <r>
      <rPr>
        <sz val="10"/>
        <color rgb="FF231F20"/>
        <rFont val="Helvetica"/>
        <family val="2"/>
        <scheme val="minor"/>
      </rPr>
      <t>MP-7</t>
    </r>
  </si>
  <si>
    <r>
      <rPr>
        <sz val="10"/>
        <color rgb="FF231F20"/>
        <rFont val="Helvetica"/>
        <family val="2"/>
        <scheme val="minor"/>
      </rPr>
      <t>Media Use</t>
    </r>
  </si>
  <si>
    <r>
      <rPr>
        <sz val="10"/>
        <color rgb="FF231F20"/>
        <rFont val="Helvetica"/>
        <family val="2"/>
        <scheme val="minor"/>
      </rPr>
      <t>MP-8</t>
    </r>
  </si>
  <si>
    <r>
      <rPr>
        <sz val="10"/>
        <color rgb="FF231F20"/>
        <rFont val="Helvetica"/>
        <family val="2"/>
        <scheme val="minor"/>
      </rPr>
      <t>Media Downgrading</t>
    </r>
  </si>
  <si>
    <r>
      <rPr>
        <sz val="10"/>
        <color rgb="FF231F20"/>
        <rFont val="Helvetica"/>
        <family val="2"/>
        <scheme val="minor"/>
      </rPr>
      <t>PE-1</t>
    </r>
  </si>
  <si>
    <t>Physical and Environmental Protection Policy and Procedures</t>
  </si>
  <si>
    <r>
      <rPr>
        <sz val="10"/>
        <color rgb="FF231F20"/>
        <rFont val="Helvetica"/>
        <family val="2"/>
        <scheme val="minor"/>
      </rPr>
      <t>PE-2</t>
    </r>
  </si>
  <si>
    <r>
      <rPr>
        <sz val="10"/>
        <color rgb="FF231F20"/>
        <rFont val="Helvetica"/>
        <family val="2"/>
        <scheme val="minor"/>
      </rPr>
      <t>Physical Access Authorizations</t>
    </r>
  </si>
  <si>
    <r>
      <rPr>
        <sz val="10"/>
        <color rgb="FF231F20"/>
        <rFont val="Helvetica"/>
        <family val="2"/>
        <scheme val="minor"/>
      </rPr>
      <t>PE-3</t>
    </r>
  </si>
  <si>
    <r>
      <rPr>
        <sz val="10"/>
        <color rgb="FF231F20"/>
        <rFont val="Helvetica"/>
        <family val="2"/>
        <scheme val="minor"/>
      </rPr>
      <t>Physical Access Control</t>
    </r>
  </si>
  <si>
    <r>
      <rPr>
        <sz val="10"/>
        <color rgb="FF231F20"/>
        <rFont val="Helvetica"/>
        <family val="2"/>
        <scheme val="minor"/>
      </rPr>
      <t>PE-4</t>
    </r>
  </si>
  <si>
    <r>
      <rPr>
        <sz val="10"/>
        <color rgb="FF231F20"/>
        <rFont val="Helvetica"/>
        <family val="2"/>
        <scheme val="minor"/>
      </rPr>
      <t>Access Control for Transmission Medium</t>
    </r>
  </si>
  <si>
    <r>
      <rPr>
        <sz val="10"/>
        <color rgb="FF231F20"/>
        <rFont val="Helvetica"/>
        <family val="2"/>
        <scheme val="minor"/>
      </rPr>
      <t>PE-5</t>
    </r>
  </si>
  <si>
    <r>
      <rPr>
        <sz val="10"/>
        <color rgb="FF231F20"/>
        <rFont val="Helvetica"/>
        <family val="2"/>
        <scheme val="minor"/>
      </rPr>
      <t>Access Control for Output Devices</t>
    </r>
  </si>
  <si>
    <r>
      <rPr>
        <sz val="10"/>
        <color rgb="FF231F20"/>
        <rFont val="Helvetica"/>
        <family val="2"/>
        <scheme val="minor"/>
      </rPr>
      <t>PE-6</t>
    </r>
  </si>
  <si>
    <r>
      <rPr>
        <sz val="10"/>
        <color rgb="FF231F20"/>
        <rFont val="Helvetica"/>
        <family val="2"/>
        <scheme val="minor"/>
      </rPr>
      <t>Monitoring Physical Access</t>
    </r>
  </si>
  <si>
    <r>
      <rPr>
        <sz val="10"/>
        <color rgb="FF231F20"/>
        <rFont val="Helvetica"/>
        <family val="2"/>
        <scheme val="minor"/>
      </rPr>
      <t>PE-7</t>
    </r>
  </si>
  <si>
    <r>
      <rPr>
        <sz val="10"/>
        <color rgb="FF231F20"/>
        <rFont val="Helvetica"/>
        <family val="2"/>
        <scheme val="minor"/>
      </rPr>
      <t>PE-8</t>
    </r>
  </si>
  <si>
    <r>
      <rPr>
        <sz val="10"/>
        <color rgb="FF231F20"/>
        <rFont val="Helvetica"/>
        <family val="2"/>
        <scheme val="minor"/>
      </rPr>
      <t>Visitor Access Records</t>
    </r>
  </si>
  <si>
    <r>
      <rPr>
        <sz val="10"/>
        <color rgb="FF231F20"/>
        <rFont val="Helvetica"/>
        <family val="2"/>
        <scheme val="minor"/>
      </rPr>
      <t>PE-9</t>
    </r>
  </si>
  <si>
    <r>
      <rPr>
        <sz val="10"/>
        <color rgb="FF231F20"/>
        <rFont val="Helvetica"/>
        <family val="2"/>
        <scheme val="minor"/>
      </rPr>
      <t>Power Equipment and Cabling</t>
    </r>
  </si>
  <si>
    <r>
      <rPr>
        <sz val="10"/>
        <color rgb="FF231F20"/>
        <rFont val="Helvetica"/>
        <family val="2"/>
        <scheme val="minor"/>
      </rPr>
      <t>PE-10</t>
    </r>
  </si>
  <si>
    <r>
      <rPr>
        <sz val="10"/>
        <color rgb="FF231F20"/>
        <rFont val="Helvetica"/>
        <family val="2"/>
        <scheme val="minor"/>
      </rPr>
      <t>Emergency Shutoff</t>
    </r>
  </si>
  <si>
    <r>
      <rPr>
        <sz val="10"/>
        <color rgb="FF231F20"/>
        <rFont val="Helvetica"/>
        <family val="2"/>
        <scheme val="minor"/>
      </rPr>
      <t>PE-11</t>
    </r>
  </si>
  <si>
    <r>
      <rPr>
        <sz val="10"/>
        <color rgb="FF231F20"/>
        <rFont val="Helvetica"/>
        <family val="2"/>
        <scheme val="minor"/>
      </rPr>
      <t>Emergency Power</t>
    </r>
  </si>
  <si>
    <r>
      <rPr>
        <sz val="10"/>
        <color rgb="FF231F20"/>
        <rFont val="Helvetica"/>
        <family val="2"/>
        <scheme val="minor"/>
      </rPr>
      <t>PE-12</t>
    </r>
  </si>
  <si>
    <r>
      <rPr>
        <sz val="10"/>
        <color rgb="FF231F20"/>
        <rFont val="Helvetica"/>
        <family val="2"/>
        <scheme val="minor"/>
      </rPr>
      <t>Emergency Lighting</t>
    </r>
  </si>
  <si>
    <r>
      <rPr>
        <sz val="10"/>
        <color rgb="FF231F20"/>
        <rFont val="Helvetica"/>
        <family val="2"/>
        <scheme val="minor"/>
      </rPr>
      <t>PE-13</t>
    </r>
  </si>
  <si>
    <r>
      <rPr>
        <sz val="10"/>
        <color rgb="FF231F20"/>
        <rFont val="Helvetica"/>
        <family val="2"/>
        <scheme val="minor"/>
      </rPr>
      <t>Fire Protection</t>
    </r>
  </si>
  <si>
    <r>
      <rPr>
        <sz val="10"/>
        <color rgb="FF231F20"/>
        <rFont val="Helvetica"/>
        <family val="2"/>
        <scheme val="minor"/>
      </rPr>
      <t>PE-14</t>
    </r>
  </si>
  <si>
    <r>
      <rPr>
        <sz val="10"/>
        <color rgb="FF231F20"/>
        <rFont val="Helvetica"/>
        <family val="2"/>
        <scheme val="minor"/>
      </rPr>
      <t>Temperature and Humidity Controls</t>
    </r>
  </si>
  <si>
    <r>
      <rPr>
        <sz val="10"/>
        <color rgb="FF231F20"/>
        <rFont val="Helvetica"/>
        <family val="2"/>
        <scheme val="minor"/>
      </rPr>
      <t>PE-15</t>
    </r>
  </si>
  <si>
    <r>
      <rPr>
        <sz val="10"/>
        <color rgb="FF231F20"/>
        <rFont val="Helvetica"/>
        <family val="2"/>
        <scheme val="minor"/>
      </rPr>
      <t>Water Damage Protection</t>
    </r>
  </si>
  <si>
    <r>
      <rPr>
        <sz val="10"/>
        <color rgb="FF231F20"/>
        <rFont val="Helvetica"/>
        <family val="2"/>
        <scheme val="minor"/>
      </rPr>
      <t>PE-16</t>
    </r>
  </si>
  <si>
    <r>
      <rPr>
        <sz val="10"/>
        <color rgb="FF231F20"/>
        <rFont val="Helvetica"/>
        <family val="2"/>
        <scheme val="minor"/>
      </rPr>
      <t>Delivery and Removal</t>
    </r>
  </si>
  <si>
    <r>
      <rPr>
        <sz val="10"/>
        <color rgb="FF231F20"/>
        <rFont val="Helvetica"/>
        <family val="2"/>
        <scheme val="minor"/>
      </rPr>
      <t>PE-17</t>
    </r>
  </si>
  <si>
    <r>
      <rPr>
        <sz val="10"/>
        <color rgb="FF231F20"/>
        <rFont val="Helvetica"/>
        <family val="2"/>
        <scheme val="minor"/>
      </rPr>
      <t>Alternate Work Site</t>
    </r>
  </si>
  <si>
    <r>
      <rPr>
        <sz val="10"/>
        <color rgb="FF231F20"/>
        <rFont val="Helvetica"/>
        <family val="2"/>
        <scheme val="minor"/>
      </rPr>
      <t>PE-18</t>
    </r>
  </si>
  <si>
    <r>
      <rPr>
        <sz val="10"/>
        <color rgb="FF231F20"/>
        <rFont val="Helvetica"/>
        <family val="2"/>
        <scheme val="minor"/>
      </rPr>
      <t>Location of Information System Components</t>
    </r>
  </si>
  <si>
    <r>
      <rPr>
        <sz val="10"/>
        <color rgb="FF231F20"/>
        <rFont val="Helvetica"/>
        <family val="2"/>
        <scheme val="minor"/>
      </rPr>
      <t>PE-19</t>
    </r>
  </si>
  <si>
    <r>
      <rPr>
        <sz val="10"/>
        <color rgb="FF231F20"/>
        <rFont val="Helvetica"/>
        <family val="2"/>
        <scheme val="minor"/>
      </rPr>
      <t>Information Leakage</t>
    </r>
  </si>
  <si>
    <r>
      <rPr>
        <sz val="10"/>
        <color rgb="FF231F20"/>
        <rFont val="Helvetica"/>
        <family val="2"/>
        <scheme val="minor"/>
      </rPr>
      <t>PE-20</t>
    </r>
  </si>
  <si>
    <r>
      <rPr>
        <sz val="10"/>
        <color rgb="FF231F20"/>
        <rFont val="Helvetica"/>
        <family val="2"/>
        <scheme val="minor"/>
      </rPr>
      <t>Asset Monitoring and Tracking</t>
    </r>
  </si>
  <si>
    <r>
      <rPr>
        <sz val="10"/>
        <color rgb="FF231F20"/>
        <rFont val="Helvetica"/>
        <family val="2"/>
        <scheme val="minor"/>
      </rPr>
      <t>PL-1</t>
    </r>
  </si>
  <si>
    <r>
      <rPr>
        <sz val="10"/>
        <color rgb="FF231F20"/>
        <rFont val="Helvetica"/>
        <family val="2"/>
        <scheme val="minor"/>
      </rPr>
      <t>Security Planning Policy and Procedures</t>
    </r>
  </si>
  <si>
    <r>
      <rPr>
        <sz val="10"/>
        <color rgb="FF231F20"/>
        <rFont val="Helvetica"/>
        <family val="2"/>
        <scheme val="minor"/>
      </rPr>
      <t>PL-2</t>
    </r>
  </si>
  <si>
    <r>
      <rPr>
        <sz val="10"/>
        <color rgb="FF231F20"/>
        <rFont val="Helvetica"/>
        <family val="2"/>
        <scheme val="minor"/>
      </rPr>
      <t>System Security Plan</t>
    </r>
  </si>
  <si>
    <r>
      <rPr>
        <sz val="10"/>
        <color rgb="FF231F20"/>
        <rFont val="Helvetica"/>
        <family val="2"/>
        <scheme val="minor"/>
      </rPr>
      <t>PL-3</t>
    </r>
  </si>
  <si>
    <r>
      <rPr>
        <sz val="10"/>
        <color rgb="FF231F20"/>
        <rFont val="Helvetica"/>
        <family val="2"/>
        <scheme val="minor"/>
      </rPr>
      <t>PL-4</t>
    </r>
  </si>
  <si>
    <r>
      <rPr>
        <sz val="10"/>
        <color rgb="FF231F20"/>
        <rFont val="Helvetica"/>
        <family val="2"/>
        <scheme val="minor"/>
      </rPr>
      <t>Rules of Behavior</t>
    </r>
  </si>
  <si>
    <r>
      <rPr>
        <sz val="10"/>
        <color rgb="FF231F20"/>
        <rFont val="Helvetica"/>
        <family val="2"/>
        <scheme val="minor"/>
      </rPr>
      <t>PL-5</t>
    </r>
  </si>
  <si>
    <r>
      <rPr>
        <sz val="10"/>
        <color rgb="FF231F20"/>
        <rFont val="Helvetica"/>
        <family val="2"/>
        <scheme val="minor"/>
      </rPr>
      <t>PL-6</t>
    </r>
  </si>
  <si>
    <r>
      <rPr>
        <sz val="10"/>
        <color rgb="FF231F20"/>
        <rFont val="Helvetica"/>
        <family val="2"/>
        <scheme val="minor"/>
      </rPr>
      <t>PL-7</t>
    </r>
  </si>
  <si>
    <r>
      <rPr>
        <sz val="10"/>
        <color rgb="FF231F20"/>
        <rFont val="Helvetica"/>
        <family val="2"/>
        <scheme val="minor"/>
      </rPr>
      <t>Security Concept of Operations</t>
    </r>
  </si>
  <si>
    <r>
      <rPr>
        <sz val="10"/>
        <color rgb="FF231F20"/>
        <rFont val="Helvetica"/>
        <family val="2"/>
        <scheme val="minor"/>
      </rPr>
      <t>PL-8</t>
    </r>
  </si>
  <si>
    <r>
      <rPr>
        <sz val="10"/>
        <color rgb="FF231F20"/>
        <rFont val="Helvetica"/>
        <family val="2"/>
        <scheme val="minor"/>
      </rPr>
      <t>Information Security Architecture</t>
    </r>
  </si>
  <si>
    <r>
      <rPr>
        <sz val="10"/>
        <color rgb="FF231F20"/>
        <rFont val="Helvetica"/>
        <family val="2"/>
        <scheme val="minor"/>
      </rPr>
      <t>PL-9</t>
    </r>
  </si>
  <si>
    <r>
      <rPr>
        <sz val="10"/>
        <color rgb="FF231F20"/>
        <rFont val="Helvetica"/>
        <family val="2"/>
        <scheme val="minor"/>
      </rPr>
      <t>Central Management</t>
    </r>
  </si>
  <si>
    <r>
      <rPr>
        <sz val="10"/>
        <color rgb="FF231F20"/>
        <rFont val="Helvetica"/>
        <family val="2"/>
        <scheme val="minor"/>
      </rPr>
      <t>PS-1</t>
    </r>
  </si>
  <si>
    <r>
      <rPr>
        <sz val="10"/>
        <color rgb="FF231F20"/>
        <rFont val="Helvetica"/>
        <family val="2"/>
        <scheme val="minor"/>
      </rPr>
      <t>Personnel Security Policy and Procedures</t>
    </r>
  </si>
  <si>
    <r>
      <rPr>
        <sz val="10"/>
        <color rgb="FF231F20"/>
        <rFont val="Helvetica"/>
        <family val="2"/>
        <scheme val="minor"/>
      </rPr>
      <t>PS-2</t>
    </r>
  </si>
  <si>
    <r>
      <rPr>
        <sz val="10"/>
        <color rgb="FF231F20"/>
        <rFont val="Helvetica"/>
        <family val="2"/>
        <scheme val="minor"/>
      </rPr>
      <t>Position Risk Designation</t>
    </r>
  </si>
  <si>
    <r>
      <rPr>
        <sz val="10"/>
        <color rgb="FF231F20"/>
        <rFont val="Helvetica"/>
        <family val="2"/>
        <scheme val="minor"/>
      </rPr>
      <t>PS-3</t>
    </r>
  </si>
  <si>
    <r>
      <rPr>
        <sz val="10"/>
        <color rgb="FF231F20"/>
        <rFont val="Helvetica"/>
        <family val="2"/>
        <scheme val="minor"/>
      </rPr>
      <t>Personnel Screening</t>
    </r>
  </si>
  <si>
    <r>
      <rPr>
        <sz val="10"/>
        <color rgb="FF231F20"/>
        <rFont val="Helvetica"/>
        <family val="2"/>
        <scheme val="minor"/>
      </rPr>
      <t>PS-4</t>
    </r>
  </si>
  <si>
    <r>
      <rPr>
        <sz val="10"/>
        <color rgb="FF231F20"/>
        <rFont val="Helvetica"/>
        <family val="2"/>
        <scheme val="minor"/>
      </rPr>
      <t>Personnel Termination</t>
    </r>
  </si>
  <si>
    <r>
      <rPr>
        <sz val="10"/>
        <color rgb="FF231F20"/>
        <rFont val="Helvetica"/>
        <family val="2"/>
        <scheme val="minor"/>
      </rPr>
      <t>PS-5</t>
    </r>
  </si>
  <si>
    <r>
      <rPr>
        <sz val="10"/>
        <color rgb="FF231F20"/>
        <rFont val="Helvetica"/>
        <family val="2"/>
        <scheme val="minor"/>
      </rPr>
      <t>Personnel Transfer</t>
    </r>
  </si>
  <si>
    <r>
      <rPr>
        <sz val="10"/>
        <color rgb="FF231F20"/>
        <rFont val="Helvetica"/>
        <family val="2"/>
        <scheme val="minor"/>
      </rPr>
      <t>PS-6</t>
    </r>
  </si>
  <si>
    <r>
      <rPr>
        <sz val="10"/>
        <color rgb="FF231F20"/>
        <rFont val="Helvetica"/>
        <family val="2"/>
        <scheme val="minor"/>
      </rPr>
      <t>Access Agreements</t>
    </r>
  </si>
  <si>
    <r>
      <rPr>
        <sz val="10"/>
        <color rgb="FF231F20"/>
        <rFont val="Helvetica"/>
        <family val="2"/>
        <scheme val="minor"/>
      </rPr>
      <t>PS-7</t>
    </r>
  </si>
  <si>
    <r>
      <rPr>
        <sz val="10"/>
        <color rgb="FF231F20"/>
        <rFont val="Helvetica"/>
        <family val="2"/>
        <scheme val="minor"/>
      </rPr>
      <t>Third-Party Personnel Security</t>
    </r>
  </si>
  <si>
    <r>
      <rPr>
        <sz val="10"/>
        <color rgb="FF231F20"/>
        <rFont val="Helvetica"/>
        <family val="2"/>
        <scheme val="minor"/>
      </rPr>
      <t>PS-8</t>
    </r>
  </si>
  <si>
    <r>
      <rPr>
        <sz val="10"/>
        <color rgb="FF231F20"/>
        <rFont val="Helvetica"/>
        <family val="2"/>
        <scheme val="minor"/>
      </rPr>
      <t>Personnel Sanctions</t>
    </r>
  </si>
  <si>
    <r>
      <rPr>
        <sz val="10"/>
        <color rgb="FF231F20"/>
        <rFont val="Helvetica"/>
        <family val="2"/>
        <scheme val="minor"/>
      </rPr>
      <t>RA-1</t>
    </r>
  </si>
  <si>
    <r>
      <rPr>
        <sz val="10"/>
        <color rgb="FF231F20"/>
        <rFont val="Helvetica"/>
        <family val="2"/>
        <scheme val="minor"/>
      </rPr>
      <t>Risk Assessment Policy and Procedures</t>
    </r>
  </si>
  <si>
    <r>
      <rPr>
        <sz val="10"/>
        <color rgb="FF231F20"/>
        <rFont val="Helvetica"/>
        <family val="2"/>
        <scheme val="minor"/>
      </rPr>
      <t>RA-2</t>
    </r>
  </si>
  <si>
    <r>
      <rPr>
        <sz val="10"/>
        <color rgb="FF231F20"/>
        <rFont val="Helvetica"/>
        <family val="2"/>
        <scheme val="minor"/>
      </rPr>
      <t>Security Categorization</t>
    </r>
  </si>
  <si>
    <r>
      <rPr>
        <sz val="10"/>
        <color rgb="FF231F20"/>
        <rFont val="Helvetica"/>
        <family val="2"/>
        <scheme val="minor"/>
      </rPr>
      <t>RA-3</t>
    </r>
  </si>
  <si>
    <r>
      <rPr>
        <sz val="10"/>
        <color rgb="FF231F20"/>
        <rFont val="Helvetica"/>
        <family val="2"/>
        <scheme val="minor"/>
      </rPr>
      <t>Risk Assessment</t>
    </r>
  </si>
  <si>
    <r>
      <rPr>
        <sz val="10"/>
        <color rgb="FF231F20"/>
        <rFont val="Helvetica"/>
        <family val="2"/>
        <scheme val="minor"/>
      </rPr>
      <t>RA-4</t>
    </r>
  </si>
  <si>
    <r>
      <rPr>
        <sz val="10"/>
        <color rgb="FF231F20"/>
        <rFont val="Helvetica"/>
        <family val="2"/>
        <scheme val="minor"/>
      </rPr>
      <t>RA-5</t>
    </r>
  </si>
  <si>
    <r>
      <rPr>
        <sz val="10"/>
        <color rgb="FF231F20"/>
        <rFont val="Helvetica"/>
        <family val="2"/>
        <scheme val="minor"/>
      </rPr>
      <t>Vulnerability Scanning</t>
    </r>
  </si>
  <si>
    <r>
      <rPr>
        <sz val="10"/>
        <color rgb="FF231F20"/>
        <rFont val="Helvetica"/>
        <family val="2"/>
        <scheme val="minor"/>
      </rPr>
      <t>RA-6</t>
    </r>
  </si>
  <si>
    <t>Technical Surveillance Countermeasures Survey</t>
  </si>
  <si>
    <r>
      <rPr>
        <sz val="10"/>
        <color rgb="FF231F20"/>
        <rFont val="Helvetica"/>
        <family val="2"/>
        <scheme val="minor"/>
      </rPr>
      <t>SA-1</t>
    </r>
  </si>
  <si>
    <t>System and Services Acquisition Policy and Procedures</t>
  </si>
  <si>
    <r>
      <rPr>
        <sz val="10"/>
        <color rgb="FF231F20"/>
        <rFont val="Helvetica"/>
        <family val="2"/>
        <scheme val="minor"/>
      </rPr>
      <t>SA-2</t>
    </r>
  </si>
  <si>
    <r>
      <rPr>
        <sz val="10"/>
        <color rgb="FF231F20"/>
        <rFont val="Helvetica"/>
        <family val="2"/>
        <scheme val="minor"/>
      </rPr>
      <t>Allocation of Resources</t>
    </r>
  </si>
  <si>
    <r>
      <rPr>
        <sz val="10"/>
        <color rgb="FF231F20"/>
        <rFont val="Helvetica"/>
        <family val="2"/>
        <scheme val="minor"/>
      </rPr>
      <t>SA-3</t>
    </r>
  </si>
  <si>
    <r>
      <rPr>
        <sz val="10"/>
        <color rgb="FF231F20"/>
        <rFont val="Helvetica"/>
        <family val="2"/>
        <scheme val="minor"/>
      </rPr>
      <t>System Development Life Cycle</t>
    </r>
  </si>
  <si>
    <r>
      <rPr>
        <sz val="10"/>
        <color rgb="FF231F20"/>
        <rFont val="Helvetica"/>
        <family val="2"/>
        <scheme val="minor"/>
      </rPr>
      <t>SA-4</t>
    </r>
  </si>
  <si>
    <r>
      <rPr>
        <sz val="10"/>
        <color rgb="FF231F20"/>
        <rFont val="Helvetica"/>
        <family val="2"/>
        <scheme val="minor"/>
      </rPr>
      <t>Acquisition Process</t>
    </r>
  </si>
  <si>
    <r>
      <rPr>
        <sz val="10"/>
        <color rgb="FF231F20"/>
        <rFont val="Helvetica"/>
        <family val="2"/>
        <scheme val="minor"/>
      </rPr>
      <t>SA-5</t>
    </r>
  </si>
  <si>
    <r>
      <rPr>
        <sz val="10"/>
        <color rgb="FF231F20"/>
        <rFont val="Helvetica"/>
        <family val="2"/>
        <scheme val="minor"/>
      </rPr>
      <t>Information System Documentation</t>
    </r>
  </si>
  <si>
    <r>
      <rPr>
        <sz val="10"/>
        <color rgb="FF231F20"/>
        <rFont val="Helvetica"/>
        <family val="2"/>
        <scheme val="minor"/>
      </rPr>
      <t>SA-6</t>
    </r>
  </si>
  <si>
    <r>
      <rPr>
        <sz val="10"/>
        <color rgb="FF231F20"/>
        <rFont val="Helvetica"/>
        <family val="2"/>
        <scheme val="minor"/>
      </rPr>
      <t>SA-7</t>
    </r>
  </si>
  <si>
    <r>
      <rPr>
        <sz val="10"/>
        <color rgb="FF231F20"/>
        <rFont val="Helvetica"/>
        <family val="2"/>
        <scheme val="minor"/>
      </rPr>
      <t>SA-8</t>
    </r>
  </si>
  <si>
    <r>
      <rPr>
        <sz val="10"/>
        <color rgb="FF231F20"/>
        <rFont val="Helvetica"/>
        <family val="2"/>
        <scheme val="minor"/>
      </rPr>
      <t>Security Engineering Principles</t>
    </r>
  </si>
  <si>
    <r>
      <rPr>
        <sz val="10"/>
        <color rgb="FF231F20"/>
        <rFont val="Helvetica"/>
        <family val="2"/>
        <scheme val="minor"/>
      </rPr>
      <t>SA-9</t>
    </r>
  </si>
  <si>
    <r>
      <rPr>
        <sz val="10"/>
        <color rgb="FF231F20"/>
        <rFont val="Helvetica"/>
        <family val="2"/>
        <scheme val="minor"/>
      </rPr>
      <t>External Information System Services</t>
    </r>
  </si>
  <si>
    <r>
      <rPr>
        <sz val="10"/>
        <color rgb="FF231F20"/>
        <rFont val="Helvetica"/>
        <family val="2"/>
        <scheme val="minor"/>
      </rPr>
      <t>SA-10</t>
    </r>
  </si>
  <si>
    <r>
      <rPr>
        <sz val="10"/>
        <color rgb="FF231F20"/>
        <rFont val="Helvetica"/>
        <family val="2"/>
        <scheme val="minor"/>
      </rPr>
      <t>Developer Configuration Management</t>
    </r>
  </si>
  <si>
    <r>
      <rPr>
        <sz val="10"/>
        <color rgb="FF231F20"/>
        <rFont val="Helvetica"/>
        <family val="2"/>
        <scheme val="minor"/>
      </rPr>
      <t>SA-11</t>
    </r>
  </si>
  <si>
    <r>
      <rPr>
        <sz val="10"/>
        <color rgb="FF231F20"/>
        <rFont val="Helvetica"/>
        <family val="2"/>
        <scheme val="minor"/>
      </rPr>
      <t>Developer Security Testing and Evaluation</t>
    </r>
  </si>
  <si>
    <r>
      <rPr>
        <sz val="10"/>
        <color rgb="FF231F20"/>
        <rFont val="Helvetica"/>
        <family val="2"/>
        <scheme val="minor"/>
      </rPr>
      <t>SA-12</t>
    </r>
  </si>
  <si>
    <r>
      <rPr>
        <sz val="10"/>
        <color rgb="FF231F20"/>
        <rFont val="Helvetica"/>
        <family val="2"/>
        <scheme val="minor"/>
      </rPr>
      <t>Supply Chain Protection</t>
    </r>
  </si>
  <si>
    <r>
      <rPr>
        <sz val="10"/>
        <color rgb="FF231F20"/>
        <rFont val="Helvetica"/>
        <family val="2"/>
        <scheme val="minor"/>
      </rPr>
      <t>SA-13</t>
    </r>
  </si>
  <si>
    <r>
      <rPr>
        <sz val="10"/>
        <color rgb="FF231F20"/>
        <rFont val="Helvetica"/>
        <family val="2"/>
        <scheme val="minor"/>
      </rPr>
      <t>Trustworthiness</t>
    </r>
  </si>
  <si>
    <r>
      <rPr>
        <sz val="10"/>
        <color rgb="FF231F20"/>
        <rFont val="Helvetica"/>
        <family val="2"/>
        <scheme val="minor"/>
      </rPr>
      <t>SA-14</t>
    </r>
  </si>
  <si>
    <r>
      <rPr>
        <sz val="10"/>
        <color rgb="FF231F20"/>
        <rFont val="Helvetica"/>
        <family val="2"/>
        <scheme val="minor"/>
      </rPr>
      <t>Criticality Analysis</t>
    </r>
  </si>
  <si>
    <r>
      <rPr>
        <sz val="10"/>
        <color rgb="FF231F20"/>
        <rFont val="Helvetica"/>
        <family val="2"/>
        <scheme val="minor"/>
      </rPr>
      <t>SA-15</t>
    </r>
  </si>
  <si>
    <t>Development Process, Standards, and Tools</t>
  </si>
  <si>
    <r>
      <rPr>
        <sz val="10"/>
        <color rgb="FF231F20"/>
        <rFont val="Helvetica"/>
        <family val="2"/>
        <scheme val="minor"/>
      </rPr>
      <t>SA-16</t>
    </r>
  </si>
  <si>
    <r>
      <rPr>
        <sz val="10"/>
        <color rgb="FF231F20"/>
        <rFont val="Helvetica"/>
        <family val="2"/>
        <scheme val="minor"/>
      </rPr>
      <t>Developer-Provided Training</t>
    </r>
  </si>
  <si>
    <r>
      <rPr>
        <sz val="10"/>
        <color rgb="FF231F20"/>
        <rFont val="Helvetica"/>
        <family val="2"/>
        <scheme val="minor"/>
      </rPr>
      <t>SA-17</t>
    </r>
  </si>
  <si>
    <r>
      <rPr>
        <sz val="10"/>
        <color rgb="FF231F20"/>
        <rFont val="Helvetica"/>
        <family val="2"/>
        <scheme val="minor"/>
      </rPr>
      <t>Developer Security Architecture and Design</t>
    </r>
  </si>
  <si>
    <r>
      <rPr>
        <sz val="10"/>
        <color rgb="FF231F20"/>
        <rFont val="Helvetica"/>
        <family val="2"/>
        <scheme val="minor"/>
      </rPr>
      <t>SA-18</t>
    </r>
  </si>
  <si>
    <r>
      <rPr>
        <sz val="10"/>
        <color rgb="FF231F20"/>
        <rFont val="Helvetica"/>
        <family val="2"/>
        <scheme val="minor"/>
      </rPr>
      <t>Tamper Resistance and Detection</t>
    </r>
  </si>
  <si>
    <r>
      <rPr>
        <sz val="10"/>
        <color rgb="FF231F20"/>
        <rFont val="Helvetica"/>
        <family val="2"/>
        <scheme val="minor"/>
      </rPr>
      <t>SA-19</t>
    </r>
  </si>
  <si>
    <r>
      <rPr>
        <sz val="10"/>
        <color rgb="FF231F20"/>
        <rFont val="Helvetica"/>
        <family val="2"/>
        <scheme val="minor"/>
      </rPr>
      <t>Component Authenticity</t>
    </r>
  </si>
  <si>
    <r>
      <rPr>
        <sz val="10"/>
        <color rgb="FF231F20"/>
        <rFont val="Helvetica"/>
        <family val="2"/>
        <scheme val="minor"/>
      </rPr>
      <t>SA-20</t>
    </r>
  </si>
  <si>
    <t>Customized Development of Critical Components</t>
  </si>
  <si>
    <r>
      <rPr>
        <sz val="10"/>
        <color rgb="FF231F20"/>
        <rFont val="Helvetica"/>
        <family val="2"/>
        <scheme val="minor"/>
      </rPr>
      <t>SA-21</t>
    </r>
  </si>
  <si>
    <r>
      <rPr>
        <sz val="10"/>
        <color rgb="FF231F20"/>
        <rFont val="Helvetica"/>
        <family val="2"/>
        <scheme val="minor"/>
      </rPr>
      <t>Developer Screening</t>
    </r>
  </si>
  <si>
    <r>
      <rPr>
        <sz val="10"/>
        <color rgb="FF231F20"/>
        <rFont val="Helvetica"/>
        <family val="2"/>
        <scheme val="minor"/>
      </rPr>
      <t>SA-22</t>
    </r>
  </si>
  <si>
    <r>
      <rPr>
        <sz val="10"/>
        <color rgb="FF231F20"/>
        <rFont val="Helvetica"/>
        <family val="2"/>
        <scheme val="minor"/>
      </rPr>
      <t>Unsupported System Components</t>
    </r>
  </si>
  <si>
    <r>
      <rPr>
        <sz val="10"/>
        <color rgb="FF231F20"/>
        <rFont val="Helvetica"/>
        <family val="2"/>
        <scheme val="minor"/>
      </rPr>
      <t>SC-1</t>
    </r>
  </si>
  <si>
    <t>System and Communications Protection Policy and Procedures</t>
  </si>
  <si>
    <r>
      <rPr>
        <sz val="10"/>
        <color rgb="FF231F20"/>
        <rFont val="Helvetica"/>
        <family val="2"/>
        <scheme val="minor"/>
      </rPr>
      <t>SC-2</t>
    </r>
  </si>
  <si>
    <r>
      <rPr>
        <sz val="10"/>
        <color rgb="FF231F20"/>
        <rFont val="Helvetica"/>
        <family val="2"/>
        <scheme val="minor"/>
      </rPr>
      <t>Application Partitioning</t>
    </r>
  </si>
  <si>
    <r>
      <rPr>
        <sz val="10"/>
        <color rgb="FF231F20"/>
        <rFont val="Helvetica"/>
        <family val="2"/>
        <scheme val="minor"/>
      </rPr>
      <t>SC-3</t>
    </r>
  </si>
  <si>
    <r>
      <rPr>
        <sz val="10"/>
        <color rgb="FF231F20"/>
        <rFont val="Helvetica"/>
        <family val="2"/>
        <scheme val="minor"/>
      </rPr>
      <t>Security Function Isolation</t>
    </r>
  </si>
  <si>
    <r>
      <rPr>
        <sz val="10"/>
        <color rgb="FF231F20"/>
        <rFont val="Helvetica"/>
        <family val="2"/>
        <scheme val="minor"/>
      </rPr>
      <t>SC-4</t>
    </r>
  </si>
  <si>
    <r>
      <rPr>
        <sz val="10"/>
        <color rgb="FF231F20"/>
        <rFont val="Helvetica"/>
        <family val="2"/>
        <scheme val="minor"/>
      </rPr>
      <t>Information in Shared Resources</t>
    </r>
  </si>
  <si>
    <r>
      <rPr>
        <sz val="10"/>
        <color rgb="FF231F20"/>
        <rFont val="Helvetica"/>
        <family val="2"/>
        <scheme val="minor"/>
      </rPr>
      <t>SC-5</t>
    </r>
  </si>
  <si>
    <r>
      <rPr>
        <sz val="10"/>
        <color rgb="FF231F20"/>
        <rFont val="Helvetica"/>
        <family val="2"/>
        <scheme val="minor"/>
      </rPr>
      <t>Denial of Service Protection</t>
    </r>
  </si>
  <si>
    <r>
      <rPr>
        <sz val="10"/>
        <color rgb="FF231F20"/>
        <rFont val="Helvetica"/>
        <family val="2"/>
        <scheme val="minor"/>
      </rPr>
      <t>SC-6</t>
    </r>
  </si>
  <si>
    <r>
      <rPr>
        <sz val="10"/>
        <color rgb="FF231F20"/>
        <rFont val="Helvetica"/>
        <family val="2"/>
        <scheme val="minor"/>
      </rPr>
      <t>Resource Availability</t>
    </r>
  </si>
  <si>
    <r>
      <rPr>
        <sz val="10"/>
        <color rgb="FF231F20"/>
        <rFont val="Helvetica"/>
        <family val="2"/>
        <scheme val="minor"/>
      </rPr>
      <t>SC-7</t>
    </r>
  </si>
  <si>
    <r>
      <rPr>
        <sz val="10"/>
        <color rgb="FF231F20"/>
        <rFont val="Helvetica"/>
        <family val="2"/>
        <scheme val="minor"/>
      </rPr>
      <t>Boundary Protection</t>
    </r>
  </si>
  <si>
    <r>
      <rPr>
        <sz val="10"/>
        <color rgb="FF231F20"/>
        <rFont val="Helvetica"/>
        <family val="2"/>
        <scheme val="minor"/>
      </rPr>
      <t>SC-8</t>
    </r>
  </si>
  <si>
    <r>
      <rPr>
        <sz val="10"/>
        <color rgb="FF231F20"/>
        <rFont val="Helvetica"/>
        <family val="2"/>
        <scheme val="minor"/>
      </rPr>
      <t>Transmission Confidentiality and Integrity</t>
    </r>
  </si>
  <si>
    <r>
      <rPr>
        <sz val="10"/>
        <color rgb="FF231F20"/>
        <rFont val="Helvetica"/>
        <family val="2"/>
        <scheme val="minor"/>
      </rPr>
      <t>SC-9</t>
    </r>
  </si>
  <si>
    <r>
      <rPr>
        <sz val="10"/>
        <color rgb="FF231F20"/>
        <rFont val="Helvetica"/>
        <family val="2"/>
        <scheme val="minor"/>
      </rPr>
      <t>SC-10</t>
    </r>
  </si>
  <si>
    <r>
      <rPr>
        <sz val="10"/>
        <color rgb="FF231F20"/>
        <rFont val="Helvetica"/>
        <family val="2"/>
        <scheme val="minor"/>
      </rPr>
      <t>Network Disconnect</t>
    </r>
  </si>
  <si>
    <r>
      <rPr>
        <sz val="10"/>
        <color rgb="FF231F20"/>
        <rFont val="Helvetica"/>
        <family val="2"/>
        <scheme val="minor"/>
      </rPr>
      <t>SC-11</t>
    </r>
  </si>
  <si>
    <r>
      <rPr>
        <sz val="10"/>
        <color rgb="FF231F20"/>
        <rFont val="Helvetica"/>
        <family val="2"/>
        <scheme val="minor"/>
      </rPr>
      <t>Trusted Path</t>
    </r>
  </si>
  <si>
    <r>
      <rPr>
        <sz val="10"/>
        <color rgb="FF231F20"/>
        <rFont val="Helvetica"/>
        <family val="2"/>
        <scheme val="minor"/>
      </rPr>
      <t>SC-12</t>
    </r>
  </si>
  <si>
    <t>Cryptographic Key Establishment and Management</t>
  </si>
  <si>
    <r>
      <rPr>
        <sz val="10"/>
        <color rgb="FF231F20"/>
        <rFont val="Helvetica"/>
        <family val="2"/>
        <scheme val="minor"/>
      </rPr>
      <t>SC-13</t>
    </r>
  </si>
  <si>
    <r>
      <rPr>
        <sz val="10"/>
        <color rgb="FF231F20"/>
        <rFont val="Helvetica"/>
        <family val="2"/>
        <scheme val="minor"/>
      </rPr>
      <t>Cryptographic Protection</t>
    </r>
  </si>
  <si>
    <r>
      <rPr>
        <sz val="10"/>
        <color rgb="FF231F20"/>
        <rFont val="Helvetica"/>
        <family val="2"/>
        <scheme val="minor"/>
      </rPr>
      <t>SC-14</t>
    </r>
  </si>
  <si>
    <r>
      <rPr>
        <sz val="10"/>
        <color rgb="FF231F20"/>
        <rFont val="Helvetica"/>
        <family val="2"/>
        <scheme val="minor"/>
      </rPr>
      <t>SC-15</t>
    </r>
  </si>
  <si>
    <r>
      <rPr>
        <sz val="10"/>
        <color rgb="FF231F20"/>
        <rFont val="Helvetica"/>
        <family val="2"/>
        <scheme val="minor"/>
      </rPr>
      <t>Collaborative Computing Devices</t>
    </r>
  </si>
  <si>
    <r>
      <rPr>
        <sz val="10"/>
        <color rgb="FF231F20"/>
        <rFont val="Helvetica"/>
        <family val="2"/>
        <scheme val="minor"/>
      </rPr>
      <t>SC-16</t>
    </r>
  </si>
  <si>
    <r>
      <rPr>
        <sz val="10"/>
        <color rgb="FF231F20"/>
        <rFont val="Helvetica"/>
        <family val="2"/>
        <scheme val="minor"/>
      </rPr>
      <t>Transmission of Security Attributes</t>
    </r>
  </si>
  <si>
    <r>
      <rPr>
        <sz val="10"/>
        <color rgb="FF231F20"/>
        <rFont val="Helvetica"/>
        <family val="2"/>
        <scheme val="minor"/>
      </rPr>
      <t>SC-17</t>
    </r>
  </si>
  <si>
    <r>
      <rPr>
        <sz val="10"/>
        <color rgb="FF231F20"/>
        <rFont val="Helvetica"/>
        <family val="2"/>
        <scheme val="minor"/>
      </rPr>
      <t>Public Key Infrastructure Certificates</t>
    </r>
  </si>
  <si>
    <r>
      <rPr>
        <sz val="10"/>
        <color rgb="FF231F20"/>
        <rFont val="Helvetica"/>
        <family val="2"/>
        <scheme val="minor"/>
      </rPr>
      <t>SC-18</t>
    </r>
  </si>
  <si>
    <r>
      <rPr>
        <sz val="10"/>
        <color rgb="FF231F20"/>
        <rFont val="Helvetica"/>
        <family val="2"/>
        <scheme val="minor"/>
      </rPr>
      <t>Mobile Code</t>
    </r>
  </si>
  <si>
    <r>
      <rPr>
        <sz val="10"/>
        <color rgb="FF231F20"/>
        <rFont val="Helvetica"/>
        <family val="2"/>
        <scheme val="minor"/>
      </rPr>
      <t>SC-19</t>
    </r>
  </si>
  <si>
    <r>
      <rPr>
        <sz val="10"/>
        <color rgb="FF231F20"/>
        <rFont val="Helvetica"/>
        <family val="2"/>
        <scheme val="minor"/>
      </rPr>
      <t>Voice Over Internet Protocol</t>
    </r>
  </si>
  <si>
    <r>
      <rPr>
        <sz val="10"/>
        <color rgb="FF231F20"/>
        <rFont val="Helvetica"/>
        <family val="2"/>
        <scheme val="minor"/>
      </rPr>
      <t>SC-20</t>
    </r>
  </si>
  <si>
    <t>Secure Name /Address Resolution Service (Authoritative Source)</t>
  </si>
  <si>
    <r>
      <rPr>
        <sz val="10"/>
        <color rgb="FF231F20"/>
        <rFont val="Helvetica"/>
        <family val="2"/>
        <scheme val="minor"/>
      </rPr>
      <t>SC-21</t>
    </r>
  </si>
  <si>
    <t>Secure Name /Address Resolution Service (Recursive or Caching Resolver)</t>
  </si>
  <si>
    <r>
      <rPr>
        <sz val="10"/>
        <color rgb="FF231F20"/>
        <rFont val="Helvetica"/>
        <family val="2"/>
        <scheme val="minor"/>
      </rPr>
      <t>SC-22</t>
    </r>
  </si>
  <si>
    <t>Architecture and Provisioning for Name/Address Resolution Service</t>
  </si>
  <si>
    <r>
      <rPr>
        <sz val="10"/>
        <color rgb="FF231F20"/>
        <rFont val="Helvetica"/>
        <family val="2"/>
        <scheme val="minor"/>
      </rPr>
      <t>SC-23</t>
    </r>
  </si>
  <si>
    <r>
      <rPr>
        <sz val="10"/>
        <color rgb="FF231F20"/>
        <rFont val="Helvetica"/>
        <family val="2"/>
        <scheme val="minor"/>
      </rPr>
      <t>Session Authenticity</t>
    </r>
  </si>
  <si>
    <r>
      <rPr>
        <sz val="10"/>
        <color rgb="FF231F20"/>
        <rFont val="Helvetica"/>
        <family val="2"/>
        <scheme val="minor"/>
      </rPr>
      <t>SC-24</t>
    </r>
  </si>
  <si>
    <r>
      <rPr>
        <sz val="10"/>
        <color rgb="FF231F20"/>
        <rFont val="Helvetica"/>
        <family val="2"/>
        <scheme val="minor"/>
      </rPr>
      <t>Fail in Known State</t>
    </r>
  </si>
  <si>
    <r>
      <rPr>
        <sz val="10"/>
        <color rgb="FF231F20"/>
        <rFont val="Helvetica"/>
        <family val="2"/>
        <scheme val="minor"/>
      </rPr>
      <t>SC-25</t>
    </r>
  </si>
  <si>
    <r>
      <rPr>
        <sz val="10"/>
        <color rgb="FF231F20"/>
        <rFont val="Helvetica"/>
        <family val="2"/>
        <scheme val="minor"/>
      </rPr>
      <t>Thin Nodes</t>
    </r>
  </si>
  <si>
    <r>
      <rPr>
        <sz val="10"/>
        <color rgb="FF231F20"/>
        <rFont val="Helvetica"/>
        <family val="2"/>
        <scheme val="minor"/>
      </rPr>
      <t>SC-26</t>
    </r>
  </si>
  <si>
    <r>
      <rPr>
        <sz val="10"/>
        <color rgb="FF231F20"/>
        <rFont val="Helvetica"/>
        <family val="2"/>
        <scheme val="minor"/>
      </rPr>
      <t>Honeypots</t>
    </r>
  </si>
  <si>
    <r>
      <rPr>
        <sz val="10"/>
        <color rgb="FF231F20"/>
        <rFont val="Helvetica"/>
        <family val="2"/>
        <scheme val="minor"/>
      </rPr>
      <t>SC-27</t>
    </r>
  </si>
  <si>
    <r>
      <rPr>
        <sz val="10"/>
        <color rgb="FF231F20"/>
        <rFont val="Helvetica"/>
        <family val="2"/>
        <scheme val="minor"/>
      </rPr>
      <t>Platform-Independent Applications</t>
    </r>
  </si>
  <si>
    <r>
      <rPr>
        <sz val="10"/>
        <color rgb="FF231F20"/>
        <rFont val="Helvetica"/>
        <family val="2"/>
        <scheme val="minor"/>
      </rPr>
      <t>SC-28</t>
    </r>
  </si>
  <si>
    <r>
      <rPr>
        <sz val="10"/>
        <color rgb="FF231F20"/>
        <rFont val="Helvetica"/>
        <family val="2"/>
        <scheme val="minor"/>
      </rPr>
      <t>Protection of Information at Rest</t>
    </r>
  </si>
  <si>
    <r>
      <rPr>
        <sz val="10"/>
        <color rgb="FF231F20"/>
        <rFont val="Helvetica"/>
        <family val="2"/>
        <scheme val="minor"/>
      </rPr>
      <t>SC-29</t>
    </r>
  </si>
  <si>
    <r>
      <rPr>
        <sz val="10"/>
        <color rgb="FF231F20"/>
        <rFont val="Helvetica"/>
        <family val="2"/>
        <scheme val="minor"/>
      </rPr>
      <t>Heterogeneity</t>
    </r>
  </si>
  <si>
    <r>
      <rPr>
        <sz val="10"/>
        <color rgb="FF231F20"/>
        <rFont val="Helvetica"/>
        <family val="2"/>
        <scheme val="minor"/>
      </rPr>
      <t>SC-30</t>
    </r>
  </si>
  <si>
    <r>
      <rPr>
        <sz val="10"/>
        <color rgb="FF231F20"/>
        <rFont val="Helvetica"/>
        <family val="2"/>
        <scheme val="minor"/>
      </rPr>
      <t>Concealment and Misdirection</t>
    </r>
  </si>
  <si>
    <r>
      <rPr>
        <sz val="10"/>
        <color rgb="FF231F20"/>
        <rFont val="Helvetica"/>
        <family val="2"/>
        <scheme val="minor"/>
      </rPr>
      <t>SC-31</t>
    </r>
  </si>
  <si>
    <r>
      <rPr>
        <sz val="10"/>
        <color rgb="FF231F20"/>
        <rFont val="Helvetica"/>
        <family val="2"/>
        <scheme val="minor"/>
      </rPr>
      <t>Covert Channel Analysis</t>
    </r>
  </si>
  <si>
    <r>
      <rPr>
        <sz val="10"/>
        <color rgb="FF231F20"/>
        <rFont val="Helvetica"/>
        <family val="2"/>
        <scheme val="minor"/>
      </rPr>
      <t>SC-32</t>
    </r>
  </si>
  <si>
    <r>
      <rPr>
        <sz val="10"/>
        <color rgb="FF231F20"/>
        <rFont val="Helvetica"/>
        <family val="2"/>
        <scheme val="minor"/>
      </rPr>
      <t>Information System Partitioning</t>
    </r>
  </si>
  <si>
    <r>
      <rPr>
        <sz val="10"/>
        <color rgb="FF231F20"/>
        <rFont val="Helvetica"/>
        <family val="2"/>
        <scheme val="minor"/>
      </rPr>
      <t>SC-33</t>
    </r>
  </si>
  <si>
    <r>
      <rPr>
        <sz val="10"/>
        <color rgb="FF231F20"/>
        <rFont val="Helvetica"/>
        <family val="2"/>
        <scheme val="minor"/>
      </rPr>
      <t>SC-34</t>
    </r>
  </si>
  <si>
    <r>
      <rPr>
        <sz val="10"/>
        <color rgb="FF231F20"/>
        <rFont val="Helvetica"/>
        <family val="2"/>
        <scheme val="minor"/>
      </rPr>
      <t>Non-Modifiable Executable Programs</t>
    </r>
  </si>
  <si>
    <r>
      <rPr>
        <sz val="10"/>
        <color rgb="FF231F20"/>
        <rFont val="Helvetica"/>
        <family val="2"/>
        <scheme val="minor"/>
      </rPr>
      <t>SC-35</t>
    </r>
  </si>
  <si>
    <r>
      <rPr>
        <sz val="10"/>
        <color rgb="FF231F20"/>
        <rFont val="Helvetica"/>
        <family val="2"/>
        <scheme val="minor"/>
      </rPr>
      <t>Honeyclients</t>
    </r>
  </si>
  <si>
    <r>
      <rPr>
        <sz val="10"/>
        <color rgb="FF231F20"/>
        <rFont val="Helvetica"/>
        <family val="2"/>
        <scheme val="minor"/>
      </rPr>
      <t>SC-36</t>
    </r>
  </si>
  <si>
    <r>
      <rPr>
        <sz val="10"/>
        <color rgb="FF231F20"/>
        <rFont val="Helvetica"/>
        <family val="2"/>
        <scheme val="minor"/>
      </rPr>
      <t>Distributed Processing and Storage</t>
    </r>
  </si>
  <si>
    <r>
      <rPr>
        <sz val="10"/>
        <color rgb="FF231F20"/>
        <rFont val="Helvetica"/>
        <family val="2"/>
        <scheme val="minor"/>
      </rPr>
      <t>SC-37</t>
    </r>
  </si>
  <si>
    <r>
      <rPr>
        <sz val="10"/>
        <color rgb="FF231F20"/>
        <rFont val="Helvetica"/>
        <family val="2"/>
        <scheme val="minor"/>
      </rPr>
      <t>Out-of-Band Channels</t>
    </r>
  </si>
  <si>
    <r>
      <rPr>
        <sz val="10"/>
        <color rgb="FF231F20"/>
        <rFont val="Helvetica"/>
        <family val="2"/>
        <scheme val="minor"/>
      </rPr>
      <t>SC-38</t>
    </r>
  </si>
  <si>
    <r>
      <rPr>
        <sz val="10"/>
        <color rgb="FF231F20"/>
        <rFont val="Helvetica"/>
        <family val="2"/>
        <scheme val="minor"/>
      </rPr>
      <t>Operations Security</t>
    </r>
  </si>
  <si>
    <r>
      <rPr>
        <sz val="10"/>
        <color rgb="FF231F20"/>
        <rFont val="Helvetica"/>
        <family val="2"/>
        <scheme val="minor"/>
      </rPr>
      <t>SC-39</t>
    </r>
  </si>
  <si>
    <r>
      <rPr>
        <sz val="10"/>
        <color rgb="FF231F20"/>
        <rFont val="Helvetica"/>
        <family val="2"/>
        <scheme val="minor"/>
      </rPr>
      <t>Process Isolation</t>
    </r>
  </si>
  <si>
    <r>
      <rPr>
        <sz val="10"/>
        <color rgb="FF231F20"/>
        <rFont val="Helvetica"/>
        <family val="2"/>
        <scheme val="minor"/>
      </rPr>
      <t>SC-40</t>
    </r>
  </si>
  <si>
    <r>
      <rPr>
        <sz val="10"/>
        <color rgb="FF231F20"/>
        <rFont val="Helvetica"/>
        <family val="2"/>
        <scheme val="minor"/>
      </rPr>
      <t>Wireless Link Protection</t>
    </r>
  </si>
  <si>
    <r>
      <rPr>
        <sz val="10"/>
        <color rgb="FF231F20"/>
        <rFont val="Helvetica"/>
        <family val="2"/>
        <scheme val="minor"/>
      </rPr>
      <t>SC-41</t>
    </r>
  </si>
  <si>
    <r>
      <rPr>
        <sz val="10"/>
        <color rgb="FF231F20"/>
        <rFont val="Helvetica"/>
        <family val="2"/>
        <scheme val="minor"/>
      </rPr>
      <t>Port and I/O Device Access</t>
    </r>
  </si>
  <si>
    <r>
      <rPr>
        <sz val="10"/>
        <color rgb="FF231F20"/>
        <rFont val="Helvetica"/>
        <family val="2"/>
        <scheme val="minor"/>
      </rPr>
      <t>SC-42</t>
    </r>
  </si>
  <si>
    <r>
      <rPr>
        <sz val="10"/>
        <color rgb="FF231F20"/>
        <rFont val="Helvetica"/>
        <family val="2"/>
        <scheme val="minor"/>
      </rPr>
      <t>Sensor Capability and Data</t>
    </r>
  </si>
  <si>
    <r>
      <rPr>
        <sz val="10"/>
        <color rgb="FF231F20"/>
        <rFont val="Helvetica"/>
        <family val="2"/>
        <scheme val="minor"/>
      </rPr>
      <t>SC-43</t>
    </r>
  </si>
  <si>
    <r>
      <rPr>
        <sz val="10"/>
        <color rgb="FF231F20"/>
        <rFont val="Helvetica"/>
        <family val="2"/>
        <scheme val="minor"/>
      </rPr>
      <t>Usage Restrictions</t>
    </r>
  </si>
  <si>
    <r>
      <rPr>
        <sz val="10"/>
        <color rgb="FF231F20"/>
        <rFont val="Helvetica"/>
        <family val="2"/>
        <scheme val="minor"/>
      </rPr>
      <t>SC-44</t>
    </r>
  </si>
  <si>
    <r>
      <rPr>
        <sz val="10"/>
        <color rgb="FF231F20"/>
        <rFont val="Helvetica"/>
        <family val="2"/>
        <scheme val="minor"/>
      </rPr>
      <t>Detonation Chambers</t>
    </r>
  </si>
  <si>
    <r>
      <rPr>
        <sz val="10"/>
        <color rgb="FF231F20"/>
        <rFont val="Helvetica"/>
        <family val="2"/>
        <scheme val="minor"/>
      </rPr>
      <t>SI-1</t>
    </r>
  </si>
  <si>
    <t>System and Information Integrity Policy and Procedures</t>
  </si>
  <si>
    <r>
      <rPr>
        <sz val="10"/>
        <color rgb="FF231F20"/>
        <rFont val="Helvetica"/>
        <family val="2"/>
        <scheme val="minor"/>
      </rPr>
      <t>SI-2</t>
    </r>
  </si>
  <si>
    <r>
      <rPr>
        <sz val="10"/>
        <color rgb="FF231F20"/>
        <rFont val="Helvetica"/>
        <family val="2"/>
        <scheme val="minor"/>
      </rPr>
      <t>Flaw Remediation</t>
    </r>
  </si>
  <si>
    <r>
      <rPr>
        <sz val="10"/>
        <color rgb="FF231F20"/>
        <rFont val="Helvetica"/>
        <family val="2"/>
        <scheme val="minor"/>
      </rPr>
      <t>SI-3</t>
    </r>
  </si>
  <si>
    <r>
      <rPr>
        <sz val="10"/>
        <color rgb="FF231F20"/>
        <rFont val="Helvetica"/>
        <family val="2"/>
        <scheme val="minor"/>
      </rPr>
      <t>Malicious Code Protection</t>
    </r>
  </si>
  <si>
    <r>
      <rPr>
        <sz val="10"/>
        <color rgb="FF231F20"/>
        <rFont val="Helvetica"/>
        <family val="2"/>
        <scheme val="minor"/>
      </rPr>
      <t>SI-4</t>
    </r>
  </si>
  <si>
    <r>
      <rPr>
        <sz val="10"/>
        <color rgb="FF231F20"/>
        <rFont val="Helvetica"/>
        <family val="2"/>
        <scheme val="minor"/>
      </rPr>
      <t>Information System Monitoring</t>
    </r>
  </si>
  <si>
    <r>
      <rPr>
        <sz val="10"/>
        <color rgb="FF231F20"/>
        <rFont val="Helvetica"/>
        <family val="2"/>
        <scheme val="minor"/>
      </rPr>
      <t>SI-5</t>
    </r>
  </si>
  <si>
    <r>
      <rPr>
        <sz val="10"/>
        <color rgb="FF231F20"/>
        <rFont val="Helvetica"/>
        <family val="2"/>
        <scheme val="minor"/>
      </rPr>
      <t>Security Alerts, Advisories, and Directives</t>
    </r>
  </si>
  <si>
    <r>
      <rPr>
        <sz val="10"/>
        <color rgb="FF231F20"/>
        <rFont val="Helvetica"/>
        <family val="2"/>
        <scheme val="minor"/>
      </rPr>
      <t>SI-6</t>
    </r>
  </si>
  <si>
    <r>
      <rPr>
        <sz val="10"/>
        <color rgb="FF231F20"/>
        <rFont val="Helvetica"/>
        <family val="2"/>
        <scheme val="minor"/>
      </rPr>
      <t>Security Function Verification</t>
    </r>
  </si>
  <si>
    <r>
      <rPr>
        <sz val="10"/>
        <color rgb="FF231F20"/>
        <rFont val="Helvetica"/>
        <family val="2"/>
        <scheme val="minor"/>
      </rPr>
      <t>SI-7</t>
    </r>
  </si>
  <si>
    <t>Software, Firmware, and Information Integrity</t>
  </si>
  <si>
    <r>
      <rPr>
        <sz val="10"/>
        <color rgb="FF231F20"/>
        <rFont val="Helvetica"/>
        <family val="2"/>
        <scheme val="minor"/>
      </rPr>
      <t>SI-8</t>
    </r>
  </si>
  <si>
    <r>
      <rPr>
        <sz val="10"/>
        <color rgb="FF231F20"/>
        <rFont val="Helvetica"/>
        <family val="2"/>
        <scheme val="minor"/>
      </rPr>
      <t>Spam Protection</t>
    </r>
  </si>
  <si>
    <r>
      <rPr>
        <sz val="10"/>
        <color rgb="FF231F20"/>
        <rFont val="Helvetica"/>
        <family val="2"/>
        <scheme val="minor"/>
      </rPr>
      <t>SI-9</t>
    </r>
  </si>
  <si>
    <r>
      <rPr>
        <sz val="10"/>
        <color rgb="FF231F20"/>
        <rFont val="Helvetica"/>
        <family val="2"/>
        <scheme val="minor"/>
      </rPr>
      <t>SI-10</t>
    </r>
  </si>
  <si>
    <r>
      <rPr>
        <sz val="10"/>
        <color rgb="FF231F20"/>
        <rFont val="Helvetica"/>
        <family val="2"/>
        <scheme val="minor"/>
      </rPr>
      <t>Information Input Validation</t>
    </r>
  </si>
  <si>
    <r>
      <rPr>
        <sz val="10"/>
        <color rgb="FF231F20"/>
        <rFont val="Helvetica"/>
        <family val="2"/>
        <scheme val="minor"/>
      </rPr>
      <t>SI-11</t>
    </r>
  </si>
  <si>
    <r>
      <rPr>
        <sz val="10"/>
        <color rgb="FF231F20"/>
        <rFont val="Helvetica"/>
        <family val="2"/>
        <scheme val="minor"/>
      </rPr>
      <t>Error Handling</t>
    </r>
  </si>
  <si>
    <r>
      <rPr>
        <sz val="10"/>
        <color rgb="FF231F20"/>
        <rFont val="Helvetica"/>
        <family val="2"/>
        <scheme val="minor"/>
      </rPr>
      <t>SI-12</t>
    </r>
  </si>
  <si>
    <r>
      <rPr>
        <sz val="10"/>
        <color rgb="FF231F20"/>
        <rFont val="Helvetica"/>
        <family val="2"/>
        <scheme val="minor"/>
      </rPr>
      <t>Information Handling and Retention</t>
    </r>
  </si>
  <si>
    <r>
      <rPr>
        <sz val="10"/>
        <color rgb="FF231F20"/>
        <rFont val="Helvetica"/>
        <family val="2"/>
        <scheme val="minor"/>
      </rPr>
      <t>SI-13</t>
    </r>
  </si>
  <si>
    <r>
      <rPr>
        <sz val="10"/>
        <color rgb="FF231F20"/>
        <rFont val="Helvetica"/>
        <family val="2"/>
        <scheme val="minor"/>
      </rPr>
      <t>Predictable Failure Prevention</t>
    </r>
  </si>
  <si>
    <r>
      <rPr>
        <sz val="10"/>
        <color rgb="FF231F20"/>
        <rFont val="Helvetica"/>
        <family val="2"/>
        <scheme val="minor"/>
      </rPr>
      <t>SI-14</t>
    </r>
  </si>
  <si>
    <r>
      <rPr>
        <sz val="10"/>
        <color rgb="FF231F20"/>
        <rFont val="Helvetica"/>
        <family val="2"/>
        <scheme val="minor"/>
      </rPr>
      <t>Non-Persistence</t>
    </r>
  </si>
  <si>
    <r>
      <rPr>
        <sz val="10"/>
        <color rgb="FF231F20"/>
        <rFont val="Helvetica"/>
        <family val="2"/>
        <scheme val="minor"/>
      </rPr>
      <t>SI-15</t>
    </r>
  </si>
  <si>
    <r>
      <rPr>
        <sz val="10"/>
        <color rgb="FF231F20"/>
        <rFont val="Helvetica"/>
        <family val="2"/>
        <scheme val="minor"/>
      </rPr>
      <t>Information Output Filtering</t>
    </r>
  </si>
  <si>
    <r>
      <rPr>
        <sz val="10"/>
        <color rgb="FF231F20"/>
        <rFont val="Helvetica"/>
        <family val="2"/>
        <scheme val="minor"/>
      </rPr>
      <t>SI-16</t>
    </r>
  </si>
  <si>
    <r>
      <rPr>
        <sz val="10"/>
        <color rgb="FF231F20"/>
        <rFont val="Helvetica"/>
        <family val="2"/>
        <scheme val="minor"/>
      </rPr>
      <t>Memory Protection</t>
    </r>
  </si>
  <si>
    <r>
      <rPr>
        <sz val="10"/>
        <color rgb="FF231F20"/>
        <rFont val="Helvetica"/>
        <family val="2"/>
        <scheme val="minor"/>
      </rPr>
      <t>SI-17</t>
    </r>
  </si>
  <si>
    <r>
      <rPr>
        <sz val="10"/>
        <color rgb="FF231F20"/>
        <rFont val="Helvetica"/>
        <family val="2"/>
        <scheme val="minor"/>
      </rPr>
      <t>Fail-Safe Procedures</t>
    </r>
  </si>
  <si>
    <r>
      <rPr>
        <sz val="10"/>
        <color rgb="FF231F20"/>
        <rFont val="Helvetica"/>
        <family val="2"/>
        <scheme val="minor"/>
      </rPr>
      <t>PM-1</t>
    </r>
  </si>
  <si>
    <r>
      <rPr>
        <sz val="10"/>
        <color rgb="FF231F20"/>
        <rFont val="Helvetica"/>
        <family val="2"/>
        <scheme val="minor"/>
      </rPr>
      <t>Information Security Program Plan</t>
    </r>
  </si>
  <si>
    <r>
      <rPr>
        <sz val="10"/>
        <color rgb="FF231F20"/>
        <rFont val="Helvetica"/>
        <family val="2"/>
        <scheme val="minor"/>
      </rPr>
      <t>PM-2</t>
    </r>
  </si>
  <si>
    <r>
      <rPr>
        <sz val="10"/>
        <color rgb="FF231F20"/>
        <rFont val="Helvetica"/>
        <family val="2"/>
        <scheme val="minor"/>
      </rPr>
      <t>Senior Information Security Officer</t>
    </r>
  </si>
  <si>
    <r>
      <rPr>
        <sz val="10"/>
        <color rgb="FF231F20"/>
        <rFont val="Helvetica"/>
        <family val="2"/>
        <scheme val="minor"/>
      </rPr>
      <t>PM-3</t>
    </r>
  </si>
  <si>
    <r>
      <rPr>
        <sz val="10"/>
        <color rgb="FF231F20"/>
        <rFont val="Helvetica"/>
        <family val="2"/>
        <scheme val="minor"/>
      </rPr>
      <t>Information Security Resources</t>
    </r>
  </si>
  <si>
    <r>
      <rPr>
        <sz val="10"/>
        <color rgb="FF231F20"/>
        <rFont val="Helvetica"/>
        <family val="2"/>
        <scheme val="minor"/>
      </rPr>
      <t>PM-4</t>
    </r>
  </si>
  <si>
    <r>
      <rPr>
        <sz val="10"/>
        <color rgb="FF231F20"/>
        <rFont val="Helvetica"/>
        <family val="2"/>
        <scheme val="minor"/>
      </rPr>
      <t>Plan of Action and Milestones Process</t>
    </r>
  </si>
  <si>
    <r>
      <rPr>
        <sz val="10"/>
        <color rgb="FF231F20"/>
        <rFont val="Helvetica"/>
        <family val="2"/>
        <scheme val="minor"/>
      </rPr>
      <t>PM-5</t>
    </r>
  </si>
  <si>
    <r>
      <rPr>
        <sz val="10"/>
        <color rgb="FF231F20"/>
        <rFont val="Helvetica"/>
        <family val="2"/>
        <scheme val="minor"/>
      </rPr>
      <t>Information System Inventory</t>
    </r>
  </si>
  <si>
    <r>
      <rPr>
        <sz val="10"/>
        <color rgb="FF231F20"/>
        <rFont val="Helvetica"/>
        <family val="2"/>
        <scheme val="minor"/>
      </rPr>
      <t>PM-6</t>
    </r>
    <r>
      <rPr>
        <sz val="12"/>
        <color rgb="FF000000"/>
        <rFont val="Verdana"/>
        <family val="2"/>
      </rPr>
      <t/>
    </r>
  </si>
  <si>
    <t>Information Security Measures of Performance</t>
  </si>
  <si>
    <r>
      <rPr>
        <sz val="10"/>
        <color rgb="FF231F20"/>
        <rFont val="Helvetica"/>
        <family val="2"/>
        <scheme val="minor"/>
      </rPr>
      <t>PM-7</t>
    </r>
    <r>
      <rPr>
        <sz val="12"/>
        <color rgb="FF000000"/>
        <rFont val="Verdana"/>
        <family val="2"/>
      </rPr>
      <t/>
    </r>
  </si>
  <si>
    <t>Enterprise Architecture</t>
  </si>
  <si>
    <r>
      <rPr>
        <sz val="10"/>
        <color rgb="FF231F20"/>
        <rFont val="Helvetica"/>
        <family val="2"/>
        <scheme val="minor"/>
      </rPr>
      <t>PM-8</t>
    </r>
    <r>
      <rPr>
        <sz val="12"/>
        <color rgb="FF000000"/>
        <rFont val="Verdana"/>
        <family val="2"/>
      </rPr>
      <t/>
    </r>
  </si>
  <si>
    <t>Critical Infrastructure Plan</t>
  </si>
  <si>
    <r>
      <rPr>
        <sz val="10"/>
        <color rgb="FF231F20"/>
        <rFont val="Helvetica"/>
        <family val="2"/>
        <scheme val="minor"/>
      </rPr>
      <t>PM-9</t>
    </r>
    <r>
      <rPr>
        <sz val="12"/>
        <color rgb="FF000000"/>
        <rFont val="Verdana"/>
        <family val="2"/>
      </rPr>
      <t/>
    </r>
  </si>
  <si>
    <t>Risk Management Strategy</t>
  </si>
  <si>
    <r>
      <rPr>
        <sz val="10"/>
        <color rgb="FF231F20"/>
        <rFont val="Helvetica"/>
        <family val="2"/>
        <scheme val="minor"/>
      </rPr>
      <t>PM-10</t>
    </r>
    <r>
      <rPr>
        <sz val="12"/>
        <color rgb="FF000000"/>
        <rFont val="Verdana"/>
        <family val="2"/>
      </rPr>
      <t/>
    </r>
  </si>
  <si>
    <t>Security Authorization Process</t>
  </si>
  <si>
    <r>
      <rPr>
        <sz val="10"/>
        <color rgb="FF231F20"/>
        <rFont val="Helvetica"/>
        <family val="2"/>
        <scheme val="minor"/>
      </rPr>
      <t>PM-11</t>
    </r>
    <r>
      <rPr>
        <sz val="12"/>
        <color rgb="FF000000"/>
        <rFont val="Verdana"/>
        <family val="2"/>
      </rPr>
      <t/>
    </r>
  </si>
  <si>
    <t>Mission/Business Process Definition</t>
  </si>
  <si>
    <r>
      <rPr>
        <sz val="10"/>
        <color rgb="FF231F20"/>
        <rFont val="Helvetica"/>
        <family val="2"/>
        <scheme val="minor"/>
      </rPr>
      <t>PM-12</t>
    </r>
    <r>
      <rPr>
        <sz val="12"/>
        <color rgb="FF000000"/>
        <rFont val="Verdana"/>
        <family val="2"/>
      </rPr>
      <t/>
    </r>
  </si>
  <si>
    <r>
      <rPr>
        <sz val="10"/>
        <color rgb="FF231F20"/>
        <rFont val="Helvetica"/>
        <family val="2"/>
        <scheme val="minor"/>
      </rPr>
      <t>PM-13</t>
    </r>
    <r>
      <rPr>
        <sz val="12"/>
        <color rgb="FF000000"/>
        <rFont val="Verdana"/>
        <family val="2"/>
      </rPr>
      <t/>
    </r>
  </si>
  <si>
    <t>Information Security Workforce</t>
  </si>
  <si>
    <r>
      <rPr>
        <sz val="10"/>
        <color rgb="FF231F20"/>
        <rFont val="Helvetica"/>
        <family val="2"/>
        <scheme val="minor"/>
      </rPr>
      <t>PM-14</t>
    </r>
    <r>
      <rPr>
        <sz val="12"/>
        <color rgb="FF000000"/>
        <rFont val="Verdana"/>
        <family val="2"/>
      </rPr>
      <t/>
    </r>
  </si>
  <si>
    <t>Testing, Training, &amp; Monitoring</t>
  </si>
  <si>
    <r>
      <rPr>
        <sz val="10"/>
        <color rgb="FF231F20"/>
        <rFont val="Helvetica"/>
        <family val="2"/>
        <scheme val="minor"/>
      </rPr>
      <t>PM-15</t>
    </r>
    <r>
      <rPr>
        <sz val="12"/>
        <color rgb="FF000000"/>
        <rFont val="Verdana"/>
        <family val="2"/>
      </rPr>
      <t/>
    </r>
  </si>
  <si>
    <t>Contacts with Security Groups and Associations</t>
  </si>
  <si>
    <r>
      <rPr>
        <sz val="10"/>
        <color rgb="FF231F20"/>
        <rFont val="Helvetica"/>
        <family val="2"/>
        <scheme val="minor"/>
      </rPr>
      <t>PM-16</t>
    </r>
    <r>
      <rPr>
        <sz val="12"/>
        <color rgb="FF000000"/>
        <rFont val="Verdana"/>
        <family val="2"/>
      </rPr>
      <t/>
    </r>
  </si>
  <si>
    <t>Threat Awareness Program</t>
  </si>
  <si>
    <t>NIST SP 800-34</t>
  </si>
  <si>
    <t>Contingency Planning Guide for Federal Information Systems</t>
  </si>
  <si>
    <t>NIST SP 800-46</t>
  </si>
  <si>
    <t>Guide to Enterprise Telework, Remote Access, and Bring Your Own Device (BYOD) Security</t>
  </si>
  <si>
    <t>NIST SP 800-60</t>
  </si>
  <si>
    <t>Guide for Mapping Types of Information and Information Systems to Security Categories</t>
  </si>
  <si>
    <t>NIST SP 800-88</t>
  </si>
  <si>
    <t>Guidelines for Media Sanitization</t>
  </si>
  <si>
    <t>Physical Access Authorizations; Physical Access Control; Access Control for Transmission Medium; Emergency Power; Fire Protection; Temperature and Humidity Controls; External Information System Services</t>
  </si>
  <si>
    <t>System Development Life Cycle; Development Process, Standards, and Tools; Application Partitioning; Senior Information Security Officer; Security Authorization Process; Security Alerts, Advisories, and Directives; Information Security Resources</t>
  </si>
  <si>
    <t>Account Management; Access Enforcement; Least Privilege</t>
  </si>
  <si>
    <t>Access Enforcement; Least Functionality; Guide to Enterprise Telework, Remote Access, and Bring Your Own Device (BYOD) Security</t>
  </si>
  <si>
    <t>Internal System Connections; Information in Shared Resources</t>
  </si>
  <si>
    <t>Identification and Authentication (Organizational Users); Authenticator Management</t>
  </si>
  <si>
    <t>Audit and Accountability: reviews and updates; Audit Review, Analysis, and Reporting; Audit Generation; Access Control: Auditing use of privileged functions; Configuration Change Control; Controlled Maintenance; Maintenance Personnel; Physical Access Control</t>
  </si>
  <si>
    <t>Audit Reduction and Report Generation; Protection of Audit Information; Incident Handling; Separation of Duties; Contingency Plan Testing; Information System Recovery and Reconstitution; Contingency Planning Guide for Federal Information Systems</t>
  </si>
  <si>
    <t>Separation of Duties; Contingency Plan Testing; Information System Recovery and Reconstitution; Contingency Planning Guide for Federal Information Systems</t>
  </si>
  <si>
    <t>Configuration Change Control; Security Impact Analysis; Access Restrictions for Change</t>
  </si>
  <si>
    <t>Information Flow Enforcement; Media Access; Media Storage</t>
  </si>
  <si>
    <t>Media Access; Access Control: Full device / container based encryption</t>
  </si>
  <si>
    <t>Information System Backup; Media Transport</t>
  </si>
  <si>
    <t>Information System Backup; Media Sanitization; Guide for Mapping Types of Information and Information Systems to Security Categories; Guidelines for Media Sanitization; Account Management; Least Privilege; Identifier Management; Senior Information Security Officer; Security Authorization Process; Security Alerts, Advisories, and Directives; Controlled Maintenance; Maintenance Tools</t>
  </si>
  <si>
    <t>Incident Response Training; Incident Handling; Information Spillage Response</t>
  </si>
  <si>
    <t>Incident Response Training; Incident Handling; Integrated Information Security Analysis Team</t>
  </si>
  <si>
    <t>Media Storage; Physical Access Authorizations; Access Control for Output Devices; Monitoring Physical Access; Alternate Work Site</t>
  </si>
  <si>
    <t>Media Access; Media Transport; Media Use</t>
  </si>
  <si>
    <t>Senior Information Security Officer; Security Authorization Process; Security Alerts, Advisories, and Directives; Plan of Action and Milestones; Information Security Program Plan</t>
  </si>
  <si>
    <t>CA-5, CM-3, PM-1, SA-15, SA-3, SA-8, SC-2</t>
  </si>
  <si>
    <t>Plan of Action and Milestones; Configuration Change Control; Information Security Program Plan; Development Process, Standards, and Tools; System Development Life Cycle; Security Engineering Principles; Application Partitioning</t>
  </si>
  <si>
    <t>Plan of Action and Milestones; Information Security Program Plan; Identifier Management; Authenticator Management; Cryptographic Module Authentication; Identification and Authentication (Non- Organizational Users)</t>
  </si>
  <si>
    <t>Plan of Action and Milestones; Information Security Program Plan</t>
  </si>
  <si>
    <t>Baseline Configuration; Configuration Settings; Configuration Change Control; Access Control for Mobile Devices; Controlled Maintenance</t>
  </si>
  <si>
    <t>Security management process: Implement policies and procedures to prevent, detect, contain, and correct security violations.</t>
  </si>
  <si>
    <t>Has the risk management process been completed using IAW NIST Guidelines?</t>
  </si>
  <si>
    <t>ID</t>
  </si>
  <si>
    <t>Question</t>
  </si>
  <si>
    <t>Additional Info</t>
  </si>
  <si>
    <t>High Risk</t>
  </si>
  <si>
    <t>Application/Service Security</t>
  </si>
  <si>
    <t>Authentication, Authorization, and Accounting</t>
  </si>
  <si>
    <t>Business Continuity Plan</t>
  </si>
  <si>
    <t>Change Management</t>
  </si>
  <si>
    <t>Data</t>
  </si>
  <si>
    <t>Database</t>
  </si>
  <si>
    <t>Datacenter</t>
  </si>
  <si>
    <t>Disaster Recovery Plan</t>
  </si>
  <si>
    <t>Firewalls, IDS, IPS, and Networking</t>
  </si>
  <si>
    <t>Mobile Applications</t>
  </si>
  <si>
    <t>Physical Security</t>
  </si>
  <si>
    <t>Policies, Procedures, and Processes</t>
  </si>
  <si>
    <t>Product Evaluation</t>
  </si>
  <si>
    <t>Quality Assurance</t>
  </si>
  <si>
    <t>Systems Management &amp; Configuration</t>
  </si>
  <si>
    <t>Vulnerability Scanning</t>
  </si>
  <si>
    <t>PCI DSS</t>
  </si>
  <si>
    <t>Category</t>
  </si>
  <si>
    <t>C_Answer</t>
  </si>
  <si>
    <t>Required</t>
  </si>
  <si>
    <t>V_Answer</t>
  </si>
  <si>
    <t>Category_Total</t>
  </si>
  <si>
    <t>Category_divisor</t>
  </si>
  <si>
    <t>Score</t>
  </si>
  <si>
    <t>Max_Score</t>
  </si>
  <si>
    <t>Score %</t>
  </si>
  <si>
    <t>Application Security</t>
  </si>
  <si>
    <t>Compliant</t>
  </si>
  <si>
    <t>Weight</t>
  </si>
  <si>
    <t>HECVAT Version</t>
  </si>
  <si>
    <t>Full</t>
  </si>
  <si>
    <t>Date Prepared</t>
  </si>
  <si>
    <t>Report Sections</t>
  </si>
  <si>
    <t>Overall Score:</t>
  </si>
  <si>
    <t>Qualitative Questions</t>
  </si>
  <si>
    <t>Vendor Answer</t>
  </si>
  <si>
    <t>Compliant?</t>
  </si>
  <si>
    <t>Does the system have password complexity or length limitations and/or restrictions?</t>
  </si>
  <si>
    <t>Do you have documented password/passphrase reset procedures that are currently implemented in the system and/or customer support?</t>
  </si>
  <si>
    <r>
      <t xml:space="preserve">Describe or provide a reference to the a) system capability to </t>
    </r>
    <r>
      <rPr>
        <b/>
        <sz val="11"/>
        <color rgb="FF000000"/>
        <rFont val="Verdana"/>
        <family val="2"/>
      </rPr>
      <t>log</t>
    </r>
    <r>
      <rPr>
        <sz val="11"/>
        <color rgb="FF000000"/>
        <rFont val="Verdana"/>
        <family val="2"/>
      </rPr>
      <t xml:space="preserve"> </t>
    </r>
    <r>
      <rPr>
        <u/>
        <sz val="11"/>
        <color rgb="FF000000"/>
        <rFont val="Verdana"/>
        <family val="2"/>
      </rPr>
      <t>security/authorization changes</t>
    </r>
    <r>
      <rPr>
        <sz val="11"/>
        <color rgb="FF000000"/>
        <rFont val="Verdana"/>
        <family val="2"/>
      </rPr>
      <t xml:space="preserve"> as well as </t>
    </r>
    <r>
      <rPr>
        <u/>
        <sz val="11"/>
        <color rgb="FF000000"/>
        <rFont val="Verdana"/>
        <family val="2"/>
      </rPr>
      <t>user and administrator security events</t>
    </r>
    <r>
      <rPr>
        <sz val="11"/>
        <color rgb="FF000000"/>
        <rFont val="Verdana"/>
        <family val="2"/>
      </rPr>
      <t xml:space="preserve"> (i.e. physical or electronic)(e.g. login failures, access denied, changes accepted), and b) all requirements necessary to implement logging and monitoring on the system. Include c) information about SIEM/log collector usage.</t>
    </r>
  </si>
  <si>
    <t xml:space="preserve">Has your BCP been tested in the last year? </t>
  </si>
  <si>
    <t>Is this product a core service of your organization, and as such, the top priority during business continuity planning?</t>
  </si>
  <si>
    <t>Will the Institution be notified of major changes to your environment that could impact the Institution's security posture?</t>
  </si>
  <si>
    <t>Does the system support client customizations from one release to another?</t>
  </si>
  <si>
    <t>List all operating systems and the roles that are fulfilled by each.</t>
  </si>
  <si>
    <t>Describe the products and how they will be implemented.</t>
  </si>
  <si>
    <r>
      <t xml:space="preserve">Are there any OS and/or web-browser combinations that are </t>
    </r>
    <r>
      <rPr>
        <u/>
        <sz val="11"/>
        <color rgb="FF000000"/>
        <rFont val="Verdana"/>
        <family val="2"/>
      </rPr>
      <t>not</t>
    </r>
    <r>
      <rPr>
        <sz val="11"/>
        <color rgb="FF000000"/>
        <rFont val="Verdana"/>
        <family val="2"/>
      </rPr>
      <t xml:space="preserve"> currently supported?</t>
    </r>
  </si>
  <si>
    <r>
      <t xml:space="preserve">Does your organization ensure through policy and procedure (that is currently implemented) that </t>
    </r>
    <r>
      <rPr>
        <u/>
        <sz val="11"/>
        <color rgb="FF000000"/>
        <rFont val="Verdana"/>
        <family val="2"/>
      </rPr>
      <t>only application software verifiable as authorized, tested, and approved for production</t>
    </r>
    <r>
      <rPr>
        <sz val="11"/>
        <color rgb="FF000000"/>
        <rFont val="Verdana"/>
        <family val="2"/>
      </rPr>
      <t>, and having met all other requirements and reviews necessary for commissioning, is placed into production?</t>
    </r>
  </si>
  <si>
    <t>Do you have a release schedule for product updates?</t>
  </si>
  <si>
    <t>Do you have a technology roadmap, for the next 2 years, for enhancements and bug fixes for the product/service being assessed?</t>
  </si>
  <si>
    <t>Is Institution involvement (i.e. technically or organizationally) required during product updates?</t>
  </si>
  <si>
    <t>Do you have policy and procedure, currently implemented, managing how critical patches are applied to all systems and applications?</t>
  </si>
  <si>
    <t>Do you have policy and procedure, currently implemented, guiding how security risks are mitigated until patches can be applied?</t>
  </si>
  <si>
    <t>Do you physically and logically separate Institution's data from that of other customers?</t>
  </si>
  <si>
    <t>Order</t>
  </si>
  <si>
    <t>CIS</t>
  </si>
  <si>
    <t>ISO 27002:27013</t>
  </si>
  <si>
    <t>Row Labels</t>
  </si>
  <si>
    <t>TRUE</t>
  </si>
  <si>
    <t>Non-Compliant Responses</t>
  </si>
  <si>
    <t>Third-Parties</t>
  </si>
  <si>
    <t>Mobile App Section Required</t>
  </si>
  <si>
    <t>Third  Party  Section Required</t>
  </si>
  <si>
    <t>Business Continuity  Section Required</t>
  </si>
  <si>
    <t>PCI DSS  Section Required</t>
  </si>
  <si>
    <t>HIPAA Section Required</t>
  </si>
  <si>
    <t>Disaster Recovery Section Required</t>
  </si>
  <si>
    <t>Does this data center operate outside of the Institution's Data Zone?</t>
  </si>
  <si>
    <t>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t>
  </si>
  <si>
    <t>Are your applications scanned externally for vulnerabilities?</t>
  </si>
  <si>
    <t>Are your systems scanned externally for vulnerabilities?</t>
  </si>
  <si>
    <t>Ave Percent</t>
  </si>
  <si>
    <t>Total Points</t>
  </si>
  <si>
    <t>Overall Score</t>
  </si>
  <si>
    <t>Product Name and Version Information</t>
  </si>
  <si>
    <t>http://www.vendor.domain/privacynotice</t>
  </si>
  <si>
    <t>Vendor Contact E-mail Address</t>
  </si>
  <si>
    <t>ticket#@yourdomain.edu</t>
  </si>
  <si>
    <t>Insider Threat Program</t>
  </si>
  <si>
    <t>PCI Scope, Discovery</t>
  </si>
  <si>
    <t>PCI Scope</t>
  </si>
  <si>
    <t>12.1, Scope</t>
  </si>
  <si>
    <t>12.8, 12.5</t>
  </si>
  <si>
    <t>7.x</t>
  </si>
  <si>
    <t>12.8, 4.2</t>
  </si>
  <si>
    <t>12.x</t>
  </si>
  <si>
    <t>7.x, 8.x</t>
  </si>
  <si>
    <t>Scope</t>
  </si>
  <si>
    <t>8.x</t>
  </si>
  <si>
    <t>2.1, 8.x</t>
  </si>
  <si>
    <t>10.1, 10.2, 10.3, 10.5, 10.6, 10.7</t>
  </si>
  <si>
    <t>10.1, 10.2, 10.3, 10.5, 10.6, 10.7, 9.x</t>
  </si>
  <si>
    <t>8.x, 4.2</t>
  </si>
  <si>
    <t>6.4, 6.4.5, 6.4.5.1, 6.4.5.2</t>
  </si>
  <si>
    <t>6.4, 12.8, 12.9</t>
  </si>
  <si>
    <t>12.1, 12.8</t>
  </si>
  <si>
    <t>12.1, 12.8, 6.2</t>
  </si>
  <si>
    <t>12.2, 12.8</t>
  </si>
  <si>
    <t>12.1, 12.2, 12.8</t>
  </si>
  <si>
    <t>12.10, 12.8, 6.4</t>
  </si>
  <si>
    <t>12.8, 9.x</t>
  </si>
  <si>
    <t>12.8, 4.1</t>
  </si>
  <si>
    <t>9.x</t>
  </si>
  <si>
    <t>11.4, 12.8</t>
  </si>
  <si>
    <t>1.1, 10.8, 10.6, 10.3, 10.2, 11.4</t>
  </si>
  <si>
    <t>12.1, 9.x</t>
  </si>
  <si>
    <t>12.4, 12.5</t>
  </si>
  <si>
    <t>6.4.5</t>
  </si>
  <si>
    <t>12.6, 6.5</t>
  </si>
  <si>
    <t>6.3.2</t>
  </si>
  <si>
    <t>6.3.2, 6.4.5.3</t>
  </si>
  <si>
    <t>6.3, 6.3.1</t>
  </si>
  <si>
    <t>12.10, 12.8, 12.9</t>
  </si>
  <si>
    <t>12.6, 7.x, 8.x, 9.x</t>
  </si>
  <si>
    <t>7.x, 8.x, 9.x</t>
  </si>
  <si>
    <t>12.1, 5.4 (?)</t>
  </si>
  <si>
    <t>12.1, 12.5, 12.6</t>
  </si>
  <si>
    <t>11.2, 11.3</t>
  </si>
  <si>
    <t>11.2, 12.8</t>
  </si>
  <si>
    <t>12.10, 10.10</t>
  </si>
  <si>
    <t>Does your organization ensure through policy and procedure (that is currently implemented) that only application software verifiable as authorized, tested, and approved for production, and having met all other requirements and reviews necessary for commissioning, is placed into production?</t>
  </si>
  <si>
    <t>1.x</t>
  </si>
  <si>
    <t>Install and maintain a firewall configuration to protect cardholder data</t>
  </si>
  <si>
    <t>Establish and implement firewall and router configuration standards that include the following:</t>
  </si>
  <si>
    <t>1.1.1</t>
  </si>
  <si>
    <t>A formal process for approving and testing all network connections and changes to the firewall and router configurations</t>
  </si>
  <si>
    <t>1.1.2</t>
  </si>
  <si>
    <t>Current network diagram that identifies all connections between the cardholder data environment and other networks, including any wireless networks</t>
  </si>
  <si>
    <t>1.1.3</t>
  </si>
  <si>
    <t>Current diagram that shows all cardholder data flows across systems and networks</t>
  </si>
  <si>
    <t>1.1.4</t>
  </si>
  <si>
    <t>Requirements for a firewall at each Internet connection and between any demilitarized zone (DMZ) and the internal network zone</t>
  </si>
  <si>
    <t>1.1.5</t>
  </si>
  <si>
    <t>Description of groups, roles, and responsibilities for management of network components</t>
  </si>
  <si>
    <t>1.1.6</t>
  </si>
  <si>
    <t>Documentation of business justification and approval for use of all services, protocols, and ports allowed, including documentation of security features implemented for those protocols considered to be insecure.</t>
  </si>
  <si>
    <t>1.1.7</t>
  </si>
  <si>
    <t>Requirement to review firewall and router rule sets at least every six months</t>
  </si>
  <si>
    <t>Build firewall and router configurations that restrict connections between untrusted networks and any system components in the cardholder data environment. Note: An “untrusted network” is any network that is external to the networks belonging to the entity under review, and/or which is out of the entity's ability to control or manage.</t>
  </si>
  <si>
    <t>1.2.1</t>
  </si>
  <si>
    <t>Restrict inbound and outbound traffic to that which is necessary for the cardholder data environment, and specifically deny all other traffic.</t>
  </si>
  <si>
    <t>1.2.2</t>
  </si>
  <si>
    <t>Secure and synchronize router configuration files.</t>
  </si>
  <si>
    <t>1.2.3</t>
  </si>
  <si>
    <t>Install perimeter firewalls between all wireless networks and the cardholder data environment, and configure these firewalls to deny or, if traffic is necessary for business purposes, permit only authorized traffic between the wireless environment and the cardholder data environment.</t>
  </si>
  <si>
    <t>Prohibit direct public access between the Internet and any system component in the cardholder data environment.</t>
  </si>
  <si>
    <t>1.3.1</t>
  </si>
  <si>
    <t>Implement a DMZ to limit inbound traffic to only system components that provide authorized publicly accessible services, protocols, and ports.</t>
  </si>
  <si>
    <t>1.3.2</t>
  </si>
  <si>
    <t>Limit inbound Internet traffic to IP addresses within the DMZ.</t>
  </si>
  <si>
    <t>1.3.3</t>
  </si>
  <si>
    <t>Implement anti-spoofing measures to detect and block forged source IP addresses from entering the network. (For example, block traffic originating from the Internet with an internal source address.)</t>
  </si>
  <si>
    <t>1.3.4</t>
  </si>
  <si>
    <t>Do not allow unauthorized outbound traffic from the cardholder data environment to the Internet.</t>
  </si>
  <si>
    <t>1.3.5</t>
  </si>
  <si>
    <t>Permit only “established” connections into the network.</t>
  </si>
  <si>
    <t>1.3.6</t>
  </si>
  <si>
    <t>Place system components that store cardholder data (such as a database) in an internal network zone, segregated from the DMZ and other untrusted networks.</t>
  </si>
  <si>
    <t>1.3.7</t>
  </si>
  <si>
    <t>Do not disclose private IP addresses and routing information to unauthorized parties. Note: Methods to obscure IP addressing may include, but are not limited to: • Network Address Translation (NAT) • Placing servers containing cardholder data behind proxy servers/firewalls, • Removal or filtering of route advertisements for private networks that employ registered addressing, • Internal use of RFC1918 address space instead of registered addresses.</t>
  </si>
  <si>
    <t>Install personal firewall software or equivalent functionality on any portable computing devices (including company and/or employee-owned) that connect to the Internet when outside the network (for example, laptops used by employees), and which are also used to access the CDE. Firewall (or equivalent) configurations include: • Specific configuration settings are defined. • Personal firewall (or equivalent functionality) is actively running. • Personal firewall (or equivalent functionality) is not alterable by users of the portable computing devices.</t>
  </si>
  <si>
    <t>Ensure that security policies and operational procedures for managing firewalls are documented, in use, and known to all affected parties.</t>
  </si>
  <si>
    <t>2.x</t>
  </si>
  <si>
    <t>Do not use vendor-supplied defaults for system passwords and other security parameters</t>
  </si>
  <si>
    <t>Always change vendor-supplied defaults and remove or disable unnecessary default accounts before installing a system on the network. This applies to ALL default passwords, including but not limited to those used by operating systems, software that provides security services, application and system accounts, point-of-sale (POS) terminals, payment applications, Simple Network Management Protocol (SNMP) community strings, etc.).</t>
  </si>
  <si>
    <t>2.1.1</t>
  </si>
  <si>
    <t>For wireless environments connected to the cardholder data environment or transmitting cardholder data, change ALL wireless vendor defaults at installation, including but not limited to default wireless encryption keys, passwords, and SNMP community strings.</t>
  </si>
  <si>
    <t>Develop configuration standards for all system components. Assure that these standards address all known security vulnerabilities and are consistent with industry-accepted system hardening standards. Sources of industry-accepted system hardening standards may include, but are not limited to: • Center for Internet Security (CIS) • International Organization for Standardization (ISO) • SysAdmin Audit Network Security (SANS) Institute • National Institute of Standards Technology (NIST).</t>
  </si>
  <si>
    <t>2.2.1</t>
  </si>
  <si>
    <t>Implement only one primary function per server to prevent functions that require different security levels from co-existing on the same server. (For example, web servers, database servers, and DNS should be implemented on separate servers.) Note: Where virtualization technologies are in use, implement only one primary function per virtual system component.</t>
  </si>
  <si>
    <t>2.2.2</t>
  </si>
  <si>
    <t>Enable only necessary services, protocols, daemons, etc., as required for the function of the system.</t>
  </si>
  <si>
    <t>2.2.3</t>
  </si>
  <si>
    <t>Implement additional security features for any required services, protocols, or daemons that are considered to be insecure. Note: Where SSL/early TLS is used, the requirements in Appendix A2 must be completed.</t>
  </si>
  <si>
    <t>2.2.4</t>
  </si>
  <si>
    <t>Configure system security parameters to prevent misuse.</t>
  </si>
  <si>
    <t>2.2.5</t>
  </si>
  <si>
    <t>Remove all unnecessary functionality, such as scripts, drivers, features, subsystems, file systems, and unnecessary web servers.</t>
  </si>
  <si>
    <t>Encrypt all non-console administrative access using strong cryptography. Note: Where SSL/early TLS is used, the requirements in Appendix A2 must be completed.</t>
  </si>
  <si>
    <t>Maintain an inventory of system components that are in scope for PCI DSS.</t>
  </si>
  <si>
    <t>Ensure that security policies and operational procedures for managing vendor defaults and other security parameters are documented, in use, and known to all affected parties.</t>
  </si>
  <si>
    <t>Shared hosting providers must protect each entity’s hosted environment and cardholder data. These providers must meet specific requirements as detailed in Appendix A1: Additional PCI DSS Requirements for Shared Hosting Providers.</t>
  </si>
  <si>
    <t>3.x</t>
  </si>
  <si>
    <t>Protect stored cardholder data</t>
  </si>
  <si>
    <t>Keep cardholder data storage to a minimum by implementing data retention and disposal policies, procedures and processes that include at least the following for all cardholder data (CHD) storage: • Limiting data storage amount and retention time to that which is required for legal, regulatory, and/or business requirements • Specific retention requirements for cardholder data • Processes for secure deletion of data when no longer needed • A quarterly process for identifying and securely deleting stored cardholder data that exceeds defined retention.</t>
  </si>
  <si>
    <t>Do not store sensitive authentication data after authorization (even if encrypted). If sensitive authentication data is received, render all data unrecoverable upon completion of the authorization process. It is permissible for issuers and companies that support issuing services to store sensitive authentication data if: • There is a business justification and • The data is stored securely. Sensitive authentication data includes the data as cited in the following Requirements 3.2.1 through 3.2.3:</t>
  </si>
  <si>
    <t>Do not store the full contents of any track (from the magnetic stripe located on the back of a card, equivalent data contained on a chip, or elsewhere) after authorization. This data is alternatively called full track, track, track 1, track 2, and magnetic-stripe data. Note: In the normal course of business, the following data elements from the magnetic stripe may need to be retained: • The cardholder’s name • Primary account number (PAN) • Expiration date • Service code To minimize risk, store only these data elements as needed for business.</t>
  </si>
  <si>
    <t>Do not store the card verification code or value (three-digit or four-digit number printed on the front or back of a payment card used to verify card-not-present transactions) after authorization.</t>
  </si>
  <si>
    <t>Do not store the personal identification number (PIN) or the encrypted PIN block after authorization.</t>
  </si>
  <si>
    <t>Mask PAN when displayed (the first six and last four digits are the maximum number of digits to be displayed), such that only personnel with a legitimate business need can see more than the first six/last four digits of the PAN. Note: This requirement does not supersede stricter requirements in place for displays of cardholder data—for example, legal or payment card brand requirements for point-of-sale (POS) receipts.</t>
  </si>
  <si>
    <t>Render PAN unreadable anywhere it is stored (including on portable digital media, backup media, and in logs) by using any of the following approaches: • One-way hashes based on strong cryptography, (hash must be of the entire PAN) • Truncation (hashing cannot be used to replace the truncated segment of PAN) • Index tokens and pads (pads must be securely stored) • Strong cryptography with associated key-management processes and procedures. Note: It is a relatively trivial effort for a malicious individual to reconstruct original PAN data if they have access to both the truncated and hashed version of a PAN. Where hashed and truncated versions of the same PAN are present in an entity’s environment, additional controls must be in place to ensure that the hashed and truncated versions cannot be correlated to reconstruct the original PAN.</t>
  </si>
  <si>
    <t>If disk encryption is used (rather than file- or column-level database encryption), logical access must be managed separately and independently of native operating system authentication and access control mechanisms (for example, by not using local user account databases or general network login credentials). Decryption keys must not be associated with user accounts. Note: This requirement applies in addition to all other PCI DSS encryption and key-management requirements.</t>
  </si>
  <si>
    <t>Document and implement procedures to protect keys used to secure stored cardholder data against disclosure and misuse: Note: This requirement applies to keys used to encrypt stored cardholder data, and also applies to key-encrypting keys used to protect data-encrypting keys—such key-encrypting keys must be at least as strong as the data-encrypting key.</t>
  </si>
  <si>
    <t>Additional requirement for service providers only: Maintain a documented description of the cryptographic architecture that includes: • Details of all algorithms, protocols, and keys used for the protection of cardholder data, including key strength and expiry date • Description of the key usage for each key. • Inventory of any HSMs and other SCDs used for key management Note: This requirement is a best practice until January 31, 2018, after which it becomes a requirement.</t>
  </si>
  <si>
    <t>Restrict access to cryptographic keys to the fewest number of custodians necessary.</t>
  </si>
  <si>
    <t>Store secret and private keys used to encrypt/decrypt cardholder data in one (or more) of the following forms at all times: • Encrypted with a key-encrypting key that is at least as strong as the data-encrypting key, and that is stored separately from the data-encrypting key • Within a secure cryptographic device (such as a hardware (host) security module (HSM) or PTS-approved point-of-interaction device) • As at least two full-length key components or key shares, in accordance with an industry-accepted method Note: It is not required that public keys be stored in one of these forms.</t>
  </si>
  <si>
    <t>Store cryptographic keys in the fewest possible locations.</t>
  </si>
  <si>
    <t>Fully document and implement all key-management processes and procedures for cryptographic keys used for encryption of cardholder data, including the following: Note: Numerous industry standards for key management are available from various resources including NIST, which can be found at http://csrc.nist.gov.</t>
  </si>
  <si>
    <t>Generation of strong cryptographic keys</t>
  </si>
  <si>
    <t>Secure cryptographic key distribution</t>
  </si>
  <si>
    <t>Secure cryptographic key storage</t>
  </si>
  <si>
    <t>3.6.4</t>
  </si>
  <si>
    <t>Cryptographic key changes for keys that have reached the end of their cryptoperiod (for example, after a defined period of time has passed and/or after a certain amount of cipher-text has been produced by a given key), as defined by the associated application vendor or key owner, and based on industry best practices and guidelines (for example, NIST Special Publication 800-57).</t>
  </si>
  <si>
    <t>3.6.5</t>
  </si>
  <si>
    <t>Retirement or replacement (for example, archiving, destruction, and/or revocation) of keys as deemed necessary when the integrity of the key has been weakened (for example, departure of an employee with knowledge of a clear-text key component), or keys are suspected of being compromised. Note: If retired or replaced cryptographic keys need to be retained, these keys must be securely archived (for example, by using a key-encryption key). Archived cryptographic keys should only be used for decryption/verification purposes.</t>
  </si>
  <si>
    <t>3.6.6</t>
  </si>
  <si>
    <t>If manual clear-text cryptographic key-management operations are used, these operations must be managed using split knowledge and dual control. Note: Examples of manual key-management operations include, but are not limited to: key generation, transmission, loading, storage and destruction.</t>
  </si>
  <si>
    <t>3.6.7</t>
  </si>
  <si>
    <t>Prevention of unauthorized substitution of cryptographic keys.</t>
  </si>
  <si>
    <t>3.6.8</t>
  </si>
  <si>
    <t>Requirement for cryptographic key custodians to formally acknowledge that they understand and accept their key-custodian responsibilities.</t>
  </si>
  <si>
    <t>Ensure that security policies and operational procedures for protecting stored cardholder data are documented, in use, and known to all affected parties.</t>
  </si>
  <si>
    <t>4.x</t>
  </si>
  <si>
    <t>Encrypt transmission of cardholder data across open, public networks</t>
  </si>
  <si>
    <t>Use strong cryptography and security protocols to safeguard sensitive cardholder data during transmission over open, public networks, including the following: • Only trusted keys and certificates are accepted. • The protocol in use only supports secure versions or configurations. • The encryption strength is appropriate for the encryption methodology in use. Note: Where SSL/early TLS is used, the requirements in Appendix A2 must be completed. Examples of open, public networks include but are not limited to: • The Internet • Wireless technologies, including 802.11 and Bluetooth • Cellular technologies, for example, Global System for Mobile communications (GSM), Code division multiple access (CDMA) • General Packet Radio Service (GPRS). • Satellite communications.</t>
  </si>
  <si>
    <t>4.1.1</t>
  </si>
  <si>
    <t>Ensure wireless networks transmitting cardholder data or connected to the cardholder data environment, use industry best practices to implement strong encryption for authentication and transmission.</t>
  </si>
  <si>
    <t>Never send unprotected PANs by end-user messaging technologies (for example, e-mail, instant messaging, SMS, chat, etc.).</t>
  </si>
  <si>
    <t>Ensure that security policies and operational procedures for encrypting transmissions of cardholder data are documented, in use, and known to all affected parties.</t>
  </si>
  <si>
    <t>5.x</t>
  </si>
  <si>
    <t>Use and regularly update anti-virus software or programs</t>
  </si>
  <si>
    <t>Deploy anti-virus software on all systems commonly affected by malicious software (particularly personal computers and servers).</t>
  </si>
  <si>
    <t>Ensure that anti-virus programs are capable of detecting, removing, and protecting against all known types of malicious software.</t>
  </si>
  <si>
    <t>For systems considered to be not commonly affected by malicious software, perform periodic evaluations to identify and evaluate evolving malware threats in order to confirm whether such systems continue to not require anti-virus software.</t>
  </si>
  <si>
    <t>Ensure that all anti-virus mechanisms are maintained as follows: • Are kept current, • Perform periodic scans • Generate audit logs which are retained per PCI DSS Requirement 10.7.</t>
  </si>
  <si>
    <t>Ensure that anti-virus mechanisms are actively running and cannot be disabled or altered by users, unless specifically authorized by management on a case-by-case basis for a limited time period. Note: Anti-virus solutions may be temporarily disabled only if there is legitimate technical need, as authorized by management on a case-by-case basis. If anti-virus protection needs to be disabled for a specific purpose, it must be formally authorized. Additional security measures may also need to be implemented for the period of time during which anti-virus protection is not active.</t>
  </si>
  <si>
    <t>Ensure that security policies and operational procedures for protecting systems against malware are documented, in use, and known to all affected parties.</t>
  </si>
  <si>
    <t>6.x</t>
  </si>
  <si>
    <t>Develop and maintain secure systems and applications</t>
  </si>
  <si>
    <t>Establish a process to identify security vulnerabilities, using reputable outside sources for security vulnerability information, and assign a risk ranking (for example, as “high,” “medium,” or “low”) to newly discovered security vulnerabilities. Note: Risk rankings should be based on industry best practices as well as consideration of potential impact. For example, criteria for ranking vulnerabilities may include consideration of the CVSS base score, and/or the classification by the vendor, and/or type of systems affected. Methods for evaluating vulnerabilities and assigning risk ratings will vary based on an organization’s environment and risk-assessment strategy. Risk rankings should, at a minimum, identify all vulnerabilities considered to be a “high risk” to the environment. In addition to the risk ranking, vulnerabilities may be considered “critical” if they pose an imminent threat to the environment, impact critical systems, and/or would result in a potential compromise if not addressed. Examples of critical systems may include security systems, public-facing devices and systems, databases, and other systems that store, process, or transmit cardholder data.</t>
  </si>
  <si>
    <t>Ensure that all system components and software are protected from known vulnerabilities by installing applicable vendor-supplied security patches. Install critical security patches within one month of release. Note: Critical security patches should be identified according to the risk ranking process defined in Requirement 6.1.</t>
  </si>
  <si>
    <t>Develop internal and external software applications (including web-based administrative access to applications) securely, as follows: • In accordance with PCI DSS (for example, secure authentication and logging) • Based on industry standards and/or best practices. • Incorporating information security throughout the software-development life cycle Note: This applies to all software developed internally as well as bespoke or custom software developed by a third party.</t>
  </si>
  <si>
    <t>6.3.1</t>
  </si>
  <si>
    <t>Remove development, test and/or custom application accounts, user IDs, and passwords before applications become active or are released to customers.</t>
  </si>
  <si>
    <t>Review custom code prior to release to production or customers in order to identify any potential coding vulnerability (using either manual or automated processes) to include at least the following: • Code changes are reviewed by individuals other than the originating code author, and by individuals knowledgeable about code-review techniques and secure coding practices. • Code reviews ensure code is developed according to secure coding guidelines • Appropriate corrections are implemented prior to release. • Code-review results are reviewed and approved by management prior to release. Note: This requirement for code reviews applies to all custom code (both internal and public-facing), as part of the system development life cycle. Code reviews can be conducted by knowledgeable internal personnel or third parties. Public-facing web applications are also subject to additional controls, to address ongoing threats and vulnerabilities after implementation, as defined at PCI DSS Requirement 6.6.</t>
  </si>
  <si>
    <t>Follow change control processes and procedures for all changes to system components. The processes must include the following:</t>
  </si>
  <si>
    <t>6.4.1</t>
  </si>
  <si>
    <t>Separate development/test environments from production environments, and enforce the separation with access controls.</t>
  </si>
  <si>
    <t>6.4.2</t>
  </si>
  <si>
    <t>Separation of duties between development/test and production environments</t>
  </si>
  <si>
    <t>6.4.3</t>
  </si>
  <si>
    <t>Production data (live PANs) are not used for testing or development</t>
  </si>
  <si>
    <t>6.4.4</t>
  </si>
  <si>
    <t>Removal of test data and accounts from system components before the system becomes active/goes into production.</t>
  </si>
  <si>
    <t>Change control procedures must include the following:</t>
  </si>
  <si>
    <t>6.4.5.1</t>
  </si>
  <si>
    <t>Documentation of impact.</t>
  </si>
  <si>
    <t>6.4.5.2</t>
  </si>
  <si>
    <t>Documented change approval by authorized parties.</t>
  </si>
  <si>
    <t>6.4.5.3</t>
  </si>
  <si>
    <t>Functionality testing to verify that the change does not adversely impact the security of the system.</t>
  </si>
  <si>
    <t>6.4.5.4</t>
  </si>
  <si>
    <t>Back-out procedures.</t>
  </si>
  <si>
    <t>6.4.6</t>
  </si>
  <si>
    <t>Upon completion of a significant change, all relevant PCI DSS requirements must be implemented on all new or changed systems and networks, and documentation updated as applicable. Note: This requirement is a best practice until January 31, 2018, after which it becomes a requirement.</t>
  </si>
  <si>
    <t>Address common coding vulnerabilities in software-development processes as follows: • Train developers at least annually in up-to-date secure coding techniques, including how to avoid common coding vulnerabilities. • Develop applications based on secure coding guidelines. Note: The vulnerabilities listed at 6.5.1 through 6.5.10 were current with industry best practices when this version of PCI DSS was published. However, as industry best practices for vulnerability management are updated (for example, the OWASP Guide, SANS CWE Top 25, CERT Secure Coding, etc.), the current best practices must be used for these requirements.</t>
  </si>
  <si>
    <t>6.5.1</t>
  </si>
  <si>
    <t>Injection flaws, particularly SQL injection. Also consider OS Command Injection, LDAP and XPath injection flaws as well as other injection flaws.</t>
  </si>
  <si>
    <t>6.5.2</t>
  </si>
  <si>
    <t>Buffer overflows</t>
  </si>
  <si>
    <t>6.5.3</t>
  </si>
  <si>
    <t>Insecure cryptographic storage</t>
  </si>
  <si>
    <t>6.5.4</t>
  </si>
  <si>
    <t>Insecure communications</t>
  </si>
  <si>
    <t>6.5.5</t>
  </si>
  <si>
    <t>Improper error handling</t>
  </si>
  <si>
    <t>6.5.6</t>
  </si>
  <si>
    <t>All “high risk” vulnerabilities identified in the vulnerability identification process (as defined in PCI DSS Requirement 6.1).</t>
  </si>
  <si>
    <t>6.5.7</t>
  </si>
  <si>
    <t>Cross-site scripting (XSS)</t>
  </si>
  <si>
    <t>6.5.8</t>
  </si>
  <si>
    <t>Improper access control (such as insecure direct object references, failure to restrict URL access, directory traversal, and failure to restrict user access to functions).</t>
  </si>
  <si>
    <t>6.5.9</t>
  </si>
  <si>
    <t>Cross-site request forgery (CSRF)</t>
  </si>
  <si>
    <t>6.5.10</t>
  </si>
  <si>
    <t>Broken authentication and session management</t>
  </si>
  <si>
    <t>For public-facing web applications, address new threats and vulnerabilities on an ongoing basis and ensure these applications are protected against known attacks by either of the following methods: • Reviewing public-facing web applications via manual or automated application vulnerability security assessment tools or methods, at least annually and after any changes Note: This assessment is not the same as the vulnerability scans performed for Requirement 11.2. • Installing an automated technical solution that detects and prevents web-based attacks (for example, a web-application firewall) in front of public-facing web applications, to continually check all traffic.</t>
  </si>
  <si>
    <t>Ensure that security policies and operational procedures for developing and maintaining secure systems and applications are documented, in use, and known to all affected parties.</t>
  </si>
  <si>
    <t>Restrict access to cardholder data by business need to know</t>
  </si>
  <si>
    <t>Limit access to system components and cardholder data to only those individuals whose job requires such access.</t>
  </si>
  <si>
    <t>Define access needs for each role, including: • System components and data resources that each role needs to access for their job function • Level of privilege required (for example, user, administrator, etc.) for accessing resources.</t>
  </si>
  <si>
    <t>Restrict access to privileged user IDs to least privileges necessary to perform job responsibilities.</t>
  </si>
  <si>
    <t>Assign access based on individual personnel’s job classification and function.</t>
  </si>
  <si>
    <t>7.1.4</t>
  </si>
  <si>
    <t>Require documented approval by authorized parties specifying required privileges.</t>
  </si>
  <si>
    <t>Establish an access control system(s) for systems components that restricts access based on a user’s need to know, and is set to “deny all” unless specifically allowed. This access control system(s) must include the following:</t>
  </si>
  <si>
    <t>Coverage of all system components</t>
  </si>
  <si>
    <t>Assignment of privileges to individuals based on job classification and function.</t>
  </si>
  <si>
    <t>Default “deny-all” setting.</t>
  </si>
  <si>
    <t>Ensure that security policies and operational procedures for restricting access to cardholder data are documented, in use, and known to all affected parties.</t>
  </si>
  <si>
    <t>Assign a unique ID to each person with computer access</t>
  </si>
  <si>
    <t>Define and implement policies and procedures to ensure proper user identification management for non-consumer users and administrators on all system components as follows:</t>
  </si>
  <si>
    <t>Assign all users a unique ID before allowing them to access system components or cardholder data.</t>
  </si>
  <si>
    <t>Control addition, deletion, and modification of user IDs, credentials, and other identifier objects.</t>
  </si>
  <si>
    <t>Immediately revoke access for any terminated users.</t>
  </si>
  <si>
    <t>Remove/disable inactive user accounts within 90 days.</t>
  </si>
  <si>
    <t>8.1.5</t>
  </si>
  <si>
    <t>Manage IDs used by third parties to access, support, or maintain system components via remote access as follows: • Enabled only during the time period needed and disabled when not in use. • Monitored when in use.</t>
  </si>
  <si>
    <t>8.1.6</t>
  </si>
  <si>
    <t>Limit repeated access attempts by locking out the user ID after not more than six attempts.</t>
  </si>
  <si>
    <t>8.1.7</t>
  </si>
  <si>
    <t>Set the lockout duration to a minimum of 30 minutes or until an administrator enables the user ID.</t>
  </si>
  <si>
    <t>8.1.8</t>
  </si>
  <si>
    <t>If a session has been idle for more than 15 minutes, require the user to re-authenticate to re-activate the terminal or session.</t>
  </si>
  <si>
    <t>In addition to assigning a unique ID, ensure proper user-authentication management for non-consumer users and administrators on all system components by employing at least one of the following methods to authenticate all users: • Something you know, such as a password or passphrase • Something you have, such as a token device or smart card • Something you are, such as a biometric.</t>
  </si>
  <si>
    <t>Using strong cryptography, render all authentication credentials (such as passwords/phrases) unreadable during transmission and storage on all system components.</t>
  </si>
  <si>
    <t>Verify user identity before modifying any authentication credential—for example, performing password resets, provisioning new tokens, or generating new keys.</t>
  </si>
  <si>
    <t>Passwords/passphrases must meet the following: • Require a minimum length of at least seven characters. • Contain both numeric and alphabetic characters. Alternatively, the passwords/passphrases must have complexity and strength at least equivalent to the parameters specified above.</t>
  </si>
  <si>
    <t>8.2.4</t>
  </si>
  <si>
    <t>Change user passwords/passphrases at least once every 90 days.</t>
  </si>
  <si>
    <t>8.2.5</t>
  </si>
  <si>
    <t>Do not allow an individual to submit a new password/passphrase that is the same as any of the last four passwords/passphrases he or she has used.</t>
  </si>
  <si>
    <t>8.2.6</t>
  </si>
  <si>
    <t>Set passwords/passphrases for first-time use and upon reset to a unique value for each user, and change immediately after the first use.</t>
  </si>
  <si>
    <t>Secure all individual non-console administrative access and all remote access to the CDE using multi-factor authentication. Note: Multi-factor authentication requires that a minimum of two of the three authentication methods (see Requirement 8.2 for descriptions of authentication methods) be used for authentication. Using one factor twice (for example, using two separate passwords) is not considered multi-factor authentication.</t>
  </si>
  <si>
    <t>Incorporate multi-factor authentication for all non-console access into the CDE for personnel with administrative access. Note: This requirement is a best practice until January 31, 2018, after which it becomes a requirement.</t>
  </si>
  <si>
    <t>Incorporate multi-factor authentication for all remote network access (both user and administrator, and including third party access for support or maintenance) originating from outside the entity's network.</t>
  </si>
  <si>
    <t>Document and communicate authentication policies and procedures to all users including: • Guidance on selecting strong authentication credentials • Guidance for how users should protect their authentication credentials • Instructions not to reuse previously used passwords • Instructions to change passwords if there is any suspicion the password could be compromised.</t>
  </si>
  <si>
    <t>Do not use group, shared, or generic IDs, passwords, or other authentication methods as follows: • Generic user IDs are disabled or removed. • Shared user IDs do not exist for system administration and other critical functions. • Shared and generic user IDs are not used to administer any system components.</t>
  </si>
  <si>
    <t>8.5.1</t>
  </si>
  <si>
    <t>Additional requirement for service providers only: Service providers with remote access to customer premises (for example, for support of POS systems or servers) must use a unique authentication credential (such as a password/phrase) for each customer. Note: This requirement is not intended to apply to shared hosting providers accessing their own hosting environment, where multiple customer environments are hosted.</t>
  </si>
  <si>
    <t>Where other authentication mechanisms are used (for example, physical or logical security tokens, smart cards, certificates, etc.), use of these mechanisms must be assigned as follows: • Authentication mechanisms must be assigned to an individual account and not shared among multiple accounts. • Physical and/or logical controls must be in place to ensure only the intended account can use that mechanism to gain access.</t>
  </si>
  <si>
    <t>All access to any database containing cardholder data (including access by applications, administrators, and all other users) is restricted as follows: • All user access to, user queries of, and user actions on databases are through programmatic methods. • Only database administrators have the ability to directly access or query databases. • Application IDs for database applications can only be used by the applications (and not by individual users or other non-application processes).</t>
  </si>
  <si>
    <t>Ensure that security policies and operational procedures for identification and authentication are documented, in use, and known to all affected parties.</t>
  </si>
  <si>
    <t>Restrict physical access to cardholder data</t>
  </si>
  <si>
    <t>Use appropriate facility entry controls to limit and monitor physical access to systems in the cardholder data environment.</t>
  </si>
  <si>
    <t>Use either video cameras or access control mechanisms (or both) to monitor individual physical access to sensitive areas. Review collected data and correlate with other entries. Store for at least three months, unless otherwise restricted by law. Note: “Sensitive areas” refers to any data center, server room or any area that houses systems that store, process, or transmit cardholder data. This excludes public-facing areas where only point-of-sale terminals are present, such as the cashier areas in a retail store.</t>
  </si>
  <si>
    <t>Implement physical and/or logical controls to restrict access to publicly accessible network jacks. For example, network jacks located in public areas and areas accessible to visitors could be disabled and only enabled when network access is explicitly authorized. Alternatively, processes could be implemented to ensure that visitors are escorted at all times in areas with active network jacks.</t>
  </si>
  <si>
    <t>9.1.3</t>
  </si>
  <si>
    <t>Restrict physical access to wireless access points, gateways, handheld devices, networking/communications hardware, and telecommunication lines.</t>
  </si>
  <si>
    <t>Develop procedures to easily distinguish between onsite personnel and visitors, to include: • Identifying onsite personnel and visitors (for example, assigning badges) • Changes to access requirements • Revoking or terminating onsite personnel and expired visitor identification (such as ID badges).</t>
  </si>
  <si>
    <t>Control physical access for onsite personnel to sensitive areas as follows: • Access must be authorized and based on individual job function. • Access is revoked immediately upon termination, and all physical access mechanisms, such as keys, access cards, etc., are returned or disabled.</t>
  </si>
  <si>
    <t>Implement procedures to identify and authorize visitors. Procedures should include the following:</t>
  </si>
  <si>
    <t>Visitors are authorized before entering, and escorted at all times within, areas where cardholder data is processed or maintained.</t>
  </si>
  <si>
    <t>Visitors are identified and given a badge or other identification that expires and that visibly distinguishes the visitors from onsite personnel.</t>
  </si>
  <si>
    <t>Visitors are asked to surrender the badge or identification before leaving the facility or at the date of expiration.</t>
  </si>
  <si>
    <t>A visitor log is used to maintain a physical audit trail of visitor activity to the facility as well as computer rooms and data centers where cardholder data is stored or transmitted. Document the visitor’s name, the firm represented, and the onsite personnel authorizing physical access on the log. Retain this log for a minimum of three months, unless otherwise restricted by law.</t>
  </si>
  <si>
    <t>Physically secure all media.</t>
  </si>
  <si>
    <t>9.5.1</t>
  </si>
  <si>
    <t>Store media backups in a secure location, preferably an off-site facility, such as an alternate or backup site, or a commercial storage facility. Review the location’s security at least annually.</t>
  </si>
  <si>
    <t>Maintain strict control over the internal or external distribution of any kind of media, including the following:</t>
  </si>
  <si>
    <t>9.6.1</t>
  </si>
  <si>
    <t>Classify media so the sensitivity of the data can be determined.</t>
  </si>
  <si>
    <t>9.6.2</t>
  </si>
  <si>
    <t>Send the media by secured courier or other delivery method that can be accurately tracked.</t>
  </si>
  <si>
    <t>9.6.3</t>
  </si>
  <si>
    <t>Ensure management approves any and all media that is moved from a secured area (including when media is distributed to individuals).</t>
  </si>
  <si>
    <t>Maintain strict control over the storage and accessibility of media.</t>
  </si>
  <si>
    <t>9.7.1</t>
  </si>
  <si>
    <t>Properly maintain inventory logs of all media and conduct media inventories at least annually.</t>
  </si>
  <si>
    <t>Destroy media when it is no longer needed for business or legal reasons as follows:</t>
  </si>
  <si>
    <t>9.8.1</t>
  </si>
  <si>
    <t>Shred, incinerate, or pulp hard-copy materials so that cardholder data cannot be reconstructed. Secure storage containers used for materials that are to be destroyed.</t>
  </si>
  <si>
    <t>9.8.2</t>
  </si>
  <si>
    <t>Render cardholder data on electronic media unrecoverable so that cardholder data cannot be reconstructed.</t>
  </si>
  <si>
    <t>Protect devices that capture payment card data via direct physical interaction with the card from tampering and substitution. Note: These requirements apply to card-reading devices used in card-present transactions (that is, card swipe or dip) at the point of sale. This requirement is not intended to apply to manual key-entry components such as computer keyboards and POS keypads.</t>
  </si>
  <si>
    <t>9.9.1</t>
  </si>
  <si>
    <t>Maintain an up-to-date list of devices. The list should include the following: • Make, model of device • Location of device (for example, the address of the site or facility where the device is located) • Device serial number or other method of unique identification.</t>
  </si>
  <si>
    <t>9.9.2</t>
  </si>
  <si>
    <t>Periodically inspect device surfaces to detect tampering (for example, addition of card skimmers to devices), or substitution (for example, by checking the serial number or other device characteristics to verify it has not been swapped with a fraudulent device). Note: Examples of signs that a device might have been tampered with or substituted include unexpected attachments or cables plugged into the device, missing or changed security labels, broken or differently colored casing, or changes to the serial number or other external markings.</t>
  </si>
  <si>
    <t>9.9.3</t>
  </si>
  <si>
    <t>Provide training for personnel to be aware of attempted tampering or replacement of devices. Training should include the following: • Verify the identity of any third-party persons claiming to be repair or maintenance personnel, prior to granting them access to modify or troubleshoot devices. • Do not install, replace, or return devices without verification. • Be aware of suspicious behavior around devices (for example, attempts by unknown persons to unplug or open devices). • Report suspicious behavior and indications of device tampering or substitution to appropriate personnel (for example, to a manager or security officer).</t>
  </si>
  <si>
    <t>Ensure that security policies and operational procedures for restricting physical access to cardholder data are documented, in use, and known to all affected parties.</t>
  </si>
  <si>
    <t>10.x</t>
  </si>
  <si>
    <t>Track and monitor all access to network resources and cardholder data</t>
  </si>
  <si>
    <t>Implement audit trails to link all access to system components to each individual user.</t>
  </si>
  <si>
    <t>Implement automated audit trails for all system components to reconstruct the following events:</t>
  </si>
  <si>
    <t>10.2.1</t>
  </si>
  <si>
    <t>All individual user accesses to cardholder data</t>
  </si>
  <si>
    <t>10.2.2</t>
  </si>
  <si>
    <t>All actions taken by any individual with root or administrative privileges</t>
  </si>
  <si>
    <t>10.2.3</t>
  </si>
  <si>
    <t>Access to all audit trails</t>
  </si>
  <si>
    <t>10.2.4</t>
  </si>
  <si>
    <t>Invalid logical access attempts</t>
  </si>
  <si>
    <t>10.2.5</t>
  </si>
  <si>
    <t>Use of and changes to identification and authentication mechanisms—including but not limited to creation of new accounts and elevation of privileges—and all changes, additions, or deletions to accounts with root or administrative privileges</t>
  </si>
  <si>
    <t>10.2.6</t>
  </si>
  <si>
    <t>Initialization, stopping, or pausing of the audit logs</t>
  </si>
  <si>
    <t>10.2.7</t>
  </si>
  <si>
    <t>Creation and deletion of system-level objects</t>
  </si>
  <si>
    <t>Record at least the following audit trail entries for all system components for each event:</t>
  </si>
  <si>
    <t>10.3.1</t>
  </si>
  <si>
    <t>User identification</t>
  </si>
  <si>
    <t>10.3.2</t>
  </si>
  <si>
    <t>Type of event</t>
  </si>
  <si>
    <t>10.3.3</t>
  </si>
  <si>
    <t>Date and time</t>
  </si>
  <si>
    <t>10.3.4</t>
  </si>
  <si>
    <t>Success or failure indication</t>
  </si>
  <si>
    <t>10.3.5</t>
  </si>
  <si>
    <t>Origination of event</t>
  </si>
  <si>
    <t>10.3.6</t>
  </si>
  <si>
    <t>Identity or name of affected data, system component, or resource.</t>
  </si>
  <si>
    <t>Using time-synchronization technology, synchronize all critical system clocks and times and ensure that the following is implemented for acquiring, distributing, and storing time. Note: One example of time synchronization technology is Network Time Protocol (NTP).</t>
  </si>
  <si>
    <t>10.4.1</t>
  </si>
  <si>
    <t>Critical systems have the correct and consistent time.</t>
  </si>
  <si>
    <t>10.4.2</t>
  </si>
  <si>
    <t>Time data is protected.</t>
  </si>
  <si>
    <t>10.4.3</t>
  </si>
  <si>
    <t>Time settings are received from industry-accepted time sources.</t>
  </si>
  <si>
    <t>Secure audit trails so they cannot be altered.</t>
  </si>
  <si>
    <t>10.5.1</t>
  </si>
  <si>
    <t>Limit viewing of audit trails to those with a job-related need.</t>
  </si>
  <si>
    <t>10.5.2</t>
  </si>
  <si>
    <t>Protect audit trail files from unauthorized modifications.</t>
  </si>
  <si>
    <t>10.5.3</t>
  </si>
  <si>
    <t>Promptly back up audit trail files to a centralized log server or media that is difficult to alter.</t>
  </si>
  <si>
    <t>10.5.4</t>
  </si>
  <si>
    <t>Write logs for external-facing technologies onto a secure, centralized, internal log server or media device.</t>
  </si>
  <si>
    <t>10.5.5</t>
  </si>
  <si>
    <t>Use file-integrity monitoring or change-detection software on logs to ensure that existing log data cannot be changed without generating alerts (although new data being added should not cause an alert).</t>
  </si>
  <si>
    <t>Review logs and security events for all system components to identify anomalies or suspicious activity. Note: Log harvesting, parsing, and alerting tools may be used to meet this Requirement.</t>
  </si>
  <si>
    <t>10.6.1</t>
  </si>
  <si>
    <t>Review the following at least daily: • All security events • Logs of all system components that store, process, or transmit CHD and/or SAD • Logs of all critical system components • Logs of all servers and system components that perform security functions (for example, firewalls, intrusion-detection systems/intrusion-prevention systems (IDS/IPS), authentication servers, e-commerce redirection servers, etc.).</t>
  </si>
  <si>
    <t>10.6.2</t>
  </si>
  <si>
    <t>Review logs of all other system components periodically based on the organization’s policies and risk management strategy, as determined by the organization’s annual risk assessment.</t>
  </si>
  <si>
    <t>10.6.3</t>
  </si>
  <si>
    <t>Follow up exceptions and anomalies identified during the review process.</t>
  </si>
  <si>
    <t>Retain audit trail history for at least one year, with a minimum of three months immediately available for analysis (for example, online, archived, or restorable from backup).</t>
  </si>
  <si>
    <t>Additional requirement for service providers only: Implement a process for the timely detection and reporting of failures of critical security control systems, including but not limited to failure of: • Firewalls • IDS/IPS • FIM • Anti-virus • Physical access controls • Logical access controls • Audit logging mechanisms • Segmentation controls (if used) Note: This requirement is a best practice until January 31, 2018, after which it becomes a requirement.</t>
  </si>
  <si>
    <t>10.8.1</t>
  </si>
  <si>
    <t>Additional requirement for service providers only: Respond to failures of any critical security controls in a timely manner. Processes for responding to failures in security controls must include: • Restoring security functions • Identifying and documenting the duration (date and time start to end) of the security failure • Identifying and documenting cause(s) of failure, including root cause, and documenting remediation required to address root cause • Identifying and addressing any security issues that arose during the failure • Performing a risk assessment to determine whether further actions are required as a result of the security failure • Implementing controls to prevent cause of failure from reoccurring • Resuming monitoring of security controls Note: This requirement is a best practice until January 31, 2018, after which it becomes a requirement.</t>
  </si>
  <si>
    <t>Ensure that security policies and operational procedures for monitoring all access to network resources and cardholder data are documented, in use, and known to all affected parties.</t>
  </si>
  <si>
    <t>11.x</t>
  </si>
  <si>
    <t>Regularly test security systems and processes</t>
  </si>
  <si>
    <t>Implement processes to test for the presence of wireless access points (802.11), and detect and identify all authorized and unauthorized wireless access points on a quarterly basis. Note: Methods that may be used in the process include but are not limited to wireless network scans, physical/logical inspections of system components and infrastructure, network access control (NAC), or wireless IDS/IPS. Whichever methods are used, they must be sufficient to detect and identify both authorized and unauthorized devices.</t>
  </si>
  <si>
    <t>Maintain an inventory of authorized wireless access points including a documented business justification.</t>
  </si>
  <si>
    <t>Implement incident response procedures in the event unauthorized wireless access points are detected.</t>
  </si>
  <si>
    <t>Run internal and external network vulnerability scans at least quarterly and after any significant change in the network (such as new system component installations, changes in network topology, firewall rule modifications, product upgrades). Note: Multiple scan reports can be combined for the quarterly scan process to show that all systems were scanned and all applicable vulnerabilities have been addressed. Additional documentation may be required to verify non-remediated vulnerabilities are in the process of being addressed. For initial PCI DSS compliance, it is not required that four quarters of passing scans be completed if the assessor verifies 1) the most recent scan result was a passing scan, 2) the entity has documented policies and procedures requiring quarterly scanning, and 3) vulnerabilities noted in the scan results have been corrected as shown in a re-scan(s). For subsequent years after the initial PCI DSS review, four quarters of passing scans must have occurred.</t>
  </si>
  <si>
    <t>Perform quarterly internal vulnerability scans. Address vulnerabilities and perform rescans to verify all “high risk” vulnerabilities are resolved in accordance with the entity’s vulnerability ranking (per Requirement 6.1). Scans must be performed by qualified personnel.</t>
  </si>
  <si>
    <t>Perform quarterly external vulnerability scans, via an Approved Scanning Vendor (ASV) approved by the Payment Card Industry Security Standards Council (PCI SSC). Perform rescans as needed, until passing scans are achieved. Note: Quarterly external vulnerability scans must be performed by an Approved Scanning Vendor (ASV), approved by the Payment Card Industry Security Standards Council (PCI SSC). Refer to the ASV Program Guide published on the PCI SSC website for scan customer responsibilities, scan preparation, etc.</t>
  </si>
  <si>
    <t>Perform internal and external scans, and rescans as needed, after any significant change. Scans must be performed by qualified personnel.</t>
  </si>
  <si>
    <t>Implement a methodology for penetration testing that includes the following: • Is based on industry-accepted penetration testing approaches (for example, NIST SP800-115) • Includes coverage for the entire CDE perimeter and critical systems • Includes testing from both inside and outside the network • Includes testing to validate any segmentation and scope-reduction controls • Defines application-layer penetration tests to include, at a minimum, the vulnerabilities listed in Requirement 6.5 • Defines network-layer penetration tests to include components that support network functions as well as operating systems • Includes review and consideration of threats and vulnerabilities experienced in the last 12 months • Specifies retention of penetration testing results and remediation activities results.</t>
  </si>
  <si>
    <t>11.3.1</t>
  </si>
  <si>
    <t>Perform external penetration testing at least annually and after any significant infrastructure or application upgrade or modification (such as an operating system upgrade, a sub-network added to the environment, or a web server added to the environment).</t>
  </si>
  <si>
    <t>11.3.2</t>
  </si>
  <si>
    <t>Perform internal penetration testing at least annually and after any significant infrastructure or application upgrade or modification (such as an operating system upgrade, a sub-network added to the environment, or a web server added to the environment).</t>
  </si>
  <si>
    <t>11.3.3</t>
  </si>
  <si>
    <t>Exploitable vulnerabilities found during penetration testing are corrected and testing is repeated to verify the corrections.</t>
  </si>
  <si>
    <t>11.3.4</t>
  </si>
  <si>
    <t>If segmentation is used to isolate the CDE from other networks, perform penetration tests at least annually and after any changes to segmentation controls/methods to verify that the segmentation methods are operational and effective, and isolate all out-of-scope systems from systems in the CDE.</t>
  </si>
  <si>
    <t>11.3.4.1</t>
  </si>
  <si>
    <t>Additional requirement for service providers only: If segmentation is used, confirm PCI DSS scope by performing penetration testing on segmentation controls at least every six months and after any changes to segmentation controls/methods. Note: This requirement is a best practice until January 31, 2018, after which it becomes a requirement.</t>
  </si>
  <si>
    <t>Use intrusion-detection and/or intrusion-prevention techniques to detect and/or prevent intrusions into the network. Monitor all traffic at the perimeter of the cardholder data environment as well as at critical points in the cardholder data environment, and alert personnel to suspected compromises. Keep all intrusion-detection and prevention engines, baselines, and signatures up to date.</t>
  </si>
  <si>
    <t>Deploy a change-detection mechanism (for example, file-integrity monitoring tools) to alert personnel to unauthorized modification (including changes, additions, and deletions) of critical system files, configuration files, or content files; and configure the software to perform critical file comparisons at least weekly. Note: For change-detection purposes, critical files are usually those that do not regularly change, but the modification of which could indicate a system compromise or risk of compromise. Change-detection mechanisms such as file-integrity monitoring products usually come pre-configured with critical files for the related operating system. Other critical files, such as those for custom applications, must be evaluated and defined by the entity (that is, the merchant or service provider).</t>
  </si>
  <si>
    <t>11.5.1</t>
  </si>
  <si>
    <t>Implement a process to respond to any alerts generated by the change-detection solution.</t>
  </si>
  <si>
    <t>Ensure that security policies and operational procedures for security monitoring and testing are documented, in use, and known to all affected parties.</t>
  </si>
  <si>
    <t>Maintain a policy that addresses information security for all personnel</t>
  </si>
  <si>
    <t>Establish, publish, maintain, and disseminate a security policy.</t>
  </si>
  <si>
    <t>Review the security policy at least annually and update the policy when the environment changes.</t>
  </si>
  <si>
    <t>Implement a risk-assessment process that: • Is performed at least annually and upon significant changes to the environment (for example, acquisition, merger, relocation, etc.), • Identifies critical assets, threats, and vulnerabilities, and • Results in a formal, documented analysis of risk. Examples of risk-assessment methodologies include but are not limited to OCTAVE, ISO 27005 and NIST SP 800-30.</t>
  </si>
  <si>
    <t>Develop usage policies for critical technologies and define proper use of these technologies. Note: Examples of critical technologies include, but are not limited to, remote access and wireless technologies, laptops, tablets, removable electronic media, e-mail usage and Internet usage. Ensure these usage policies require the following:</t>
  </si>
  <si>
    <t>Explicit approval by authorized parties</t>
  </si>
  <si>
    <t>12.3.2</t>
  </si>
  <si>
    <t>Authentication for use of the technology</t>
  </si>
  <si>
    <t>12.3.3</t>
  </si>
  <si>
    <t>A list of all such devices and personnel with access</t>
  </si>
  <si>
    <t>12.3.4</t>
  </si>
  <si>
    <t>A method to accurately and readily determine owner, contact information, and purpose (for example, labeling, coding, and/or inventorying of devices)</t>
  </si>
  <si>
    <t>12.3.5</t>
  </si>
  <si>
    <t>Acceptable uses of the technology</t>
  </si>
  <si>
    <t>12.3.6</t>
  </si>
  <si>
    <t>Acceptable network locations for the technologies</t>
  </si>
  <si>
    <t>12.3.7</t>
  </si>
  <si>
    <t>List of company-approved products</t>
  </si>
  <si>
    <t>12.3.8</t>
  </si>
  <si>
    <t>Automatic disconnect of sessions for remote-access technologies after a specific period of inactivity</t>
  </si>
  <si>
    <t>12.3.9</t>
  </si>
  <si>
    <t>Activation of remote-access technologies for vendors and business partners only when needed by vendors and business partners, with immediate deactivation after use</t>
  </si>
  <si>
    <t>12.3.10</t>
  </si>
  <si>
    <t>For personnel accessing cardholder data via remote-access technologies, prohibit the copying, moving, and storage of cardholder data onto local hard drives and removable electronic media, unless explicitly authorized for a defined business need. Where there is an authorized business need, the usage policies must require the data be protected in accordance with all applicable PCI DSS Requirements.</t>
  </si>
  <si>
    <t>Ensure that the security policy and procedures clearly define information security responsibilities for all personnel.</t>
  </si>
  <si>
    <t>Additional requirement for service providers only: Executive management shall establish responsibility for the protection of cardholder data and a PCI DSS compliance program to include: • Overall accountability for maintaining PCI DSS compliance • Defining a charter for a PCI DSS compliance program and communication to executive management Note: This requirement is a best practice until January 31, 2018, after which it becomes a requirement.</t>
  </si>
  <si>
    <t>Assign to an individual or team the following information security management responsibilities:</t>
  </si>
  <si>
    <t>Establish, document, and distribute security policies and procedures.</t>
  </si>
  <si>
    <t>12.5.2</t>
  </si>
  <si>
    <t>Monitor and analyze security alerts and information, and distribute to appropriate personnel.</t>
  </si>
  <si>
    <t>12.5.3</t>
  </si>
  <si>
    <t>Establish, document, and distribute security incident response and escalation procedures to ensure timely and effective handling of all situations.</t>
  </si>
  <si>
    <t>12.5.4</t>
  </si>
  <si>
    <t>Administer user accounts, including additions, deletions, and modifications.</t>
  </si>
  <si>
    <t>12.5.5</t>
  </si>
  <si>
    <t>Monitor and control all access to data.</t>
  </si>
  <si>
    <t>Implement a formal security awareness program to make all personnel aware of the cardholder data security policy and procedures.</t>
  </si>
  <si>
    <t>Educate personnel upon hire and at least annually. Note: Methods can vary depending on the role of the personnel and their level of access to the cardholder data.</t>
  </si>
  <si>
    <t>Require personnel to acknowledge at least annually that they have read and understood the security policy and procedures.</t>
  </si>
  <si>
    <t>Screen potential personnel prior to hire to minimize the risk of attacks from internal sources. (Examples of background checks include previous employment history, criminal record, credit history, and reference checks.) Note: For those potential personnel to be hired for certain positions such as store cashiers who only have access to one card number at a time when facilitating a transaction, this requirement is a recommendation only.</t>
  </si>
  <si>
    <t>Maintain and implement policies and procedures to manage service providers, with whom cardholder data is shared, or that could affect the security of cardholder data, as follows</t>
  </si>
  <si>
    <t>12.8.1</t>
  </si>
  <si>
    <t>Maintain a list of service providers including a description of the service provided.</t>
  </si>
  <si>
    <t>12.8.2</t>
  </si>
  <si>
    <t>Maintain a written agreement that includes an acknowledgement that the service providers are responsible for the security of cardholder data the service providers possess or otherwise store, process or transmit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t>
  </si>
  <si>
    <t>12.8.3</t>
  </si>
  <si>
    <t>Ensure there is an established process for engaging service providers including proper due diligence prior to engagement.</t>
  </si>
  <si>
    <t>12.8.4</t>
  </si>
  <si>
    <t>Maintain a program to monitor service providers’ PCI DSS compliance status at least annually.</t>
  </si>
  <si>
    <t>12.8.5</t>
  </si>
  <si>
    <t>Maintain information about which PCI DSS requirements are managed by each service provider, and which are managed by the entity.</t>
  </si>
  <si>
    <t>Additional requirement for service providers only: Service providers acknowledge in writing to customers that they are responsible for the security of cardholder data the service provider possesses or otherwise stores, processes, or transmits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t>
  </si>
  <si>
    <t>Implement an incident response plan. Be prepared to respond immediately to a system breach.</t>
  </si>
  <si>
    <t>12.10.1</t>
  </si>
  <si>
    <t>Create the incident response plan to be implemented in the event of system breach. Ensure the plan addresses the following, at a minimum: • Roles, responsibilities, and communication and contact strategies in the event of a compromise including notification of the payment brands, at a minimum • Specific incident response procedures • Business recovery and continuity procedures • Data backup processes • Analysis of legal requirements for reporting compromises • Coverage and responses of all critical system components • Reference or inclusion of incident response procedures from the payment brands.</t>
  </si>
  <si>
    <t>12.10.2</t>
  </si>
  <si>
    <t>Review and test the plan, including all elements listed in Requirement 12.10.1, at least annually.</t>
  </si>
  <si>
    <t>12.10.3</t>
  </si>
  <si>
    <t>Designate specific personnel to be available on a 24/7 basis to respond to alerts.</t>
  </si>
  <si>
    <t>12.10.4</t>
  </si>
  <si>
    <t>Provide appropriate training to staff with security breach response responsibilities.</t>
  </si>
  <si>
    <t>12.10.5</t>
  </si>
  <si>
    <t>Include alerts from security monitoring systems, including but not limited to intrusion-detection, intrusion-prevention, firewalls, and file-integrity monitoring systems.</t>
  </si>
  <si>
    <t>12.10.6</t>
  </si>
  <si>
    <t>Develop a process to modify and evolve the incident response plan according to lessons learned and to incorporate industry developments.</t>
  </si>
  <si>
    <t>Additional requirement for service providers only: Perform reviews at least quarterly to confirm personnel are following security policies and operational procedures. Reviews must cover the following processes: • Daily log reviews • Firewall rule-set reviews • Applying configuration standards to new systems • Responding to security alerts • Change management processes Note: This requirement is a best practice until January 31, 2018, after which it becomes a requirement.</t>
  </si>
  <si>
    <t>12.11.1</t>
  </si>
  <si>
    <t>Additional requirement for service providers only: Maintain documentation of quarterly review process to include: • Documenting results of the reviews • Review and sign off of results by personnel assigned responsibility for the PCI DSS compliance program Note: This requirement is a best practice until January 31, 2018, after which it becomes a requirement.</t>
  </si>
  <si>
    <t>All system components included in or connected to the cardholder data environment (CDE)</t>
  </si>
  <si>
    <t>The process of determining the CDE and subsequent PCI scope</t>
  </si>
  <si>
    <t>12.7, 4.2</t>
  </si>
  <si>
    <t>12.1, 5.4</t>
  </si>
  <si>
    <t>12.10</t>
  </si>
  <si>
    <t>9.10</t>
  </si>
  <si>
    <t>GNRL-01 through GNRL-08; populated by the Vendor</t>
  </si>
  <si>
    <t>Institution's Security Analyst/Engineer</t>
  </si>
  <si>
    <t>Institution's Security Analyst/Engineer Name</t>
  </si>
  <si>
    <t>Do you have a dedicated Software and System Development team(s)? (e.g. Customer Support, Implementation, Product Management, etc.)</t>
  </si>
  <si>
    <t>Include circumstances that may involve off-shoring or multi-national agreements.</t>
  </si>
  <si>
    <t>Include the number of years and in what capacity.</t>
  </si>
  <si>
    <t>Share any details that would help information security analysts assess your product.</t>
  </si>
  <si>
    <t>Company</t>
  </si>
  <si>
    <t>Ensure that all parts of APPL-10 are clearly stated in your response. Submit architecture diagrams along with this fully-populated HECVAT.</t>
  </si>
  <si>
    <t>Include a detailed description of how security administration and system administration authority is separated, controls are verified, and logs are reviewed regularly to ensure appropriate use.</t>
  </si>
  <si>
    <t xml:space="preserve">Ensure that all parts of APPL-16 are clearly stated in your response. </t>
  </si>
  <si>
    <t>Ensure that all parts of APPL-18 are clearly stated in your response. The examples given are not exhaustive - elaborate as necessary.</t>
  </si>
  <si>
    <t>Are there any passwords/passphrases hard coded into your systems or products?</t>
  </si>
  <si>
    <t>Ensure that all elements of AAAI-16 are clearly stated in your response.</t>
  </si>
  <si>
    <t>Ensure that all elements of AAAI-17 are clearly stated in your response.</t>
  </si>
  <si>
    <t>May the Institution review your BCP and supporting documentation?</t>
  </si>
  <si>
    <t>Provide a valid URL to your current BCP or submit it along with this fully-populated HECVAT.</t>
  </si>
  <si>
    <t>Ensure that all parts of CHNG-02 are clearly stated in your response.</t>
  </si>
  <si>
    <t>Ensure that all relevant details pertaining to CHNG-05 are clearly stated in your response.</t>
  </si>
  <si>
    <t>Ensure that all parts of CHNG-06 are clearly stated in your response.</t>
  </si>
  <si>
    <t>Ensure that all parts of DATA-07 are clearly stated in your response.</t>
  </si>
  <si>
    <t>If your strategy uses different processes for services and data, ensure that all strategies are clearly stated and supported.</t>
  </si>
  <si>
    <t>If your backup strategy uses varying periods, ensure that each strategy is clearly stated and supported.</t>
  </si>
  <si>
    <t>Is sensitive data encrypted in transport? (e.g. system-to-client)</t>
  </si>
  <si>
    <t>Does your system employ encryption technologies when transmitting sensitive information over TCP/IP networks (e.g., SSH, SSL/TLS, VPN)? (e.g. system-to-system and system-to-client)</t>
  </si>
  <si>
    <t>Will the institution's data be available within the system for a period of time at the completion of this contract?</t>
  </si>
  <si>
    <t>Are ownership rights to all data, inputs, outputs, and metadata retained by the institution?</t>
  </si>
  <si>
    <t>Are you performing off site backups? (i.e. digitally moved off site)</t>
  </si>
  <si>
    <t>Provide a general summary of the implemented networking strategy.</t>
  </si>
  <si>
    <t>Ensure that all parts of DCTR-10 are clearly stated in your response.</t>
  </si>
  <si>
    <t>Review the Uptime Institute's level/tier direction provided on their website if you need addition information to answer DCTR-13.</t>
  </si>
  <si>
    <t>Ensure that all parts of DCTR-17 are clearly stated in your response.</t>
  </si>
  <si>
    <t>Are redundant power strategies tested?</t>
  </si>
  <si>
    <t>Can the Institution review your DRP and supporting documentation?</t>
  </si>
  <si>
    <t>Provide a valid URL to your current DRP or submit it along with this fully-populated HECVAT.</t>
  </si>
  <si>
    <t>Ensure that all elements of DRPL-09 are clearly stated in your response.</t>
  </si>
  <si>
    <t>Does your organization have a disaster recovery site or a contracted Disaster Recovery provider?</t>
  </si>
  <si>
    <t>Are audit logs available for all changes to the network, firewall, IDS, and IPS systems?</t>
  </si>
  <si>
    <t>Ensure that all parts of FIDP-03 are clearly stated in your response.</t>
  </si>
  <si>
    <t xml:space="preserve">Ensure that all supported operating systems are listed - be sure to provide version number, where relevant. </t>
  </si>
  <si>
    <t>Ensure that all elements of MAPP-02  are clearly stated in your response. (i.e. (architecture AND functionality are defined)</t>
  </si>
  <si>
    <t>Is Institution's data encrypted in transport?</t>
  </si>
  <si>
    <t>Is Institution's data encrypted in storage? (e.g. disk encryption, at-rest)</t>
  </si>
  <si>
    <t>Does the application adhere to secure coding practices (e.g. OWASP, etc.)?</t>
  </si>
  <si>
    <t>Are video feeds monitored by datacenter staff?</t>
  </si>
  <si>
    <t>Provide a valid URL to your Quality Assurance program or submit it along with this fully-populated HECVAT.</t>
  </si>
  <si>
    <t>Ensure that all elements of VULN-06 are clearly stated in your response.</t>
  </si>
  <si>
    <t>Ensure that all elements of VULN-08 are clearly stated in your response.</t>
  </si>
  <si>
    <t>Will you provide results of security scans to the Institution?</t>
  </si>
  <si>
    <t>Refer to HIPAA regulations documentation for supplemental guidance in this section.</t>
  </si>
  <si>
    <t>Refer to PCI DSS Security Standards for supplemental guidance in this section</t>
  </si>
  <si>
    <t>Do you subject your code to static code analysis and/or static application security testing prior to release?</t>
  </si>
  <si>
    <t>Do you have software testing processes (dynamic or static) that are established and followed?</t>
  </si>
  <si>
    <t>Will you comply with applicable breach notification laws?</t>
  </si>
  <si>
    <t>Do you have documented information security policy?</t>
  </si>
  <si>
    <t>Is security awareness training mandatory for all employees?</t>
  </si>
  <si>
    <t>Do you have process and procedure(s) documented, and currently followed, that require a review and update of the access-list(s) for privileged accounts?</t>
  </si>
  <si>
    <t>Do you have documented, and currently implemented, internal audit processes and procedures?</t>
  </si>
  <si>
    <t>Will any institution data leave the Institution's Data Zone?</t>
  </si>
  <si>
    <t>If outsourced or co-located, is there a contract in place to prevent data from leaving the Institution's Data Zone?</t>
  </si>
  <si>
    <t>Are any disaster recovery locations outside the Institution's Data Zone?</t>
  </si>
  <si>
    <t>Do your systems or products store, process, or transmit cardholder (payment/credit/debt card) data?</t>
  </si>
  <si>
    <t>Does the system or products use a third party to collect, store, process, or transmit cardholder (payment/credit/debt card) data?</t>
  </si>
  <si>
    <t>The remainder of the document consists of various safeguards, grouped generally by section.</t>
  </si>
  <si>
    <t>Vendor Email Address</t>
  </si>
  <si>
    <t>Vendor</t>
  </si>
  <si>
    <t>Description</t>
  </si>
  <si>
    <t>Product</t>
  </si>
  <si>
    <t>Institution's Security Framework</t>
  </si>
  <si>
    <t>For Institution's Security Analysts</t>
  </si>
  <si>
    <t>Ensure that all elements of MAPP-11  are clearly stated in your response.</t>
  </si>
  <si>
    <t>Ensure that all elements of THRD-01 are clearly stated in your response.</t>
  </si>
  <si>
    <t>If more space is needed to sufficiently answer this question, provide reference to the document or add it as an appendix.</t>
  </si>
  <si>
    <t>Provide sufficient detail for each legal agreement in place.</t>
  </si>
  <si>
    <t>Robust answers from the vendor improve the quality and efficiency of the security assessment process.</t>
  </si>
  <si>
    <t>State the ISP provider(s) in addition to the number of ISPs that provide connectivity.</t>
  </si>
  <si>
    <t>State the party that performed the vulnerability test and the date it was conducted?</t>
  </si>
  <si>
    <t>Have your applications had an external vulnerability assessment in the last year?</t>
  </si>
  <si>
    <t>Have your systems had an external vulnerability assessment in the last year?</t>
  </si>
  <si>
    <t>Brief Description of the Product</t>
  </si>
  <si>
    <t>Institution</t>
  </si>
  <si>
    <t>Proceed to the next tab, Instructions.</t>
  </si>
  <si>
    <t>Do you conform with a specific industry standard security framework? (e.g. NIST Cybersecurity Framework, ISO 27001, etc.)</t>
  </si>
  <si>
    <t>Do backups containing the institution's data ever leave the Institution's Data Zone either physically or via network routing?</t>
  </si>
  <si>
    <t>Is your company subject to Institution's Data Zone laws and regulations?</t>
  </si>
  <si>
    <t xml:space="preserve">List all datacenters and the cities, states (provinces), and countries where the Institution's data will be stored (including within the Institution's Data Zone).   </t>
  </si>
  <si>
    <t>mm/dd/yyyy</t>
  </si>
  <si>
    <t>v2.00</t>
  </si>
  <si>
    <t>Data Reporting</t>
  </si>
  <si>
    <t>Vendor Data Zone</t>
  </si>
  <si>
    <t>Institution Data Zone</t>
  </si>
  <si>
    <t>The country/region in which a vendor is headquartered and/or serves its products/services, including all laws and regulations in-scope within that country/region.</t>
  </si>
  <si>
    <t>Definitions and Data Zones</t>
  </si>
  <si>
    <t>GNRL-11 and GNRL-12; populated by the Institution's Security Office</t>
  </si>
  <si>
    <t>GNRL-11</t>
  </si>
  <si>
    <t>GNRL-12</t>
  </si>
  <si>
    <t>See Instructions tab for guidance</t>
  </si>
  <si>
    <t>Does your organization conduct an annual test of relocating to an alternate site for business recovery purposes?</t>
  </si>
  <si>
    <t>Do you have a media handling process, that is documented and currently implemented, including end-of-life, repurposing, and data sanitization procedures?</t>
  </si>
  <si>
    <t>Do you have a cryptographic key management process (generation, exchange, storage, safeguards, use, vetting, and replacement), that is documented and currently implemented, for all system components? (e.g. database, system, web, etc.)</t>
  </si>
  <si>
    <t>Does a physical barrier fully enclose the physical space preventing unauthorized physical contact with any of your devices?</t>
  </si>
  <si>
    <t>Are you employing any next-generation persistent threat (NGPT) monitoring?</t>
  </si>
  <si>
    <t>Does your organization have physical security controls and policies in place?</t>
  </si>
  <si>
    <t>Can you share the organization chart, mission statement, and policies for your information security unit?</t>
  </si>
  <si>
    <t>Do you have a systems management and configuration strategy that encompasses servers, appliances, and mobile devices (company and employee owned)?</t>
  </si>
  <si>
    <t>Does your web-based interface support authentication, including standards-based single-sign-on? (e.g. InCommon)</t>
  </si>
  <si>
    <t>Does the process described in DATA-23 adhere to DoD 5220.22-M and/or NIST SP 800-88 standards?</t>
  </si>
  <si>
    <t>Major revision. Visit https://www.educause.edu/hecvat for details.</t>
  </si>
  <si>
    <t>These instructions are for vendors interested in providing the institution with a software and/or a service. 
This worksheet should not be completed by an institution entity. The purpose of this worksheet is for the vendor to submit robust security safeguard information in regards to the product (software/service) being assessed in the institution's assessment process.</t>
  </si>
  <si>
    <t>This section is self-explanatory; product specifics and contact information. GNRL-01 through GNRL-10 should be populated by the Vendor. GNRL-11 and GNRL-12 are for institution use only.</t>
  </si>
  <si>
    <t>Focused on external documentation, the institution is interested in the frameworks that guide your security strategy and what has been done to certify these implementations.</t>
  </si>
  <si>
    <t>The country/region in which an institution is located, including all laws and regulations in-scope within that country/region.</t>
  </si>
  <si>
    <t>Customers from different regions may expect vary protections of data (e.g. GDPR), this is the institution Data Zone. Vendors may handle data differently depending on the country or region where data is stored, this is the Vendor Data Zone.
As a vendor, if your security practices vary based on your region of operation, you may want to populate a HECVAT in the context for each security zone (strategy). That said, institutions from different data zones may still use vendor responses from other state Data Zones. If your security practices are the same across all regions of operations, indicate "All" in your Vendor Data Zone.</t>
  </si>
  <si>
    <t>Example A: If vendor ABC is headquartered and stores data in Canada, and provides services to only customers in Canada, ABC should state "Canada" in both Data Zone fields.
Example B: If vendor ABC is headquartered and stores data in Canada, and additionally provides services to customers in the United Kingdom, ABC may want to assure customers in the United Kingdom that their data is handled properly for their region. In that case, ABC should state "Canada" in the Vendor Data Zone and "United Kingdom" in the institution Data Zone.
Example C: If your security strategy is broad and doesn't fit this statement model, provide a brief summary in each field and the institution's Security Analyst can assess your response.</t>
  </si>
  <si>
    <t>To update data in the Report tabs, click Refresh All in the Menu tab. Input provided in the HECVAT tab is assessed a preliminary score pending institution's Security Analyst review.</t>
  </si>
  <si>
    <r>
      <t xml:space="preserve">The institution conducts Third Party Security Assessments on a variety of third parties. As such, not all assessment questions are relevant to each party. To alleviate complexity, a "qualifier" strategy is implemented and allows for various parties to utilize this common documentation instrument. </t>
    </r>
    <r>
      <rPr>
        <b/>
        <sz val="12"/>
        <color theme="1"/>
        <rFont val="Verdana"/>
        <family val="2"/>
      </rPr>
      <t>Responses to the following questions will determine the need to answer additional questions below</t>
    </r>
    <r>
      <rPr>
        <sz val="12"/>
        <color theme="1"/>
        <rFont val="Verdana"/>
        <family val="2"/>
      </rPr>
      <t xml:space="preserve">. </t>
    </r>
  </si>
  <si>
    <r>
      <rPr>
        <b/>
        <sz val="12"/>
        <color theme="1"/>
        <rFont val="Verdana"/>
        <family val="2"/>
      </rPr>
      <t xml:space="preserve">Step 1: </t>
    </r>
    <r>
      <rPr>
        <sz val="12"/>
        <color theme="1"/>
        <rFont val="Verdana"/>
        <family val="2"/>
      </rPr>
      <t xml:space="preserve">Select the security framework used at your institution in cell B10. </t>
    </r>
    <r>
      <rPr>
        <b/>
        <sz val="12"/>
        <color theme="1"/>
        <rFont val="Verdana"/>
        <family val="2"/>
      </rPr>
      <t xml:space="preserve">Step 2: </t>
    </r>
    <r>
      <rPr>
        <sz val="12"/>
        <color theme="1"/>
        <rFont val="Verdana"/>
        <family val="2"/>
      </rPr>
      <t xml:space="preserve">Convert qualitative vendor responses into quantitative values, starting at cell G37. </t>
    </r>
    <r>
      <rPr>
        <b/>
        <sz val="12"/>
        <color theme="1"/>
        <rFont val="Verdana"/>
        <family val="2"/>
      </rPr>
      <t xml:space="preserve">Step 3: </t>
    </r>
    <r>
      <rPr>
        <sz val="12"/>
        <color theme="1"/>
        <rFont val="Verdana"/>
        <family val="2"/>
      </rPr>
      <t xml:space="preserve">Review converted values, ensuring full population of report. </t>
    </r>
    <r>
      <rPr>
        <b/>
        <sz val="12"/>
        <color theme="1"/>
        <rFont val="Verdana"/>
        <family val="2"/>
      </rPr>
      <t>Step 4:</t>
    </r>
    <r>
      <rPr>
        <sz val="12"/>
        <color theme="1"/>
        <rFont val="Verdana"/>
        <family val="2"/>
      </rPr>
      <t xml:space="preserve"> Move to the Summary Report tab.</t>
    </r>
  </si>
  <si>
    <t>v2.01</t>
  </si>
  <si>
    <t>Minor calculation revision in Summary Report scoring.</t>
  </si>
  <si>
    <t>Cleaned up old question references, added Excel backwards compatibility through named ranges, and fixed analyst report view.</t>
  </si>
  <si>
    <t>Summary Report scoring issues fixed (calculation ranges in the Questions tab, synchronized calculation steps for reporting in both the Full and Lite versions of the HECVAT); Analyst and Summary Report question references returning "#N/A" fixed. No changes to questions - no previous 2.0x version response values are affected.</t>
  </si>
  <si>
    <t>Repaired versioning issues</t>
  </si>
  <si>
    <r>
      <rPr>
        <b/>
        <sz val="12"/>
        <color theme="1"/>
        <rFont val="Verdana"/>
        <family val="2"/>
      </rPr>
      <t xml:space="preserve">Step 1: </t>
    </r>
    <r>
      <rPr>
        <sz val="12"/>
        <color theme="1"/>
        <rFont val="Verdana"/>
        <family val="2"/>
      </rPr>
      <t xml:space="preserve">Complete the </t>
    </r>
    <r>
      <rPr>
        <i/>
        <sz val="12"/>
        <color theme="1"/>
        <rFont val="Verdana"/>
        <family val="2"/>
      </rPr>
      <t>Qualifiers</t>
    </r>
    <r>
      <rPr>
        <sz val="12"/>
        <color theme="1"/>
        <rFont val="Verdana"/>
        <family val="2"/>
      </rPr>
      <t xml:space="preserve"> section first. </t>
    </r>
    <r>
      <rPr>
        <b/>
        <sz val="12"/>
        <color theme="1"/>
        <rFont val="Verdana"/>
        <family val="2"/>
      </rPr>
      <t xml:space="preserve">Step 2: </t>
    </r>
    <r>
      <rPr>
        <sz val="12"/>
        <color theme="1"/>
        <rFont val="Verdana"/>
        <family val="2"/>
      </rPr>
      <t xml:space="preserve">Complete each section answering each set of questions in order from top to bottom; the built-in formatting logic relies on this order. </t>
    </r>
    <r>
      <rPr>
        <b/>
        <sz val="12"/>
        <color theme="1"/>
        <rFont val="Verdana"/>
        <family val="2"/>
      </rPr>
      <t xml:space="preserve">Step 3: </t>
    </r>
    <r>
      <rPr>
        <sz val="12"/>
        <color theme="1"/>
        <rFont val="Verdana"/>
        <family val="2"/>
      </rPr>
      <t>Submit the completed Higher Education Community Vendor Assessment Toolkit (HECVAT) to the Institution according to institutional procedures.</t>
    </r>
  </si>
  <si>
    <t>Higher Education Community Vendor Assessment Toolkit - Change Log</t>
  </si>
  <si>
    <t xml:space="preserve">Use this reference guide to assess vendor responses in relation to your institution's environment. The context of HECVAT questions can change, depending on implementation specifics so these recommendations and follow-up response are not exhaustive and are meant to improve assessment and report capabilities within your institution's security/risk assessment program. 
Analyst tip #1: For any answer that is deem "non-compliant" by your institution, ask the vendor if there is a timeline for implementation, a sincere commitment to customer development engagement, and/or possible implementation of compensating control(s) that offsite the risks of another component.
Analyst tip #2: If a vendor's response to a follow-up inquiry is vague or seems off-point or dismissive, respond back to the vendor contact with clear expectations for a response. Responses that fail to meet expectations thereafter should be negatively assessed based on your institution's risk tolerance and the criticality of the data involved.
Analyst tip #3: The most important tip - reject a HECVAT from a vendor if; the vendor provides the institution with a insufficiently populated HECVAT; or the vendor responses are vague and/or do not answer questions directly; or significant discrepancies are found, making the HECVAT difficult to assess. </t>
  </si>
  <si>
    <t>Reason for Question</t>
  </si>
  <si>
    <t>Follow-up Inquiries/Responses</t>
  </si>
  <si>
    <t xml:space="preserve">Qualifier responses are meant to set the response requirements for a vendor and the intended use case. Since responses to these questions can make some question sections optional, vendors often answer sections partially, if they have the proper documentation. Depending on the security program maturity and risk tolerance of your institution, not all vendor responses will be relevant. </t>
  </si>
  <si>
    <t>This qualifier determines the presence of PHI in the solution and sets the HIPAA section as required appropriately.</t>
  </si>
  <si>
    <t>Reference the HIPAA section for follow-up review.</t>
  </si>
  <si>
    <t>Reference the Third Parties section for follow-up review.</t>
  </si>
  <si>
    <t>This qualifier determines the existence of a complete, fully-populated BCP, maintained by the vendor, and sets the Business Continuity Plan  section as required appropriately.</t>
  </si>
  <si>
    <t>Reference the Business Continuity Plan section for follow-up review.</t>
  </si>
  <si>
    <t>This qualifier determines the existence of a complete, fully-populated DRP, maintained by the vendor, and sets the Business Continuity Plan  section as required appropriately.</t>
  </si>
  <si>
    <t>Reference the Disaster Recovery Plan section for follow-up review.</t>
  </si>
  <si>
    <t>This qualifier determines the presence of PCI DSS in the solution and sets the PCI DSS section as required appropriately.</t>
  </si>
  <si>
    <t>Reference the PCI DSS section for follow-up review.</t>
  </si>
  <si>
    <t>Reference the Consulting section for follow-up review.</t>
  </si>
  <si>
    <t>Standard documentation, relevant to institutions requiring a vendor to undergo SSAE 16 audits.</t>
  </si>
  <si>
    <t xml:space="preserve">Follow-up inquiries for SSAE 16 content will be institution/implementation specific. </t>
  </si>
  <si>
    <t>Many vendors have populated a CAIQ or at least a self-assessment. Although lacking in some areas important to Higher Ed, these documents are useful for supplemental assessment.</t>
  </si>
  <si>
    <t>Follow-up inquiries for CSA content will be institution/implementation specific.</t>
  </si>
  <si>
    <t>If a vendor is STAR certified, vendor responses can theoretically be more trusted since CSA has verified their responses. Trust, but verify for yourself, as needed.</t>
  </si>
  <si>
    <t>The details of the standard are not the focus here, it is the fact that a vendor builds their environment around a standard and that they continually evaluate and assess their security programs.</t>
  </si>
  <si>
    <t>In an ideal world, a vendor will conform to an industry framework that is adopted by an institution. When this synergy does not exist, the interpretation of the vendor's responses must be interpreted in the context of the institution's environment. Follow-up inquires for industry frameworks (and levels of adoption) will be institution/implementation specific.</t>
  </si>
  <si>
    <t xml:space="preserve">For institutions that collaborate with the United States government, FISMA compliance may be required. </t>
  </si>
  <si>
    <t xml:space="preserve">Follow-up inquiries for FISMA compliance will be institution/implementation specific. </t>
  </si>
  <si>
    <t>Inquire about any privacy language the vendor may have. It may not be ideal but there may be something available to assess or enough to have your legal counsel or policy/privacy professionals review.</t>
  </si>
  <si>
    <t>Defining scale of company (support, resources, skillsets), General information about the organization that may be concerning.</t>
  </si>
  <si>
    <t>Follow-up responses to this one are normally unique to their response. Vague answers here usually result in some footprinting of a vendor to determine their "reputation".</t>
  </si>
  <si>
    <t>We want to establish longevity of a solution and whether or not a vendor is new to the HE space.</t>
  </si>
  <si>
    <t>Higher Ed is a unique vertical. A vendor's response to this question can help an analyst set the context for all vendor responses. Established and/or mature software/product/services are more likely to have current Higher Ed customers, and therefore understand the environment that we operate in.</t>
  </si>
  <si>
    <t>A simple "Yes" without any references or supporting information should be questioned. Question the size of institutions that are using the software/product/service and the scope of their implementations.</t>
  </si>
  <si>
    <t xml:space="preserve">We want transparency from the vendor and an honest answer to this question, regardless of the response, is a good step in building trust. </t>
  </si>
  <si>
    <t>If a vendor says "No", it is taken at face value. If you organization is capable of conducting reconnaissance, it is encouraged. If a vendor has experienced a breach, evaluate the circumstance of the incident and what the vendor has done in response to the breach.</t>
  </si>
  <si>
    <t>Understanding the security program size (and capabilities) of a vendor has a significant impact on their ability to respond effectively to a security incident. The size of a vendor will determine their SO size, or lack thereof. Use the knowledge of this response when evaluating other vendor statements.</t>
  </si>
  <si>
    <t>Vague responses to this question should be investigated further. Vendors without dedicated security personnel commonly have no security or security is embedded or dual-homed within operations (administrators). Ask about separation of duties, principle of least privilege, etc. - there are many ways to get additional program state information from the vendor.</t>
  </si>
  <si>
    <t>Understanding the development team size (and capabilities) of a vendor has a significant impact on their ability to produce and maintain code, adhering to secure coding best practices. The size of a vendor will determine their use of dedicated development teams, or lack thereof. Use the knowledge of this response when evaluating other vendor statements.</t>
  </si>
  <si>
    <t>Follow-up inquiries for vendor team strategies will be unique to your institution and may depend on the underlying infrastructures needed to support a system for your specific use case.</t>
  </si>
  <si>
    <t>This is a freebie to help the vendor state their "case". If a vendor does not add anything here (or it is just sales stuff), we can assume it was filled out by a sales engineer and questions will be evaluated with higher scrutiny.</t>
  </si>
  <si>
    <t xml:space="preserve">Vague responses to this question should be investigated further. Vendors without documentation in relation to how they deal with other vendors is alarming. </t>
  </si>
  <si>
    <t>Who, what, why - that simple. If a vendor is sharing institutional data with another party, it is expected that the vendor performs their due diligence when assessing their vendors.</t>
  </si>
  <si>
    <t>Insight into legal protections for the institution and its data are the focus of this question. Understanding all stakeholder's contractual responsibilities should be clearly stated by the vendor.</t>
  </si>
  <si>
    <t>Follow-up inquiries in regards to contracts will be institution/implementation specific.</t>
  </si>
  <si>
    <t>This is an open-ended question to allow the vendor to state the actions of their due diligence, as it pertains to safeguarding institutional data.</t>
  </si>
  <si>
    <t>Vague responses to this question should be investigated further. If the vendor's effort to ensure transparency falls short, there may be a reason.</t>
  </si>
  <si>
    <t>Follow-up inquiries for on-premise consulting details will be institution/implementation specific.</t>
  </si>
  <si>
    <t>This question is very much about what level of network access is needed by these external consultants as it is anything else. If all that is needed is a web connection, then even simple, on-premise access to a guest network can be considered. But if it requires connectivity to a highly protected resource (for example: A database server on an isolated VLAN and only accepting traffic from a specific front end), then the consultant may need to be given access to a data center's network. Again, the purpose here is to determine what level of access is enough and what controls to put in place to secure that access.</t>
  </si>
  <si>
    <t>Follow-up inquiries for on-premise consultant resource requirements will be institution/implementation specific.</t>
  </si>
  <si>
    <t xml:space="preserve">This normally is interpreted as "Does the consultant need to connect to our servers in our machine room(s)?". But, it can mean other things too. The real deeper question is, what protected resources does this consultant need to access? And why? For example: It would be unusual for an application developer to need access to a router or switch, so if that is requested, it should be questioned to see if it's reasonable. </t>
  </si>
  <si>
    <t xml:space="preserve">The consultant(s) should be asked for specifics. Example: Do you need access to only the database, or also the front-end? Do you need firewall adjustments? The goal is to ask questions designed around determining what the least level of access is that will allow the consultants to complete their work. </t>
  </si>
  <si>
    <t xml:space="preserve">There are occasions where a consultant needs to access a system in the same way the institution's users access it. This is most often seen in cases where code is being developed, but other scenarios exist. The answer to this question lets the institution know whether they need to alert their identity management team to provision an account for this consultant. </t>
  </si>
  <si>
    <t>Ask the vendor for the reasoning for this requirement. Establish the length (time) of account use. Establish clear expectations for account use. Confirm the sponsor arrangement and ensure protections are in-place for this authorization.</t>
  </si>
  <si>
    <t xml:space="preserve">Certain types of data are subject to either industry or regulatory standards. This question is designed to ensure that the contracted consultants do understand the requirements for handling those classes of data. Or, if they do not, then to give the institution time to implement another control or mitigation (for example: A training course assembled by the institution. Or contract terms designed to protect the institution by requiring that a contractor follow a specific standard). </t>
  </si>
  <si>
    <t>Follow-up inquiries for consultant training will be institution/implementation specific.</t>
  </si>
  <si>
    <t>The need for encryption at-rest is unique to your institution's implementation of a system. In particular, system components, architectures, and data flows, all factor into the need for this control.</t>
  </si>
  <si>
    <t>Follow-up inquiries for consultant possessed data encryption at-rest will be institution/implementation specific.</t>
  </si>
  <si>
    <t>Telecommuting in the IT world is common - an institution should know that proper safeguards are in place, if remote access is allowed. Vendor responses vary greatly on this so confirm the context of the response if it is not clear. Many cloud services can only be managed remotely so there is often a gray area to interpret for this response.</t>
  </si>
  <si>
    <t>Ask the vendor to summarize the reasoning behind this business process and request additional documentation that outlines the security controls implemented to safeguard institutional data.</t>
  </si>
  <si>
    <t>Restricting access to the least number of sources is a best-practice at the focus of this question. If consultants will access institution's data from a static location, ideally the access is restricted to that static location. Based on the institution's environment, data sensitivity, and detective/preventive capabilities, the response to this question may or may not be relevant.</t>
  </si>
  <si>
    <t>Follow-up inquiries for firewall rules and access control lists will be institution/implementation specific.</t>
  </si>
  <si>
    <t>Ask the vendor to summarize the best practices to restrict/control the access given to the institution's end-users without the use of RBAC. Make sure to understand the administrative requirements/overhead introduced in the vendor's environment.</t>
  </si>
  <si>
    <t>Ask the vendor to summarize the best practices for securing their system(s) administratively without the use of RBAC. Make sure to understand the administrative requirements/overhead introduced in the vendor's environment.</t>
  </si>
  <si>
    <t>Many systems can be used a variety of ways. We want these implementation type diagrams so that we can understand the "real" use of the product.</t>
  </si>
  <si>
    <t xml:space="preserve">Input validation is a secure coding best practices so confirming its implementation is normally a high priority. Error messages (to the system and user) can be used to detect abnormal use and to better protect institutional data. Depending on the criticality of data and the flow of said data, an institution's risk tolerance will be unique to their environment. </t>
  </si>
  <si>
    <t>Inquire about any planned improvements to these capabilities. Ask about their product(s) roadmap and try to understand how they prioritize security concerns in their environment.</t>
  </si>
  <si>
    <t>A vendor's response to this question can reveal a system's infrastructure quickly. Off-point responses are common here so general follow-up is often needed. Understanding how a vendor segments its customers data (or doesn't) affects various other controls, including network settings, use of encryption, access, etc.). A vendor's response here will influence potential follow-up inquiries for other HECVAT questions.</t>
  </si>
  <si>
    <t>Vendor responses to this question provides clarity on environment constraints that may exist and/or influence future development, configurations, infrastructure, etc. Although the vendor response may not directly affect end-users, the risks of the underlying infrastructure is better understood.</t>
  </si>
  <si>
    <t>Follow-up inquiries for operating systems leveraged by the vendor will be institution/implementation specific.</t>
  </si>
  <si>
    <t>Follow-up inquiries concerning supplemental software/products will be institution/implementation specific.</t>
  </si>
  <si>
    <t xml:space="preserve">A picture is worth a thousand words. Diagrams improve transparency of the vendor's infrastructure and allows the institution to more accurately assess potential risks in a vendor's environment. Vendor's with mature infrastructures are expected to have detailed diagrams for all components of their system(s). </t>
  </si>
  <si>
    <t>The use of n-tier architectures is best-practice, providing additional options to strength security controls. Segregating institutional data from front-end (public) systems in expected.</t>
  </si>
  <si>
    <t>Follow-up inquiries for n-tier infrastructure details will be institution/implementation specific.</t>
  </si>
  <si>
    <t>The vendor's response to this question may reveal the need to ask additional follow-up questions to other responses.</t>
  </si>
  <si>
    <t>Verify if the vendor's infrastructure is constrained by a technology or if it is a best practice that is not adopted. Ask about the vendor's future support roadmap.</t>
  </si>
  <si>
    <t>User location data is a significant privacy and safety concern for individuals. Understanding a systems use and storage of user geolocation data is important.</t>
  </si>
  <si>
    <t xml:space="preserve">Vague responses to this question should be met with concern. Repeat the question if first answer insufficiently - ask pointedly to ensure the vendor is not misunderstood. </t>
  </si>
  <si>
    <t xml:space="preserve">The focus of this question is privilege creep, a situation where employees gain access privileges as they move within an organization, but privileges that they were given in previous roles are not removed. This can lead to situations were an individual has concurrent access to systems that should not be allowed. </t>
  </si>
  <si>
    <t xml:space="preserve">Ask the vendor how administrator accounts are protected. Ask for documentation for their onboarding and offboarding procedures for new staff. </t>
  </si>
  <si>
    <t xml:space="preserve">The focus of this question is availability. When moving to off-premise solutions, many controls and strategies implemented on-site are no longer relevant to the security of the solution. </t>
  </si>
  <si>
    <t>Follow-up inquiries for tertiary services will be institution/implementation specific.</t>
  </si>
  <si>
    <t>This question is primarily focused on account management capabilities that are built into a system. Although aging is not always required, a system that lacks commodity functionality may be lacking in other areas as well. Use the vendor's response to this question as a way to pivot to other questions, as needed.</t>
  </si>
  <si>
    <t>The value of this question depends on your institution's policy on passwords, its use of 2FA, or any number of factors. Follow-ups for this question are unique to the institution.</t>
  </si>
  <si>
    <t>Many institutions have policy focused on passwords/passphrases and this question confirms the capacity of a vendor's software/product/service to comply.</t>
  </si>
  <si>
    <t>Follow-up inquiries for password/passphrase complexity requirements will be institution/implementation specific.</t>
  </si>
  <si>
    <t>Follow-up inquiries for password/passphrase limitations and/or restrictions will be institution/implementation specific.</t>
  </si>
  <si>
    <t xml:space="preserve">Account management can be a time-consuming part of an information system. Account reset capabilities, built into a system, can reduce burden on institutional support services. </t>
  </si>
  <si>
    <t>Ask the vendor how end-users will be supported. Ask for training documentation or knowledgebase content. Confirm vendor and institution responsibilities in this support area (and others).</t>
  </si>
  <si>
    <t>If a vendor indicates that a system is standalone and cannot integrate with community standards, follow-up with maturity questions and ask about other commodity type functions or other system requirements your institution may have.</t>
  </si>
  <si>
    <t xml:space="preserve">The response to this question can reveal the use (or not) of coding best-practices. If passwords/passphrases are hard coded into systems/productions, the vendor should provide robust details supporting why this is required. </t>
  </si>
  <si>
    <t>Vague responses to this question should be met with concern. Repeat the question if first answer insufficiently - ask pointedly to ensure the vendor is not misunderstood.</t>
  </si>
  <si>
    <t>Vendor responses to this question provides insight into account management, authorization scope, data integrity, etc. of system administrators. Use the vendor's response to provide context for other responses.</t>
  </si>
  <si>
    <t>Follow-up inquiries for administration module authorization will be institution/implementation specific.</t>
  </si>
  <si>
    <t>The focus of this question is confidentiality. Straight-forward question confirming the encryption of user authentication details.</t>
  </si>
  <si>
    <t xml:space="preserve">2FA/MFA, implemented correctly, strengthens the security state of a system. 2FA/MFA is commonly implemented and in many use cases, a requirement for account protection purposes. </t>
  </si>
  <si>
    <t>Ask the vendor about hardware and software options, future roadmap for implementations and support, etc.</t>
  </si>
  <si>
    <t>If a vendor indicates that a system is standalone and cannot integrate with the institution's infrastructure, follow-up with maturity questions and ask about other commodity type functions or other system requirements your institution may have.</t>
  </si>
  <si>
    <t>This is a follow-up to the questions above. Although a system may support authentication integrations, they may or may not be used on systems that store institutional data. Verify the use of authentication methods/functions in all parts of a system.</t>
  </si>
  <si>
    <t>Ask for diagrams or other documentation that clearly shows what protections/systems are used and where and when they are used. The detail of inquiry will be based on the institutions risk tolerance and criticality of data.</t>
  </si>
  <si>
    <t xml:space="preserve">The purpose of this question is understand the vendor's authentication infrastructure so that additional questions can be formulated for the institution's use case. </t>
  </si>
  <si>
    <t>The content of this response may or may not have value for the type of use case on the institution. Follow-up inquiries for authentication modes will be institution/implementation specific.</t>
  </si>
  <si>
    <t>Strong logging capabilities are vital to the proper management of a system. Implementing an immature system that lacks sufficient logging capabilities exposes an institution to great risk. Depending on your risk tolerance and the use case, your institution may or may not be concerned. The focus of this question is end-user logs.</t>
  </si>
  <si>
    <t>If a weak response is given to this answer, it is appropriate to ask directed answers to get specific information. Ensure that questions are targeted to ensure responses will come from the appropriate party within the vendor.</t>
  </si>
  <si>
    <t>There are multiple components of this question - when assessing, ensure that the vendor responds to them all. Logs that are not properly managed may not be available when needed. The purpose of this question is to ensure that the vendor has a proper security mindset to ensure proper monitoring practices.</t>
  </si>
  <si>
    <t>Follow-up inquiries for logging details will be institution/implementation specific.</t>
  </si>
  <si>
    <t>A vendor may have a number of BCP elements defined so the vendor's response may not be binary. Assess the components of the plan and ask about timelines, follow-up commitments, etc. 
If the vendor does not have a BCP, point them to https://www.sans.org/reading-room/whitepapers/recovery/business-continuity-planning-concept-operations-1653</t>
  </si>
  <si>
    <t>If the vendor states "No", you can ask for a summary, white paper, or blog. If unable to review the full plan, infer what you can from other BCP question responses.</t>
  </si>
  <si>
    <t>Follow-up inquiries for BCP responsible parties will be institution/implementation specific.</t>
  </si>
  <si>
    <t>Notification expectations should be set early in the contract/assessment process. Timelines, correspondence medium, and playbook details are all aspects to keep in mind when assessing this response.</t>
  </si>
  <si>
    <t>If the vendor's response does not cover the details outlined in the reasoning, follow-up and get specific responses for each, as needed.</t>
  </si>
  <si>
    <t>It is expected that a vendor will maintain an accurate BCP to be tested at a regular interval. Any variance to this should be clearly explained. A vendor's response to this question can reveal the value that they place on testing their BCP (and possibly other aspects of their programs).</t>
  </si>
  <si>
    <t>If the vendor does not have a BCP, point them to https://www.sans.org/reading-room/whitepapers/recovery/business-continuity-planning-concept-operations-1653</t>
  </si>
  <si>
    <t>If a vendor's BCP training and awareness activities are insufficient, inquire about other mandatory training, verify its scope, and confirm the training cycles.</t>
  </si>
  <si>
    <t>As it relates to BCPs, a vendor's response will provide insight into their ability to properly response to business threats. A vendor that has not previously defined responsible parties and outlined realistic plans may not maintain the availability needed for the institution's use case or business requirement.</t>
  </si>
  <si>
    <t>Follow-up inquiries for BCP roles and responsibility details will be institution/implementation specific.</t>
  </si>
  <si>
    <t>In the event that a vendor's headquarters (primary location of operation) is no longer usable, an alternative business site may be needed to support business operations. Having an established (planned) alternative business site show maturity in a vendor's BCP.</t>
  </si>
  <si>
    <t>Follow-up inquiries for alternative business site practices will be institution/implementation specific.</t>
  </si>
  <si>
    <t xml:space="preserve">The purpose of this question is understand the vendor's order of response if affected by a unplanned business disruption. If the software/product/service being assessed is a vendor's core moneymaker, the probability that restoration of the software/product/service will be top priority. </t>
  </si>
  <si>
    <t>If it is not a core service, follow-up questions should be availability focused and institution/implementation specific.</t>
  </si>
  <si>
    <t>The lack of a Change Management program is indicative of immature program processes - answers to this question can provide insight into how well their responses (on the HECVAT) represent their actual environment(s).</t>
  </si>
  <si>
    <t>If a weak response is given to this answer, response scrutiny should be increased. Questions about configuration management, system authority, and documentation are appropriate.</t>
  </si>
  <si>
    <t>This question outlines a mature Change Management process.  Changes should be analyzed for impact, officially approved, tested, and performed by authorized users.</t>
  </si>
  <si>
    <t>If the vendor's response does not cover the details outlined in the reasoning, follow-up and get specific responses, as needed.</t>
  </si>
  <si>
    <t>Notification expectations should be set earlier in the contract/assessment process. Timelines, correspondence medium, and playbook details are all aspects to keep in mind when assessing this response.</t>
  </si>
  <si>
    <t>Follow-up inquiries for software/product/service version releases will be institution/implementation specific.</t>
  </si>
  <si>
    <t xml:space="preserve">Supporting multiple versions of a product is challenging. Understanding the vendor’s strategy and resources will provide insight into their ability to adequately support their customers.  </t>
  </si>
  <si>
    <t>Follow-up inquiries for the vendor’s support of concurrent versions will be institution/implementation specific.</t>
  </si>
  <si>
    <t xml:space="preserve">This question shows how easy it is for customers to upgrade from one version of the software to the next. If the software has many interdependencies, it will be difficult for customers to transition to the next version, and the software will be more difficult to support.  </t>
  </si>
  <si>
    <t xml:space="preserve">The vendor's software/product/service characteristics and the institution's use case will determine the relevancy of this question. The purpose of this question is to understand the underlying infrastructure and how it is maintained across all customers. </t>
  </si>
  <si>
    <t xml:space="preserve">Understanding the vendor’s approach to approving software for production will indicate the value they place on quality assurance. </t>
  </si>
  <si>
    <t>If a weak response is given to this answer, response scrutiny should be increased. Questions about software testing and reviews are appropriate.</t>
  </si>
  <si>
    <t xml:space="preserve">Answers to this question will reveal the vendor’s ability to plan in the short term.  This is valuable information for customers so they can anticipate updates and potential bug fixes. </t>
  </si>
  <si>
    <t>Follow-up inquiries for the vendor’s product update practices will be institution/implementation specific.</t>
  </si>
  <si>
    <t>Answers to this question will reveal the vendor’s ability to plan for the future of their product.</t>
  </si>
  <si>
    <t>Follow-up inquiries for the vendor’s technology planning practices will be institution/implementation specific.</t>
  </si>
  <si>
    <t>Vague responses to this question should be investigated further. Ask for additional documentation for customer responsibilities (in the context of information technology/security).</t>
  </si>
  <si>
    <t>Answers to this question will reveal the vendor’s knowledge of their IT assets and their ability to respond to notifications about their systems and software.</t>
  </si>
  <si>
    <t>Follow-up inquiries for the vendor’s patching practices will be institution/implementation specific.</t>
  </si>
  <si>
    <t>Follow-up inquiries for the vendors patching practices will be institution/implementation specific.</t>
  </si>
  <si>
    <t>Restricting system updates to a standard maintenance timeframe is important for ensuring that changes to production systems do not impact operations.  It’s also important for troubleshooting any problems that may occur as a result of the changes.</t>
  </si>
  <si>
    <t xml:space="preserve">In the context of the CIA triad, this question is focused on system integrity, ensuring that system changes are only executed by authorized users. In the event of emergency changes, accountability and post-action review is expected. </t>
  </si>
  <si>
    <t>Follow-up with a robust question set if a vendor cannot clearly state full-control of the integrity of their system(s).</t>
  </si>
  <si>
    <t>Follow-up inquiries for the vendors infrastructure will be institution/implementation specific.</t>
  </si>
  <si>
    <t>Systems that are directly exposed to public internet resources are at great risk than those that are not. Understanding the requirements for this configuration is important, particularly when assessing compensating controls.</t>
  </si>
  <si>
    <t>Ask the vendor about their infrastructure and if there is a solution that eliminates the need for this environment.</t>
  </si>
  <si>
    <t>The need for encryption in transport is unique to your institution's implementation of a system. In particular, the data flow between the system and the end-users of the software/product/service.</t>
  </si>
  <si>
    <t>Follow-up inquiries for data encryption between the system and end-users will be institution/implementation specific.</t>
  </si>
  <si>
    <t>Follow-up inquiries for data encryption at-rest will be institution/implementation specific.</t>
  </si>
  <si>
    <t>Beware the use of proprietary encryption implementations. Open standard encryption, preferably mature, is often preferred. Although there may be cases if which that is not the case, be sure to understand the vendor's infrastructure and the true security of a vendor's solution.</t>
  </si>
  <si>
    <t xml:space="preserve">If the vendor cannot accommodate open standards encryption requirements, direct them to NIST's Cryptographic Standards and Guidelines document at https://csrc.nist.gov/Projects/Cryptographic-Standards-and-Guidelines </t>
  </si>
  <si>
    <t xml:space="preserve">The need for encryption in transport is unique to your institution's implementation of a system. In particular, system components, architectures, and data flows, all factor into the need for this control. Ensure that vendor responses cover encryption between the hosts within their system - this is the important piece that follows-up on DATA-03.	</t>
  </si>
  <si>
    <t>Follow-up inquiries for data encryption within the system components (and end-users) will be institution/implementation specific.</t>
  </si>
  <si>
    <t>Data exposure is a risk if sensitive data is in any way transported (physically or electronically) into a Data Zone that is not authorized by the institution. Depending on the criticality of data and institution policy, full control of data confidentiality may be highly valued.</t>
  </si>
  <si>
    <t>Follow-up inquiries for data location details will be institution/implementation specific.</t>
  </si>
  <si>
    <t>A vendor's response should be clear and concise. Be wary of vague responses to this questions and inquire about export specifics, as needed.</t>
  </si>
  <si>
    <t>This question clarifies the operating model of a vendor and provides insight into the vendor-customer paradigm of a company. Knowing if the institution is of value to a vendor or if the institution's data is of value to a vendor should weigh heavily in the decision-making process.</t>
  </si>
  <si>
    <t>If a vendor's response is unsatisfactory, engage institutional counsel to appropriately address any ownership concerns.</t>
  </si>
  <si>
    <t>This question clarifies the position of the institution in the case of acquisition or bankruptcy. Expect clear responses to this question - if vague, be sure to follow-up based on institutional counsel guidance.</t>
  </si>
  <si>
    <t>This is a general inquiry about backup processes. There may be some overlap with other vendor responses - this is a good place to crosscheck consistency and valid any issues that are not clear.</t>
  </si>
  <si>
    <t>Follow-up inquiries for server backup process details will be institution/implementation specific.</t>
  </si>
  <si>
    <t>Restricting system updates to a standard maintenance timeframe is important for ensuring that changes to production systems do not impact operations.  It’s also important for troubleshooting any problems that may occur as a result of the changes. Availability is the focus of this question.</t>
  </si>
  <si>
    <t>An institution's use case will drive the requirements for backup strategy. Ensure that the institution's use case and risk tolerance can be met by vendor systems.</t>
  </si>
  <si>
    <t>Confidentiality of data and lifecycle media/data maintenance maturity are the focus of this question. Data retention requirements vary greatly and this question seeks clarity of vendor practices.</t>
  </si>
  <si>
    <t>Follow-up inquiries for data backup (and retention) details will be institution/implementation specific.</t>
  </si>
  <si>
    <t>The need for encryption at-rest (for backups) is unique to your institution's implementation of a system. In particular, system components, architectures, and data flows, all factor into the need for this control.</t>
  </si>
  <si>
    <t>Follow-up inquiries for data backup encryption at-rest will be institution/implementation specific.</t>
  </si>
  <si>
    <t>Follow-up with the vendor to ensure that all components of the system are consider. This includes, system-to-system, system-to-client, applications, system accounts, etc.</t>
  </si>
  <si>
    <t>The purpose of this question is to define the scope of backup operations and the scope at which a vendor may readily recover when backup restoration is required.</t>
  </si>
  <si>
    <t>Follow-up inquiries for backup content scope will be institution/implementation specific.</t>
  </si>
  <si>
    <t>Follow-up inquiries for offsite, digital backups will be institution/implementation specific.</t>
  </si>
  <si>
    <t xml:space="preserve">When data is moved physically (e.g. HDD, print, etc.) offsite, the policies and implemented procedures are important to know. Unencrypted data taken outside secured areas introduces unnecessary risks. </t>
  </si>
  <si>
    <t>Follow-up inquiries for offsite, physical backups will be institution/implementation specific.</t>
  </si>
  <si>
    <t>Data exposure is a risk if sensitive data is in any way transported (physically or electronically) into a data zone that is not authorized by the institution. Depending on the criticality of data and institution policy, full control of data confidentiality may be highly valued.</t>
  </si>
  <si>
    <t>Follow-up inquiries for data backup procedures/practices will be institution/implementation specific.</t>
  </si>
  <si>
    <t xml:space="preserve">Managing media (and the data within) throughout its lifecycle is crucial to the protection of institutional data. The focus of this question is confidentiality, ensuring that media that may store institutional data is protected by well-established policy and procedure. </t>
  </si>
  <si>
    <t>Vague responses to this question should be investigated further. Ask for additional documentation and verify that procedure (and possibly training) exists to ensure proper media handling activity.</t>
  </si>
  <si>
    <t>Follow-up inquiries for DoD 5220.22-M and/or SP800-88 standards will be institution specific.</t>
  </si>
  <si>
    <t>Follow-up inquiries for data retention details will be institution/implementation specific.</t>
  </si>
  <si>
    <t>Standard documentation, relevant to institution implementations requiring FERPA compliance.</t>
  </si>
  <si>
    <t>Follow-up inquiries for FERPA compliance details will be institution/implementation specific.</t>
  </si>
  <si>
    <t>If institutional data is visible by [vendor] system administrators, follow-up with the vendor to understand the scope of visibility, process/procedure that administrators follow, and use cases when administrators are allowed to access (view) institutional data.</t>
  </si>
  <si>
    <t>Follow-up inquiries for database field encryption will be institution/implementation specific. Questions may include a timeline for this capability, performance metrics, and/or architectures that compensate for this level of encryption granularity.</t>
  </si>
  <si>
    <t>Confidentiality is the focus of this question. Vendor responses to this question should be well-supported. Ensure that the vendor provides sufficient supporting documentation, as needed, to ensure that the vendor properly implements encryption in their database(s).</t>
  </si>
  <si>
    <t>Dismissive or vague responses should be met with concern. Follow-up questions can include the reasoning behind not using encryption, recommendations for best-practice implementation (i.e. think diagrams), and/or any timeline for implementing this capability in the software/product/service.</t>
  </si>
  <si>
    <t xml:space="preserve">Data ownership, availability, and the use of third-parties are all somewhat connected to the response of this question. </t>
  </si>
  <si>
    <t>Simple responses without supporting documentation should be me with concern. Follow-up with a vendor and request supporting documentation if the answer is in any way dismissive or off-point.</t>
  </si>
  <si>
    <t>This question is relative to the response above. Understanding the ownership structure of the facility that will host institutional data is important for setting availability expectations and ensure proper contract terms are in place to protect the institution due to use of third-parties. If a vendor uses a third-party vendor to provide datacenter solutions, having that vendor's SOC 2 Type 2 provides additional insight. The ability to assess these "forth-party" vendors is based on your institution's resources. The vendor is responsible for providing this information - ensure that they handle their vendors properly.</t>
  </si>
  <si>
    <t>Follow-up inquiries for additional vendor's SOC 2 Type 2 reports will be institution/implementation specific.</t>
  </si>
  <si>
    <t xml:space="preserve">Vendors that operate their own datacenter(s) can implement their own monitoring strategy. Use the vendor's response to this questions to verify/validate other responses related to ownership/co-location/physical security. </t>
  </si>
  <si>
    <t>Follow-up inquiries for data center staffing will be institution/implementation specific.</t>
  </si>
  <si>
    <t>The purpose of this question is to confirm ownership and physical characteristics of the infrastructure responsible for storing/hosting institutional data.</t>
  </si>
  <si>
    <t>Ask about sharing agreements. Ask about vetting of individuals with access to the co-location space. Ask about access controls, policies, physical environments, etc.</t>
  </si>
  <si>
    <t xml:space="preserve">This question is primarily focused on system integrity. If institutional data is stored in a system that is not physically secured from unauthorized access, the need for compensating controls is often higher. Depending on the use case or vendor infrastructure, this may not be relevant. </t>
  </si>
  <si>
    <t>Follow-up inquiries for system physical security will be institution/implementation specific.</t>
  </si>
  <si>
    <t xml:space="preserve">Network configuration requirements vary greatly and this question give vendor's the chance to summarize their system's network infrastructure. Review the vendor's response to this question and then reassess other infrastructure components or other vendor response's that may be affected by the network infrastructure described in this response. </t>
  </si>
  <si>
    <t>Standalone solutions will require follow-up questions similar to onsite consulting. SaaS solutions that are hosted in IaaS environments will have network segments and configurations appropriate for that environment. Follow-up questions will be platform/environment specific.</t>
  </si>
  <si>
    <t>Follow-up inquiries for datacenter location details will be institution/implementation specific.</t>
  </si>
  <si>
    <t>Geographic diversity is ideal when planning primary and secondary datacenters. The focus of this question is to determine appropriate geographic diversity to meet the availability requirements of the institution.</t>
  </si>
  <si>
    <t>Inquire about future plans, backup plans for the backup plan, etc. Availability is the name of the game - focus on the needs of the institution, especially BCP and DRP elements.</t>
  </si>
  <si>
    <t>Follow-up inquiries for co-location contracts will be institution/implementation specific.</t>
  </si>
  <si>
    <t>Follow-up inquiries for Uptime Institute Tier Level details will be institution/implementation specific.</t>
  </si>
  <si>
    <t xml:space="preserve">In the context of the CIA triad, this question is focused on the availability of a system (or set of systems). </t>
  </si>
  <si>
    <t>The weight placed on the vendor's response will be specific to the institution's use case and software/product/service requirements.</t>
  </si>
  <si>
    <t>Installing [potential] redundant power and regularly testing strategies to ensure they will work when needed are very different. Vague responses to this question should be met with concern and appropriate follow-up, based on your institutions risk tolerance.</t>
  </si>
  <si>
    <t>Follow-up inquiries for redundant power testing details will be institution/implementation specific.</t>
  </si>
  <si>
    <t>Vendor responses will indicate the environment of the vendor's datacenter. If a vendor's "datacenter" is the spare closet at the office, additional risks are introduced to the CIA triad, and should be followed-up on appropriately.</t>
  </si>
  <si>
    <t>Follow-up inquiries for cooling and fire suppression details will be institution/implementation specific.</t>
  </si>
  <si>
    <t>A vendor may have a number of BCP elements defined so the vendor's response may not be binary. Assess the components of the plan and ask about timelines, follow-up commitments, etc. If the vendor does not have a DRP, point them to https://www.sans.org/reading-room/whitepapers/recovery/disaster-recovery-plan-1164</t>
  </si>
  <si>
    <t>Follow-up inquiries for DRP responsible parties will be institution/implementation specific.</t>
  </si>
  <si>
    <t>If the vendor states "No", you can ask for a summary, white paper, or blog. If unable to review the full plan, infer what you can from other DRP question responses.</t>
  </si>
  <si>
    <t>In the event that a vendor's headquarters (primary location of operation) is no longer usable, a recovery site may be needed to support business operations. Having an established (planned) recovery site show maturity in a vendor's DRP.</t>
  </si>
  <si>
    <t>Follow-up inquiries for disaster recovery site practices will be institution/implementation specific.</t>
  </si>
  <si>
    <t>If the vendor does not have a DRP, point them to https://www.sans.org/reading-room/whitepapers/recovery/disaster-recovery-plan-1164</t>
  </si>
  <si>
    <t>The vendor's response to this question will verify other responses related to planning, testing, and metrics. Use the response to infer the maturity of the vendor's DRP efforts.</t>
  </si>
  <si>
    <t>Follow-up inquiries for recovery time capabilities will be institution/implementation specific.</t>
  </si>
  <si>
    <t xml:space="preserve">Vendor responses to this questions need to be evaluated in the context of use case, data criticality, institutional risk tolerance, and value of the software/product/service to the institution's mission. </t>
  </si>
  <si>
    <t>Follow-up inquiries for cyber-risk insurance will be institution/implementation specific.</t>
  </si>
  <si>
    <t xml:space="preserve">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 </t>
  </si>
  <si>
    <t>If a vendors states that they outsource their code development and do not run a WAF, there is elevated reason for concern. Verify how code is tested, monitored, and controlled in production environments.</t>
  </si>
  <si>
    <t xml:space="preserve">Modifications to firewall rulesets can have significant repercussions. To ensure the integrity of the ruleset, this question targets the individual (or responsible party) for changes and the reasoning behind their authority. </t>
  </si>
  <si>
    <t>In the context of the CIA triad, this question is focused on system integrity, ensuring that system changes are only executed by authorized users. Any change to a verified, known, secure environment should be carefully evaluated by stakeholders in a structured manner.</t>
  </si>
  <si>
    <t>Follow-up inquiries for firewall change requests will be institution/implementation specific.</t>
  </si>
  <si>
    <t>It is important to have detective capabilities in an information system to protect institutional data. Somewhat expected in information systems, vendors without IDSs implemented should raise concerns. Compensating controls need future evaluation, if provided by the vendor.</t>
  </si>
  <si>
    <t>A security program with limited resources for event detection is not effective. Inquiries should include training for staff, reasoning behind not using IDS technologies, and how systems are monitored. Additional questions about a SIEM and other tool may be appropriate.</t>
  </si>
  <si>
    <t>It is important to have preventive capabilities in an information system to protect institutional data. Somewhat expected in information systems, vendors without IPSs implemented should raise concerns. Compensating controls need future evaluation, if provided by the vendor.</t>
  </si>
  <si>
    <t xml:space="preserve">A security program with limited resources for active prevent is inefficient. Inquiries should include training for staff, reasoning behind not using IPS technologies, and how systems are actively protected and how malicious activity is stopped. </t>
  </si>
  <si>
    <t>Ask the vendor to summarize why host-based intrusion detection tools are not implemented in their environment. What compensating controls are in place to detect configuration changes and/or failures of integrity?</t>
  </si>
  <si>
    <t>Ask the vendor to summarize why host-based intrusion prevention tools are not implemented in their environment. What compensating controls are in place to detect malicious activity and to actively prevent its function.</t>
  </si>
  <si>
    <t xml:space="preserve">This question is primarily focused on the maturity of a vendor's security program. Technologies are rapidly introduced and the toolsets needed to monitor, manage, and secure them need to keep up. Vendor responses to this question can give an institution insight into the maturity and overall state of a vendor's security. </t>
  </si>
  <si>
    <t>Follow-up inquiries for NGPT monitoring will be institution/implementation specific.</t>
  </si>
  <si>
    <t xml:space="preserve">This question is primarily focused on system(s) integrity. If institutional data is stored in a system that is not physically secured from unauthorized access, the need for compensating controls is often higher. Depending on the use case or vendor infrastructure, this may not be relevant. </t>
  </si>
  <si>
    <t>Follow-up inquiries for 24x7x365 monitoring will be institution/implementation specific.</t>
  </si>
  <si>
    <t>This question is primarily focused on the capability of a vendor's security program. Understanding the size and skillsets of a vendor (taken from other responses) is needed to determine the appropriateness of the vendor's response to this question.</t>
  </si>
  <si>
    <t>Follow-up inquiries for intrusion monitoring will be institution/implementation specific.</t>
  </si>
  <si>
    <t>Strong logging capabilities are vital to the proper management of a network. Implementing an immature system that lacks sufficient logging capabilities exposes an institution to great risk.</t>
  </si>
  <si>
    <t>If a weak response is given to this answer, it is an indicator that a non-technical representative populated the document and response scrutiny should be increased. 
If a vendor does not answer appropriately, a follow-up request to have the question fully-answered is appropriate.</t>
  </si>
  <si>
    <t>The purpose of this question is to highlight any concerning restrictions in the software/product/service that may cause support (or other) risks when deployed.</t>
  </si>
  <si>
    <t>Follow-up inquiries for mobile application compatibility will be institution/implementation specific.</t>
  </si>
  <si>
    <t>Languages, platforms, libraries, coding style - anything along these lines is what this question is after. Layers of architecture, number of systems, complexity of configuration, and commonality of hardware/software are all points of interest in this question.</t>
  </si>
  <si>
    <t>Vague responses to this question should be investigated further. Ask for additional documentation and verify that appropriate documentation exists to clearly understand the vendor's environment.</t>
  </si>
  <si>
    <t>Distributing application via known, moderately vetted application platform decreases the chances of malicious code distribution. Standalone deployments (non-trusted sources) should be looked at more closely.</t>
  </si>
  <si>
    <t>Ask the vendor why this deployment strategy is used. Ask if it is a restriction of the app store platform or some other environment restriction.</t>
  </si>
  <si>
    <t xml:space="preserve">The purpose of this question is to understand the flow of data, specifically critical data, so that the proper follow-up questions can be asked. </t>
  </si>
  <si>
    <t>Ask the vendor for data flow diagrams. Communication trusts between nodes is important - ask how data is handled at the application (device end), not just the servers.</t>
  </si>
  <si>
    <t>The need for encryption in transport is unique to your institution's implementation of a system. In particular, system components, architectures, and data flows, all factor into the need for this control.</t>
  </si>
  <si>
    <t>Follow-up inquiries for data encryption in transport will be institution/implementation specific.</t>
  </si>
  <si>
    <t>If information security principles are not designed into the product lifecycle, point the vendor to OWASP's Secure Coding Practices - Quick Reference Guide at https://www.owasp.org/index.php/OWASP_Secure_Coding_Practices_-_Quick_Reference_Guide</t>
  </si>
  <si>
    <t>If a weak response is given to this answer, response scrutiny should be increased. Inquire about the size of an organization, how it is physically deployed, how employees interact with each other and verify each others credibility. Any follow-up question related to physical integrity of institutional data is relevant here.</t>
  </si>
  <si>
    <t>In the context of the CIA triad, this question is focused on confidentiality. Printed documents, mobile device use, and remote access are all relevant to this question. A vendor's response to this question will provide insight into their overall business process. Vendor business activity that pose additional security risks should be met with increased concern.</t>
  </si>
  <si>
    <t>Vague responses to this question should be investigated further. Ask for additional documentation and verify that procedure (and possibly training) exists to ensure proper customer data handling activity.</t>
  </si>
  <si>
    <t xml:space="preserve">The focus of this question is the detective capabilities in the event an incident occurs in regards to institutional data. </t>
  </si>
  <si>
    <t>Follow-up inquiries for video data storage will be institution/implementation specific.</t>
  </si>
  <si>
    <t>Follow-up inquiries for video monitoring will be institution/implementation specific.</t>
  </si>
  <si>
    <t>Managing media (and the data within) throughout its lifecycle is crucial to the protection of institutional data. The focus of this question is confidentiality, ensuring that equipment used to store institutional data is appropriately protected.</t>
  </si>
  <si>
    <t>Understanding the security program size (and capabilities) of a vendor has a significant impact on their ability to respond effectively to a security incident. Vendor's will share organizational charts and additional documentation of their security program, if needed. The point of this question is to verify vendor security program maturity or confirm other findings and/or assessments.</t>
  </si>
  <si>
    <t xml:space="preserve">Vague responses to this question should be investigated further. Vendors unwilling to share additional supporting documentation decrease the trust established with other responses. </t>
  </si>
  <si>
    <t xml:space="preserve">In the context of the CIA triad, this question is focused on system integrity, ensuring that system changes are only executed according to policy. Additionally, it is expected that devices used to access the vendor's systems are properly managed and secured. </t>
  </si>
  <si>
    <t>Follow-up with a robust question set if the vendor cannot clearly state full-control of their system patching strategy. Questions about patch testing, testing environments, threat mitigation, incident remediation, etc. are appropriate.</t>
  </si>
  <si>
    <t>Code analysis (prior to implementation) can decrease the number of vulnerabilities within a system. Depending on the insight a vendor has into their code, code testing should be expected. When a vendor outsources their coding efforts, the use of a web application firewall may be appropriate. In this case, reference the vendor's response to their use of a WAF.</t>
  </si>
  <si>
    <t>Ask the vendor what types of tools they use in testing. And who performs the testing of the code. Are developers the ones running the security tests? If static code analysis and/or static application security testing is not conducted, point the vendor to OWASP's Testing Guide at https://www.owasp.org/index.php/OWASP_Testing_Guide_v4_Table_of_Contents</t>
  </si>
  <si>
    <t xml:space="preserve">Code analysis (prior to implementation) can decrease the number of vulnerabilities within a system. Depending on the insight a vendor has into their code, code testing should be expected. </t>
  </si>
  <si>
    <t>If software testing processes are not established and followed, point the vendor to OWASP's Testing Guide at https://www.owasp.org/index.php/OWASP_Testing_Guide_v4_Table_of_Contents</t>
  </si>
  <si>
    <t xml:space="preserve">Mature product/software/service lifecycle management can position a vendor to sufficiently plan, implement, and manage systems that better protect institutional data. </t>
  </si>
  <si>
    <t>Although withdrawn by NIST, the Security Considerations in the Systems Development Life Cycle (SP 800-64r2) document is an excellent resource to provide guidance to vendors (i.e. set expectations.) Follow-up questions to SDLC use will be institution/implementation specific.</t>
  </si>
  <si>
    <t>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t>
  </si>
  <si>
    <t>If the vendor does not have an incident response plan, point them to the NIST Computer Security Incident Handling Guide at https://csrc.nist.gov/publications/detail/sp/800-61/rev-2/final</t>
  </si>
  <si>
    <t>This is a general inquiry to determine if the vendor is well-versed in applicable laws and regulations that apply in the institution's region of business operation.</t>
  </si>
  <si>
    <t>If a vendor is vague in their response, follow-up with direct questions about doing business in your state/region/country and any laws that are pertinent to the institution.</t>
  </si>
  <si>
    <t>This is a general inquiry to determine if the vendor has reviewed the institution's policies and are committed to complying with them.</t>
  </si>
  <si>
    <t>If a vendor is vague in their response, follow-up with direct questions about the institution's policies and ensure the expectation of compliance is clear with the vendor.</t>
  </si>
  <si>
    <t>The use of detective and preventive controls in the hiring process serve a valuable role in protecting institutional data. As these are often HR documented policies, a vendor should have their practices well-documented and ready for review, upon request.</t>
  </si>
  <si>
    <t>Ask the vendor is background checks and/or screening are conducted in any capacity, at any time during the employment period. Ask about the precautions they take to ensure the intellectual property is secured and inquire if user data is treated in an appropriate manner.</t>
  </si>
  <si>
    <t>Setting the expectation of performance and increase awareness of security-related responsibilities are part of these initial-hiring documents. Oftentimes these agreements and reviews are conducted during orientation for new employees.</t>
  </si>
  <si>
    <t>If a vendor's practices are not clear, inquire about training requirements for employees, especially the frequency and scope of content.</t>
  </si>
  <si>
    <t>A shared security [responsibility] environment is expected of vendors in today's world. Security office's cannot solely protect an institution's data. Information security, engrained in an organization, is the best case scenario for the protection of institutional data. Security awareness and practice start in a vendor's policies.</t>
  </si>
  <si>
    <t>If the vendor does not have document information security policy, follow-up questions about training, company practices, awareness efforts, auditing, and system protection practices are appropriate.</t>
  </si>
  <si>
    <t>Understanding the maturity of a vendor's awareness program will indicate the value they place on protecting institutional data. Security involves all parts of an organization, end-user staff included. Awareness training should be prevalent, continuous, and well-documented.</t>
  </si>
  <si>
    <t>If a vendor's awareness training is not prevalent, continuous, and well-documented, it is cause for concern. Inquire about other mandatory training, verify its scope, and confirm the training cycles.</t>
  </si>
  <si>
    <t>The focus of this question is if they audit, how they audit, what they audit, and how it is properly documented and consistently conducted.</t>
  </si>
  <si>
    <t>Follow-up inquiries for internal audit strategies will be institution/implementation specific.</t>
  </si>
  <si>
    <t>Not every software/product/service will have everything an institution will need, at all times, during the lifecycle of a system. The ability to influence development efforts is a valuable position for a higher ed institution. Knowing that a vendor is listening and wants to deliver viable solutions builds trust in the implementation.</t>
  </si>
  <si>
    <t>Ask how requests should be submitted, how requests are prioritized, and by whom. Ask about product roadmaps (1yr, 2yr, 5yr, depending on use case).</t>
  </si>
  <si>
    <t>Oftentimes an institution will want to evaluate a solution before committing to purchase or deploying future functionality. Based on the use case, flexibility in product evaluation may be a requirement.</t>
  </si>
  <si>
    <t>Follow-up inquiries for evaluations sites will be institution/implementation specific.</t>
  </si>
  <si>
    <t>Institutions vary broadly on how QA is handled so any follow-up questions will be contract/institution/implementation specific.</t>
  </si>
  <si>
    <t>Standard documentation, relevant to institutions requiring a vendor to comply with ISO 9001.</t>
  </si>
  <si>
    <t xml:space="preserve">Follow-up inquiries for ISO 9001 content will be institution/implementation specific. </t>
  </si>
  <si>
    <t>This question is for institutions that tie metrics and service level agreements (SLAs) or expectations (SLEs) to security reviews. The implementation strategy and use case will indicate the relevancy of this question for security/risk assessment.</t>
  </si>
  <si>
    <t xml:space="preserve">Follow-up inquiries for quality and performance metrics will be contract/institution/implementation specific. </t>
  </si>
  <si>
    <t>This is a general inquiry to determine if the vendor being assessed has done or is doing business with the institution as the time of assessment. Existing relationships, if present, can be reviewed for insights into a vendor and/or to verify other responses.</t>
  </si>
  <si>
    <t>Many Higher Ed institutions are large enough that existing/former contracts exist with one entity of the college/university (e.g. School of X) but it is unknown to another. Question the vendor in-depth if you get a vague response to this question - combining licenses/purchases increases buying power.</t>
  </si>
  <si>
    <t xml:space="preserve">This question is used to gauge the importance of our industry (higher education) to the vendor. </t>
  </si>
  <si>
    <t>This is a general information question - any follow-up will be institution/implementation specific.</t>
  </si>
  <si>
    <t>Management networks and end-user networks are often exclusive, with the intent of limiting access to elevated authorization tools. When a vendor states these networks are merged in operation, it should be met with elevated levels of concern. The focus of this question is to verify a common best practice in system management, allowing an institution to gain insight into a vendor's operating environment.</t>
  </si>
  <si>
    <t>Verify if the vendor's practice is constrained by a technology or if it is just a best practice that is not adopted. In the case of constraints, ask for additional best practice implementation strategies that may compensate for the elevated risk(s).</t>
  </si>
  <si>
    <t xml:space="preserve">Hardware lifecycles and continuous software updates creates an always-changing landscape in information technology. The focus of this question is the integrity of a vendor's infrastructure. Mismanagement of system configurations can lead to breakdowns in layers of security. </t>
  </si>
  <si>
    <t xml:space="preserve">The focus of this question is confidentiality. Vendor employees accessing institutional data from personal, unmanaged (by vendor) devices pose a risk of loss of confidentiality. </t>
  </si>
  <si>
    <t>Follow-up inquiries for mobile device management procedures/practices will be institution/implementation specific. Increased scrutiny should be placed on compensating controls, data loss prevention, access controls, auditing, etc.</t>
  </si>
  <si>
    <t xml:space="preserve">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 </t>
  </si>
  <si>
    <t>Follow-up with a robust question set if the vendor cannot clearly state full-control of the integrity of their system(s). Questions about administrator access on end-user devices and other maintenance and patching type questions are appropriate.</t>
  </si>
  <si>
    <t>If "No", inquiry if there are plans to implement these processes. Ask the vendor to summarize their decision behind not scanning their applications for vulnerabilities. Prior to release.</t>
  </si>
  <si>
    <t>Every infrastructure has a set of tools best suited to evaluate and protect it from vulnerability. Regardless of focus (i.e. code, hardware systems, etc.), professional, well-established tools are ideal when performing vulnerability assessment. In addition, the talent/skillset of a vulnerability assessor is also important.</t>
  </si>
  <si>
    <t>If a vendor is hesitant to share the report, ask for a summarized version - some insight is better than none.</t>
  </si>
  <si>
    <t>If information security principles are not designed into the product lifecycle, point the vendor to OWASP's Secure Coding Practices - Quick Reference Guide at https://www.owasp.org/index.php/OWASP_Secure_Coding_Practices_-_Quick_Reference_Guide
Inquire about the tools a vendor uses, the interval at which systems are monitored/mitigated, and who is responsible for the process/procedure in place for this monitoring.</t>
  </si>
  <si>
    <t>Many Higher Ed institutions are capable of performing vulnerability assessments and/or penetration testing on their vendor's infrastructures. This question confirms the possibility of conducting these actions against the vendor's infrastructure.</t>
  </si>
  <si>
    <t>Follow-up inquiries for vulnerability scanning and penetration testing will be institution/implementation specific.</t>
  </si>
  <si>
    <t>Follow-up inquiries for HIPAA requirements will be institution/implementation specific.</t>
  </si>
  <si>
    <t>Inquiry into a vendor's use of electronic health records (EHRs).</t>
  </si>
  <si>
    <t>§164.308(a)(1)(ii)(D)</t>
  </si>
  <si>
    <t>Follow-up inquiries for PCI DSS requirements will be institution/implementation specific.</t>
  </si>
  <si>
    <r>
      <t xml:space="preserve">In order to protect the Institution and its systems, vendors whose products and/or services will access and/or host institutional data must complete the Higher Education Community Vendor Assessment Toolkit (HECVAT). Throughout this tool, anywhere where the term data is used, this is an all-encompassing term including at least data and metadata. Answers will be reviewed by Institution security analysts upon submittal. This process will assist the institution in preventing breaches of protected information and comply with Institution policy, state, and federal law. This is intended for use by vendors participating in a Third Party Security Assessment and should be completed by a vendor. Review the </t>
    </r>
    <r>
      <rPr>
        <i/>
        <sz val="12"/>
        <color theme="1"/>
        <rFont val="Verdana"/>
        <family val="2"/>
      </rPr>
      <t>Instructions</t>
    </r>
    <r>
      <rPr>
        <sz val="12"/>
        <color theme="1"/>
        <rFont val="Verdana"/>
        <family val="2"/>
      </rPr>
      <t xml:space="preserve"> tab for further guidance.</t>
    </r>
  </si>
  <si>
    <t>Updated name, converted question text on Standards Crosswalk tab to vlookups, added Analyst Reference, fixed external links</t>
  </si>
  <si>
    <t>Higher Education Community Vendor Assessment Tool (HECVAT) - Full</t>
  </si>
  <si>
    <t>Higher Education Community Vendor Assessment Tool (HECVAT) - Full - Standards Crosswalk</t>
  </si>
  <si>
    <r>
      <t xml:space="preserve">There are five main sections of the Higher Education Community Vendor Assessment Tool - Full, all listed below and outlined in more detail. This document is designed to have the first two sections populated first; after the Qualifiers section is completed it can be populated in any order. Within each section, answer each question top-to-bottom. Some questions are nested and may be blocked out via formatting based on previous answers. Populating this document in the correct order improves efficiency.                                  
</t>
    </r>
    <r>
      <rPr>
        <b/>
        <sz val="11"/>
        <color rgb="FFC00000"/>
        <rFont val="Verdana"/>
        <family val="2"/>
      </rPr>
      <t>Do not overwrite selection values (data validation) in column C of the HECVAT - Full tab</t>
    </r>
    <r>
      <rPr>
        <sz val="11"/>
        <color rgb="FF000000"/>
        <rFont val="Verdana"/>
        <family val="2"/>
      </rPr>
      <t>.</t>
    </r>
  </si>
  <si>
    <t>Higher Education Community Vendor Assessment Tool - Full - Instructions</t>
  </si>
  <si>
    <t>Any school, college, or university using the Higher Education Community Vendor Assessment Tool - Full.</t>
  </si>
  <si>
    <t>Higher Education Community Vendor Assessment Tool (HECVAT) - Full - Analyst Reference</t>
  </si>
  <si>
    <t>HECVAT - Full - Analyst Report</t>
  </si>
  <si>
    <t>HECVAT - Full - Summary Report</t>
  </si>
  <si>
    <t>v2.02</t>
  </si>
  <si>
    <t>v2.03</t>
  </si>
  <si>
    <t>v2.04</t>
  </si>
  <si>
    <t>v2.10</t>
  </si>
  <si>
    <t>Version 2.10</t>
  </si>
  <si>
    <t>Proceed to the next tab, HECVAT - Full.</t>
  </si>
  <si>
    <r>
      <t xml:space="preserve">1. Raw vendor answers can be viewed on the </t>
    </r>
    <r>
      <rPr>
        <b/>
        <sz val="11"/>
        <color rgb="FF000000"/>
        <rFont val="Verdana"/>
        <family val="2"/>
      </rPr>
      <t>HECVAT - Full</t>
    </r>
    <r>
      <rPr>
        <sz val="11"/>
        <color indexed="8"/>
        <rFont val="Verdana"/>
        <family val="2"/>
      </rPr>
      <t xml:space="preserve"> tab. 
2. To begin your assessment, review the Analyst Report tab, ensuring that you select the appropriate security standard used in your institution (cell B7) before you begin. 
3. Review the Analyst Reference tab for guidance and question/response interpretation.
4. Select compliance states for the outstanding non-compliant or short-answer questions in column G. Once all subjective questions are evaluated and compliance indicated, move to the Summary Report tab. 
5. To update the report's data, select Refresh All in the Data menu. Review details in the Summary Report and based on your assessment, follow-up with vendor for clarification(s) or add the Summary Report output to your Institution's reporting documents. </t>
    </r>
  </si>
  <si>
    <t>Include both end-user and administrative features and functions.</t>
  </si>
  <si>
    <t>Are the data centers staffed 24 hours a day, seven days a week (i.e., 24x7x365)?</t>
  </si>
  <si>
    <t>In addition to stating your intrusion monitoring strategy, provide a brief summary of its implementation.</t>
  </si>
  <si>
    <t>Describe or provide references explaining how tertiary services are redundant (i.e. DNS, ISP, etc.).</t>
  </si>
  <si>
    <t>Reference the Mobile Application section for follow-up review. Many "applications" run in a web-browser and vendors incorrectly respond due to this common word use. Ensure that responses are in the context of true mobile applications, not just web-based systems.</t>
  </si>
  <si>
    <t xml:space="preserve">The use of standalone, mobile applications is the focus of this qualifier and sets the Mobile Application section as required if in use. When a mobile application is implemented for system communication, data flows, encryption, and storage strategies on a mobile device become important. </t>
  </si>
  <si>
    <t>Vendors oftentimes use other vendors to supplement and/or host their infrastructures and it is important to know what, if any, institutional data is shared with fourth-parties. Responses to this qualifier set the response requirement for the Third Parties section.</t>
  </si>
  <si>
    <t>When consultants are given access to a system containing institutional data, the "sharing" of data is not in the same context as traditional data sharing (i.e. hosting, etc.) and thus, many of the HECVAT questions do not apply. When consultants have access to a system (onsite of via remote affiliate-type accounts), the Consulting section is most relevant.</t>
  </si>
  <si>
    <t>If STAR certification is important to your institution you may have specific follow-up details for documentation purposes.</t>
  </si>
  <si>
    <t>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t>
  </si>
  <si>
    <t>Normally a vendor will state their overall longevity but not talk about the software/service/product under evaluation. Follow-up's includes specific questions about the origins of the software/service/product and references will be requested.</t>
  </si>
  <si>
    <t>For the 20% that HECVAT may not  cover, this gives the vendor a chance to support their other responses. Beware when this area is populated with sales hype or other non-relevant information. Thorough documentation, supporting evidence, and/or robust responses go a long way in building trust in this assessment process.</t>
  </si>
  <si>
    <t>Vendors oftentimes use other vendors to supplement and/or host their infrastructures and it is important to know what, if any, institutional data is shared with fourth-parties. This questions has multiple parts, therefore setting expectations that vendors provide robust responses.</t>
  </si>
  <si>
    <t>This question sets the stage for what the institution must do to accommodate the consultant(s). The question is important because it gives the institution the knowledge necessary to enact appropriate controls. For example, if the answer is "Yes", then access to appropriate locations can be granted, and equipment can be provisioned if needed. Whereas a "No" answer may require remote access control measures, such as the provisioning of VPN access for the consultant.</t>
  </si>
  <si>
    <t>This question is designed to get outright confirmation on whether your institution's data will transfer out and possibly reside, even temporarily, on the contractors' infrastructure. It is also designed to allow you to ask whether it transfers to the *company*, or to the *individual consultant*. That way, you will know what terms or controls to require (for example: 'Our institution's data can be stored and accessed on company owned equipment, but never on personally owned devices.')</t>
  </si>
  <si>
    <t xml:space="preserve">Where will this be stored? Who will have access to it? How long will you retain it? Will you use secure, multi-pass erase methods to dispose of the data once the job is complete? Basically, use this as an opportunity to track what will happen to the data once it's in the contractors' hands, and also to set the expectations with the contractor on how your institution's data should be handled, stored, erased, etc. </t>
  </si>
  <si>
    <t>Understanding access control capabilities allows an institution to estimate the type of maintenance efforts will be involved to manage a system. Depending on the users, concerns may or not be elevated. The value of this question is largely determined by the deployment strategy and use case of the software/product/service under review. This question is specific to end-users.</t>
  </si>
  <si>
    <t>Additional requests for documentation are made when other parts of the HECVAT are insufficient. Although helpful, many vendors do not provide supporting documentation. We try to be specific with our follow-up questions so that vendors understand we are not looking for 20-50 page whitepapers (sales documentation).</t>
  </si>
  <si>
    <t>Ask the vendor to summarize why a multi-tenant (or other) environment/strategy is implemented and what compensating controls they have in place to ensure appropriate levels of confidentiality and integrity.</t>
  </si>
  <si>
    <t>This question allows a vendor to describe situations in which their software/product/service cannot operate or be supported. The value of this question is relative, depending on the institution's operating environment.</t>
  </si>
  <si>
    <t>This question is to set account management expectations for the institution. A system that can integrate with existing, vetted solutions, has its advantages and may have less administrative overhead. Also, adherence to standards here gives credit to other standards-oriented questions/responses.</t>
  </si>
  <si>
    <t>Follow-up inquiries for password/passphrase encrypted storage will be institution/implementation specific.</t>
  </si>
  <si>
    <t>System (technical and security) administration is complex and it is important to understand a system's capabilities to integrate with existing security and access systems. Having to maintain additional accounts increases overhead and may impact your institution's risk footprint.</t>
  </si>
  <si>
    <t xml:space="preserve">In the context of the CIA triad, this question is focused on availability and is often in need of a follow-up. Understanding the maturing of a vendor's BCP can shed light on many other aspects of a vendor's overall security state. </t>
  </si>
  <si>
    <t>General inquiry for documentation. As BCPs may contain some sensitive data, a robust summary is appropriate in lieu of a full BCPP.</t>
  </si>
  <si>
    <t>Having a BCP and maintaining/updating/testing a BCP are very different. Establishing a responsible party is fundamental to this process and this question looks to verify that within the vendor.</t>
  </si>
  <si>
    <t>Testing a BCP is an important action that improves the efficiency and accuracy of a vendor's continuity plans. Annual updates are generally expected.</t>
  </si>
  <si>
    <t>Understanding the maturity of a vendor's training and awareness program will indicate the value they place on protecting institutional data. BCP related awareness training should be prevalent, continuous, and well-documented.</t>
  </si>
  <si>
    <t>Testing a BCP is an important action that improves the efficiency and accuracy of a vendor's continuity plans. Vague responses to this question should be met with concern and appropriate follow-up, based on your institutions risk tolerance.</t>
  </si>
  <si>
    <t xml:space="preserve">Unplanned and/or unexpected changes in a complex environment can introduce intolerable risks to the institution. Based on the operating environment of the institution, it may be necessary to postpone (or properly plan) the change to a system. The vendor's response should clarify their use of a "one code base" method or the ability to run multiple version concurrently. </t>
  </si>
  <si>
    <t>In cases where the software/product/service is customized for customer use cases, ensure the vendor's response covers all aspects of code migration, including backups, data conversions, local resources from the institution, etc., as it relates to code upgrades and/or version adoptions.</t>
  </si>
  <si>
    <t>The response to this question allows the institution to understand the information technology resources required to properly maintain the vendor's system. Initial acquisition and setup is important to assess, but the long-term maintenance (and the risks that come with it), should be clearly defined. Use the response to this question to pivot to other questions and/or verify other vendor responses.</t>
  </si>
  <si>
    <t>New vulnerabilities are published every day and vendors have a responsibility to maintain their software(s). The fundamental nature of operation will expose some risks to the system but it is crucial that a vendor recognize their responsibilities and have a plan to implement them, when this time arrives.</t>
  </si>
  <si>
    <t>When cancelling a software/product/service, an institution will commonly want all institutional data that was provided to a vendor. This questions allows the vendor to state their general practices when a customer leaves their environment.</t>
  </si>
  <si>
    <t>When cancelling a software/product/service, an institution will commonly want all institutional data that was provided to a vendor. The vendor's response should verify if the institution can extract data or if it is a manual extraction by vendor staff.</t>
  </si>
  <si>
    <t>Understanding how key management is handled and the safeguards implemented by the vendor to ensure key confidentiality in all components of a system(s) can provide insight into other complex details of a vendor's infrastructure. Use vendor responses to this question as a way to pivot to other infrastructure specifics, as needed to clarify potential risks.</t>
  </si>
  <si>
    <t>Depending on the use case, full database encryption may not always be required, or ideal. The ability to encrypt specific fields (data elements) can be advantageous to a system. Performance is sometimes an issue, based on the use case, and this granular approach to encryption provides an institution more options.</t>
  </si>
  <si>
    <t>Standard documentation, relevant to institutions requiring a vendor to maintain a specific Uptime Institute Tier Level.</t>
  </si>
  <si>
    <t xml:space="preserve">In the context of the CIA triad, this question is focused on availability and is often in need of a follow-up. Understanding the maturing of a vendor's DRP can shed light on many other aspects of a vendor's overall security state. </t>
  </si>
  <si>
    <t>Having a DRP and maintaining/updating/testing a DRP are very different. Establishing a responsible party is fundamental to this process and this question looks to verify that within the vendor.</t>
  </si>
  <si>
    <t>General inquiry for documentation. As DRPs may contain some sensitive data, a robust summary is appropriate in lieu of a full DRP.</t>
  </si>
  <si>
    <t>Testing a DRP is an important action that improves the efficiency and accuracy of a vendor's recovery plans. Vague responses to this question should be met with concern and appropriate follow-up, based on your institutions risk tolerance.</t>
  </si>
  <si>
    <t xml:space="preserve">Testing a DRP is an important action that improves the efficiency and accuracy of a vendor's recovery plans. Vague responses to this question should be met with concern and appropriate follow-up, based on your institutions risk tolerance. </t>
  </si>
  <si>
    <t>Ensure that a separation of duties exists in network security configurations. Pay close attention to responsibility overlap in small organizations, where staff often fill multiple roles.</t>
  </si>
  <si>
    <t>The adherence to secure coding best practices better positions a vendor to maintain the CIA triad. Use the knowledge of this response when evaluating other vendor statements, particularly those focused on development and the protection of communications.</t>
  </si>
  <si>
    <t>External verification of application security controls in important when managing a system. Trust, but verify, is the focus of this question. HECVAT responses are taken at face-value, and verified within reason, in most cases. When a vendor can attest to, and provide externally-provided evidence supporting that attestation, it goes a long way in building trust that the vendor will appropriately protect institutional data.</t>
  </si>
  <si>
    <t xml:space="preserve">If "No", inquire if there has ever been a vulnerability scan. A short lapse in external assessment validity can be understood (if there is a planned assessment) but a significant time lapse or none whatsoever is cause for elevated levels of concern. </t>
  </si>
  <si>
    <t xml:space="preserve">If "No", inquiry is there has ever been a vulnerability scan. A short lapse in external assessment validity can be understood (if there is a planned assessment) but a significant time lapse or none whatsoever is cause for elevated levels of concern. </t>
  </si>
  <si>
    <t xml:space="preserve">This question is primarily focused on system(s) integrity. If institutional data is stored in a system that is not physically secured from unauthorized access, the need for compensating controls is often higher. This question also encompasses office (and other) spaces used by the vendor to conduct operations. </t>
  </si>
  <si>
    <t xml:space="preserve">Integrity and availability are the focus of this question. The existence of a well-documented quality assurance program, with demonstrated and published metrics, may provide insight into the inner workings (mindset) of a vendor. </t>
  </si>
  <si>
    <t>It is expected that vendors should have robust documentation when it comes to configuration management. Vague answers to this question should be met with concern. Inquire about the device management tools in use, system lifecycles, complexity of systems, etc. and evaluate the response in the context of company capabilities (see Company Background section).</t>
  </si>
  <si>
    <t>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t>
  </si>
  <si>
    <t>External verification of system security controls in important when managing a system. Trust, but verify, is the focus of this question. HECVAT responses are taken at face-value, and verified within reason, in most cases. When a vendor can attest to, and provide externally-provided evidence supporting that attestation, it goes a long way in building trust that the vendor will appropriately protect institutional data.</t>
  </si>
  <si>
    <t>Inquiries should be focused on matching tools to policy/procedures and ensuring that a vendor has the skillset/knowledge to properly scan their environments for vulnerabilities and address them adequately, when discovered.</t>
  </si>
  <si>
    <t>If a vendor is scanning their applications and/or systems, oftentimes an institution will want to review the report, if possible. Preferably, any finding on the reports will have a matching mitigation action.</t>
  </si>
  <si>
    <t>The adherence to secure coding best practices better positions a vendor to maintain the CIA triad. Use the knowledge of this response when evaluating other vendor statements, particularly those focused on development and the protection of communications. Vendors should be monitoring for and addressing these issues in their products.</t>
  </si>
  <si>
    <t>Completed base formulas for all Guidance fields. Changed Qualifier formatting to make questions readable (and optional).</t>
  </si>
  <si>
    <t>Added tertiary services narrative question (DNS, ISP, etc.).</t>
  </si>
  <si>
    <t>Understanding system requirements and/or dependencies (e.g., frameworks, libraries, toolkits, modules, etc.) can reveal infrastructure risks that may not be apparent by other means. In some cases, the use of trusted components may be favorable. In others, it may initiate the assessment the vendor's environment in more detail and/or expand the scope of the institution's assessment.</t>
  </si>
  <si>
    <t xml:space="preserve">Refusal to share diagrams (even sanitized ones) should be met with increased concern. 
Ask for systems architecture diagrams (e.g., Visio, OmniGraffle, etc.). 
Ask for detailed data flow diagrams. </t>
  </si>
  <si>
    <t xml:space="preserve">This open-ended question allows a vendor to describe the software/product/service from the perspective of an end-user (e.g., customer). Use the vendor's response to this question to confirm the use of mobile applications or web applications. This is oftentimes misinterpreted by vendor parties [that populate the HECVAT] that do not come from a technical background. </t>
  </si>
  <si>
    <t>Managing a software/product/service may rely on various teams to administrate a system, in this question, it is security operations and systems administration. This question is focused on how system(s) administration, and the segregation of duties, are implemented in the vendor's organization, so that system administrators do not also have security responsibilities (e.g., monitoring, mitigating, reporting, etc.)</t>
  </si>
  <si>
    <t>Follow-up inquiries for system authentication will be unique to your institution (e.g., policy, infrastructure, etc.)</t>
  </si>
  <si>
    <t xml:space="preserve">Strong logging capabilities are vital to the proper management of a system. Implementing an immature system that lacks sufficient logging capabilities exposes an institution to great risk. Depending on your risk tolerance and the use case, your institution may or may not be concerned. The focus of this question is system-related logs (e.g., including but not limited to - events, state changes, control modification, etc.). </t>
  </si>
  <si>
    <t>When data is moved digitally (e.g., cloud provider, vendor-owned facility, etc.) offsite, the policies and implemented procedures are important to know. The protections implemented to prevent compromise will be technical in nature and should be well-documented.</t>
  </si>
  <si>
    <t xml:space="preserve">Confidentiality is the focus of this question. Based on the capabilities of administrators (vendor), the institution may require additional safeguards to protect the confidentiality of data stored by/shared with a vendor (e.g., additional layer of encryption, etc.). </t>
  </si>
  <si>
    <t>Managing a software/product/service may rely on various professionals to administrate a system. This question is focused on how administration, and the segregation of functions, can be implemented within the system. Securing the administration portion of a system has additional implications (e.g., logging, administration, etc.) beyond that of end-users.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</si>
</sst>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0;;;@"/>
  </numFmts>
  <fonts count="69" x14ac:knownFonts="1">
    <font>
      <sz val="12"/>
      <color indexed="8"/>
      <name val="Verdana"/>
    </font>
    <font>
      <sz val="11"/>
      <color indexed="8"/>
      <name val="Verdana"/>
      <family val="2"/>
    </font>
    <font>
      <b/>
      <sz val="12"/>
      <color theme="1"/>
      <name val="Verdana"/>
      <family val="2"/>
    </font>
    <font>
      <sz val="11"/>
      <color theme="1"/>
      <name val="Verdana"/>
      <family val="2"/>
    </font>
    <font>
      <b/>
      <sz val="14"/>
      <color theme="0"/>
      <name val="Verdana"/>
      <family val="2"/>
    </font>
    <font>
      <i/>
      <sz val="11"/>
      <color theme="1"/>
      <name val="Verdana"/>
      <family val="2"/>
    </font>
    <font>
      <i/>
      <sz val="12"/>
      <color theme="1"/>
      <name val="Verdana"/>
      <family val="2"/>
    </font>
    <font>
      <b/>
      <sz val="20"/>
      <color theme="0"/>
      <name val="Verdana"/>
      <family val="2"/>
    </font>
    <font>
      <b/>
      <sz val="12"/>
      <color indexed="8"/>
      <name val="Verdana"/>
      <family val="2"/>
    </font>
    <font>
      <b/>
      <sz val="11"/>
      <color rgb="FFFF0000"/>
      <name val="Verdana"/>
      <family val="2"/>
    </font>
    <font>
      <b/>
      <sz val="14"/>
      <color rgb="FFFF0000"/>
      <name val="Verdana"/>
      <family val="2"/>
    </font>
    <font>
      <b/>
      <sz val="14"/>
      <color theme="1"/>
      <name val="Verdana"/>
      <family val="2"/>
    </font>
    <font>
      <b/>
      <sz val="12"/>
      <color theme="0"/>
      <name val="Verdana"/>
      <family val="2"/>
    </font>
    <font>
      <b/>
      <sz val="14"/>
      <color theme="0" tint="-0.249977111117893"/>
      <name val="Verdana"/>
      <family val="2"/>
    </font>
    <font>
      <sz val="12"/>
      <color theme="1"/>
      <name val="Verdana"/>
      <family val="2"/>
    </font>
    <font>
      <sz val="11"/>
      <color rgb="FFFF0000"/>
      <name val="Verdana"/>
      <family val="2"/>
    </font>
    <font>
      <sz val="10"/>
      <color rgb="FF000000"/>
      <name val="Arial"/>
      <family val="2"/>
    </font>
    <font>
      <sz val="12"/>
      <color indexed="8"/>
      <name val="Verdana"/>
      <family val="2"/>
    </font>
    <font>
      <b/>
      <sz val="11"/>
      <color indexed="8"/>
      <name val="Verdana"/>
      <family val="2"/>
    </font>
    <font>
      <b/>
      <sz val="14"/>
      <name val="Verdana"/>
      <family val="2"/>
    </font>
    <font>
      <sz val="11"/>
      <color theme="0"/>
      <name val="Verdana"/>
      <family val="2"/>
    </font>
    <font>
      <sz val="12"/>
      <color theme="0"/>
      <name val="Verdana"/>
      <family val="2"/>
    </font>
    <font>
      <u/>
      <sz val="12"/>
      <color theme="10"/>
      <name val="Verdana"/>
      <family val="2"/>
    </font>
    <font>
      <u/>
      <sz val="12"/>
      <color theme="11"/>
      <name val="Verdana"/>
      <family val="2"/>
    </font>
    <font>
      <b/>
      <sz val="12"/>
      <color rgb="FF000000"/>
      <name val="Verdana"/>
      <family val="2"/>
    </font>
    <font>
      <sz val="11"/>
      <color rgb="FF000000"/>
      <name val="Verdana"/>
      <family val="2"/>
    </font>
    <font>
      <sz val="11"/>
      <color rgb="FF000000"/>
      <name val="Verdana"/>
      <family val="2"/>
    </font>
    <font>
      <sz val="12"/>
      <color rgb="FF000000"/>
      <name val="Verdana"/>
      <family val="2"/>
    </font>
    <font>
      <sz val="12"/>
      <color rgb="FF000000"/>
      <name val="Verdana"/>
      <family val="2"/>
    </font>
    <font>
      <sz val="10"/>
      <name val="Arial"/>
      <family val="2"/>
    </font>
    <font>
      <sz val="12"/>
      <color indexed="8"/>
      <name val="Helvetica"/>
      <family val="2"/>
      <scheme val="minor"/>
    </font>
    <font>
      <sz val="10"/>
      <color theme="1"/>
      <name val="Helvetica"/>
      <family val="2"/>
      <scheme val="minor"/>
    </font>
    <font>
      <sz val="10"/>
      <color rgb="FF231F20"/>
      <name val="Helvetica"/>
      <family val="2"/>
      <scheme val="minor"/>
    </font>
    <font>
      <b/>
      <sz val="10"/>
      <color rgb="FF231F20"/>
      <name val="Helvetica"/>
      <family val="2"/>
      <scheme val="minor"/>
    </font>
    <font>
      <sz val="10"/>
      <color rgb="FF000000"/>
      <name val="Helvetica"/>
      <family val="2"/>
      <scheme val="minor"/>
    </font>
    <font>
      <sz val="12"/>
      <color indexed="8"/>
      <name val="Verdana"/>
      <family val="2"/>
    </font>
    <font>
      <sz val="10"/>
      <name val="Arial"/>
      <family val="2"/>
    </font>
    <font>
      <sz val="11"/>
      <color theme="1"/>
      <name val="Verdana"/>
      <family val="2"/>
    </font>
    <font>
      <sz val="11"/>
      <color indexed="8"/>
      <name val="Verdana"/>
      <family val="2"/>
    </font>
    <font>
      <b/>
      <sz val="11"/>
      <color rgb="FF000000"/>
      <name val="Verdana"/>
      <family val="2"/>
    </font>
    <font>
      <u/>
      <sz val="11"/>
      <color rgb="FF000000"/>
      <name val="Verdana"/>
      <family val="2"/>
    </font>
    <font>
      <i/>
      <sz val="11"/>
      <color rgb="FF000000"/>
      <name val="Verdana"/>
      <family val="2"/>
    </font>
    <font>
      <sz val="11"/>
      <name val="Verdana"/>
      <family val="2"/>
    </font>
    <font>
      <sz val="9"/>
      <color indexed="8"/>
      <name val="Verdana"/>
      <family val="2"/>
    </font>
    <font>
      <b/>
      <sz val="11"/>
      <color indexed="8"/>
      <name val="Verdana"/>
      <family val="2"/>
    </font>
    <font>
      <b/>
      <sz val="16"/>
      <color indexed="8"/>
      <name val="Verdana"/>
      <family val="2"/>
    </font>
    <font>
      <u/>
      <sz val="12"/>
      <color theme="10"/>
      <name val="Verdana"/>
      <family val="2"/>
    </font>
    <font>
      <b/>
      <sz val="11"/>
      <color rgb="FFFF0000"/>
      <name val="Verdana"/>
      <family val="2"/>
    </font>
    <font>
      <b/>
      <sz val="14"/>
      <color rgb="FFFFFFFF"/>
      <name val="Verdana"/>
      <family val="2"/>
    </font>
    <font>
      <sz val="11"/>
      <color rgb="FF000000"/>
      <name val="Arial"/>
      <family val="2"/>
    </font>
    <font>
      <sz val="11"/>
      <color indexed="8"/>
      <name val="Verdana"/>
      <family val="2"/>
    </font>
    <font>
      <sz val="11"/>
      <color rgb="FF000000"/>
      <name val="Verdana"/>
      <family val="2"/>
    </font>
    <font>
      <b/>
      <sz val="10"/>
      <color rgb="FF000000"/>
      <name val="Calibri"/>
      <family val="2"/>
    </font>
    <font>
      <b/>
      <sz val="14"/>
      <color indexed="8"/>
      <name val="Verdana"/>
      <family val="2"/>
    </font>
    <font>
      <sz val="12"/>
      <color rgb="FFFF0000"/>
      <name val="Verdana"/>
      <family val="2"/>
    </font>
    <font>
      <sz val="10"/>
      <color rgb="FF000000"/>
      <name val="Calibri"/>
      <family val="2"/>
    </font>
    <font>
      <b/>
      <sz val="11"/>
      <color rgb="FFC00000"/>
      <name val="Verdana"/>
      <family val="2"/>
    </font>
    <font>
      <i/>
      <sz val="11"/>
      <color indexed="8"/>
      <name val="Verdana"/>
      <family val="2"/>
    </font>
    <font>
      <sz val="12"/>
      <name val="Verdana"/>
      <family val="2"/>
    </font>
    <font>
      <b/>
      <sz val="20"/>
      <color rgb="FFFFFFFF"/>
      <name val="Verdana"/>
      <family val="2"/>
    </font>
    <font>
      <sz val="11"/>
      <color rgb="FFFFFFFF"/>
      <name val="Verdana"/>
      <family val="2"/>
    </font>
    <font>
      <b/>
      <sz val="14"/>
      <color rgb="FF000000"/>
      <name val="Verdana"/>
      <family val="2"/>
    </font>
    <font>
      <b/>
      <sz val="14"/>
      <color theme="0"/>
      <name val="Verdana"/>
      <family val="2"/>
    </font>
    <font>
      <sz val="12"/>
      <color theme="1"/>
      <name val="Verdana"/>
      <family val="2"/>
    </font>
    <font>
      <sz val="11"/>
      <color theme="1"/>
      <name val="Verdana"/>
      <family val="2"/>
    </font>
    <font>
      <sz val="11"/>
      <color indexed="8"/>
      <name val="Verdana"/>
      <family val="2"/>
    </font>
    <font>
      <sz val="11"/>
      <color rgb="FF000000"/>
      <name val="Verdana"/>
      <family val="2"/>
    </font>
    <font>
      <sz val="11"/>
      <name val="Verdana"/>
      <family val="2"/>
    </font>
    <font>
      <b/>
      <sz val="16"/>
      <color theme="0"/>
      <name val="Verdana"/>
      <family val="2"/>
    </font>
  </fonts>
  <fills count="22">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000000"/>
        <bgColor indexed="64"/>
      </patternFill>
    </fill>
    <fill>
      <patternFill patternType="solid">
        <fgColor theme="1" tint="0.249977111117893"/>
        <bgColor indexed="64"/>
      </patternFill>
    </fill>
    <fill>
      <patternFill patternType="solid">
        <fgColor rgb="FFF2F2F2"/>
        <bgColor rgb="FFF2F2F2"/>
      </patternFill>
    </fill>
    <fill>
      <patternFill patternType="solid">
        <fgColor rgb="FFFFFFFF"/>
        <bgColor indexed="64"/>
      </patternFill>
    </fill>
    <fill>
      <patternFill patternType="solid">
        <fgColor rgb="FFD9D9D9"/>
        <bgColor indexed="64"/>
      </patternFill>
    </fill>
    <fill>
      <patternFill patternType="solid">
        <fgColor rgb="FFF3F4F4"/>
      </patternFill>
    </fill>
    <fill>
      <patternFill patternType="solid">
        <fgColor theme="2" tint="0.79998168889431442"/>
        <bgColor indexed="64"/>
      </patternFill>
    </fill>
    <fill>
      <patternFill patternType="solid">
        <fgColor rgb="FFD8D8D8"/>
        <bgColor indexed="64"/>
      </patternFill>
    </fill>
    <fill>
      <patternFill patternType="solid">
        <fgColor rgb="FF0070C0"/>
        <bgColor indexed="64"/>
      </patternFill>
    </fill>
    <fill>
      <patternFill patternType="solid">
        <fgColor rgb="FFF3F1FF"/>
        <bgColor indexed="64"/>
      </patternFill>
    </fill>
    <fill>
      <patternFill patternType="solid">
        <fgColor rgb="FFC00000"/>
        <bgColor indexed="64"/>
      </patternFill>
    </fill>
    <fill>
      <patternFill patternType="solid">
        <fgColor theme="5" tint="0.79998168889431442"/>
        <bgColor indexed="64"/>
      </patternFill>
    </fill>
    <fill>
      <patternFill patternType="solid">
        <fgColor rgb="FF7030A0"/>
        <bgColor indexed="64"/>
      </patternFill>
    </fill>
    <fill>
      <patternFill patternType="solid">
        <fgColor rgb="FF00B050"/>
        <bgColor indexed="64"/>
      </patternFill>
    </fill>
    <fill>
      <patternFill patternType="solid">
        <fgColor theme="1"/>
        <bgColor rgb="FF000000"/>
      </patternFill>
    </fill>
    <fill>
      <patternFill patternType="solid">
        <fgColor rgb="FFFFFFFF"/>
        <bgColor rgb="FFFFFFFF"/>
      </patternFill>
    </fill>
  </fills>
  <borders count="24">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indexed="64"/>
      </top>
      <bottom/>
      <diagonal/>
    </border>
    <border>
      <left style="medium">
        <color rgb="FFCCCCCC"/>
      </left>
      <right style="medium">
        <color rgb="FFCCCCCC"/>
      </right>
      <top style="medium">
        <color rgb="FFCCCCCC"/>
      </top>
      <bottom style="medium">
        <color rgb="FFCCCCCC"/>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231F20"/>
      </left>
      <right style="thin">
        <color rgb="FF231F20"/>
      </right>
      <top style="thin">
        <color rgb="FF231F20"/>
      </top>
      <bottom style="thin">
        <color rgb="FF231F2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CCCCCC"/>
      </left>
      <right style="medium">
        <color rgb="FFCCCCCC"/>
      </right>
      <top style="medium">
        <color rgb="FFCCCCCC"/>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s>
  <cellStyleXfs count="18">
    <xf numFmtId="0" fontId="0" fillId="0" borderId="0" applyNumberFormat="0" applyFill="0" applyBorder="0" applyProtection="0">
      <alignment vertical="top" wrapText="1"/>
    </xf>
    <xf numFmtId="0" fontId="16" fillId="0" borderId="0"/>
    <xf numFmtId="0" fontId="22" fillId="0" borderId="0" applyNumberFormat="0" applyFill="0" applyBorder="0" applyAlignment="0" applyProtection="0">
      <alignment vertical="top" wrapText="1"/>
    </xf>
    <xf numFmtId="0" fontId="23" fillId="0" borderId="0" applyNumberFormat="0" applyFill="0" applyBorder="0" applyAlignment="0" applyProtection="0">
      <alignment vertical="top" wrapText="1"/>
    </xf>
    <xf numFmtId="0" fontId="22" fillId="0" borderId="0" applyNumberFormat="0" applyFill="0" applyBorder="0" applyAlignment="0" applyProtection="0">
      <alignment vertical="top" wrapText="1"/>
    </xf>
    <xf numFmtId="0" fontId="23" fillId="0" borderId="0" applyNumberFormat="0" applyFill="0" applyBorder="0" applyAlignment="0" applyProtection="0">
      <alignment vertical="top" wrapText="1"/>
    </xf>
    <xf numFmtId="0" fontId="22" fillId="0" borderId="0" applyNumberFormat="0" applyFill="0" applyBorder="0" applyAlignment="0" applyProtection="0">
      <alignment vertical="top" wrapText="1"/>
    </xf>
    <xf numFmtId="0" fontId="23" fillId="0" borderId="0" applyNumberFormat="0" applyFill="0" applyBorder="0" applyAlignment="0" applyProtection="0">
      <alignment vertical="top" wrapText="1"/>
    </xf>
    <xf numFmtId="0" fontId="28" fillId="0" borderId="0"/>
    <xf numFmtId="9" fontId="28" fillId="0" borderId="0" applyFont="0" applyFill="0" applyBorder="0" applyAlignment="0" applyProtection="0"/>
    <xf numFmtId="0" fontId="29" fillId="0" borderId="0"/>
    <xf numFmtId="0" fontId="27" fillId="0" borderId="0"/>
    <xf numFmtId="9" fontId="27" fillId="0" borderId="0" applyFont="0" applyFill="0" applyBorder="0" applyAlignment="0" applyProtection="0"/>
    <xf numFmtId="0" fontId="36" fillId="0" borderId="0"/>
    <xf numFmtId="9" fontId="17" fillId="0" borderId="0" applyFont="0" applyFill="0" applyBorder="0" applyAlignment="0" applyProtection="0"/>
    <xf numFmtId="0" fontId="46" fillId="0" borderId="0" applyNumberFormat="0" applyFill="0" applyBorder="0" applyAlignment="0" applyProtection="0">
      <alignment vertical="top" wrapText="1"/>
    </xf>
    <xf numFmtId="0" fontId="16" fillId="0" borderId="0"/>
    <xf numFmtId="0" fontId="17" fillId="0" borderId="0" applyNumberFormat="0" applyFill="0" applyBorder="0" applyProtection="0">
      <alignment vertical="top" wrapText="1"/>
    </xf>
  </cellStyleXfs>
  <cellXfs count="363">
    <xf numFmtId="0" fontId="0" fillId="0" borderId="0" xfId="0" applyFont="1" applyAlignment="1">
      <alignment vertical="top" wrapText="1"/>
    </xf>
    <xf numFmtId="0" fontId="0" fillId="0" borderId="0" xfId="0" applyFont="1" applyAlignment="1">
      <alignment horizontal="left" vertical="center" wrapText="1"/>
    </xf>
    <xf numFmtId="0" fontId="8" fillId="0" borderId="0" xfId="0" applyFont="1" applyAlignment="1">
      <alignment vertical="top" wrapText="1"/>
    </xf>
    <xf numFmtId="0" fontId="1" fillId="0" borderId="0" xfId="0" applyNumberFormat="1" applyFont="1" applyAlignment="1"/>
    <xf numFmtId="0" fontId="1" fillId="0" borderId="0" xfId="0" applyNumberFormat="1" applyFont="1" applyAlignment="1">
      <alignment horizontal="left" vertical="center"/>
    </xf>
    <xf numFmtId="0" fontId="1" fillId="0" borderId="0" xfId="0" applyNumberFormat="1" applyFont="1" applyAlignment="1">
      <alignment wrapText="1"/>
    </xf>
    <xf numFmtId="0" fontId="9" fillId="0" borderId="0" xfId="0" applyNumberFormat="1" applyFont="1" applyBorder="1" applyAlignment="1">
      <alignment wrapText="1"/>
    </xf>
    <xf numFmtId="0" fontId="13" fillId="2" borderId="3" xfId="0" applyNumberFormat="1" applyFont="1" applyFill="1" applyBorder="1" applyAlignment="1">
      <alignment horizontal="center" vertical="center" wrapText="1"/>
    </xf>
    <xf numFmtId="0" fontId="2" fillId="4" borderId="3" xfId="0" applyNumberFormat="1" applyFont="1" applyFill="1" applyBorder="1" applyAlignment="1">
      <alignment vertical="center" wrapText="1"/>
    </xf>
    <xf numFmtId="1" fontId="15" fillId="4" borderId="3" xfId="0" applyNumberFormat="1" applyFont="1" applyFill="1" applyBorder="1" applyAlignment="1">
      <alignment vertical="center" wrapText="1"/>
    </xf>
    <xf numFmtId="0" fontId="15" fillId="4" borderId="3" xfId="0" applyNumberFormat="1" applyFont="1" applyFill="1" applyBorder="1" applyAlignment="1">
      <alignment vertical="center" wrapText="1"/>
    </xf>
    <xf numFmtId="1" fontId="15" fillId="4" borderId="3" xfId="0" applyNumberFormat="1" applyFont="1" applyFill="1" applyBorder="1" applyAlignment="1">
      <alignment horizontal="left" vertical="center" wrapText="1"/>
    </xf>
    <xf numFmtId="0" fontId="3" fillId="3" borderId="3" xfId="0" applyNumberFormat="1" applyFont="1" applyFill="1" applyBorder="1" applyAlignment="1">
      <alignment horizontal="center" vertical="center" wrapText="1"/>
    </xf>
    <xf numFmtId="1" fontId="3" fillId="3" borderId="3" xfId="0" applyNumberFormat="1" applyFont="1" applyFill="1" applyBorder="1" applyAlignment="1">
      <alignment vertical="center" wrapText="1"/>
    </xf>
    <xf numFmtId="0" fontId="1" fillId="0" borderId="3" xfId="0" applyFont="1" applyBorder="1" applyAlignment="1">
      <alignment vertical="center" wrapText="1"/>
    </xf>
    <xf numFmtId="0" fontId="1" fillId="4" borderId="3" xfId="0" applyFont="1" applyFill="1" applyBorder="1"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17" fillId="0" borderId="0" xfId="0" applyFont="1" applyAlignment="1">
      <alignment horizontal="center" vertical="center" wrapText="1"/>
    </xf>
    <xf numFmtId="0" fontId="0" fillId="0" borderId="0" xfId="0">
      <alignment vertical="top" wrapText="1"/>
    </xf>
    <xf numFmtId="0" fontId="19" fillId="0" borderId="0" xfId="0" applyNumberFormat="1" applyFont="1" applyFill="1" applyBorder="1" applyAlignment="1">
      <alignment vertical="center" wrapText="1"/>
    </xf>
    <xf numFmtId="0" fontId="18" fillId="0" borderId="3" xfId="0" applyFont="1" applyBorder="1" applyAlignment="1">
      <alignment horizontal="left" vertical="center" wrapText="1"/>
    </xf>
    <xf numFmtId="0" fontId="3" fillId="0" borderId="3" xfId="0" applyNumberFormat="1" applyFont="1" applyFill="1" applyBorder="1" applyAlignment="1">
      <alignment vertical="center" wrapText="1"/>
    </xf>
    <xf numFmtId="0" fontId="1" fillId="3" borderId="3" xfId="0" applyNumberFormat="1" applyFont="1" applyFill="1" applyBorder="1" applyAlignment="1">
      <alignment horizontal="center" vertical="center" wrapText="1"/>
    </xf>
    <xf numFmtId="0" fontId="1" fillId="0" borderId="0" xfId="0" applyNumberFormat="1" applyFont="1" applyAlignment="1">
      <alignment horizontal="center" vertical="center"/>
    </xf>
    <xf numFmtId="0" fontId="4" fillId="2" borderId="3" xfId="0" applyNumberFormat="1" applyFont="1" applyFill="1" applyBorder="1" applyAlignment="1">
      <alignment horizontal="center" vertical="center" wrapText="1"/>
    </xf>
    <xf numFmtId="1" fontId="4" fillId="2" borderId="3" xfId="0" applyNumberFormat="1" applyFont="1" applyFill="1" applyBorder="1" applyAlignment="1">
      <alignment horizontal="left" vertical="center" wrapText="1"/>
    </xf>
    <xf numFmtId="1" fontId="10" fillId="2" borderId="3" xfId="0" applyNumberFormat="1" applyFont="1" applyFill="1" applyBorder="1" applyAlignment="1">
      <alignment horizontal="left" vertical="center" wrapText="1"/>
    </xf>
    <xf numFmtId="0" fontId="3" fillId="4" borderId="3" xfId="0" applyNumberFormat="1" applyFont="1" applyFill="1" applyBorder="1" applyAlignment="1">
      <alignment horizontal="left" vertical="center" wrapText="1"/>
    </xf>
    <xf numFmtId="1" fontId="9" fillId="3" borderId="3" xfId="0" applyNumberFormat="1" applyFont="1" applyFill="1" applyBorder="1" applyAlignment="1">
      <alignment vertical="center" wrapText="1"/>
    </xf>
    <xf numFmtId="0" fontId="3" fillId="4" borderId="3" xfId="0" applyNumberFormat="1" applyFont="1" applyFill="1" applyBorder="1" applyAlignment="1">
      <alignment vertical="center" wrapText="1"/>
    </xf>
    <xf numFmtId="1" fontId="3" fillId="3" borderId="3" xfId="0" applyNumberFormat="1" applyFont="1" applyFill="1" applyBorder="1" applyAlignment="1">
      <alignment horizontal="left" vertical="center" wrapText="1"/>
    </xf>
    <xf numFmtId="1" fontId="1" fillId="3" borderId="3" xfId="0" applyNumberFormat="1" applyFont="1" applyFill="1" applyBorder="1" applyAlignment="1">
      <alignment vertical="center" wrapText="1"/>
    </xf>
    <xf numFmtId="0" fontId="3" fillId="3" borderId="3" xfId="0" applyNumberFormat="1" applyFont="1" applyFill="1" applyBorder="1" applyAlignment="1">
      <alignment vertical="center" wrapText="1"/>
    </xf>
    <xf numFmtId="0" fontId="20" fillId="0" borderId="0" xfId="0" applyNumberFormat="1" applyFont="1" applyAlignment="1"/>
    <xf numFmtId="0" fontId="21" fillId="0" borderId="0" xfId="0" applyFont="1" applyAlignment="1">
      <alignment vertical="top" wrapText="1"/>
    </xf>
    <xf numFmtId="49" fontId="4" fillId="2" borderId="3" xfId="0" applyNumberFormat="1" applyFont="1" applyFill="1" applyBorder="1" applyAlignment="1">
      <alignment horizontal="center" vertical="center" wrapText="1"/>
    </xf>
    <xf numFmtId="49" fontId="3" fillId="0" borderId="3" xfId="0" applyNumberFormat="1" applyFont="1" applyFill="1" applyBorder="1" applyAlignment="1">
      <alignment horizontal="center" vertical="center" wrapText="1"/>
    </xf>
    <xf numFmtId="49" fontId="3" fillId="5" borderId="3" xfId="0" applyNumberFormat="1" applyFont="1" applyFill="1" applyBorder="1" applyAlignment="1">
      <alignment horizontal="center" vertical="center" wrapText="1"/>
    </xf>
    <xf numFmtId="49" fontId="3" fillId="0" borderId="3" xfId="0" applyNumberFormat="1" applyFont="1" applyFill="1" applyBorder="1" applyAlignment="1">
      <alignment vertical="center" wrapText="1"/>
    </xf>
    <xf numFmtId="49" fontId="9" fillId="0" borderId="0" xfId="0" applyNumberFormat="1" applyFont="1" applyBorder="1" applyAlignment="1">
      <alignment wrapText="1"/>
    </xf>
    <xf numFmtId="49" fontId="3" fillId="5" borderId="3" xfId="0" applyNumberFormat="1" applyFont="1" applyFill="1" applyBorder="1" applyAlignment="1">
      <alignment vertical="center" wrapText="1"/>
    </xf>
    <xf numFmtId="49" fontId="3" fillId="5" borderId="3" xfId="0" applyNumberFormat="1" applyFont="1" applyFill="1" applyBorder="1" applyAlignment="1">
      <alignment horizontal="left" vertical="center" wrapText="1"/>
    </xf>
    <xf numFmtId="49" fontId="1" fillId="0" borderId="0" xfId="0" applyNumberFormat="1" applyFont="1" applyAlignment="1"/>
    <xf numFmtId="49" fontId="1" fillId="0" borderId="0" xfId="0" applyNumberFormat="1" applyFont="1" applyAlignment="1">
      <alignment horizontal="center" vertical="center"/>
    </xf>
    <xf numFmtId="49" fontId="1" fillId="0" borderId="0" xfId="0" applyNumberFormat="1" applyFont="1" applyAlignment="1">
      <alignment wrapText="1"/>
    </xf>
    <xf numFmtId="0" fontId="3" fillId="0" borderId="3" xfId="0" applyNumberFormat="1" applyFont="1" applyFill="1" applyBorder="1" applyAlignment="1">
      <alignment horizontal="center" vertical="center" wrapText="1"/>
    </xf>
    <xf numFmtId="0" fontId="3" fillId="5" borderId="3" xfId="0" applyNumberFormat="1" applyFont="1" applyFill="1" applyBorder="1" applyAlignment="1">
      <alignment horizontal="center" vertical="center" wrapText="1"/>
    </xf>
    <xf numFmtId="0" fontId="3" fillId="5" borderId="3" xfId="0" applyNumberFormat="1" applyFont="1" applyFill="1" applyBorder="1" applyAlignment="1">
      <alignment vertical="center" wrapText="1"/>
    </xf>
    <xf numFmtId="0" fontId="28" fillId="0" borderId="0" xfId="8" applyFont="1" applyAlignment="1">
      <alignment vertical="top" wrapText="1"/>
    </xf>
    <xf numFmtId="0" fontId="26" fillId="0" borderId="0" xfId="8" applyFont="1" applyAlignment="1"/>
    <xf numFmtId="0" fontId="26" fillId="0" borderId="5" xfId="8" applyFont="1" applyBorder="1" applyAlignment="1">
      <alignment horizontal="center" vertical="center" wrapText="1"/>
    </xf>
    <xf numFmtId="49" fontId="26" fillId="0" borderId="5" xfId="8" applyNumberFormat="1" applyFont="1" applyBorder="1" applyAlignment="1">
      <alignment horizontal="center" vertical="center" wrapText="1"/>
    </xf>
    <xf numFmtId="49" fontId="26" fillId="0" borderId="6" xfId="8" applyNumberFormat="1" applyFont="1" applyBorder="1" applyAlignment="1">
      <alignment horizontal="center" vertical="center" wrapText="1"/>
    </xf>
    <xf numFmtId="0" fontId="27" fillId="0" borderId="0" xfId="8" applyFont="1" applyAlignment="1">
      <alignment vertical="top" wrapText="1"/>
    </xf>
    <xf numFmtId="49" fontId="30" fillId="0" borderId="9" xfId="10" applyNumberFormat="1" applyFont="1" applyFill="1" applyBorder="1" applyAlignment="1">
      <alignment horizontal="center" vertical="center"/>
    </xf>
    <xf numFmtId="0" fontId="30" fillId="0" borderId="9" xfId="10" applyFont="1" applyBorder="1" applyAlignment="1">
      <alignment horizontal="left" vertical="center" wrapText="1"/>
    </xf>
    <xf numFmtId="0" fontId="27" fillId="0" borderId="0" xfId="8" applyFont="1" applyAlignment="1">
      <alignment vertical="top"/>
    </xf>
    <xf numFmtId="0" fontId="28" fillId="0" borderId="0" xfId="8" applyFont="1" applyAlignment="1">
      <alignment vertical="top"/>
    </xf>
    <xf numFmtId="0" fontId="28" fillId="0" borderId="0" xfId="8"/>
    <xf numFmtId="0" fontId="31" fillId="11" borderId="10" xfId="8" applyFont="1" applyFill="1" applyBorder="1" applyAlignment="1">
      <alignment horizontal="center" vertical="top" wrapText="1"/>
    </xf>
    <xf numFmtId="0" fontId="31" fillId="11" borderId="0" xfId="8" applyFont="1" applyFill="1" applyBorder="1" applyAlignment="1">
      <alignment horizontal="center" vertical="top" wrapText="1"/>
    </xf>
    <xf numFmtId="0" fontId="34" fillId="0" borderId="0" xfId="8" applyFont="1" applyAlignment="1">
      <alignment vertical="top" wrapText="1"/>
    </xf>
    <xf numFmtId="0" fontId="34" fillId="0" borderId="0" xfId="8" applyFont="1" applyAlignment="1">
      <alignment vertical="top"/>
    </xf>
    <xf numFmtId="49" fontId="34" fillId="0" borderId="5" xfId="8" applyNumberFormat="1" applyFont="1" applyBorder="1" applyAlignment="1">
      <alignment horizontal="center" vertical="center" wrapText="1"/>
    </xf>
    <xf numFmtId="0" fontId="31" fillId="11" borderId="0" xfId="8" applyFont="1" applyFill="1" applyBorder="1" applyAlignment="1">
      <alignment horizontal="left" vertical="top"/>
    </xf>
    <xf numFmtId="0" fontId="31" fillId="11" borderId="10" xfId="8" applyFont="1" applyFill="1" applyBorder="1" applyAlignment="1">
      <alignment horizontal="left" vertical="top"/>
    </xf>
    <xf numFmtId="0" fontId="32" fillId="11" borderId="10" xfId="8" applyFont="1" applyFill="1" applyBorder="1" applyAlignment="1">
      <alignment horizontal="left" vertical="top"/>
    </xf>
    <xf numFmtId="0" fontId="38" fillId="4" borderId="3" xfId="0" applyFont="1" applyFill="1" applyBorder="1" applyAlignment="1">
      <alignment vertical="center" wrapText="1"/>
    </xf>
    <xf numFmtId="0" fontId="3" fillId="12" borderId="3" xfId="0" applyNumberFormat="1" applyFont="1" applyFill="1" applyBorder="1" applyAlignment="1">
      <alignment vertical="center" wrapText="1"/>
    </xf>
    <xf numFmtId="0" fontId="35" fillId="0" borderId="0" xfId="0" applyFont="1" applyAlignment="1">
      <alignment vertical="top" wrapText="1"/>
    </xf>
    <xf numFmtId="0" fontId="38" fillId="0" borderId="0" xfId="0" applyFont="1" applyAlignment="1">
      <alignment vertical="top" wrapText="1"/>
    </xf>
    <xf numFmtId="165" fontId="38" fillId="0" borderId="0" xfId="0" applyNumberFormat="1" applyFont="1" applyAlignment="1">
      <alignment vertical="top" wrapText="1"/>
    </xf>
    <xf numFmtId="0" fontId="26" fillId="0" borderId="0" xfId="0" applyFont="1" applyBorder="1" applyAlignment="1"/>
    <xf numFmtId="0" fontId="26" fillId="0" borderId="0" xfId="0" applyFont="1" applyBorder="1" applyAlignment="1">
      <alignment horizontal="center"/>
    </xf>
    <xf numFmtId="0" fontId="26" fillId="9" borderId="0" xfId="0" applyFont="1" applyFill="1" applyBorder="1" applyAlignment="1">
      <alignment horizontal="center"/>
    </xf>
    <xf numFmtId="0" fontId="41" fillId="10" borderId="0" xfId="0" applyFont="1" applyFill="1" applyBorder="1" applyAlignment="1"/>
    <xf numFmtId="0" fontId="26" fillId="0" borderId="8" xfId="0" applyFont="1" applyBorder="1" applyAlignment="1">
      <alignment wrapText="1"/>
    </xf>
    <xf numFmtId="0" fontId="26" fillId="0" borderId="0" xfId="0" applyFont="1" applyAlignment="1">
      <alignment vertical="top" wrapText="1"/>
    </xf>
    <xf numFmtId="0" fontId="38" fillId="0" borderId="8" xfId="0" applyFont="1" applyBorder="1" applyAlignment="1">
      <alignment horizontal="center" wrapText="1"/>
    </xf>
    <xf numFmtId="0" fontId="38" fillId="0" borderId="8" xfId="0" applyFont="1" applyBorder="1" applyAlignment="1">
      <alignment wrapText="1"/>
    </xf>
    <xf numFmtId="0" fontId="38" fillId="0" borderId="8" xfId="0" applyFont="1" applyBorder="1" applyAlignment="1">
      <alignment horizontal="right" wrapText="1"/>
    </xf>
    <xf numFmtId="0" fontId="42" fillId="0" borderId="0" xfId="0" applyFont="1" applyFill="1" applyBorder="1" applyAlignment="1">
      <alignment vertical="top"/>
    </xf>
    <xf numFmtId="0" fontId="26" fillId="0" borderId="0" xfId="0" applyFont="1" applyBorder="1" applyAlignment="1">
      <alignment vertical="top"/>
    </xf>
    <xf numFmtId="10" fontId="26" fillId="0" borderId="0" xfId="0" applyNumberFormat="1" applyFont="1" applyBorder="1" applyAlignment="1">
      <alignment vertical="top"/>
    </xf>
    <xf numFmtId="0" fontId="26" fillId="0" borderId="0" xfId="0" applyFont="1" applyFill="1" applyBorder="1" applyAlignment="1">
      <alignment vertical="top"/>
    </xf>
    <xf numFmtId="0" fontId="26" fillId="9" borderId="8" xfId="0" applyFont="1" applyFill="1" applyBorder="1" applyAlignment="1">
      <alignment wrapText="1"/>
    </xf>
    <xf numFmtId="0" fontId="26" fillId="0" borderId="7" xfId="0" applyFont="1" applyFill="1" applyBorder="1" applyAlignment="1">
      <alignment vertical="top"/>
    </xf>
    <xf numFmtId="0" fontId="26" fillId="0" borderId="7" xfId="0" applyFont="1" applyBorder="1" applyAlignment="1">
      <alignment vertical="top"/>
    </xf>
    <xf numFmtId="10" fontId="26" fillId="0" borderId="7" xfId="0" applyNumberFormat="1" applyFont="1" applyBorder="1" applyAlignment="1">
      <alignment vertical="top"/>
    </xf>
    <xf numFmtId="0" fontId="26" fillId="0" borderId="7" xfId="0" applyFont="1" applyBorder="1" applyAlignment="1"/>
    <xf numFmtId="0" fontId="26" fillId="0" borderId="0" xfId="0" applyFont="1" applyFill="1" applyAlignment="1">
      <alignment vertical="top"/>
    </xf>
    <xf numFmtId="0" fontId="26" fillId="0" borderId="0" xfId="0" applyFont="1" applyAlignment="1">
      <alignment vertical="top"/>
    </xf>
    <xf numFmtId="0" fontId="43" fillId="0" borderId="0" xfId="0" applyFont="1" applyAlignment="1">
      <alignment vertical="top" wrapText="1"/>
    </xf>
    <xf numFmtId="0" fontId="1" fillId="0" borderId="0" xfId="0" applyFont="1" applyAlignment="1">
      <alignment vertical="top" wrapText="1"/>
    </xf>
    <xf numFmtId="0" fontId="25" fillId="0" borderId="8" xfId="0" applyFont="1" applyBorder="1" applyAlignment="1">
      <alignment wrapText="1"/>
    </xf>
    <xf numFmtId="0" fontId="25" fillId="0" borderId="0" xfId="0" applyFont="1" applyAlignment="1">
      <alignment vertical="top" wrapText="1"/>
    </xf>
    <xf numFmtId="0" fontId="25" fillId="9" borderId="8" xfId="0" applyFont="1" applyFill="1" applyBorder="1" applyAlignment="1">
      <alignment wrapText="1"/>
    </xf>
    <xf numFmtId="0" fontId="1" fillId="0" borderId="8" xfId="0" applyFont="1" applyBorder="1" applyAlignment="1">
      <alignment wrapText="1"/>
    </xf>
    <xf numFmtId="0" fontId="1" fillId="0" borderId="8" xfId="0" applyFont="1" applyBorder="1" applyAlignment="1">
      <alignment horizontal="right" wrapText="1"/>
    </xf>
    <xf numFmtId="165" fontId="1" fillId="0" borderId="0" xfId="0" applyNumberFormat="1" applyFont="1" applyAlignment="1">
      <alignment vertical="top" wrapText="1"/>
    </xf>
    <xf numFmtId="9" fontId="38" fillId="0" borderId="0" xfId="14" applyFont="1" applyAlignment="1">
      <alignment vertical="top" wrapText="1"/>
    </xf>
    <xf numFmtId="0" fontId="0" fillId="0" borderId="0" xfId="0" applyFont="1" applyAlignment="1">
      <alignment vertical="top" wrapText="1"/>
    </xf>
    <xf numFmtId="1" fontId="37" fillId="3" borderId="3" xfId="0" applyNumberFormat="1" applyFont="1" applyFill="1" applyBorder="1" applyAlignment="1">
      <alignment vertical="center" wrapText="1"/>
    </xf>
    <xf numFmtId="1" fontId="38" fillId="3" borderId="3" xfId="0" applyNumberFormat="1" applyFont="1" applyFill="1" applyBorder="1" applyAlignment="1">
      <alignment vertical="center" wrapText="1"/>
    </xf>
    <xf numFmtId="10" fontId="26" fillId="0" borderId="0" xfId="0" applyNumberFormat="1" applyFont="1" applyFill="1" applyAlignment="1">
      <alignment vertical="top"/>
    </xf>
    <xf numFmtId="49" fontId="37" fillId="0" borderId="3" xfId="0" applyNumberFormat="1" applyFont="1" applyFill="1" applyBorder="1" applyAlignment="1">
      <alignment horizontal="center" vertical="center" wrapText="1"/>
    </xf>
    <xf numFmtId="0" fontId="0" fillId="0" borderId="0" xfId="0" applyFont="1" applyAlignment="1">
      <alignment vertical="top" wrapText="1"/>
    </xf>
    <xf numFmtId="0" fontId="17" fillId="0" borderId="0" xfId="0" applyNumberFormat="1" applyFont="1" applyAlignment="1">
      <alignment vertical="top" wrapText="1"/>
    </xf>
    <xf numFmtId="0" fontId="34" fillId="0" borderId="0" xfId="8" applyNumberFormat="1" applyFont="1" applyAlignment="1">
      <alignment vertical="top"/>
    </xf>
    <xf numFmtId="0" fontId="25" fillId="0" borderId="0" xfId="0" applyNumberFormat="1" applyFont="1" applyAlignment="1">
      <alignment vertical="top" wrapText="1"/>
    </xf>
    <xf numFmtId="0" fontId="49" fillId="0" borderId="0" xfId="0" applyNumberFormat="1" applyFont="1" applyAlignment="1">
      <alignment vertical="top" wrapText="1"/>
    </xf>
    <xf numFmtId="0" fontId="25" fillId="0" borderId="11" xfId="0" applyNumberFormat="1" applyFont="1" applyBorder="1" applyAlignment="1">
      <alignment horizontal="center" vertical="center" wrapText="1"/>
    </xf>
    <xf numFmtId="0" fontId="25" fillId="0" borderId="12" xfId="0" applyNumberFormat="1" applyFont="1" applyBorder="1" applyAlignment="1">
      <alignment horizontal="center" vertical="center" wrapText="1"/>
    </xf>
    <xf numFmtId="49" fontId="34" fillId="0" borderId="0" xfId="8" applyNumberFormat="1" applyFont="1" applyAlignment="1">
      <alignment horizontal="left" vertical="top" wrapText="1"/>
    </xf>
    <xf numFmtId="0" fontId="25" fillId="8" borderId="3" xfId="0" applyFont="1" applyFill="1" applyBorder="1" applyAlignment="1">
      <alignment vertical="center" wrapText="1"/>
    </xf>
    <xf numFmtId="0" fontId="3" fillId="9" borderId="3" xfId="0" applyFont="1" applyFill="1" applyBorder="1" applyAlignment="1">
      <alignment vertical="center" wrapText="1"/>
    </xf>
    <xf numFmtId="0" fontId="14" fillId="9" borderId="3" xfId="0" applyFont="1" applyFill="1" applyBorder="1" applyAlignment="1">
      <alignment vertical="center" wrapText="1"/>
    </xf>
    <xf numFmtId="0" fontId="50" fillId="0" borderId="0" xfId="0" applyFont="1" applyAlignment="1">
      <alignment vertical="top" wrapText="1"/>
    </xf>
    <xf numFmtId="0" fontId="51" fillId="0" borderId="8" xfId="0" applyFont="1" applyBorder="1" applyAlignment="1">
      <alignment wrapText="1"/>
    </xf>
    <xf numFmtId="0" fontId="51" fillId="0" borderId="0" xfId="0" applyFont="1" applyAlignment="1">
      <alignment vertical="top" wrapText="1"/>
    </xf>
    <xf numFmtId="0" fontId="50" fillId="0" borderId="8" xfId="0" applyFont="1" applyBorder="1" applyAlignment="1">
      <alignment horizontal="center" wrapText="1"/>
    </xf>
    <xf numFmtId="0" fontId="51" fillId="9" borderId="8" xfId="0" applyFont="1" applyFill="1" applyBorder="1" applyAlignment="1">
      <alignment wrapText="1"/>
    </xf>
    <xf numFmtId="0" fontId="50" fillId="0" borderId="8" xfId="0" applyFont="1" applyBorder="1" applyAlignment="1">
      <alignment wrapText="1"/>
    </xf>
    <xf numFmtId="0" fontId="50" fillId="0" borderId="8" xfId="0" applyFont="1" applyBorder="1" applyAlignment="1">
      <alignment horizontal="right" wrapText="1"/>
    </xf>
    <xf numFmtId="165" fontId="50" fillId="0" borderId="0" xfId="0" applyNumberFormat="1" applyFont="1" applyAlignment="1">
      <alignment vertical="top" wrapText="1"/>
    </xf>
    <xf numFmtId="0" fontId="50" fillId="0" borderId="0" xfId="0" applyFont="1" applyBorder="1" applyAlignment="1">
      <alignment vertical="top" wrapText="1"/>
    </xf>
    <xf numFmtId="0" fontId="51" fillId="0" borderId="13" xfId="0" applyFont="1" applyBorder="1" applyAlignment="1">
      <alignment wrapText="1"/>
    </xf>
    <xf numFmtId="0" fontId="51" fillId="0" borderId="0" xfId="0" applyFont="1" applyBorder="1" applyAlignment="1">
      <alignment vertical="top" wrapText="1"/>
    </xf>
    <xf numFmtId="0" fontId="50" fillId="0" borderId="13" xfId="0" applyFont="1" applyBorder="1" applyAlignment="1">
      <alignment horizontal="center" wrapText="1"/>
    </xf>
    <xf numFmtId="0" fontId="51" fillId="9" borderId="13" xfId="0" applyFont="1" applyFill="1" applyBorder="1" applyAlignment="1">
      <alignment wrapText="1"/>
    </xf>
    <xf numFmtId="0" fontId="50" fillId="0" borderId="13" xfId="0" applyFont="1" applyBorder="1" applyAlignment="1">
      <alignment wrapText="1"/>
    </xf>
    <xf numFmtId="0" fontId="50" fillId="0" borderId="13" xfId="0" applyFont="1" applyBorder="1" applyAlignment="1">
      <alignment horizontal="right" wrapText="1"/>
    </xf>
    <xf numFmtId="165" fontId="50" fillId="0" borderId="0" xfId="0" applyNumberFormat="1" applyFont="1" applyBorder="1" applyAlignment="1">
      <alignment vertical="top" wrapText="1"/>
    </xf>
    <xf numFmtId="0" fontId="15" fillId="4" borderId="3" xfId="0" applyFont="1" applyFill="1" applyBorder="1" applyAlignment="1">
      <alignment vertical="center" wrapText="1"/>
    </xf>
    <xf numFmtId="0" fontId="18" fillId="0" borderId="3" xfId="0" applyFont="1" applyBorder="1" applyAlignment="1">
      <alignment horizontal="left" vertical="center" wrapText="1"/>
    </xf>
    <xf numFmtId="0" fontId="0" fillId="0" borderId="0" xfId="0" applyFont="1" applyAlignment="1">
      <alignment vertical="top" wrapText="1"/>
    </xf>
    <xf numFmtId="0" fontId="3" fillId="3" borderId="3" xfId="0" applyNumberFormat="1" applyFont="1" applyFill="1" applyBorder="1" applyAlignment="1">
      <alignment horizontal="left" vertical="center" wrapText="1"/>
    </xf>
    <xf numFmtId="0" fontId="37" fillId="3" borderId="3" xfId="0" applyNumberFormat="1" applyFont="1" applyFill="1" applyBorder="1" applyAlignment="1">
      <alignment horizontal="left" vertical="center" wrapText="1"/>
    </xf>
    <xf numFmtId="0" fontId="11" fillId="4" borderId="3" xfId="0" applyNumberFormat="1" applyFont="1" applyFill="1" applyBorder="1" applyAlignment="1">
      <alignment horizontal="left" vertical="center" wrapText="1"/>
    </xf>
    <xf numFmtId="0" fontId="8" fillId="0" borderId="0" xfId="0" applyFont="1" applyAlignment="1">
      <alignment horizontal="center" vertical="center" wrapText="1"/>
    </xf>
    <xf numFmtId="0" fontId="17" fillId="0" borderId="0" xfId="0" applyFont="1" applyAlignment="1">
      <alignment vertical="center" wrapText="1"/>
    </xf>
    <xf numFmtId="0" fontId="17" fillId="0" borderId="0" xfId="0" applyFont="1" applyAlignment="1">
      <alignment vertical="top" wrapText="1"/>
    </xf>
    <xf numFmtId="0" fontId="8" fillId="0" borderId="0" xfId="0" applyFont="1" applyAlignment="1">
      <alignment horizontal="left" vertical="center" wrapText="1"/>
    </xf>
    <xf numFmtId="9" fontId="25" fillId="0" borderId="3" xfId="12" applyFont="1" applyFill="1" applyBorder="1" applyAlignment="1">
      <alignment horizontal="center" vertical="center"/>
    </xf>
    <xf numFmtId="0" fontId="8" fillId="0" borderId="3" xfId="0" applyFont="1" applyBorder="1" applyAlignment="1">
      <alignment horizontal="center" vertical="center" wrapText="1"/>
    </xf>
    <xf numFmtId="0" fontId="8" fillId="0" borderId="3" xfId="0" applyFont="1" applyBorder="1" applyAlignment="1">
      <alignment horizontal="left" vertical="center" wrapText="1"/>
    </xf>
    <xf numFmtId="0" fontId="17" fillId="0" borderId="3" xfId="0" applyFont="1" applyBorder="1" applyAlignment="1">
      <alignment vertical="top" wrapText="1"/>
    </xf>
    <xf numFmtId="0" fontId="1" fillId="0" borderId="3" xfId="0" applyFont="1" applyBorder="1" applyAlignment="1">
      <alignment vertical="top" wrapText="1"/>
    </xf>
    <xf numFmtId="165" fontId="1" fillId="0" borderId="3" xfId="0" applyNumberFormat="1" applyFont="1" applyBorder="1" applyAlignment="1">
      <alignment vertical="top" wrapText="1"/>
    </xf>
    <xf numFmtId="165" fontId="17" fillId="0" borderId="3" xfId="0" applyNumberFormat="1" applyFont="1" applyBorder="1" applyAlignment="1">
      <alignment vertical="top" wrapText="1"/>
    </xf>
    <xf numFmtId="0" fontId="47" fillId="9" borderId="3" xfId="0" applyFont="1" applyFill="1" applyBorder="1" applyAlignment="1">
      <alignment vertical="center" wrapText="1"/>
    </xf>
    <xf numFmtId="0" fontId="38" fillId="9" borderId="3" xfId="0" applyFont="1" applyFill="1" applyBorder="1" applyAlignment="1">
      <alignment vertical="center" wrapText="1"/>
    </xf>
    <xf numFmtId="0" fontId="44" fillId="9" borderId="3" xfId="0" applyFont="1" applyFill="1" applyBorder="1" applyAlignment="1">
      <alignment vertical="center" wrapText="1"/>
    </xf>
    <xf numFmtId="0" fontId="35" fillId="9" borderId="3" xfId="0" applyFont="1" applyFill="1" applyBorder="1" applyAlignment="1">
      <alignment vertical="center" wrapText="1"/>
    </xf>
    <xf numFmtId="0" fontId="46" fillId="9" borderId="3" xfId="15" applyFill="1" applyBorder="1" applyAlignment="1">
      <alignment vertical="center" wrapText="1"/>
    </xf>
    <xf numFmtId="0" fontId="26" fillId="8" borderId="3" xfId="0" applyFont="1" applyFill="1" applyBorder="1" applyAlignment="1">
      <alignment vertical="center" wrapText="1"/>
    </xf>
    <xf numFmtId="0" fontId="8" fillId="0" borderId="0" xfId="0" applyFont="1" applyAlignment="1">
      <alignment vertical="center" wrapText="1"/>
    </xf>
    <xf numFmtId="0" fontId="15" fillId="0" borderId="0" xfId="0" applyFont="1" applyAlignment="1">
      <alignment vertical="top" wrapText="1"/>
    </xf>
    <xf numFmtId="0" fontId="21" fillId="2" borderId="0" xfId="0" applyFont="1" applyFill="1" applyAlignment="1">
      <alignment vertical="top" wrapText="1"/>
    </xf>
    <xf numFmtId="0" fontId="21" fillId="2" borderId="0" xfId="0" applyFont="1" applyFill="1" applyAlignment="1">
      <alignment horizontal="left" vertical="top" wrapText="1"/>
    </xf>
    <xf numFmtId="0" fontId="17" fillId="2" borderId="0" xfId="0" applyFont="1" applyFill="1" applyAlignment="1">
      <alignment horizontal="left" vertical="top" wrapText="1"/>
    </xf>
    <xf numFmtId="0" fontId="54" fillId="0" borderId="0" xfId="0" applyFont="1" applyAlignment="1">
      <alignment vertical="center" wrapText="1"/>
    </xf>
    <xf numFmtId="0" fontId="39" fillId="0" borderId="3" xfId="0" applyFont="1" applyBorder="1" applyAlignment="1">
      <alignment vertical="center" wrapText="1"/>
    </xf>
    <xf numFmtId="0" fontId="1" fillId="0" borderId="3" xfId="0" applyFont="1" applyBorder="1" applyAlignment="1">
      <alignment vertical="center" wrapText="1"/>
    </xf>
    <xf numFmtId="0" fontId="25" fillId="0" borderId="3" xfId="0" applyFont="1" applyBorder="1" applyAlignment="1">
      <alignment wrapText="1"/>
    </xf>
    <xf numFmtId="0" fontId="25" fillId="0" borderId="3" xfId="0" applyFont="1" applyBorder="1" applyAlignment="1">
      <alignment horizontal="center" wrapText="1"/>
    </xf>
    <xf numFmtId="9" fontId="25" fillId="0" borderId="3" xfId="0" applyNumberFormat="1" applyFont="1" applyBorder="1" applyAlignment="1">
      <alignment horizontal="center" wrapText="1"/>
    </xf>
    <xf numFmtId="0" fontId="39" fillId="0" borderId="3" xfId="0" applyFont="1" applyBorder="1" applyAlignment="1">
      <alignment horizontal="center" vertical="center" wrapText="1"/>
    </xf>
    <xf numFmtId="0" fontId="39" fillId="4" borderId="3" xfId="0" applyFont="1" applyFill="1" applyBorder="1" applyAlignment="1">
      <alignment horizontal="center" vertical="center" wrapText="1"/>
    </xf>
    <xf numFmtId="0" fontId="39" fillId="4" borderId="3" xfId="0" applyNumberFormat="1" applyFont="1" applyFill="1" applyBorder="1" applyAlignment="1">
      <alignment horizontal="center" vertical="center" wrapText="1"/>
    </xf>
    <xf numFmtId="9" fontId="39" fillId="4" borderId="3" xfId="0" applyNumberFormat="1" applyFont="1" applyFill="1" applyBorder="1" applyAlignment="1">
      <alignment horizontal="center" vertical="center" wrapText="1"/>
    </xf>
    <xf numFmtId="0" fontId="1" fillId="0" borderId="3" xfId="0" applyNumberFormat="1" applyFont="1" applyBorder="1" applyAlignment="1"/>
    <xf numFmtId="0" fontId="48" fillId="6" borderId="3" xfId="0" applyFont="1" applyFill="1" applyBorder="1" applyAlignment="1">
      <alignment horizontal="center" vertical="center" wrapText="1"/>
    </xf>
    <xf numFmtId="0" fontId="26" fillId="0" borderId="3" xfId="0" applyFont="1" applyBorder="1" applyAlignment="1">
      <alignment horizontal="center" vertical="center" wrapText="1"/>
    </xf>
    <xf numFmtId="0" fontId="35" fillId="13" borderId="3" xfId="0" applyFont="1" applyFill="1" applyBorder="1" applyAlignment="1">
      <alignment vertical="center" wrapText="1"/>
    </xf>
    <xf numFmtId="0" fontId="12" fillId="0" borderId="3" xfId="0" applyFont="1" applyFill="1" applyBorder="1" applyAlignment="1">
      <alignment horizontal="center" vertical="center" wrapText="1"/>
    </xf>
    <xf numFmtId="0" fontId="8" fillId="0" borderId="3" xfId="0" applyFont="1" applyFill="1" applyBorder="1" applyAlignment="1">
      <alignment horizontal="left" vertical="center" wrapText="1"/>
    </xf>
    <xf numFmtId="0" fontId="39" fillId="0" borderId="3" xfId="0" applyFont="1" applyFill="1" applyBorder="1" applyAlignment="1">
      <alignment vertical="center" wrapText="1"/>
    </xf>
    <xf numFmtId="0" fontId="39" fillId="15" borderId="3" xfId="0" applyFont="1" applyFill="1" applyBorder="1" applyAlignment="1">
      <alignment vertical="center" wrapText="1"/>
    </xf>
    <xf numFmtId="1" fontId="3" fillId="3" borderId="3" xfId="0" applyNumberFormat="1" applyFont="1" applyFill="1" applyBorder="1" applyAlignment="1">
      <alignment horizontal="center" vertical="center" wrapText="1"/>
    </xf>
    <xf numFmtId="0" fontId="56" fillId="0" borderId="3" xfId="0" applyFont="1" applyBorder="1" applyAlignment="1">
      <alignment vertical="center" wrapText="1"/>
    </xf>
    <xf numFmtId="0" fontId="12" fillId="14" borderId="2"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wrapText="1"/>
    </xf>
    <xf numFmtId="49" fontId="4" fillId="4" borderId="3" xfId="0" applyNumberFormat="1" applyFont="1" applyFill="1" applyBorder="1" applyAlignment="1">
      <alignment horizontal="center" vertical="center" wrapText="1"/>
    </xf>
    <xf numFmtId="0" fontId="4" fillId="4" borderId="3" xfId="0" applyNumberFormat="1" applyFont="1" applyFill="1" applyBorder="1" applyAlignment="1">
      <alignment horizontal="center" vertical="center" wrapText="1"/>
    </xf>
    <xf numFmtId="0" fontId="48" fillId="4" borderId="3" xfId="0" applyFont="1" applyFill="1" applyBorder="1" applyAlignment="1">
      <alignment horizontal="center" vertical="center" wrapText="1"/>
    </xf>
    <xf numFmtId="0" fontId="20" fillId="4" borderId="0" xfId="0" applyNumberFormat="1" applyFont="1" applyFill="1" applyAlignment="1"/>
    <xf numFmtId="0" fontId="21" fillId="4" borderId="0" xfId="0" applyFont="1" applyFill="1" applyAlignment="1">
      <alignment vertical="top" wrapText="1"/>
    </xf>
    <xf numFmtId="0" fontId="27" fillId="0" borderId="3" xfId="0" applyFont="1" applyBorder="1" applyAlignment="1">
      <alignment vertical="top" wrapText="1"/>
    </xf>
    <xf numFmtId="0" fontId="26" fillId="0" borderId="3" xfId="0" applyFont="1" applyBorder="1" applyAlignment="1"/>
    <xf numFmtId="0" fontId="35" fillId="0" borderId="3" xfId="0" applyFont="1" applyBorder="1" applyAlignment="1">
      <alignment vertical="top" wrapText="1"/>
    </xf>
    <xf numFmtId="0" fontId="39" fillId="0" borderId="20" xfId="0" applyFont="1" applyBorder="1" applyAlignment="1">
      <alignment vertical="center" wrapText="1"/>
    </xf>
    <xf numFmtId="0" fontId="39" fillId="0" borderId="21" xfId="0" applyFont="1" applyBorder="1" applyAlignment="1">
      <alignment vertical="center" wrapText="1"/>
    </xf>
    <xf numFmtId="0" fontId="25" fillId="0" borderId="21" xfId="0" applyFont="1" applyBorder="1" applyAlignment="1">
      <alignment vertical="center" wrapText="1"/>
    </xf>
    <xf numFmtId="0" fontId="39" fillId="0" borderId="22" xfId="0" applyFont="1" applyBorder="1" applyAlignment="1">
      <alignment vertical="center" wrapText="1"/>
    </xf>
    <xf numFmtId="0" fontId="1" fillId="0" borderId="3" xfId="0" applyFont="1" applyFill="1" applyBorder="1" applyAlignment="1">
      <alignment vertical="center" wrapText="1"/>
    </xf>
    <xf numFmtId="0" fontId="3" fillId="3" borderId="3" xfId="0" applyNumberFormat="1" applyFont="1" applyFill="1" applyBorder="1" applyAlignment="1">
      <alignment horizontal="left" vertical="center" wrapText="1"/>
    </xf>
    <xf numFmtId="0" fontId="1" fillId="0" borderId="3" xfId="0" applyFont="1" applyBorder="1" applyAlignment="1">
      <alignment vertical="center" wrapText="1"/>
    </xf>
    <xf numFmtId="0" fontId="16" fillId="0" borderId="0" xfId="16" applyFont="1" applyAlignment="1"/>
    <xf numFmtId="0" fontId="16" fillId="0" borderId="16" xfId="16" applyFont="1" applyBorder="1" applyAlignment="1"/>
    <xf numFmtId="0" fontId="16" fillId="0" borderId="17" xfId="16" applyFont="1" applyBorder="1" applyAlignment="1"/>
    <xf numFmtId="0" fontId="16" fillId="0" borderId="18" xfId="16" applyFont="1" applyBorder="1" applyAlignment="1"/>
    <xf numFmtId="0" fontId="16" fillId="0" borderId="19" xfId="16" applyFont="1" applyBorder="1" applyAlignment="1"/>
    <xf numFmtId="0" fontId="3" fillId="4" borderId="3" xfId="0" applyFont="1" applyFill="1" applyBorder="1" applyAlignment="1">
      <alignment horizontal="left" vertical="center" wrapText="1"/>
    </xf>
    <xf numFmtId="0" fontId="3" fillId="0" borderId="3" xfId="0" applyFont="1" applyBorder="1" applyAlignment="1">
      <alignment horizontal="left" vertical="center" wrapText="1"/>
    </xf>
    <xf numFmtId="0" fontId="1" fillId="3" borderId="3" xfId="0" applyNumberFormat="1" applyFont="1" applyFill="1" applyBorder="1" applyAlignment="1">
      <alignment vertical="center" wrapText="1"/>
    </xf>
    <xf numFmtId="0" fontId="15" fillId="8" borderId="3" xfId="0" applyFont="1" applyFill="1" applyBorder="1" applyAlignment="1">
      <alignment vertical="center" wrapText="1"/>
    </xf>
    <xf numFmtId="0" fontId="12" fillId="16" borderId="3" xfId="0" applyNumberFormat="1" applyFont="1" applyFill="1" applyBorder="1" applyAlignment="1">
      <alignment horizontal="center" vertical="center" wrapText="1"/>
    </xf>
    <xf numFmtId="0" fontId="12" fillId="19" borderId="2" xfId="0" applyNumberFormat="1" applyFont="1" applyFill="1" applyBorder="1" applyAlignment="1">
      <alignment horizontal="center" vertical="center" wrapText="1"/>
    </xf>
    <xf numFmtId="0" fontId="59" fillId="0" borderId="0" xfId="0" applyFont="1" applyFill="1" applyBorder="1" applyAlignment="1">
      <alignment vertical="center" wrapText="1"/>
    </xf>
    <xf numFmtId="0" fontId="60" fillId="0" borderId="0" xfId="0" applyFont="1" applyAlignment="1"/>
    <xf numFmtId="0" fontId="25" fillId="0" borderId="0" xfId="0" applyFont="1" applyAlignment="1"/>
    <xf numFmtId="0" fontId="58" fillId="0" borderId="0" xfId="0" applyFont="1" applyFill="1" applyBorder="1" applyAlignment="1">
      <alignment vertical="top" wrapText="1"/>
    </xf>
    <xf numFmtId="0" fontId="24" fillId="0" borderId="3" xfId="0" applyFont="1" applyBorder="1" applyAlignment="1">
      <alignment horizontal="left" vertical="center" wrapText="1"/>
    </xf>
    <xf numFmtId="0" fontId="24" fillId="0" borderId="0" xfId="0" applyFont="1" applyAlignment="1">
      <alignment vertical="center" wrapText="1"/>
    </xf>
    <xf numFmtId="0" fontId="0" fillId="0" borderId="3" xfId="0" applyFont="1" applyBorder="1" applyAlignment="1">
      <alignment vertical="top" wrapText="1"/>
    </xf>
    <xf numFmtId="14" fontId="0" fillId="0" borderId="3" xfId="0" applyNumberFormat="1" applyFont="1" applyBorder="1" applyAlignment="1">
      <alignment horizontal="left" vertical="top" wrapText="1"/>
    </xf>
    <xf numFmtId="0" fontId="0" fillId="0" borderId="0" xfId="0" applyFont="1" applyAlignment="1">
      <alignment horizontal="left" vertical="top" wrapText="1"/>
    </xf>
    <xf numFmtId="0" fontId="1" fillId="0" borderId="14" xfId="0" applyFont="1" applyBorder="1" applyAlignment="1">
      <alignment vertical="center" wrapText="1"/>
    </xf>
    <xf numFmtId="0" fontId="1" fillId="0" borderId="7" xfId="0" applyFont="1" applyBorder="1" applyAlignment="1">
      <alignment vertical="center" wrapText="1"/>
    </xf>
    <xf numFmtId="0" fontId="1" fillId="0" borderId="15" xfId="0" applyFont="1" applyBorder="1" applyAlignment="1">
      <alignment vertical="center" wrapText="1"/>
    </xf>
    <xf numFmtId="0" fontId="1" fillId="0" borderId="16" xfId="0" applyFont="1" applyBorder="1" applyAlignment="1">
      <alignment vertical="top" wrapText="1"/>
    </xf>
    <xf numFmtId="0" fontId="1" fillId="0" borderId="0" xfId="0" applyFont="1" applyBorder="1" applyAlignment="1">
      <alignment vertical="top" wrapText="1"/>
    </xf>
    <xf numFmtId="0" fontId="1" fillId="0" borderId="17" xfId="0" applyFont="1" applyBorder="1" applyAlignment="1">
      <alignment vertical="top" wrapText="1"/>
    </xf>
    <xf numFmtId="0" fontId="17" fillId="0" borderId="16" xfId="0" applyFont="1" applyBorder="1" applyAlignment="1">
      <alignment vertical="top" wrapText="1"/>
    </xf>
    <xf numFmtId="0" fontId="17" fillId="0" borderId="0" xfId="0" applyFont="1" applyBorder="1" applyAlignment="1">
      <alignment vertical="top" wrapText="1"/>
    </xf>
    <xf numFmtId="0" fontId="17" fillId="0" borderId="17" xfId="0" applyFont="1" applyBorder="1" applyAlignment="1">
      <alignment vertical="top" wrapText="1"/>
    </xf>
    <xf numFmtId="0" fontId="17" fillId="0" borderId="18" xfId="0" applyFont="1" applyBorder="1" applyAlignment="1">
      <alignment vertical="top" wrapText="1"/>
    </xf>
    <xf numFmtId="0" fontId="17" fillId="0" borderId="23" xfId="0" applyFont="1" applyBorder="1" applyAlignment="1">
      <alignment vertical="top" wrapText="1"/>
    </xf>
    <xf numFmtId="0" fontId="17" fillId="0" borderId="19" xfId="0" applyFont="1" applyBorder="1" applyAlignment="1">
      <alignment vertical="top" wrapText="1"/>
    </xf>
    <xf numFmtId="0" fontId="43" fillId="0" borderId="0" xfId="0" pivotButton="1" applyFont="1" applyAlignment="1">
      <alignment vertical="top" wrapText="1"/>
    </xf>
    <xf numFmtId="0" fontId="43" fillId="0" borderId="0" xfId="0" applyFont="1" applyAlignment="1">
      <alignment horizontal="left" vertical="top" wrapText="1"/>
    </xf>
    <xf numFmtId="165" fontId="43" fillId="0" borderId="0" xfId="0" applyNumberFormat="1" applyFont="1" applyAlignment="1">
      <alignment horizontal="left" vertical="top" wrapText="1"/>
    </xf>
    <xf numFmtId="0" fontId="1" fillId="0" borderId="3" xfId="0" applyFont="1" applyBorder="1" applyAlignment="1">
      <alignment horizontal="left" vertical="center" wrapText="1"/>
    </xf>
    <xf numFmtId="0" fontId="17" fillId="0" borderId="0" xfId="0" applyFont="1" applyAlignment="1">
      <alignment vertical="top" wrapText="1"/>
    </xf>
    <xf numFmtId="0" fontId="39" fillId="0" borderId="18" xfId="0" applyFont="1" applyBorder="1" applyAlignment="1">
      <alignment vertical="center" wrapText="1"/>
    </xf>
    <xf numFmtId="0" fontId="39" fillId="0" borderId="23" xfId="0" applyFont="1" applyBorder="1" applyAlignment="1">
      <alignment vertical="center" wrapText="1"/>
    </xf>
    <xf numFmtId="0" fontId="25" fillId="0" borderId="23" xfId="0" applyFont="1" applyFill="1" applyBorder="1" applyAlignment="1">
      <alignment horizontal="left" vertical="center"/>
    </xf>
    <xf numFmtId="0" fontId="25" fillId="0" borderId="19" xfId="0" applyFont="1" applyFill="1" applyBorder="1" applyAlignment="1">
      <alignment horizontal="left" vertical="center"/>
    </xf>
    <xf numFmtId="0" fontId="62" fillId="2" borderId="3" xfId="0" applyNumberFormat="1" applyFont="1" applyFill="1" applyBorder="1" applyAlignment="1">
      <alignment horizontal="center" vertical="center" wrapText="1"/>
    </xf>
    <xf numFmtId="1" fontId="62" fillId="2" borderId="3" xfId="0" applyNumberFormat="1" applyFont="1" applyFill="1" applyBorder="1" applyAlignment="1">
      <alignment horizontal="left" vertical="center" wrapText="1"/>
    </xf>
    <xf numFmtId="0" fontId="64" fillId="4" borderId="3" xfId="0" applyNumberFormat="1" applyFont="1" applyFill="1" applyBorder="1" applyAlignment="1">
      <alignment vertical="center" wrapText="1"/>
    </xf>
    <xf numFmtId="0" fontId="64" fillId="3" borderId="3" xfId="0" applyNumberFormat="1" applyFont="1" applyFill="1" applyBorder="1" applyAlignment="1">
      <alignment horizontal="left" vertical="center" wrapText="1"/>
    </xf>
    <xf numFmtId="0" fontId="64" fillId="9" borderId="3" xfId="0" applyFont="1" applyFill="1" applyBorder="1" applyAlignment="1">
      <alignment horizontal="left" vertical="center" wrapText="1"/>
    </xf>
    <xf numFmtId="0" fontId="66" fillId="21" borderId="3" xfId="0" applyFont="1" applyFill="1" applyBorder="1" applyAlignment="1">
      <alignment horizontal="left" vertical="center" wrapText="1"/>
    </xf>
    <xf numFmtId="0" fontId="66" fillId="0" borderId="3" xfId="0" applyFont="1" applyBorder="1" applyAlignment="1">
      <alignment vertical="center" wrapText="1"/>
    </xf>
    <xf numFmtId="1" fontId="66" fillId="21" borderId="3" xfId="0" applyNumberFormat="1" applyFont="1" applyFill="1" applyBorder="1" applyAlignment="1">
      <alignment vertical="center" wrapText="1"/>
    </xf>
    <xf numFmtId="0" fontId="66" fillId="0" borderId="3" xfId="0" applyFont="1" applyBorder="1" applyAlignment="1">
      <alignment horizontal="left" vertical="center" wrapText="1"/>
    </xf>
    <xf numFmtId="0" fontId="67" fillId="0" borderId="3" xfId="0" applyFont="1" applyBorder="1" applyAlignment="1">
      <alignment horizontal="left" vertical="center" wrapText="1"/>
    </xf>
    <xf numFmtId="1" fontId="66" fillId="21" borderId="3" xfId="0" applyNumberFormat="1" applyFont="1" applyFill="1" applyBorder="1" applyAlignment="1">
      <alignment horizontal="left" vertical="center" wrapText="1"/>
    </xf>
    <xf numFmtId="0" fontId="66" fillId="3" borderId="3" xfId="0" applyNumberFormat="1" applyFont="1" applyFill="1" applyBorder="1" applyAlignment="1">
      <alignment horizontal="left" vertical="center" wrapText="1"/>
    </xf>
    <xf numFmtId="1" fontId="66" fillId="3" borderId="3" xfId="0" applyNumberFormat="1" applyFont="1" applyFill="1" applyBorder="1" applyAlignment="1">
      <alignment horizontal="left" vertical="center" wrapText="1"/>
    </xf>
    <xf numFmtId="1" fontId="64" fillId="3" borderId="3" xfId="0" applyNumberFormat="1" applyFont="1" applyFill="1" applyBorder="1" applyAlignment="1">
      <alignment horizontal="left" vertical="center" wrapText="1"/>
    </xf>
    <xf numFmtId="0" fontId="65" fillId="9" borderId="3" xfId="0" applyFont="1" applyFill="1" applyBorder="1" applyAlignment="1">
      <alignment horizontal="left" vertical="center" wrapText="1"/>
    </xf>
    <xf numFmtId="0" fontId="65" fillId="3" borderId="3" xfId="0" applyNumberFormat="1" applyFont="1" applyFill="1" applyBorder="1" applyAlignment="1">
      <alignment horizontal="left" vertical="center" wrapText="1"/>
    </xf>
    <xf numFmtId="1" fontId="65" fillId="3" borderId="3" xfId="0" applyNumberFormat="1" applyFont="1" applyFill="1" applyBorder="1" applyAlignment="1">
      <alignment horizontal="left" vertical="center" wrapText="1"/>
    </xf>
    <xf numFmtId="0" fontId="67" fillId="0" borderId="3" xfId="0" applyFont="1" applyBorder="1" applyAlignment="1">
      <alignment vertical="center" wrapText="1"/>
    </xf>
    <xf numFmtId="0" fontId="2" fillId="0" borderId="3" xfId="0" applyNumberFormat="1" applyFont="1" applyFill="1" applyBorder="1" applyAlignment="1">
      <alignment vertical="center" wrapText="1"/>
    </xf>
    <xf numFmtId="164" fontId="6" fillId="0" borderId="3" xfId="0" applyNumberFormat="1" applyFont="1" applyFill="1" applyBorder="1" applyAlignment="1">
      <alignment vertical="center" wrapText="1"/>
    </xf>
    <xf numFmtId="0" fontId="4" fillId="0" borderId="3" xfId="0" applyNumberFormat="1" applyFont="1" applyFill="1" applyBorder="1" applyAlignment="1">
      <alignment vertical="center" wrapText="1"/>
    </xf>
    <xf numFmtId="0" fontId="4" fillId="0" borderId="3" xfId="0" applyNumberFormat="1" applyFont="1" applyFill="1" applyBorder="1" applyAlignment="1">
      <alignment horizontal="center" vertical="center" wrapText="1"/>
    </xf>
    <xf numFmtId="1" fontId="4" fillId="0" borderId="3" xfId="0" applyNumberFormat="1" applyFont="1" applyFill="1" applyBorder="1" applyAlignment="1">
      <alignment horizontal="left" vertical="center" wrapText="1"/>
    </xf>
    <xf numFmtId="0" fontId="14" fillId="0" borderId="3" xfId="0" applyNumberFormat="1" applyFont="1" applyFill="1" applyBorder="1" applyAlignment="1">
      <alignment vertical="center" wrapText="1"/>
    </xf>
    <xf numFmtId="0" fontId="21" fillId="0" borderId="3" xfId="0" applyNumberFormat="1" applyFont="1" applyFill="1" applyBorder="1" applyAlignment="1">
      <alignment vertical="center" wrapText="1"/>
    </xf>
    <xf numFmtId="0" fontId="3" fillId="0" borderId="3" xfId="0" applyNumberFormat="1" applyFont="1" applyFill="1" applyBorder="1" applyAlignment="1">
      <alignment horizontal="left" vertical="center" wrapText="1"/>
    </xf>
    <xf numFmtId="0" fontId="5" fillId="0" borderId="3" xfId="0" applyNumberFormat="1" applyFont="1" applyFill="1" applyBorder="1" applyAlignment="1">
      <alignment vertical="center" wrapText="1"/>
    </xf>
    <xf numFmtId="0" fontId="57" fillId="0" borderId="3" xfId="0" applyNumberFormat="1" applyFont="1" applyFill="1" applyBorder="1" applyAlignment="1">
      <alignment vertical="center" wrapText="1"/>
    </xf>
    <xf numFmtId="0" fontId="11" fillId="4" borderId="3" xfId="0" applyNumberFormat="1" applyFont="1" applyFill="1" applyBorder="1" applyAlignment="1">
      <alignment horizontal="left" vertical="center" wrapText="1"/>
    </xf>
    <xf numFmtId="0" fontId="0" fillId="0" borderId="3" xfId="0" applyFont="1" applyBorder="1" applyAlignment="1">
      <alignment horizontal="left" vertical="top" wrapText="1"/>
    </xf>
    <xf numFmtId="0" fontId="16" fillId="0" borderId="0" xfId="1"/>
    <xf numFmtId="0" fontId="3" fillId="3" borderId="3" xfId="0" applyNumberFormat="1" applyFont="1" applyFill="1" applyBorder="1" applyAlignment="1">
      <alignment horizontal="left" vertical="center" wrapText="1"/>
    </xf>
    <xf numFmtId="0" fontId="1" fillId="3" borderId="3" xfId="0" applyNumberFormat="1" applyFont="1" applyFill="1" applyBorder="1" applyAlignment="1">
      <alignment horizontal="left" vertical="center" wrapText="1"/>
    </xf>
    <xf numFmtId="0" fontId="3" fillId="9" borderId="3" xfId="0" applyFont="1" applyFill="1" applyBorder="1" applyAlignment="1">
      <alignment horizontal="left" vertical="center" wrapText="1"/>
    </xf>
    <xf numFmtId="1" fontId="25" fillId="21" borderId="3" xfId="0" applyNumberFormat="1" applyFont="1" applyFill="1" applyBorder="1" applyAlignment="1">
      <alignment vertical="center" wrapText="1"/>
    </xf>
    <xf numFmtId="0" fontId="25" fillId="21" borderId="3" xfId="0" applyFont="1" applyFill="1" applyBorder="1" applyAlignment="1">
      <alignment horizontal="left" vertical="center" wrapText="1"/>
    </xf>
    <xf numFmtId="0" fontId="25" fillId="3" borderId="3" xfId="0" applyNumberFormat="1" applyFont="1" applyFill="1" applyBorder="1" applyAlignment="1">
      <alignment horizontal="left" vertical="center" wrapText="1"/>
    </xf>
    <xf numFmtId="1" fontId="25" fillId="3" borderId="3" xfId="0" applyNumberFormat="1" applyFont="1" applyFill="1" applyBorder="1" applyAlignment="1">
      <alignment horizontal="left" vertical="center" wrapText="1"/>
    </xf>
    <xf numFmtId="0" fontId="42" fillId="0" borderId="3" xfId="0" applyFont="1" applyBorder="1" applyAlignment="1">
      <alignment horizontal="left" vertical="center" wrapText="1"/>
    </xf>
    <xf numFmtId="1" fontId="25" fillId="21" borderId="3" xfId="0" applyNumberFormat="1" applyFont="1" applyFill="1" applyBorder="1" applyAlignment="1">
      <alignment horizontal="left" vertical="center" wrapText="1"/>
    </xf>
    <xf numFmtId="0" fontId="3" fillId="3" borderId="3" xfId="0" applyNumberFormat="1" applyFont="1" applyFill="1" applyBorder="1" applyAlignment="1">
      <alignment horizontal="left" vertical="center" wrapText="1"/>
    </xf>
    <xf numFmtId="0" fontId="1" fillId="3" borderId="3" xfId="0" applyNumberFormat="1" applyFont="1" applyFill="1" applyBorder="1" applyAlignment="1">
      <alignment horizontal="left" vertical="center" wrapText="1"/>
    </xf>
    <xf numFmtId="0" fontId="16" fillId="0" borderId="14" xfId="16" applyFont="1" applyFill="1" applyBorder="1" applyAlignment="1">
      <alignment horizontal="left"/>
    </xf>
    <xf numFmtId="0" fontId="16" fillId="0" borderId="15" xfId="16" applyFont="1" applyFill="1" applyBorder="1" applyAlignment="1">
      <alignment horizontal="left"/>
    </xf>
    <xf numFmtId="0" fontId="53" fillId="17" borderId="3" xfId="17" applyFont="1" applyFill="1" applyBorder="1" applyAlignment="1">
      <alignment horizontal="left" vertical="center" wrapText="1"/>
    </xf>
    <xf numFmtId="0" fontId="68" fillId="16" borderId="1" xfId="0" applyFont="1" applyFill="1" applyBorder="1" applyAlignment="1">
      <alignment horizontal="center" vertical="center" wrapText="1"/>
    </xf>
    <xf numFmtId="0" fontId="68" fillId="16" borderId="2" xfId="0" applyFont="1" applyFill="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vertical="center" wrapText="1"/>
    </xf>
    <xf numFmtId="0" fontId="18" fillId="0" borderId="1" xfId="0" applyFont="1" applyBorder="1" applyAlignment="1">
      <alignment horizontal="left" vertical="top" wrapText="1"/>
    </xf>
    <xf numFmtId="0" fontId="18" fillId="0" borderId="2" xfId="0" applyFont="1" applyBorder="1" applyAlignment="1">
      <alignment horizontal="left" vertical="top" wrapText="1"/>
    </xf>
    <xf numFmtId="0" fontId="53" fillId="17" borderId="3" xfId="0" applyFont="1" applyFill="1" applyBorder="1" applyAlignment="1">
      <alignment horizontal="left" vertical="center" wrapText="1"/>
    </xf>
    <xf numFmtId="0" fontId="12" fillId="2" borderId="1" xfId="0" applyFont="1" applyFill="1" applyBorder="1" applyAlignment="1">
      <alignment horizontal="left" vertical="center" wrapText="1"/>
    </xf>
    <xf numFmtId="0" fontId="12" fillId="2" borderId="2" xfId="0" applyFont="1" applyFill="1" applyBorder="1" applyAlignment="1">
      <alignment horizontal="left" vertical="center" wrapText="1"/>
    </xf>
    <xf numFmtId="0" fontId="25" fillId="0" borderId="3" xfId="0" applyFont="1" applyBorder="1" applyAlignment="1">
      <alignment horizontal="left" vertical="center" wrapText="1"/>
    </xf>
    <xf numFmtId="0" fontId="3" fillId="0" borderId="1" xfId="0" applyFont="1" applyBorder="1" applyAlignment="1">
      <alignment horizontal="left" vertical="center" wrapText="1"/>
    </xf>
    <xf numFmtId="0" fontId="3" fillId="0" borderId="2" xfId="0" applyFont="1" applyBorder="1" applyAlignment="1">
      <alignment horizontal="left" vertical="center" wrapText="1"/>
    </xf>
    <xf numFmtId="0" fontId="7" fillId="6" borderId="3" xfId="0" applyFont="1" applyFill="1" applyBorder="1" applyAlignment="1">
      <alignment horizontal="left" vertical="center" wrapText="1"/>
    </xf>
    <xf numFmtId="0" fontId="11" fillId="4" borderId="3" xfId="0" applyNumberFormat="1" applyFont="1" applyFill="1" applyBorder="1" applyAlignment="1">
      <alignment horizontal="left" vertical="center" wrapText="1"/>
    </xf>
    <xf numFmtId="0" fontId="3" fillId="3" borderId="3" xfId="0" applyNumberFormat="1" applyFont="1" applyFill="1" applyBorder="1" applyAlignment="1">
      <alignment horizontal="left" vertical="center" wrapText="1"/>
    </xf>
    <xf numFmtId="0" fontId="37" fillId="3" borderId="3" xfId="0" applyNumberFormat="1" applyFont="1" applyFill="1" applyBorder="1" applyAlignment="1">
      <alignment horizontal="left" vertical="center" wrapText="1"/>
    </xf>
    <xf numFmtId="0" fontId="4" fillId="2" borderId="3" xfId="0" applyNumberFormat="1" applyFont="1" applyFill="1" applyBorder="1" applyAlignment="1">
      <alignment horizontal="left" vertical="center" wrapText="1"/>
    </xf>
    <xf numFmtId="0" fontId="26" fillId="9" borderId="3" xfId="0" applyFont="1" applyFill="1" applyBorder="1" applyAlignment="1">
      <alignment vertical="center" wrapText="1"/>
    </xf>
    <xf numFmtId="0" fontId="38" fillId="9" borderId="3" xfId="0" applyFont="1" applyFill="1" applyBorder="1" applyAlignment="1">
      <alignment vertical="center" wrapText="1"/>
    </xf>
    <xf numFmtId="0" fontId="7" fillId="16" borderId="3" xfId="0" applyNumberFormat="1" applyFont="1" applyFill="1" applyBorder="1" applyAlignment="1">
      <alignment horizontal="left" vertical="center" wrapText="1"/>
    </xf>
    <xf numFmtId="0" fontId="14" fillId="5" borderId="3" xfId="0" applyNumberFormat="1" applyFont="1" applyFill="1" applyBorder="1" applyAlignment="1">
      <alignment horizontal="left" vertical="center" wrapText="1"/>
    </xf>
    <xf numFmtId="164" fontId="6" fillId="3" borderId="3" xfId="0" applyNumberFormat="1" applyFont="1" applyFill="1" applyBorder="1" applyAlignment="1">
      <alignment horizontal="left" vertical="center" wrapText="1"/>
    </xf>
    <xf numFmtId="0" fontId="5" fillId="0" borderId="3" xfId="0" applyNumberFormat="1" applyFont="1" applyFill="1" applyBorder="1" applyAlignment="1">
      <alignment horizontal="left" vertical="center" wrapText="1"/>
    </xf>
    <xf numFmtId="0" fontId="57" fillId="4" borderId="3" xfId="0" applyNumberFormat="1" applyFont="1" applyFill="1" applyBorder="1" applyAlignment="1">
      <alignment vertical="center" wrapText="1"/>
    </xf>
    <xf numFmtId="0" fontId="21" fillId="7" borderId="3" xfId="0" applyNumberFormat="1" applyFont="1" applyFill="1" applyBorder="1" applyAlignment="1">
      <alignment horizontal="left" vertical="center" wrapText="1"/>
    </xf>
    <xf numFmtId="0" fontId="5" fillId="4" borderId="3" xfId="0" applyNumberFormat="1" applyFont="1" applyFill="1" applyBorder="1" applyAlignment="1">
      <alignment horizontal="left" vertical="center" wrapText="1"/>
    </xf>
    <xf numFmtId="0" fontId="38" fillId="3" borderId="3" xfId="0" applyNumberFormat="1" applyFont="1" applyFill="1" applyBorder="1" applyAlignment="1">
      <alignment horizontal="left" vertical="center" wrapText="1"/>
    </xf>
    <xf numFmtId="0" fontId="1" fillId="3" borderId="3" xfId="0" applyNumberFormat="1" applyFont="1" applyFill="1" applyBorder="1" applyAlignment="1">
      <alignment horizontal="left" vertical="center" wrapText="1"/>
    </xf>
    <xf numFmtId="0" fontId="7" fillId="18" borderId="1" xfId="0" applyNumberFormat="1" applyFont="1" applyFill="1" applyBorder="1" applyAlignment="1">
      <alignment horizontal="left" vertical="center" wrapText="1"/>
    </xf>
    <xf numFmtId="0" fontId="7" fillId="18" borderId="4" xfId="0" applyNumberFormat="1" applyFont="1" applyFill="1" applyBorder="1" applyAlignment="1">
      <alignment horizontal="left" vertical="center" wrapText="1"/>
    </xf>
    <xf numFmtId="0" fontId="7" fillId="18" borderId="2" xfId="0" applyNumberFormat="1" applyFont="1" applyFill="1" applyBorder="1" applyAlignment="1">
      <alignment horizontal="left" vertical="center" wrapText="1"/>
    </xf>
    <xf numFmtId="165" fontId="25" fillId="0" borderId="3" xfId="0" applyNumberFormat="1" applyFont="1" applyFill="1" applyBorder="1" applyAlignment="1">
      <alignment horizontal="left" vertical="center"/>
    </xf>
    <xf numFmtId="0" fontId="25" fillId="0" borderId="3" xfId="0" applyFont="1" applyFill="1" applyBorder="1" applyAlignment="1">
      <alignment horizontal="left" vertical="center"/>
    </xf>
    <xf numFmtId="0" fontId="39" fillId="0" borderId="18" xfId="0" applyFont="1" applyBorder="1" applyAlignment="1">
      <alignment horizontal="center" vertical="center" wrapText="1"/>
    </xf>
    <xf numFmtId="0" fontId="39" fillId="0" borderId="23" xfId="0" applyFont="1" applyBorder="1" applyAlignment="1">
      <alignment horizontal="center" vertical="center" wrapText="1"/>
    </xf>
    <xf numFmtId="0" fontId="39" fillId="0" borderId="19" xfId="0" applyFont="1" applyBorder="1" applyAlignment="1">
      <alignment horizontal="center" vertical="center" wrapText="1"/>
    </xf>
    <xf numFmtId="0" fontId="7" fillId="19" borderId="3" xfId="0" applyNumberFormat="1" applyFont="1" applyFill="1" applyBorder="1" applyAlignment="1">
      <alignment horizontal="left" vertical="center" wrapText="1"/>
    </xf>
    <xf numFmtId="0" fontId="7" fillId="19" borderId="1" xfId="0" applyNumberFormat="1" applyFont="1" applyFill="1" applyBorder="1" applyAlignment="1">
      <alignment horizontal="left" vertical="center" wrapText="1"/>
    </xf>
    <xf numFmtId="0" fontId="1" fillId="0" borderId="3" xfId="0" applyFont="1" applyBorder="1" applyAlignment="1">
      <alignment vertical="center" wrapText="1"/>
    </xf>
    <xf numFmtId="0" fontId="25" fillId="0" borderId="1" xfId="0" applyFont="1" applyBorder="1" applyAlignment="1">
      <alignment horizontal="left" vertical="center" wrapText="1"/>
    </xf>
    <xf numFmtId="0" fontId="25" fillId="0" borderId="2" xfId="0" applyFont="1" applyBorder="1" applyAlignment="1">
      <alignment horizontal="left" vertical="center" wrapText="1"/>
    </xf>
    <xf numFmtId="0" fontId="4" fillId="2" borderId="14" xfId="0" applyNumberFormat="1" applyFont="1" applyFill="1" applyBorder="1" applyAlignment="1">
      <alignment horizontal="left" vertical="center" wrapText="1"/>
    </xf>
    <xf numFmtId="0" fontId="4" fillId="2" borderId="7" xfId="0" applyNumberFormat="1" applyFont="1" applyFill="1" applyBorder="1" applyAlignment="1">
      <alignment horizontal="left" vertical="center" wrapText="1"/>
    </xf>
    <xf numFmtId="0" fontId="14" fillId="5" borderId="18" xfId="0" applyNumberFormat="1" applyFont="1" applyFill="1" applyBorder="1" applyAlignment="1">
      <alignment horizontal="left" vertical="center" wrapText="1"/>
    </xf>
    <xf numFmtId="0" fontId="14" fillId="5" borderId="23" xfId="0" applyNumberFormat="1" applyFont="1" applyFill="1" applyBorder="1" applyAlignment="1">
      <alignment horizontal="left" vertical="center" wrapText="1"/>
    </xf>
    <xf numFmtId="0" fontId="17" fillId="0" borderId="0" xfId="0" applyFont="1" applyAlignment="1">
      <alignment vertical="top" wrapText="1"/>
    </xf>
    <xf numFmtId="0" fontId="17" fillId="0" borderId="0" xfId="0" applyFont="1" applyAlignment="1">
      <alignment horizontal="left" vertical="top" wrapText="1"/>
    </xf>
    <xf numFmtId="0" fontId="8" fillId="4" borderId="3" xfId="0" applyFont="1" applyFill="1" applyBorder="1" applyAlignment="1">
      <alignment horizontal="left" vertical="center" wrapText="1"/>
    </xf>
    <xf numFmtId="0" fontId="54" fillId="0" borderId="0" xfId="0" applyFont="1" applyAlignment="1">
      <alignment horizontal="center" vertical="center" wrapText="1"/>
    </xf>
    <xf numFmtId="0" fontId="8" fillId="0" borderId="3" xfId="0" applyFont="1" applyBorder="1" applyAlignment="1">
      <alignment horizontal="center" vertical="center" wrapText="1"/>
    </xf>
    <xf numFmtId="0" fontId="62" fillId="2" borderId="3" xfId="0" applyNumberFormat="1" applyFont="1" applyFill="1" applyBorder="1" applyAlignment="1">
      <alignment horizontal="left" vertical="center" wrapText="1"/>
    </xf>
    <xf numFmtId="0" fontId="63" fillId="5" borderId="3" xfId="0" applyNumberFormat="1" applyFont="1" applyFill="1" applyBorder="1" applyAlignment="1">
      <alignment horizontal="left" vertical="center" wrapText="1"/>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45" fillId="5" borderId="1" xfId="0" applyFont="1" applyFill="1" applyBorder="1" applyAlignment="1">
      <alignment horizontal="left" vertical="center" wrapText="1"/>
    </xf>
    <xf numFmtId="0" fontId="45" fillId="5" borderId="4" xfId="0" applyFont="1" applyFill="1" applyBorder="1" applyAlignment="1">
      <alignment horizontal="left" vertical="center" wrapText="1"/>
    </xf>
    <xf numFmtId="0" fontId="45" fillId="5" borderId="2" xfId="0" applyFont="1" applyFill="1" applyBorder="1" applyAlignment="1">
      <alignment horizontal="left" vertical="center" wrapText="1"/>
    </xf>
    <xf numFmtId="0" fontId="17" fillId="0" borderId="1" xfId="0" applyFont="1" applyBorder="1" applyAlignment="1">
      <alignment horizontal="center" vertical="center" wrapText="1"/>
    </xf>
    <xf numFmtId="0" fontId="17" fillId="0" borderId="4" xfId="0" applyFont="1" applyBorder="1" applyAlignment="1">
      <alignment horizontal="center" vertical="center" wrapText="1"/>
    </xf>
    <xf numFmtId="0" fontId="17" fillId="0" borderId="2" xfId="0" applyFont="1" applyBorder="1" applyAlignment="1">
      <alignment horizontal="center" vertical="center" wrapText="1"/>
    </xf>
    <xf numFmtId="0" fontId="24" fillId="15" borderId="1" xfId="0" applyFont="1" applyFill="1" applyBorder="1" applyAlignment="1">
      <alignment horizontal="left" vertical="center"/>
    </xf>
    <xf numFmtId="0" fontId="24" fillId="15" borderId="2" xfId="0" applyFont="1" applyFill="1" applyBorder="1" applyAlignment="1">
      <alignment horizontal="left" vertical="center"/>
    </xf>
    <xf numFmtId="0" fontId="7" fillId="14" borderId="3" xfId="0" applyNumberFormat="1" applyFont="1" applyFill="1" applyBorder="1" applyAlignment="1">
      <alignment horizontal="left" vertical="center" wrapText="1"/>
    </xf>
    <xf numFmtId="0" fontId="7" fillId="14" borderId="1" xfId="0" applyNumberFormat="1" applyFont="1" applyFill="1" applyBorder="1" applyAlignment="1">
      <alignment horizontal="left" vertical="center" wrapText="1"/>
    </xf>
    <xf numFmtId="0" fontId="11" fillId="4" borderId="3" xfId="0" applyNumberFormat="1" applyFont="1" applyFill="1" applyBorder="1" applyAlignment="1">
      <alignment horizontal="center" vertical="center" wrapText="1"/>
    </xf>
    <xf numFmtId="0" fontId="1" fillId="0" borderId="3" xfId="0" applyFont="1" applyBorder="1" applyAlignment="1">
      <alignment horizontal="left" vertical="center"/>
    </xf>
    <xf numFmtId="165" fontId="17" fillId="0" borderId="3" xfId="0" applyNumberFormat="1" applyFont="1" applyBorder="1" applyAlignment="1">
      <alignment horizontal="left" vertical="top" wrapText="1"/>
    </xf>
    <xf numFmtId="0" fontId="8" fillId="0" borderId="3" xfId="0" applyFont="1" applyBorder="1" applyAlignment="1">
      <alignment horizontal="left" vertical="center" wrapText="1"/>
    </xf>
    <xf numFmtId="165" fontId="8" fillId="0" borderId="3" xfId="0" applyNumberFormat="1" applyFont="1" applyBorder="1" applyAlignment="1">
      <alignment horizontal="left" vertical="center" wrapText="1"/>
    </xf>
    <xf numFmtId="165" fontId="1" fillId="0" borderId="3" xfId="0" applyNumberFormat="1" applyFont="1" applyBorder="1" applyAlignment="1">
      <alignment horizontal="left" vertical="top" wrapText="1"/>
    </xf>
    <xf numFmtId="0" fontId="1" fillId="0" borderId="3" xfId="0" applyFont="1" applyBorder="1" applyAlignment="1">
      <alignment horizontal="left" vertical="top" wrapText="1"/>
    </xf>
    <xf numFmtId="0" fontId="1" fillId="0" borderId="3" xfId="0" applyFont="1" applyBorder="1" applyAlignment="1">
      <alignment horizontal="center" vertical="top" wrapText="1"/>
    </xf>
    <xf numFmtId="0" fontId="59" fillId="20" borderId="1" xfId="0" applyFont="1" applyFill="1" applyBorder="1" applyAlignment="1">
      <alignment horizontal="left" vertical="center" wrapText="1"/>
    </xf>
    <xf numFmtId="0" fontId="59" fillId="20" borderId="4" xfId="0" applyFont="1" applyFill="1" applyBorder="1" applyAlignment="1">
      <alignment horizontal="left" vertical="center" wrapText="1"/>
    </xf>
    <xf numFmtId="0" fontId="59" fillId="20" borderId="2" xfId="0" applyFont="1" applyFill="1" applyBorder="1" applyAlignment="1">
      <alignment horizontal="left" vertical="center" wrapText="1"/>
    </xf>
    <xf numFmtId="0" fontId="61" fillId="8" borderId="1" xfId="0" applyFont="1" applyFill="1" applyBorder="1" applyAlignment="1">
      <alignment horizontal="left" vertical="center" wrapText="1"/>
    </xf>
    <xf numFmtId="0" fontId="61" fillId="8" borderId="4" xfId="0" applyFont="1" applyFill="1" applyBorder="1" applyAlignment="1">
      <alignment horizontal="left" vertical="center" wrapText="1"/>
    </xf>
    <xf numFmtId="0" fontId="61" fillId="8" borderId="2" xfId="0" applyFont="1" applyFill="1" applyBorder="1" applyAlignment="1">
      <alignment horizontal="left" vertical="center" wrapText="1"/>
    </xf>
  </cellXfs>
  <cellStyles count="18">
    <cellStyle name="Followed Hyperlink" xfId="7" builtinId="9" hidden="1"/>
    <cellStyle name="Followed Hyperlink" xfId="5" builtinId="9" hidden="1"/>
    <cellStyle name="Followed Hyperlink" xfId="3" builtinId="9" hidden="1"/>
    <cellStyle name="Hyperlink" xfId="6" builtinId="8" hidden="1"/>
    <cellStyle name="Hyperlink" xfId="4" builtinId="8" hidden="1"/>
    <cellStyle name="Hyperlink" xfId="2" builtinId="8" hidden="1"/>
    <cellStyle name="Hyperlink" xfId="15" builtinId="8"/>
    <cellStyle name="Normal" xfId="0" builtinId="0"/>
    <cellStyle name="Normal 2" xfId="1" xr:uid="{00000000-0005-0000-0000-000008000000}"/>
    <cellStyle name="Normal 2 2" xfId="10" xr:uid="{00000000-0005-0000-0000-000009000000}"/>
    <cellStyle name="Normal 2 2 2" xfId="16" xr:uid="{00000000-0005-0000-0000-00000A000000}"/>
    <cellStyle name="Normal 2 3" xfId="13" xr:uid="{00000000-0005-0000-0000-00000B000000}"/>
    <cellStyle name="Normal 3" xfId="8" xr:uid="{00000000-0005-0000-0000-00000C000000}"/>
    <cellStyle name="Normal 3 2" xfId="17" xr:uid="{00000000-0005-0000-0000-00000D000000}"/>
    <cellStyle name="Normal 4" xfId="11" xr:uid="{00000000-0005-0000-0000-00000E000000}"/>
    <cellStyle name="Percent" xfId="14" builtinId="5"/>
    <cellStyle name="Percent 2" xfId="9" xr:uid="{00000000-0005-0000-0000-000010000000}"/>
    <cellStyle name="Percent 3" xfId="12" xr:uid="{00000000-0005-0000-0000-000011000000}"/>
  </cellStyles>
  <dxfs count="2693">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numFmt numFmtId="165" formatCode="0;;;@"/>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b val="0"/>
        <i val="0"/>
        <strike val="0"/>
        <condense val="0"/>
        <extend val="0"/>
        <outline val="0"/>
        <shadow val="0"/>
        <u val="none"/>
        <vertAlign val="baseline"/>
        <sz val="11"/>
        <color indexed="8"/>
        <name val="Verdana"/>
        <scheme val="none"/>
      </font>
      <numFmt numFmtId="165" formatCode="0;;;@"/>
      <alignment horizontal="general" vertical="top" textRotation="0" wrapText="1" indent="0" justifyLastLine="0" shrinkToFit="0" readingOrder="0"/>
    </dxf>
    <dxf>
      <font>
        <b val="0"/>
        <i val="0"/>
        <strike val="0"/>
        <condense val="0"/>
        <extend val="0"/>
        <outline val="0"/>
        <shadow val="0"/>
        <u val="none"/>
        <vertAlign val="baseline"/>
        <sz val="11"/>
        <color rgb="FF000000"/>
        <name val="Verdana"/>
        <scheme val="none"/>
      </font>
      <alignment horizontal="center"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indexed="8"/>
        <name val="Verdana"/>
        <scheme val="none"/>
      </font>
      <numFmt numFmtId="165" formatCode="0;;;@"/>
      <alignment horizontal="general" vertical="top" textRotation="0" wrapText="1" indent="0" justifyLastLine="0" shrinkToFit="0" readingOrder="0"/>
    </dxf>
    <dxf>
      <font>
        <b val="0"/>
        <i val="0"/>
        <strike val="0"/>
        <condense val="0"/>
        <extend val="0"/>
        <outline val="0"/>
        <shadow val="0"/>
        <u val="none"/>
        <vertAlign val="baseline"/>
        <sz val="11"/>
        <color rgb="FF000000"/>
        <name val="Verdana"/>
        <scheme val="none"/>
      </font>
      <alignment horizontal="center"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indexed="8"/>
        <name val="Verdana"/>
        <scheme val="none"/>
      </font>
      <numFmt numFmtId="165" formatCode="0;;;@"/>
      <alignment horizontal="general" vertical="top" textRotation="0" wrapText="1" indent="0" justifyLastLine="0" shrinkToFit="0" readingOrder="0"/>
    </dxf>
    <dxf>
      <font>
        <b val="0"/>
        <i val="0"/>
        <strike val="0"/>
        <condense val="0"/>
        <extend val="0"/>
        <outline val="0"/>
        <shadow val="0"/>
        <u val="none"/>
        <vertAlign val="baseline"/>
        <sz val="11"/>
        <color rgb="FF000000"/>
        <name val="Verdana"/>
        <scheme val="none"/>
      </font>
      <alignment horizontal="center"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indexed="8"/>
        <name val="Verdana"/>
        <scheme val="none"/>
      </font>
      <numFmt numFmtId="165" formatCode="0;;;@"/>
      <alignment horizontal="general" vertical="top" textRotation="0" wrapText="1" indent="0" justifyLastLine="0" shrinkToFit="0" readingOrder="0"/>
    </dxf>
    <dxf>
      <font>
        <b val="0"/>
        <i val="0"/>
        <strike val="0"/>
        <condense val="0"/>
        <extend val="0"/>
        <outline val="0"/>
        <shadow val="0"/>
        <u val="none"/>
        <vertAlign val="baseline"/>
        <sz val="11"/>
        <color rgb="FF000000"/>
        <name val="Verdana"/>
        <scheme val="none"/>
      </font>
      <fill>
        <patternFill patternType="solid">
          <fgColor indexed="64"/>
          <bgColor rgb="FFFFFFFF"/>
        </patternFill>
      </fill>
      <alignment horizontal="center"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indexed="8"/>
        <name val="Verdana"/>
        <scheme val="none"/>
      </font>
      <numFmt numFmtId="165" formatCode="0;;;@"/>
      <alignment horizontal="general" vertical="top" textRotation="0" wrapText="1" indent="0" justifyLastLine="0" shrinkToFit="0" readingOrder="0"/>
    </dxf>
    <dxf>
      <font>
        <b val="0"/>
        <i val="0"/>
        <strike val="0"/>
        <condense val="0"/>
        <extend val="0"/>
        <outline val="0"/>
        <shadow val="0"/>
        <u val="none"/>
        <vertAlign val="baseline"/>
        <sz val="11"/>
        <color rgb="FF000000"/>
        <name val="Verdana"/>
        <scheme val="none"/>
      </font>
      <alignment horizontal="center"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indexed="8"/>
        <name val="Verdana"/>
        <scheme val="none"/>
      </font>
      <numFmt numFmtId="165" formatCode="0;;;@"/>
      <alignment horizontal="general" vertical="top" textRotation="0" wrapText="1" indent="0" justifyLastLine="0" shrinkToFit="0" readingOrder="0"/>
    </dxf>
    <dxf>
      <font>
        <b val="0"/>
        <i val="0"/>
        <strike val="0"/>
        <condense val="0"/>
        <extend val="0"/>
        <outline val="0"/>
        <shadow val="0"/>
        <u val="none"/>
        <vertAlign val="baseline"/>
        <sz val="11"/>
        <color rgb="FF000000"/>
        <name val="Verdana"/>
        <scheme val="none"/>
      </font>
      <alignment horizontal="general"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indexed="8"/>
        <name val="Verdana"/>
        <scheme val="none"/>
      </font>
      <numFmt numFmtId="165" formatCode="0;;;@"/>
      <alignment horizontal="general" vertical="top" textRotation="0" wrapText="1" indent="0" justifyLastLine="0" shrinkToFit="0" readingOrder="0"/>
    </dxf>
    <dxf>
      <font>
        <b val="0"/>
        <i val="0"/>
        <strike val="0"/>
        <condense val="0"/>
        <extend val="0"/>
        <outline val="0"/>
        <shadow val="0"/>
        <u val="none"/>
        <vertAlign val="baseline"/>
        <sz val="11"/>
        <color rgb="FF000000"/>
        <name val="Verdana"/>
        <scheme val="none"/>
      </font>
      <alignment horizontal="general" vertical="bottom"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rgb="FF000000"/>
        <name val="Verdana"/>
        <scheme val="none"/>
      </font>
      <fill>
        <patternFill patternType="solid">
          <fgColor indexed="64"/>
          <bgColor rgb="FFFFFFFF"/>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center"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rgb="FF000000"/>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rgb="FF000000"/>
        <name val="Verdana"/>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1"/>
        <color indexed="8"/>
        <name val="Verdana"/>
        <scheme val="none"/>
      </font>
      <alignment horizontal="general" vertical="top" textRotation="0" wrapText="1" indent="0" justifyLastLine="0" shrinkToFit="0" readingOrder="0"/>
    </dxf>
    <dxf>
      <font>
        <b val="0"/>
        <i/>
        <strike val="0"/>
        <condense val="0"/>
        <extend val="0"/>
        <outline val="0"/>
        <shadow val="0"/>
        <u val="none"/>
        <vertAlign val="baseline"/>
        <sz val="11"/>
        <color rgb="FF000000"/>
        <name val="Verdana"/>
        <scheme val="none"/>
      </font>
      <fill>
        <patternFill patternType="solid">
          <fgColor indexed="64"/>
          <bgColor rgb="FFD9D9D9"/>
        </patternFill>
      </fill>
      <alignment horizontal="general" vertical="bottom" textRotation="0" wrapText="0" indent="0" justifyLastLine="0" shrinkToFit="0" readingOrder="0"/>
    </dxf>
    <dxf>
      <font>
        <color auto="1"/>
      </font>
      <fill>
        <patternFill patternType="solid">
          <bgColor rgb="FFFF0000"/>
        </patternFill>
      </fill>
      <border>
        <left style="thin">
          <color auto="1"/>
        </left>
        <right style="thin">
          <color auto="1"/>
        </right>
        <top style="thin">
          <color auto="1"/>
        </top>
        <bottom style="thin">
          <color auto="1"/>
        </bottom>
      </border>
    </dxf>
    <dxf>
      <font>
        <color theme="1"/>
      </font>
      <fill>
        <patternFill>
          <bgColor rgb="FF00B050"/>
        </patternFill>
      </fill>
      <border>
        <left style="thin">
          <color rgb="FF00B050"/>
        </left>
        <right style="thin">
          <color rgb="FF00B050"/>
        </right>
        <top style="thin">
          <color rgb="FF00B050"/>
        </top>
        <bottom style="thin">
          <color rgb="FF00B050"/>
        </bottom>
      </border>
    </dxf>
    <dxf>
      <font>
        <color auto="1"/>
      </font>
      <fill>
        <patternFill>
          <bgColor rgb="FF00B0F0"/>
        </patternFill>
      </fill>
      <border>
        <left style="thin">
          <color auto="1"/>
        </left>
        <right style="thin">
          <color auto="1"/>
        </right>
        <top style="thin">
          <color auto="1"/>
        </top>
        <bottom style="thin">
          <color auto="1"/>
        </bottom>
      </border>
    </dxf>
    <dxf>
      <font>
        <b/>
        <i val="0"/>
        <strike val="0"/>
        <color theme="1"/>
      </font>
      <fill>
        <patternFill>
          <bgColor rgb="FFFFFF00"/>
        </patternFill>
      </fill>
      <border>
        <left style="thin">
          <color auto="1"/>
        </left>
        <right style="thin">
          <color auto="1"/>
        </right>
        <top style="thin">
          <color auto="1"/>
        </top>
        <bottom style="thin">
          <color auto="1"/>
        </bottom>
      </border>
    </dxf>
    <dxf>
      <font>
        <color theme="1"/>
      </font>
      <fill>
        <patternFill>
          <bgColor rgb="FFFFC000"/>
        </patternFill>
      </fill>
      <border>
        <left style="thin">
          <color auto="1"/>
        </left>
        <right style="thin">
          <color auto="1"/>
        </right>
        <top style="thin">
          <color auto="1"/>
        </top>
        <bottom style="thin">
          <color auto="1"/>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tint="4.9989318521683403E-2"/>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7" tint="-0.24994659260841701"/>
      </font>
      <fill>
        <patternFill>
          <bgColor theme="1" tint="4.9989318521683403E-2"/>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7" tint="-0.24994659260841701"/>
      </font>
      <fill>
        <patternFill>
          <bgColor theme="1" tint="4.9989318521683403E-2"/>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tint="4.9989318521683403E-2"/>
      </font>
      <fill>
        <patternFill>
          <bgColor theme="7" tint="0.59996337778862885"/>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7" tint="-0.24994659260841701"/>
      </font>
      <fill>
        <patternFill>
          <bgColor theme="1" tint="4.9989318521683403E-2"/>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7" tint="-0.24994659260841701"/>
      </font>
      <fill>
        <patternFill>
          <bgColor theme="1" tint="4.9989318521683403E-2"/>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7" tint="-0.24994659260841701"/>
      </font>
      <fill>
        <patternFill>
          <bgColor theme="1" tint="4.9989318521683403E-2"/>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tint="4.9989318521683403E-2"/>
      </font>
      <fill>
        <patternFill>
          <bgColor theme="7" tint="0.59996337778862885"/>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0" tint="-4.9989318521683403E-2"/>
      </font>
      <fill>
        <patternFill>
          <bgColor theme="0" tint="-4.9989318521683403E-2"/>
        </patternFill>
      </fill>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font>
      <fill>
        <patternFill>
          <bgColor theme="7" tint="0.59996337778862885"/>
        </patternFill>
      </fill>
      <border>
        <left style="thin">
          <color auto="1"/>
        </left>
        <right style="thin">
          <color auto="1"/>
        </right>
        <top style="thin">
          <color auto="1"/>
        </top>
        <bottom style="thin">
          <color auto="1"/>
        </bottom>
      </border>
    </dxf>
    <dxf>
      <font>
        <color theme="1" tint="4.9989318521683403E-2"/>
      </font>
      <fill>
        <patternFill>
          <bgColor theme="7" tint="0.59996337778862885"/>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7" tint="-0.24994659260841701"/>
      </font>
      <fill>
        <patternFill>
          <bgColor theme="1" tint="4.9989318521683403E-2"/>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7" tint="-0.24994659260841701"/>
      </font>
      <fill>
        <patternFill>
          <bgColor theme="1" tint="4.9989318521683403E-2"/>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0" tint="-0.14996795556505021"/>
      </font>
      <fill>
        <patternFill>
          <bgColor theme="0" tint="-0.14996795556505021"/>
        </patternFill>
      </fill>
      <border>
        <left style="thin">
          <color auto="1"/>
        </left>
        <right style="thin">
          <color auto="1"/>
        </right>
        <top style="thin">
          <color auto="1"/>
        </top>
        <bottom style="thin">
          <color auto="1"/>
        </bottom>
      </border>
    </dxf>
    <dxf>
      <font>
        <color theme="7" tint="-0.24994659260841701"/>
      </font>
      <fill>
        <patternFill>
          <bgColor theme="1" tint="4.9989318521683403E-2"/>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
      <font>
        <color theme="7" tint="-0.24994659260841701"/>
      </font>
      <fill>
        <patternFill>
          <bgColor theme="1"/>
        </patternFill>
      </fill>
      <border>
        <left style="thin">
          <color auto="1"/>
        </left>
        <right style="thin">
          <color auto="1"/>
        </right>
        <top style="thin">
          <color auto="1"/>
        </top>
        <bottom style="thin">
          <color auto="1"/>
        </bottom>
      </border>
    </dxf>
  </dxfs>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0C2"/>
      <rgbColor rgb="FF68070C"/>
      <rgbColor rgb="FFAAAAAA"/>
      <rgbColor rgb="FF7F0424"/>
      <rgbColor rgb="FFF3E4B5"/>
      <rgbColor rgb="FF0563C1"/>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3F1FF"/>
      <color rgb="FFFFE7FA"/>
      <color rgb="FFEDDFFF"/>
      <color rgb="FFE0D2F5"/>
      <color rgb="FFF9EDEF"/>
      <color rgb="FFF2DCDB"/>
      <color rgb="FFD7E1EC"/>
      <color rgb="FFFF5E49"/>
      <color rgb="FF68090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sharedStrings" Target="sharedStrings.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Subsection Scores</a:t>
            </a:r>
          </a:p>
        </c:rich>
      </c:tx>
      <c:layout>
        <c:manualLayout>
          <c:xMode val="edge"/>
          <c:yMode val="edge"/>
          <c:x val="0.38155893611806635"/>
          <c:y val="1.5194681861348529E-2"/>
        </c:manualLayout>
      </c:layout>
      <c:overlay val="0"/>
      <c:spPr>
        <a:noFill/>
        <a:ln>
          <a:noFill/>
        </a:ln>
        <a:effectLst/>
      </c:sp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1"/>
          <c:order val="0"/>
          <c:spPr>
            <a:solidFill>
              <a:srgbClr val="FF0000"/>
            </a:solidFill>
          </c:spPr>
          <c:invertIfNegative val="0"/>
          <c:cat>
            <c:strRef>
              <c:f>Questions!$T$2:$T$21</c:f>
              <c:strCache>
                <c:ptCount val="13"/>
                <c:pt idx="0">
                  <c:v>Documentation</c:v>
                </c:pt>
                <c:pt idx="1">
                  <c:v>Application Security</c:v>
                </c:pt>
                <c:pt idx="2">
                  <c:v>Authentication, Authorization, and Accounting</c:v>
                </c:pt>
                <c:pt idx="3">
                  <c:v>Change Management</c:v>
                </c:pt>
                <c:pt idx="4">
                  <c:v>Company</c:v>
                </c:pt>
                <c:pt idx="5">
                  <c:v>Data</c:v>
                </c:pt>
                <c:pt idx="6">
                  <c:v>Database</c:v>
                </c:pt>
                <c:pt idx="7">
                  <c:v>Datacenter</c:v>
                </c:pt>
                <c:pt idx="8">
                  <c:v>Firewalls, IDS, IPS, and Networking</c:v>
                </c:pt>
                <c:pt idx="9">
                  <c:v>Physical Security</c:v>
                </c:pt>
                <c:pt idx="10">
                  <c:v>Policies, Procedures, and Processes</c:v>
                </c:pt>
                <c:pt idx="11">
                  <c:v>Systems Management &amp; Configuration</c:v>
                </c:pt>
                <c:pt idx="12">
                  <c:v>Vulnerability Scanning</c:v>
                </c:pt>
              </c:strCache>
            </c:strRef>
          </c:cat>
          <c:val>
            <c:numRef>
              <c:f>Questions!$Y$2:$Y$21</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formatCode="0%">
                  <c:v>0</c:v>
                </c:pt>
                <c:pt idx="14" formatCode="0%">
                  <c:v>0</c:v>
                </c:pt>
                <c:pt idx="15" formatCode="0%">
                  <c:v>0</c:v>
                </c:pt>
                <c:pt idx="16" formatCode="0%">
                  <c:v>0</c:v>
                </c:pt>
                <c:pt idx="17" formatCode="0%">
                  <c:v>0</c:v>
                </c:pt>
                <c:pt idx="18" formatCode="0%">
                  <c:v>0</c:v>
                </c:pt>
                <c:pt idx="19" formatCode="0%">
                  <c:v>0</c:v>
                </c:pt>
              </c:numCache>
            </c:numRef>
          </c:val>
          <c:extLst>
            <c:ext xmlns:c16="http://schemas.microsoft.com/office/drawing/2014/chart" uri="{C3380CC4-5D6E-409C-BE32-E72D297353CC}">
              <c16:uniqueId val="{00000006-E007-42A3-87BD-6B8D651659D1}"/>
            </c:ext>
          </c:extLst>
        </c:ser>
        <c:ser>
          <c:idx val="0"/>
          <c:order val="1"/>
          <c:spPr>
            <a:solidFill>
              <a:srgbClr val="FF0000"/>
            </a:solidFill>
            <a:ln>
              <a:noFill/>
            </a:ln>
            <a:effectLst/>
            <a:sp3d/>
          </c:spPr>
          <c:invertIfNegative val="0"/>
          <c:cat>
            <c:strRef>
              <c:f>Questions!$T$2:$T$21</c:f>
              <c:strCache>
                <c:ptCount val="13"/>
                <c:pt idx="0">
                  <c:v>Documentation</c:v>
                </c:pt>
                <c:pt idx="1">
                  <c:v>Application Security</c:v>
                </c:pt>
                <c:pt idx="2">
                  <c:v>Authentication, Authorization, and Accounting</c:v>
                </c:pt>
                <c:pt idx="3">
                  <c:v>Change Management</c:v>
                </c:pt>
                <c:pt idx="4">
                  <c:v>Company</c:v>
                </c:pt>
                <c:pt idx="5">
                  <c:v>Data</c:v>
                </c:pt>
                <c:pt idx="6">
                  <c:v>Database</c:v>
                </c:pt>
                <c:pt idx="7">
                  <c:v>Datacenter</c:v>
                </c:pt>
                <c:pt idx="8">
                  <c:v>Firewalls, IDS, IPS, and Networking</c:v>
                </c:pt>
                <c:pt idx="9">
                  <c:v>Physical Security</c:v>
                </c:pt>
                <c:pt idx="10">
                  <c:v>Policies, Procedures, and Processes</c:v>
                </c:pt>
                <c:pt idx="11">
                  <c:v>Systems Management &amp; Configuration</c:v>
                </c:pt>
                <c:pt idx="12">
                  <c:v>Vulnerability Scanning</c:v>
                </c:pt>
              </c:strCache>
            </c:strRef>
          </c:cat>
          <c:val>
            <c:numRef>
              <c:f>Questions!$Y$2:$Y$21</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formatCode="0%">
                  <c:v>0</c:v>
                </c:pt>
                <c:pt idx="14" formatCode="0%">
                  <c:v>0</c:v>
                </c:pt>
                <c:pt idx="15" formatCode="0%">
                  <c:v>0</c:v>
                </c:pt>
                <c:pt idx="16" formatCode="0%">
                  <c:v>0</c:v>
                </c:pt>
                <c:pt idx="17" formatCode="0%">
                  <c:v>0</c:v>
                </c:pt>
                <c:pt idx="18" formatCode="0%">
                  <c:v>0</c:v>
                </c:pt>
                <c:pt idx="19" formatCode="0%">
                  <c:v>0</c:v>
                </c:pt>
              </c:numCache>
            </c:numRef>
          </c:val>
          <c:extLst>
            <c:ext xmlns:c16="http://schemas.microsoft.com/office/drawing/2014/chart" uri="{C3380CC4-5D6E-409C-BE32-E72D297353CC}">
              <c16:uniqueId val="{00000005-E007-42A3-87BD-6B8D651659D1}"/>
            </c:ext>
          </c:extLst>
        </c:ser>
        <c:dLbls>
          <c:showLegendKey val="0"/>
          <c:showVal val="0"/>
          <c:showCatName val="0"/>
          <c:showSerName val="0"/>
          <c:showPercent val="0"/>
          <c:showBubbleSize val="0"/>
        </c:dLbls>
        <c:gapWidth val="182"/>
        <c:shape val="box"/>
        <c:axId val="975669256"/>
        <c:axId val="975664336"/>
        <c:axId val="0"/>
      </c:bar3DChart>
      <c:catAx>
        <c:axId val="9756692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Verdana" panose="020B0604030504040204" pitchFamily="34" charset="0"/>
                <a:ea typeface="Verdana" panose="020B0604030504040204" pitchFamily="34" charset="0"/>
                <a:cs typeface="Verdana" panose="020B0604030504040204" pitchFamily="34" charset="0"/>
              </a:defRPr>
            </a:pPr>
            <a:endParaRPr lang="en-US"/>
          </a:p>
        </c:txPr>
        <c:crossAx val="975664336"/>
        <c:crosses val="autoZero"/>
        <c:auto val="1"/>
        <c:lblAlgn val="ctr"/>
        <c:lblOffset val="100"/>
        <c:noMultiLvlLbl val="0"/>
      </c:catAx>
      <c:valAx>
        <c:axId val="975664336"/>
        <c:scaling>
          <c:orientation val="minMax"/>
          <c:max val="1"/>
        </c:scaling>
        <c:delete val="0"/>
        <c:axPos val="t"/>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669256"/>
        <c:crosses val="autoZero"/>
        <c:crossBetween val="between"/>
        <c:majorUnit val="0.1"/>
      </c:valAx>
    </c:plotArea>
    <c:plotVisOnly val="1"/>
    <c:dispBlanksAs val="gap"/>
    <c:showDLblsOverMax val="0"/>
  </c:chart>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4.tiff"/><Relationship Id="rId1" Type="http://schemas.openxmlformats.org/officeDocument/2006/relationships/image" Target="../media/image3.tiff"/></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88900</xdr:colOff>
      <xdr:row>0</xdr:row>
      <xdr:rowOff>88900</xdr:rowOff>
    </xdr:from>
    <xdr:ext cx="2374900" cy="520700"/>
    <xdr:pic>
      <xdr:nvPicPr>
        <xdr:cNvPr id="3" name="Picture 2">
          <a:extLst>
            <a:ext uri="{FF2B5EF4-FFF2-40B4-BE49-F238E27FC236}">
              <a16:creationId xmlns:a16="http://schemas.microsoft.com/office/drawing/2014/main" id="{6CA4773F-BCFB-8043-A4FC-B554657DD0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8900" y="88900"/>
          <a:ext cx="2374900" cy="52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203200</xdr:colOff>
      <xdr:row>1</xdr:row>
      <xdr:rowOff>88901</xdr:rowOff>
    </xdr:from>
    <xdr:ext cx="8788400" cy="9042400"/>
    <xdr:sp macro="" textlink="">
      <xdr:nvSpPr>
        <xdr:cNvPr id="5" name="Shape 3">
          <a:extLst>
            <a:ext uri="{FF2B5EF4-FFF2-40B4-BE49-F238E27FC236}">
              <a16:creationId xmlns:a16="http://schemas.microsoft.com/office/drawing/2014/main" id="{FE54350B-132E-DD4B-A347-7B6C33344C4B}"/>
            </a:ext>
          </a:extLst>
        </xdr:cNvPr>
        <xdr:cNvSpPr txBox="1"/>
      </xdr:nvSpPr>
      <xdr:spPr>
        <a:xfrm>
          <a:off x="203200" y="622301"/>
          <a:ext cx="8788400" cy="904240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dk1"/>
            </a:buClr>
            <a:buSzPts val="1600"/>
            <a:buFont typeface="Verdana"/>
            <a:buNone/>
          </a:pPr>
          <a:r>
            <a:rPr lang="en-US" sz="1600" b="1">
              <a:solidFill>
                <a:schemeClr val="dk1"/>
              </a:solidFill>
              <a:latin typeface="Verdana"/>
              <a:ea typeface="Verdana"/>
              <a:cs typeface="Verdana"/>
              <a:sym typeface="Verdana"/>
            </a:rPr>
            <a:t>Shared Assessments Introduction</a:t>
          </a:r>
          <a:endParaRPr lang="en-US" sz="1600">
            <a:solidFill>
              <a:schemeClr val="dk1"/>
            </a:solidFill>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a:solidFill>
                <a:schemeClr val="dk1"/>
              </a:solidFill>
              <a:latin typeface="Verdana"/>
              <a:ea typeface="Verdana"/>
              <a:cs typeface="Verdana"/>
              <a:sym typeface="Verdana"/>
            </a:rPr>
            <a:t> </a:t>
          </a:r>
          <a:endParaRPr lang="en-US" sz="1400"/>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Campus IT environments are rapidly changing and the speed of cloud service adoption is increasing.  Institutions looking for ways to do more with less see cloud services as a good way to save resources. As campuses deploy or identify cloud services, they must ensure the cloud services are appropriately assessed for managing the risks to the confidentiality, integrity and availability of sensitive institutional information and the PII of constituents. Many campuses have established a cloud security assessment methodology and resources to review cloud services for privacy and security controls.  Other campuses don’t have sufficient resources to assess their cloud services in this manner.  On the vendor side, many cloud services providers spend significant time responding to the individualized security assessment requests made by campus customers, often answering similar questions repeatedly.  Both the provider and consumer of cloud services are wasting precious time creating, responding, and reviewing such assessments.</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i="0" u="none" strike="noStrike">
              <a:solidFill>
                <a:schemeClr val="dk1"/>
              </a:solidFill>
              <a:latin typeface="Verdana"/>
              <a:ea typeface="Verdana"/>
              <a:cs typeface="Verdana"/>
              <a:sym typeface="Verdana"/>
            </a:rPr>
            <a:t>The </a:t>
          </a:r>
          <a:r>
            <a:rPr lang="en-US" sz="1100" b="1" i="0" u="none" strike="noStrike">
              <a:solidFill>
                <a:schemeClr val="dk1"/>
              </a:solidFill>
              <a:latin typeface="Verdana"/>
              <a:ea typeface="Verdana"/>
              <a:cs typeface="Verdana"/>
              <a:sym typeface="Verdana"/>
            </a:rPr>
            <a:t>Higher Education Community Vendor Assessment Toolkit </a:t>
          </a:r>
          <a:r>
            <a:rPr lang="en-US" sz="1100" b="0" i="0" u="none" strike="noStrike">
              <a:solidFill>
                <a:schemeClr val="dk1"/>
              </a:solidFill>
              <a:latin typeface="Verdana"/>
              <a:ea typeface="Verdana"/>
              <a:cs typeface="Verdana"/>
              <a:sym typeface="Verdana"/>
            </a:rPr>
            <a:t>(</a:t>
          </a:r>
          <a:r>
            <a:rPr lang="en-US" sz="1100" b="1" i="0" u="none" strike="noStrike">
              <a:solidFill>
                <a:schemeClr val="dk1"/>
              </a:solidFill>
              <a:latin typeface="Verdana"/>
              <a:ea typeface="Verdana"/>
              <a:cs typeface="Verdana"/>
              <a:sym typeface="Verdana"/>
            </a:rPr>
            <a:t>HECVAT</a:t>
          </a:r>
          <a:r>
            <a:rPr lang="en-US" sz="1100" b="0" i="0" u="none" strike="noStrike">
              <a:solidFill>
                <a:schemeClr val="dk1"/>
              </a:solidFill>
              <a:latin typeface="Verdana"/>
              <a:ea typeface="Verdana"/>
              <a:cs typeface="Verdana"/>
              <a:sym typeface="Verdana"/>
            </a:rPr>
            <a:t>) attempts to generalize higher education information security and data protections and issues for consistency and ease of use. Some institutions may have specific issues that must be addressed in addition to the general questions</a:t>
          </a:r>
          <a:r>
            <a:rPr lang="en-US" sz="1100" b="0" i="0" u="none" strike="noStrike" baseline="0">
              <a:solidFill>
                <a:schemeClr val="dk1"/>
              </a:solidFill>
              <a:latin typeface="Verdana"/>
              <a:ea typeface="Verdana"/>
              <a:cs typeface="Verdana"/>
              <a:sym typeface="Verdana"/>
            </a:rPr>
            <a:t> sets</a:t>
          </a:r>
          <a:r>
            <a:rPr lang="en-US" sz="1100" b="0" i="0" u="none" strike="noStrike">
              <a:solidFill>
                <a:schemeClr val="dk1"/>
              </a:solidFill>
              <a:latin typeface="Verdana"/>
              <a:ea typeface="Verdana"/>
              <a:cs typeface="Verdana"/>
              <a:sym typeface="Verdana"/>
            </a:rPr>
            <a:t> provided in the</a:t>
          </a:r>
          <a:r>
            <a:rPr lang="en-US" sz="1100" b="0" i="0" u="none" strike="noStrike" baseline="0">
              <a:solidFill>
                <a:schemeClr val="dk1"/>
              </a:solidFill>
              <a:latin typeface="Verdana"/>
              <a:ea typeface="Verdana"/>
              <a:cs typeface="Verdana"/>
              <a:sym typeface="Verdana"/>
            </a:rPr>
            <a:t> toolkit</a:t>
          </a:r>
          <a:r>
            <a:rPr lang="en-US" sz="1100" b="0" i="0" u="none" strike="noStrike">
              <a:solidFill>
                <a:schemeClr val="dk1"/>
              </a:solidFill>
              <a:latin typeface="Verdana"/>
              <a:ea typeface="Verdana"/>
              <a:cs typeface="Verdana"/>
              <a:sym typeface="Verdana"/>
            </a:rPr>
            <a:t>. It is anticipated that the HECVAT will be revised over time to account for changes in services provisioning and the information security and data protection needs of higher education institutions.</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i="0" u="none" strike="noStrike">
              <a:solidFill>
                <a:schemeClr val="dk1"/>
              </a:solidFill>
              <a:latin typeface="Verdana"/>
              <a:ea typeface="Verdana"/>
              <a:cs typeface="Verdana"/>
              <a:sym typeface="Verdana"/>
            </a:rPr>
            <a:t>The Higher Education Community Vendor Assessment Toolkit:</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 Helps higher education institutions ensure that vendor services are appropriately assessed for security and privacy needs, including some that are unique to higher education</a:t>
          </a:r>
          <a:endParaRPr lang="en-US" sz="1400"/>
        </a:p>
        <a:p>
          <a:pPr marL="0" lvl="0" indent="0" algn="l" rtl="0">
            <a:spcBef>
              <a:spcPts val="0"/>
            </a:spcBef>
            <a:spcAft>
              <a:spcPts val="0"/>
            </a:spcAft>
            <a:buClr>
              <a:schemeClr val="dk1"/>
            </a:buClr>
            <a:buSzPts val="1100"/>
            <a:buFont typeface="Verdana"/>
            <a:buNone/>
          </a:pPr>
          <a:r>
            <a:rPr lang="en-US" sz="1100" b="0" i="0">
              <a:solidFill>
                <a:schemeClr val="dk1"/>
              </a:solidFill>
              <a:latin typeface="Verdana"/>
              <a:ea typeface="Verdana"/>
              <a:cs typeface="Verdana"/>
              <a:sym typeface="Verdana"/>
            </a:rPr>
            <a:t>● </a:t>
          </a:r>
          <a:r>
            <a:rPr lang="en-US" sz="1100" b="0" i="0" u="none" strike="noStrike">
              <a:solidFill>
                <a:schemeClr val="dk1"/>
              </a:solidFill>
              <a:latin typeface="Verdana"/>
              <a:ea typeface="Verdana"/>
              <a:cs typeface="Verdana"/>
              <a:sym typeface="Verdana"/>
            </a:rPr>
            <a:t>Allows a consistent, easily-adopted methodology for campuses wishing to reduce costs through vendor services without increasing risks</a:t>
          </a:r>
          <a:endParaRPr lang="en-US" sz="1400"/>
        </a:p>
        <a:p>
          <a:pPr marL="0" lvl="0" indent="0" algn="l" rtl="0">
            <a:spcBef>
              <a:spcPts val="0"/>
            </a:spcBef>
            <a:spcAft>
              <a:spcPts val="0"/>
            </a:spcAft>
            <a:buClr>
              <a:schemeClr val="dk1"/>
            </a:buClr>
            <a:buSzPts val="1100"/>
            <a:buFont typeface="Verdana"/>
            <a:buNone/>
          </a:pPr>
          <a:r>
            <a:rPr lang="en-US" sz="1100" b="0" i="0">
              <a:solidFill>
                <a:schemeClr val="dk1"/>
              </a:solidFill>
              <a:latin typeface="Verdana"/>
              <a:ea typeface="Verdana"/>
              <a:cs typeface="Verdana"/>
              <a:sym typeface="Verdana"/>
            </a:rPr>
            <a:t>● </a:t>
          </a:r>
          <a:r>
            <a:rPr lang="en-US" sz="1100" b="0" i="0" u="none" strike="noStrike">
              <a:solidFill>
                <a:schemeClr val="dk1"/>
              </a:solidFill>
              <a:latin typeface="Verdana"/>
              <a:ea typeface="Verdana"/>
              <a:cs typeface="Verdana"/>
              <a:sym typeface="Verdana"/>
            </a:rPr>
            <a:t>Reduces the burden that service providers face in responding to requests for security assessments from higher education institutions</a:t>
          </a:r>
          <a:endParaRPr lang="en-US" sz="1400"/>
        </a:p>
        <a:p>
          <a:pPr marL="0" lvl="0" indent="0" algn="l" rtl="0">
            <a:spcBef>
              <a:spcPts val="0"/>
            </a:spcBef>
            <a:spcAft>
              <a:spcPts val="0"/>
            </a:spcAft>
            <a:buSzPts val="1100"/>
            <a:buFont typeface="Arial"/>
            <a:buNone/>
          </a:pPr>
          <a:endParaRPr lang="en-US" sz="1100" b="0" i="0" u="none" strike="noStrike">
            <a:solidFill>
              <a:schemeClr val="dk1"/>
            </a:solidFill>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The Higher Education Community Vendor Assessment Toolkit is a suite of tools built around the original HECVAT (known now as HECVAT</a:t>
          </a:r>
          <a:r>
            <a:rPr lang="en-US" sz="1100" b="0" i="0" u="none" strike="noStrike" baseline="0">
              <a:solidFill>
                <a:schemeClr val="dk1"/>
              </a:solidFill>
              <a:latin typeface="Verdana"/>
              <a:ea typeface="Verdana"/>
              <a:cs typeface="Verdana"/>
              <a:sym typeface="Verdana"/>
            </a:rPr>
            <a:t> - Full) </a:t>
          </a:r>
          <a:r>
            <a:rPr lang="en-US" sz="1100" b="0" i="0" u="none" strike="noStrike">
              <a:solidFill>
                <a:schemeClr val="dk1"/>
              </a:solidFill>
              <a:latin typeface="Verdana"/>
              <a:ea typeface="Verdana"/>
              <a:cs typeface="Verdana"/>
              <a:sym typeface="Verdana"/>
            </a:rPr>
            <a:t>to allow institutions to adopt, implement, and maintain a consistent risk/security assessment program. Tools include:</a:t>
          </a:r>
          <a:endParaRPr lang="en-US" sz="1400"/>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 </a:t>
          </a:r>
          <a:r>
            <a:rPr lang="en-US" sz="1100" b="1" i="0" u="none" strike="noStrike">
              <a:solidFill>
                <a:schemeClr val="tx1"/>
              </a:solidFill>
              <a:latin typeface="Verdana"/>
              <a:ea typeface="Verdana"/>
              <a:cs typeface="Verdana"/>
              <a:sym typeface="Verdana"/>
            </a:rPr>
            <a:t>HECVAT</a:t>
          </a:r>
          <a:r>
            <a:rPr lang="en-US" sz="1100" b="1" i="0" u="none" strike="noStrike" baseline="0">
              <a:solidFill>
                <a:schemeClr val="tx1"/>
              </a:solidFill>
              <a:latin typeface="Verdana"/>
              <a:ea typeface="Verdana"/>
              <a:cs typeface="Verdana"/>
              <a:sym typeface="Verdana"/>
            </a:rPr>
            <a:t> - Triage</a:t>
          </a:r>
          <a:r>
            <a:rPr lang="en-US" sz="1100" b="0" i="0" u="none" strike="noStrike">
              <a:solidFill>
                <a:schemeClr val="dk1"/>
              </a:solidFill>
              <a:latin typeface="Verdana"/>
              <a:ea typeface="Verdana"/>
              <a:cs typeface="Verdana"/>
              <a:sym typeface="Verdana"/>
            </a:rPr>
            <a:t>: Used to initiate risk/security assessment requests</a:t>
          </a:r>
          <a:r>
            <a:rPr lang="en-US" sz="1100" b="0" i="0" u="none" strike="noStrike" baseline="0">
              <a:solidFill>
                <a:schemeClr val="dk1"/>
              </a:solidFill>
              <a:latin typeface="Verdana"/>
              <a:ea typeface="Verdana"/>
              <a:cs typeface="Verdana"/>
              <a:sym typeface="Verdana"/>
            </a:rPr>
            <a:t> - review to determine assessment requirements</a:t>
          </a:r>
          <a:endParaRPr lang="en-US" sz="1100" b="0" i="0" u="none" strike="noStrike">
            <a:solidFill>
              <a:schemeClr val="dk1"/>
            </a:solidFill>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b="0" i="0">
              <a:solidFill>
                <a:schemeClr val="dk1"/>
              </a:solidFill>
              <a:latin typeface="Verdana"/>
              <a:ea typeface="Verdana"/>
              <a:cs typeface="Verdana"/>
              <a:sym typeface="Verdana"/>
            </a:rPr>
            <a:t>● </a:t>
          </a:r>
          <a:r>
            <a:rPr lang="en-US" sz="1100" b="1" i="0" u="none" strike="noStrike">
              <a:solidFill>
                <a:srgbClr val="FF0000"/>
              </a:solidFill>
              <a:latin typeface="Verdana"/>
              <a:ea typeface="Verdana"/>
              <a:cs typeface="Verdana"/>
              <a:sym typeface="Verdana"/>
            </a:rPr>
            <a:t>HECVAT - Full</a:t>
          </a:r>
          <a:r>
            <a:rPr lang="en-US" sz="1100" b="0" i="0" u="none" strike="noStrike">
              <a:solidFill>
                <a:schemeClr val="dk1"/>
              </a:solidFill>
              <a:latin typeface="Verdana"/>
              <a:ea typeface="Verdana"/>
              <a:cs typeface="Verdana"/>
              <a:sym typeface="Verdana"/>
            </a:rPr>
            <a:t>: Robust questionnaire used to assess the most critical data sharing engagements</a:t>
          </a:r>
          <a:endParaRPr lang="en-US" sz="1400"/>
        </a:p>
        <a:p>
          <a:pPr marL="0" marR="0" lvl="0" indent="0" algn="l" rtl="0">
            <a:lnSpc>
              <a:spcPct val="100000"/>
            </a:lnSpc>
            <a:spcBef>
              <a:spcPts val="0"/>
            </a:spcBef>
            <a:spcAft>
              <a:spcPts val="0"/>
            </a:spcAft>
            <a:buClr>
              <a:schemeClr val="dk1"/>
            </a:buClr>
            <a:buSzPts val="1100"/>
            <a:buFont typeface="Verdana"/>
            <a:buNone/>
          </a:pPr>
          <a:r>
            <a:rPr lang="en-US" sz="1100" b="0" i="0">
              <a:solidFill>
                <a:schemeClr val="dk1"/>
              </a:solidFill>
              <a:latin typeface="Verdana"/>
              <a:ea typeface="Verdana"/>
              <a:cs typeface="Verdana"/>
              <a:sym typeface="Verdana"/>
            </a:rPr>
            <a:t>● </a:t>
          </a:r>
          <a:r>
            <a:rPr lang="en-US" sz="1100" b="1" i="0" u="none" strike="noStrike">
              <a:solidFill>
                <a:schemeClr val="dk1"/>
              </a:solidFill>
              <a:latin typeface="Verdana"/>
              <a:ea typeface="Verdana"/>
              <a:cs typeface="Verdana"/>
              <a:sym typeface="Verdana"/>
            </a:rPr>
            <a:t>HECVAT - Lite</a:t>
          </a:r>
          <a:r>
            <a:rPr lang="en-US" sz="1100" b="0" i="0" u="none" strike="noStrike">
              <a:solidFill>
                <a:schemeClr val="dk1"/>
              </a:solidFill>
              <a:latin typeface="Verdana"/>
              <a:ea typeface="Verdana"/>
              <a:cs typeface="Verdana"/>
              <a:sym typeface="Verdana"/>
            </a:rPr>
            <a:t>: A lightweight questionnaire used to expedite process </a:t>
          </a:r>
          <a:endParaRPr lang="en-US" sz="1400"/>
        </a:p>
        <a:p>
          <a:pPr marL="0" marR="0" lvl="0" indent="0" algn="l" rtl="0">
            <a:lnSpc>
              <a:spcPct val="100000"/>
            </a:lnSpc>
            <a:spcBef>
              <a:spcPts val="0"/>
            </a:spcBef>
            <a:spcAft>
              <a:spcPts val="0"/>
            </a:spcAft>
            <a:buClr>
              <a:schemeClr val="dk1"/>
            </a:buClr>
            <a:buSzPts val="1100"/>
            <a:buFont typeface="Verdana"/>
            <a:buNone/>
          </a:pPr>
          <a:r>
            <a:rPr lang="en-US" sz="1100" b="0" i="0">
              <a:solidFill>
                <a:schemeClr val="dk1"/>
              </a:solidFill>
              <a:latin typeface="Verdana"/>
              <a:ea typeface="Verdana"/>
              <a:cs typeface="Verdana"/>
              <a:sym typeface="Verdana"/>
            </a:rPr>
            <a:t>● </a:t>
          </a:r>
          <a:r>
            <a:rPr lang="en-US" sz="1100" b="1" i="0" u="none" strike="noStrike">
              <a:solidFill>
                <a:schemeClr val="dk1"/>
              </a:solidFill>
              <a:latin typeface="Verdana"/>
              <a:ea typeface="Verdana"/>
              <a:cs typeface="Verdana"/>
              <a:sym typeface="Verdana"/>
            </a:rPr>
            <a:t>HECVAT - On-Premise</a:t>
          </a:r>
          <a:r>
            <a:rPr lang="en-US" sz="1100" b="0" i="0" u="none" strike="noStrike">
              <a:solidFill>
                <a:schemeClr val="dk1"/>
              </a:solidFill>
              <a:latin typeface="Verdana"/>
              <a:ea typeface="Verdana"/>
              <a:cs typeface="Verdana"/>
              <a:sym typeface="Verdana"/>
            </a:rPr>
            <a:t>: Unique questionnaire used to evaluate on-premise appliances and software</a:t>
          </a:r>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i="0" u="none" strike="noStrike">
              <a:solidFill>
                <a:schemeClr val="dk1"/>
              </a:solidFill>
              <a:latin typeface="Verdana"/>
              <a:ea typeface="Verdana"/>
              <a:cs typeface="Verdana"/>
              <a:sym typeface="Verdana"/>
            </a:rPr>
            <a:t>The HECVAT (and Toolkit) was created by the Higher Education Information Security Council Shared Assessments Working Group.  Its purpose is to provide a starting point for the assessment of vendor provided services and resources.  Over time, the Shared Assessments Working Group hopes to create a framework that will establish a community resource where institutions and cloud services providers will share completed Higher Education Cloud Vendor Assessment Tool assessments.</a:t>
          </a:r>
          <a:endParaRPr lang="en-US" sz="1400"/>
        </a:p>
        <a:p>
          <a:pPr marL="0" lvl="0" indent="0" algn="l" rtl="0">
            <a:spcBef>
              <a:spcPts val="0"/>
            </a:spcBef>
            <a:spcAft>
              <a:spcPts val="0"/>
            </a:spcAft>
            <a:buSzPts val="1100"/>
            <a:buFont typeface="Arial"/>
            <a:buNone/>
          </a:pPr>
          <a:endParaRPr lang="en-US" sz="1100" b="0" i="0" u="none" strike="noStrike">
            <a:solidFill>
              <a:schemeClr val="dk1"/>
            </a:solidFill>
            <a:latin typeface="Verdana"/>
            <a:ea typeface="Verdana"/>
            <a:cs typeface="Verdana"/>
            <a:sym typeface="Verdana"/>
          </a:endParaRPr>
        </a:p>
        <a:p>
          <a:pPr marL="0" marR="0" lvl="0" indent="0" algn="ctr" rtl="0">
            <a:lnSpc>
              <a:spcPct val="100000"/>
            </a:lnSpc>
            <a:spcBef>
              <a:spcPts val="0"/>
            </a:spcBef>
            <a:spcAft>
              <a:spcPts val="0"/>
            </a:spcAft>
            <a:buClr>
              <a:schemeClr val="dk1"/>
            </a:buClr>
            <a:buSzPts val="1200"/>
            <a:buFont typeface="Verdana"/>
            <a:buNone/>
          </a:pPr>
          <a:r>
            <a:rPr lang="en-US" sz="1200" b="1">
              <a:solidFill>
                <a:schemeClr val="dk1"/>
              </a:solidFill>
              <a:latin typeface="Verdana"/>
              <a:ea typeface="Verdana"/>
              <a:cs typeface="Verdana"/>
              <a:sym typeface="Verdana"/>
            </a:rPr>
            <a:t>https://www.educause.edu/hecvat</a:t>
          </a:r>
          <a:endParaRPr lang="en-US" sz="1400"/>
        </a:p>
        <a:p>
          <a:pPr marL="0" lvl="0" indent="0" algn="ctr" rtl="0">
            <a:spcBef>
              <a:spcPts val="0"/>
            </a:spcBef>
            <a:spcAft>
              <a:spcPts val="0"/>
            </a:spcAft>
            <a:buClr>
              <a:schemeClr val="dk1"/>
            </a:buClr>
            <a:buSzPts val="1200"/>
            <a:buFont typeface="Verdana"/>
            <a:buNone/>
          </a:pPr>
          <a:r>
            <a:rPr lang="en-US" sz="1200" b="1">
              <a:solidFill>
                <a:schemeClr val="dk1"/>
              </a:solidFill>
              <a:latin typeface="Verdana"/>
              <a:ea typeface="Verdana"/>
              <a:cs typeface="Verdana"/>
              <a:sym typeface="Verdana"/>
            </a:rPr>
            <a:t>https://www.ren-isac.net/hecvat</a:t>
          </a:r>
          <a:endParaRPr lang="en-US" sz="1400"/>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i="0" u="none" strike="noStrike">
              <a:solidFill>
                <a:schemeClr val="dk1"/>
              </a:solidFill>
              <a:latin typeface="Verdana"/>
              <a:ea typeface="Verdana"/>
              <a:cs typeface="Verdana"/>
              <a:sym typeface="Verdana"/>
            </a:rPr>
            <a:t>(C) EDUCAUSE 2019</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This work is licensed under a Creative Commons Attribution-Noncommercial-ShareAlike 4.0 International License (CC BY-NC-SA 4.0).</a:t>
          </a:r>
          <a:endParaRPr lang="en-US" sz="1100" b="0">
            <a:latin typeface="Verdana"/>
            <a:ea typeface="Verdana"/>
            <a:cs typeface="Verdana"/>
            <a:sym typeface="Verdana"/>
          </a:endParaRPr>
        </a:p>
        <a:p>
          <a:pPr marL="0" marR="0" lvl="0" indent="0" algn="l" rtl="0">
            <a:lnSpc>
              <a:spcPct val="100000"/>
            </a:lnSpc>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i="0" u="none" strike="noStrike">
              <a:solidFill>
                <a:schemeClr val="dk1"/>
              </a:solidFill>
              <a:latin typeface="Verdana"/>
              <a:ea typeface="Verdana"/>
              <a:cs typeface="Verdana"/>
              <a:sym typeface="Verdana"/>
            </a:rPr>
            <a:t>This </a:t>
          </a:r>
          <a:r>
            <a:rPr lang="en-US" sz="1100" b="0" i="0">
              <a:solidFill>
                <a:schemeClr val="dk1"/>
              </a:solidFill>
              <a:latin typeface="Verdana"/>
              <a:ea typeface="Verdana"/>
              <a:cs typeface="Verdana"/>
              <a:sym typeface="Verdana"/>
            </a:rPr>
            <a:t>Higher Education Cloud Vendor Assessment Toolkit </a:t>
          </a:r>
          <a:r>
            <a:rPr lang="en-US" sz="1100" b="0" i="0" u="none" strike="noStrike">
              <a:solidFill>
                <a:schemeClr val="dk1"/>
              </a:solidFill>
              <a:latin typeface="Verdana"/>
              <a:ea typeface="Verdana"/>
              <a:cs typeface="Verdana"/>
              <a:sym typeface="Verdana"/>
            </a:rPr>
            <a:t>is brought to you by the Higher Education Information Security Council, and members from EDUCAUSE, Internet2, and the Research and Education Networking Information Sharing and Analysis Center (REN-ISAC).</a:t>
          </a:r>
          <a:endParaRPr lang="en-US" sz="1400"/>
        </a:p>
      </xdr:txBody>
    </xdr: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xdr:col>
      <xdr:colOff>37722</xdr:colOff>
      <xdr:row>12</xdr:row>
      <xdr:rowOff>150892</xdr:rowOff>
    </xdr:from>
    <xdr:to>
      <xdr:col>1</xdr:col>
      <xdr:colOff>5897326</xdr:colOff>
      <xdr:row>12</xdr:row>
      <xdr:rowOff>1419174</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a:stretch>
          <a:fillRect/>
        </a:stretch>
      </xdr:blipFill>
      <xdr:spPr>
        <a:xfrm>
          <a:off x="1798118" y="7267922"/>
          <a:ext cx="5859604" cy="1268282"/>
        </a:xfrm>
        <a:prstGeom prst="rect">
          <a:avLst/>
        </a:prstGeom>
      </xdr:spPr>
    </xdr:pic>
    <xdr:clientData/>
  </xdr:twoCellAnchor>
  <xdr:twoCellAnchor editAs="oneCell">
    <xdr:from>
      <xdr:col>0</xdr:col>
      <xdr:colOff>75444</xdr:colOff>
      <xdr:row>15</xdr:row>
      <xdr:rowOff>314356</xdr:rowOff>
    </xdr:from>
    <xdr:to>
      <xdr:col>1</xdr:col>
      <xdr:colOff>7294469</xdr:colOff>
      <xdr:row>15</xdr:row>
      <xdr:rowOff>1181978</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
        <a:stretch>
          <a:fillRect/>
        </a:stretch>
      </xdr:blipFill>
      <xdr:spPr>
        <a:xfrm>
          <a:off x="75444" y="9971386"/>
          <a:ext cx="9322321" cy="86762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774700</xdr:colOff>
      <xdr:row>8</xdr:row>
      <xdr:rowOff>0</xdr:rowOff>
    </xdr:from>
    <xdr:to>
      <xdr:col>7</xdr:col>
      <xdr:colOff>1512888</xdr:colOff>
      <xdr:row>43</xdr:row>
      <xdr:rowOff>19050</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88900</xdr:colOff>
      <xdr:row>0</xdr:row>
      <xdr:rowOff>88900</xdr:rowOff>
    </xdr:from>
    <xdr:to>
      <xdr:col>3</xdr:col>
      <xdr:colOff>444500</xdr:colOff>
      <xdr:row>3</xdr:row>
      <xdr:rowOff>114300</xdr:rowOff>
    </xdr:to>
    <xdr:pic>
      <xdr:nvPicPr>
        <xdr:cNvPr id="2" name="Picture 4">
          <a:extLst>
            <a:ext uri="{FF2B5EF4-FFF2-40B4-BE49-F238E27FC236}">
              <a16:creationId xmlns:a16="http://schemas.microsoft.com/office/drawing/2014/main" id="{DDF1EBAA-F970-954B-A7DE-04AD2B627A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8900" y="88900"/>
          <a:ext cx="2374900" cy="52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88900</xdr:colOff>
      <xdr:row>0</xdr:row>
      <xdr:rowOff>63500</xdr:rowOff>
    </xdr:from>
    <xdr:ext cx="7612588" cy="15671800"/>
    <xdr:sp macro="" textlink="">
      <xdr:nvSpPr>
        <xdr:cNvPr id="3" name="TextBox 2">
          <a:extLst>
            <a:ext uri="{FF2B5EF4-FFF2-40B4-BE49-F238E27FC236}">
              <a16:creationId xmlns:a16="http://schemas.microsoft.com/office/drawing/2014/main" id="{B39846C5-498F-C947-B3E9-A4087A8439AD}"/>
            </a:ext>
          </a:extLst>
        </xdr:cNvPr>
        <xdr:cNvSpPr txBox="1"/>
      </xdr:nvSpPr>
      <xdr:spPr>
        <a:xfrm>
          <a:off x="88900" y="63500"/>
          <a:ext cx="7612588" cy="15671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US" sz="1100" b="1">
            <a:solidFill>
              <a:schemeClr val="tx1"/>
            </a:solidFill>
            <a:effectLst/>
            <a:latin typeface="+mn-lt"/>
            <a:ea typeface="+mn-ea"/>
            <a:cs typeface="+mn-cs"/>
          </a:endParaRPr>
        </a:p>
        <a:p>
          <a:pPr algn="ctr"/>
          <a:endParaRPr lang="en-US" sz="1100" b="1">
            <a:solidFill>
              <a:schemeClr val="tx1"/>
            </a:solidFill>
            <a:effectLst/>
            <a:latin typeface="+mn-lt"/>
            <a:ea typeface="+mn-ea"/>
            <a:cs typeface="+mn-cs"/>
          </a:endParaRPr>
        </a:p>
        <a:p>
          <a:pPr algn="ctr"/>
          <a:endParaRPr lang="en-US" sz="1100" b="1">
            <a:solidFill>
              <a:schemeClr val="tx1"/>
            </a:solidFill>
            <a:effectLst/>
            <a:latin typeface="+mn-lt"/>
            <a:ea typeface="+mn-ea"/>
            <a:cs typeface="+mn-cs"/>
          </a:endParaRPr>
        </a:p>
        <a:p>
          <a:pPr algn="ctr"/>
          <a:r>
            <a:rPr lang="en-US" sz="1400" b="1">
              <a:solidFill>
                <a:schemeClr val="tx1"/>
              </a:solidFill>
              <a:effectLst/>
              <a:latin typeface="Verdana" charset="0"/>
              <a:ea typeface="Verdana" charset="0"/>
              <a:cs typeface="Verdana" charset="0"/>
            </a:rPr>
            <a:t>Acknowledgments</a:t>
          </a:r>
          <a:endParaRPr lang="en-US" sz="1400">
            <a:effectLst/>
            <a:latin typeface="Verdana" charset="0"/>
            <a:ea typeface="Verdana" charset="0"/>
            <a:cs typeface="Verdana" charset="0"/>
          </a:endParaRPr>
        </a:p>
        <a:p>
          <a:r>
            <a:rPr lang="en-US" sz="1100">
              <a:solidFill>
                <a:schemeClr val="tx1"/>
              </a:solidFill>
              <a:effectLst/>
              <a:latin typeface="Verdana" charset="0"/>
              <a:ea typeface="Verdana" charset="0"/>
              <a:cs typeface="Verdana" charset="0"/>
            </a:rPr>
            <a:t> </a:t>
          </a:r>
          <a:endParaRPr lang="en-US">
            <a:effectLst/>
            <a:latin typeface="Verdana" charset="0"/>
            <a:ea typeface="Verdana" charset="0"/>
            <a:cs typeface="Verdana" charset="0"/>
          </a:endParaRPr>
        </a:p>
        <a:p>
          <a:pPr rtl="0"/>
          <a:r>
            <a:rPr lang="en-US" sz="1100" b="0" i="0" u="none" strike="noStrike">
              <a:solidFill>
                <a:schemeClr val="tx1"/>
              </a:solidFill>
              <a:effectLst/>
              <a:latin typeface="Verdana" charset="0"/>
              <a:ea typeface="Verdana" charset="0"/>
              <a:cs typeface="Verdana" charset="0"/>
            </a:rPr>
            <a:t>The Higher Education Information Security Council Shared Assessments Working Group contributed their vision and significant talents to the conception, creation, and completion of this resource. </a:t>
          </a:r>
        </a:p>
        <a:p>
          <a:pPr rtl="0"/>
          <a:endParaRPr lang="en-US" sz="1100" b="0" i="0" u="none" strike="noStrike">
            <a:solidFill>
              <a:schemeClr val="tx1"/>
            </a:solidFill>
            <a:effectLst/>
            <a:latin typeface="Verdana" charset="0"/>
            <a:ea typeface="Verdana" charset="0"/>
            <a:cs typeface="Verdana" charset="0"/>
          </a:endParaRPr>
        </a:p>
        <a:p>
          <a:r>
            <a:rPr lang="en-US" sz="1100" b="0" i="0" u="none" strike="noStrike">
              <a:solidFill>
                <a:schemeClr val="tx1"/>
              </a:solidFill>
              <a:effectLst/>
              <a:latin typeface="Verdana" charset="0"/>
              <a:ea typeface="Verdana" charset="0"/>
              <a:cs typeface="Verdana" charset="0"/>
            </a:rPr>
            <a:t>Members that contributed to Phase IV (2019) of this effort are:</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Jon Allen, Baylor University (working group chair)</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Matthew Buss, Internet2</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Josh Callahan, Humboldt State University</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Andrea Childress, University of Nebraska</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Tom Coffy, University of Tennessee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0" i="0" u="none" strike="noStrike">
              <a:solidFill>
                <a:schemeClr val="tx1"/>
              </a:solidFill>
              <a:effectLst/>
              <a:latin typeface="Verdana" charset="0"/>
              <a:ea typeface="Verdana" charset="0"/>
              <a:cs typeface="Verdana" charset="0"/>
            </a:rPr>
            <a:t>Susan Coleman, REN-ISAC</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Susan Cullen, CSU Office of the Chancellor</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Michael Cyr, University of Maine System</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Debra Dandridge, Texas A&amp;M University</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Niranjan Davray, Colgate University</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Charles Escue, Indiana University</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Carl Flynn, Baylor University</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Ruth Ginzberg, University of Wisconsin System</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Sean Hagan, Yavapai College</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Daphne Ireland, Princeton</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0" i="0" u="none" strike="noStrike">
              <a:solidFill>
                <a:schemeClr val="tx1"/>
              </a:solidFill>
              <a:effectLst/>
              <a:latin typeface="Verdana" charset="0"/>
              <a:ea typeface="Verdana" charset="0"/>
              <a:cs typeface="Verdana" charset="0"/>
            </a:rPr>
            <a:t>Brian Kelly, EDUCAUSE</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Amy Kobezak, Virginia Tech</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100" b="0" i="0" u="none" strike="noStrike">
              <a:solidFill>
                <a:schemeClr val="tx1"/>
              </a:solidFill>
              <a:effectLst/>
              <a:latin typeface="Verdana" charset="0"/>
              <a:ea typeface="Verdana" charset="0"/>
              <a:cs typeface="Verdana" charset="0"/>
            </a:rPr>
            <a:t>Nick Lewis, Internet2</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Sue McGlashan, University of Toronto</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Hector Molina, East Carolina University</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Mark Nichols, Virginia Tech</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Laura Raderman, Carnegie Mellon University</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Kyle Shachmut, Harvard University</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Bob Smith, Longwood University</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Kyle Smith, Georgia Tech</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Christian Vinten-Johansen, Penn State University</a:t>
          </a:r>
        </a:p>
        <a:p>
          <a:pPr marL="171450" indent="-171450">
            <a:buFont typeface="Arial" panose="020B0604020202020204" pitchFamily="34" charset="0"/>
            <a:buChar char="•"/>
          </a:pPr>
          <a:r>
            <a:rPr lang="en-US" sz="1100" b="0" i="0" u="none" strike="noStrike">
              <a:solidFill>
                <a:schemeClr val="tx1"/>
              </a:solidFill>
              <a:effectLst/>
              <a:latin typeface="Verdana" charset="0"/>
              <a:ea typeface="Verdana" charset="0"/>
              <a:cs typeface="Verdana" charset="0"/>
            </a:rPr>
            <a:t>Valerie Vogel, EDUCAUSE</a:t>
          </a:r>
        </a:p>
        <a:p>
          <a:pPr rtl="0"/>
          <a:endParaRPr lang="en-US" sz="1100" b="0" i="0" u="none" strike="noStrike">
            <a:solidFill>
              <a:schemeClr val="tx1"/>
            </a:solidFill>
            <a:effectLst/>
            <a:latin typeface="Verdana" charset="0"/>
            <a:ea typeface="Verdana" charset="0"/>
            <a:cs typeface="Verdana" charset="0"/>
          </a:endParaRPr>
        </a:p>
        <a:p>
          <a:pPr rtl="0"/>
          <a:endParaRPr lang="en-US" sz="1100" b="0" i="0" u="none" strike="noStrike">
            <a:solidFill>
              <a:schemeClr val="tx1"/>
            </a:solidFill>
            <a:effectLst/>
            <a:latin typeface="Verdana" charset="0"/>
            <a:ea typeface="Verdana" charset="0"/>
            <a:cs typeface="Verdana"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Members that contributed to Phase III (2018) of this effort are:</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a:t>
          </a:r>
          <a:r>
            <a:rPr lang="en-US" sz="1100" b="0" i="0" u="none" strike="noStrike" baseline="0">
              <a:solidFill>
                <a:schemeClr val="tx1"/>
              </a:solidFill>
              <a:effectLst/>
              <a:latin typeface="Verdana" charset="0"/>
              <a:ea typeface="Verdana" charset="0"/>
              <a:cs typeface="Verdana" charset="0"/>
            </a:rPr>
            <a:t>  </a:t>
          </a:r>
          <a:r>
            <a:rPr lang="en-US" sz="1100" b="0" i="0" u="none" strike="noStrike">
              <a:solidFill>
                <a:schemeClr val="tx1"/>
              </a:solidFill>
              <a:effectLst/>
              <a:latin typeface="Verdana" charset="0"/>
              <a:ea typeface="Verdana" charset="0"/>
              <a:cs typeface="Verdana" charset="0"/>
            </a:rPr>
            <a:t>Jon Allen, Baylor University </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a:t>
          </a:r>
          <a:r>
            <a:rPr lang="en-US" sz="1100" b="0" i="0" u="none" strike="noStrike" baseline="0">
              <a:solidFill>
                <a:schemeClr val="tx1"/>
              </a:solidFill>
              <a:effectLst/>
              <a:latin typeface="Verdana" charset="0"/>
              <a:ea typeface="Verdana" charset="0"/>
              <a:cs typeface="Verdana" charset="0"/>
            </a:rPr>
            <a:t>  </a:t>
          </a:r>
          <a:r>
            <a:rPr lang="en-US" sz="1100" b="0" i="0" u="none" strike="noStrike">
              <a:solidFill>
                <a:schemeClr val="tx1"/>
              </a:solidFill>
              <a:effectLst/>
              <a:latin typeface="Verdana" charset="0"/>
              <a:ea typeface="Verdana" charset="0"/>
              <a:cs typeface="Verdana" charset="0"/>
            </a:rPr>
            <a:t>Josh Callahan, Humboldt State University</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  Susan</a:t>
          </a:r>
          <a:r>
            <a:rPr lang="en-US" sz="1100" b="0" i="0" u="none" strike="noStrike" baseline="0">
              <a:solidFill>
                <a:schemeClr val="tx1"/>
              </a:solidFill>
              <a:effectLst/>
              <a:latin typeface="Verdana" charset="0"/>
              <a:ea typeface="Verdana" charset="0"/>
              <a:cs typeface="Verdana" charset="0"/>
            </a:rPr>
            <a:t> Coleman</a:t>
          </a:r>
          <a:r>
            <a:rPr lang="en-US" sz="1100" b="0" i="0" u="none" strike="noStrike">
              <a:solidFill>
                <a:schemeClr val="tx1"/>
              </a:solidFill>
              <a:effectLst/>
              <a:latin typeface="Verdana" charset="0"/>
              <a:ea typeface="Verdana" charset="0"/>
              <a:cs typeface="Verdana" charset="0"/>
            </a:rPr>
            <a:t>, REN-ISAC</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  Charles Escue, Indiana University</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  Joanna Grama, EDUCAUSE</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  Todd Herring, REN-ISAC</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  Jefferson Hopkins, Purdue University</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  Alex Jalso, West Virginia University</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  Nick Lewis, Internet2</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  Kim Milford, REN-ISAC</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  Amanda Sarratore, University of Notre Dame</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  Gary Taylor, York University</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  Valerie Vogel, EDUCAUSE</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  Gene Willacker, Michigan State University</a:t>
          </a: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a:t>
          </a:r>
          <a:r>
            <a:rPr lang="en-US" sz="1100" b="0" i="0" u="none" strike="noStrike" baseline="0">
              <a:solidFill>
                <a:schemeClr val="tx1"/>
              </a:solidFill>
              <a:effectLst/>
              <a:latin typeface="Verdana" charset="0"/>
              <a:ea typeface="Verdana" charset="0"/>
              <a:cs typeface="Verdana" charset="0"/>
            </a:rPr>
            <a:t>  </a:t>
          </a:r>
          <a:r>
            <a:rPr lang="en-US" sz="1100" b="0" i="0" u="none" strike="noStrike">
              <a:solidFill>
                <a:schemeClr val="tx1"/>
              </a:solidFill>
              <a:effectLst/>
              <a:latin typeface="Verdana" charset="0"/>
              <a:ea typeface="Verdana" charset="0"/>
              <a:cs typeface="Verdana" charset="0"/>
            </a:rPr>
            <a:t>David Zeichick, California State University, Chico</a:t>
          </a:r>
        </a:p>
        <a:p>
          <a:pPr marL="0" marR="0" indent="0" defTabSz="914400" rtl="0" eaLnBrk="1" fontAlgn="auto" latinLnBrk="0" hangingPunct="1">
            <a:lnSpc>
              <a:spcPct val="100000"/>
            </a:lnSpc>
            <a:spcBef>
              <a:spcPts val="0"/>
            </a:spcBef>
            <a:spcAft>
              <a:spcPts val="0"/>
            </a:spcAft>
            <a:buClrTx/>
            <a:buSzTx/>
            <a:buFontTx/>
            <a:buNone/>
            <a:tabLst/>
            <a:defRPr/>
          </a:pPr>
          <a:endParaRPr lang="en-US" sz="1100" b="0" i="0" u="none" strike="noStrike">
            <a:solidFill>
              <a:schemeClr val="tx1"/>
            </a:solidFill>
            <a:effectLst/>
            <a:latin typeface="Verdana" charset="0"/>
            <a:ea typeface="Verdana" charset="0"/>
            <a:cs typeface="Verdana" charset="0"/>
          </a:endParaRPr>
        </a:p>
        <a:p>
          <a:pPr marL="0" marR="0" indent="0" defTabSz="914400" rtl="0" eaLnBrk="1" fontAlgn="auto" latinLnBrk="0" hangingPunct="1">
            <a:lnSpc>
              <a:spcPct val="100000"/>
            </a:lnSpc>
            <a:spcBef>
              <a:spcPts val="0"/>
            </a:spcBef>
            <a:spcAft>
              <a:spcPts val="0"/>
            </a:spcAft>
            <a:buClrTx/>
            <a:buSzTx/>
            <a:buFontTx/>
            <a:buNone/>
            <a:tabLst/>
            <a:defRPr/>
          </a:pPr>
          <a:endParaRPr lang="en-US" sz="1100" b="0" i="0" u="none" strike="noStrike">
            <a:solidFill>
              <a:schemeClr val="tx1"/>
            </a:solidFill>
            <a:effectLst/>
            <a:latin typeface="Verdana" charset="0"/>
            <a:ea typeface="Verdana" charset="0"/>
            <a:cs typeface="Verdana"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u="none" strike="noStrike">
              <a:solidFill>
                <a:schemeClr val="tx1"/>
              </a:solidFill>
              <a:effectLst/>
              <a:latin typeface="Verdana" charset="0"/>
              <a:ea typeface="Verdana" charset="0"/>
              <a:cs typeface="Verdana" charset="0"/>
            </a:rPr>
            <a:t>Members that contributed to Phase II (2017) of this effort are:</a:t>
          </a:r>
        </a:p>
        <a:p>
          <a:pPr marL="171450" indent="-171450" rtl="0">
            <a:buFont typeface="Arial" charset="0"/>
            <a:buChar char="•"/>
          </a:pPr>
          <a:r>
            <a:rPr lang="en-US" sz="1100" b="0" i="0" u="none" strike="noStrike">
              <a:solidFill>
                <a:schemeClr val="tx1"/>
              </a:solidFill>
              <a:effectLst/>
              <a:latin typeface="Verdana" charset="0"/>
              <a:ea typeface="Verdana" charset="0"/>
              <a:cs typeface="Verdana" charset="0"/>
            </a:rPr>
            <a:t>Jon Allen, Baylor University </a:t>
          </a:r>
        </a:p>
        <a:p>
          <a:pPr marL="171450" indent="-171450" rtl="0">
            <a:buFont typeface="Arial" charset="0"/>
            <a:buChar char="•"/>
          </a:pPr>
          <a:r>
            <a:rPr lang="en-US" sz="1100" b="0" i="0" u="none" strike="noStrike">
              <a:solidFill>
                <a:schemeClr val="tx1"/>
              </a:solidFill>
              <a:effectLst/>
              <a:latin typeface="Verdana" charset="0"/>
              <a:ea typeface="Verdana" charset="0"/>
              <a:cs typeface="Verdana" charset="0"/>
            </a:rPr>
            <a:t>Samantha</a:t>
          </a:r>
          <a:r>
            <a:rPr lang="en-US" sz="1100" b="0" i="0" u="none" strike="noStrike" baseline="0">
              <a:solidFill>
                <a:schemeClr val="tx1"/>
              </a:solidFill>
              <a:effectLst/>
              <a:latin typeface="Verdana" charset="0"/>
              <a:ea typeface="Verdana" charset="0"/>
              <a:cs typeface="Verdana" charset="0"/>
            </a:rPr>
            <a:t> Birk, IMS Global Learning Consortium</a:t>
          </a:r>
        </a:p>
        <a:p>
          <a:pPr marL="171450" indent="-171450" rtl="0">
            <a:buFont typeface="Arial" charset="0"/>
            <a:buChar char="•"/>
          </a:pPr>
          <a:r>
            <a:rPr lang="en-US" sz="1100" b="0" i="0" u="none" strike="noStrike" baseline="0">
              <a:solidFill>
                <a:schemeClr val="tx1"/>
              </a:solidFill>
              <a:effectLst/>
              <a:latin typeface="Verdana" charset="0"/>
              <a:ea typeface="Verdana" charset="0"/>
              <a:cs typeface="Verdana" charset="0"/>
            </a:rPr>
            <a:t>Jeff Bohrer, IMS Global Learning Consortium</a:t>
          </a:r>
        </a:p>
        <a:p>
          <a:pPr marL="171450" indent="-171450" rtl="0">
            <a:buFont typeface="Arial" charset="0"/>
            <a:buChar char="•"/>
          </a:pPr>
          <a:r>
            <a:rPr lang="en-US" sz="1100" b="0" i="0" u="none" strike="noStrike" baseline="0">
              <a:solidFill>
                <a:schemeClr val="tx1"/>
              </a:solidFill>
              <a:effectLst/>
              <a:latin typeface="Verdana" charset="0"/>
              <a:ea typeface="Verdana" charset="0"/>
              <a:cs typeface="Verdana" charset="0"/>
            </a:rPr>
            <a:t>Sarah Braun, University of Colorado - Denver</a:t>
          </a:r>
        </a:p>
        <a:p>
          <a:pPr marL="171450" indent="-171450" rtl="0">
            <a:buFont typeface="Arial" charset="0"/>
            <a:buChar char="•"/>
          </a:pPr>
          <a:r>
            <a:rPr lang="en-US" sz="1100" b="0" i="0" u="none" strike="noStrike" baseline="0">
              <a:solidFill>
                <a:schemeClr val="tx1"/>
              </a:solidFill>
              <a:effectLst/>
              <a:latin typeface="Verdana" charset="0"/>
              <a:ea typeface="Verdana" charset="0"/>
              <a:cs typeface="Verdana" charset="0"/>
            </a:rPr>
            <a:t>David Cassada, University of California - Davis</a:t>
          </a:r>
        </a:p>
        <a:p>
          <a:pPr marL="171450" indent="-171450" rtl="0">
            <a:buFont typeface="Arial" charset="0"/>
            <a:buChar char="•"/>
          </a:pPr>
          <a:r>
            <a:rPr lang="en-US" sz="1100" b="0" i="0" u="none" strike="noStrike" baseline="0">
              <a:solidFill>
                <a:schemeClr val="tx1"/>
              </a:solidFill>
              <a:effectLst/>
              <a:latin typeface="Verdana" charset="0"/>
              <a:ea typeface="Verdana" charset="0"/>
              <a:cs typeface="Verdana" charset="0"/>
            </a:rPr>
            <a:t>Matthew Dalton, University of Massachusetts Amherst</a:t>
          </a:r>
          <a:endParaRPr lang="en-US" sz="1100" b="0" i="0" u="none" strike="noStrike">
            <a:solidFill>
              <a:schemeClr val="tx1"/>
            </a:solidFill>
            <a:effectLst/>
            <a:latin typeface="Verdana" charset="0"/>
            <a:ea typeface="Verdana" charset="0"/>
            <a:cs typeface="Verdana" charset="0"/>
          </a:endParaRP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Charles Escue, Indiana University</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Joanna Grama, EDUCAUSE</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Todd Herring, REN-ISAC</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Kolin</a:t>
          </a:r>
          <a:r>
            <a:rPr lang="en-US" sz="1100" b="0" i="0" u="none" strike="noStrike" baseline="0">
              <a:solidFill>
                <a:schemeClr val="tx1"/>
              </a:solidFill>
              <a:effectLst/>
              <a:latin typeface="Verdana" charset="0"/>
              <a:ea typeface="Verdana" charset="0"/>
              <a:cs typeface="Verdana" charset="0"/>
            </a:rPr>
            <a:t> Hodgson, University of Notre Dame</a:t>
          </a:r>
        </a:p>
        <a:p>
          <a:pPr marL="171450" indent="-171450" rtl="0" fontAlgn="base">
            <a:buFont typeface="Arial" charset="0"/>
            <a:buChar char="•"/>
          </a:pPr>
          <a:r>
            <a:rPr lang="en-US" sz="1100" b="0" i="0" u="none" strike="noStrike" baseline="0">
              <a:solidFill>
                <a:schemeClr val="tx1"/>
              </a:solidFill>
              <a:effectLst/>
              <a:latin typeface="Verdana" charset="0"/>
              <a:ea typeface="Verdana" charset="0"/>
              <a:cs typeface="Verdana" charset="0"/>
            </a:rPr>
            <a:t>Tom Horton, Cornell University</a:t>
          </a:r>
        </a:p>
        <a:p>
          <a:pPr marL="171450" indent="-171450" rtl="0" fontAlgn="base">
            <a:buFont typeface="Arial" charset="0"/>
            <a:buChar char="•"/>
          </a:pPr>
          <a:r>
            <a:rPr lang="en-US" sz="1100" b="0" i="0" u="none" strike="noStrike" baseline="0">
              <a:solidFill>
                <a:schemeClr val="tx1"/>
              </a:solidFill>
              <a:effectLst/>
              <a:latin typeface="Verdana" charset="0"/>
              <a:ea typeface="Verdana" charset="0"/>
              <a:cs typeface="Verdana" charset="0"/>
            </a:rPr>
            <a:t>Leo Howell, North Carolina State University</a:t>
          </a:r>
        </a:p>
        <a:p>
          <a:pPr marL="171450" indent="-171450" rtl="0" fontAlgn="base">
            <a:buFont typeface="Arial" charset="0"/>
            <a:buChar char="•"/>
          </a:pPr>
          <a:r>
            <a:rPr lang="en-US" sz="1100" b="0" i="0" u="none" strike="noStrike" baseline="0">
              <a:solidFill>
                <a:schemeClr val="tx1"/>
              </a:solidFill>
              <a:effectLst/>
              <a:latin typeface="Verdana" charset="0"/>
              <a:ea typeface="Verdana" charset="0"/>
              <a:cs typeface="Verdana" charset="0"/>
            </a:rPr>
            <a:t>Alex Jalso, West Virginia University</a:t>
          </a:r>
          <a:endParaRPr lang="en-US" sz="1100" b="0" i="0" u="none" strike="noStrike">
            <a:solidFill>
              <a:schemeClr val="tx1"/>
            </a:solidFill>
            <a:effectLst/>
            <a:latin typeface="Verdana" charset="0"/>
            <a:ea typeface="Verdana" charset="0"/>
            <a:cs typeface="Verdana" charset="0"/>
          </a:endParaRP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Nick Lewis, Internet2</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Wyman Miles, Cornell University</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Kim Milford, REN-ISAC</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Valerie Vogel, EDUCAUSE</a:t>
          </a:r>
        </a:p>
        <a:p>
          <a:endParaRPr lang="en-US" sz="1100">
            <a:solidFill>
              <a:schemeClr val="tx1"/>
            </a:solidFill>
            <a:effectLst/>
            <a:latin typeface="+mn-lt"/>
            <a:ea typeface="+mn-ea"/>
            <a:cs typeface="+mn-cs"/>
          </a:endParaRPr>
        </a:p>
        <a:p>
          <a:endParaRPr lang="en-US" i="1">
            <a:effectLst/>
          </a:endParaRPr>
        </a:p>
        <a:p>
          <a:pPr rtl="0"/>
          <a:r>
            <a:rPr lang="en-US" sz="1100" b="0" i="0" u="none" strike="noStrike">
              <a:solidFill>
                <a:schemeClr val="tx1"/>
              </a:solidFill>
              <a:effectLst/>
              <a:latin typeface="Verdana" charset="0"/>
              <a:ea typeface="Verdana" charset="0"/>
              <a:cs typeface="Verdana" charset="0"/>
            </a:rPr>
            <a:t>Members that contributed to Phase I (2016) of this effort are:</a:t>
          </a:r>
        </a:p>
        <a:p>
          <a:pPr marL="171450" indent="-171450" rtl="0">
            <a:buFont typeface="Arial" charset="0"/>
            <a:buChar char="•"/>
          </a:pPr>
          <a:r>
            <a:rPr lang="en-US" sz="1100" b="0" i="0" u="none" strike="noStrike">
              <a:solidFill>
                <a:schemeClr val="tx1"/>
              </a:solidFill>
              <a:effectLst/>
              <a:latin typeface="Verdana" charset="0"/>
              <a:ea typeface="Verdana" charset="0"/>
              <a:cs typeface="Verdana" charset="0"/>
            </a:rPr>
            <a:t>Jon Allen, Baylor University </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John Bruggeman, Hebrew Union College, Jewish Institute of Religion</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Charles Escue, Indiana University</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Joanna Grama, EDUCAUSE</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Karl Hassler, University of Delaware </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Todd Herring, REN-ISAC</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Nick Lewis, Internet2</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Kim Milford, REN-ISAC</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Craig Munson, Minnesota State Colleges &amp; Universities</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Mitch Parks, University of Idaho </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Laura Raderman, Carnegie Mellon University</a:t>
          </a:r>
        </a:p>
        <a:p>
          <a:pPr marL="171450" indent="-171450" rtl="0" fontAlgn="base">
            <a:buFont typeface="Arial" charset="0"/>
            <a:buChar char="•"/>
          </a:pPr>
          <a:r>
            <a:rPr lang="en-US" sz="1100" b="0" i="0" u="none" strike="noStrike">
              <a:solidFill>
                <a:schemeClr val="tx1"/>
              </a:solidFill>
              <a:effectLst/>
              <a:latin typeface="Verdana" charset="0"/>
              <a:ea typeface="Verdana" charset="0"/>
              <a:cs typeface="Verdana" charset="0"/>
            </a:rPr>
            <a:t>Valerie Vogel, EDUCAUSE</a:t>
          </a:r>
        </a:p>
        <a:p>
          <a:endParaRPr lang="en-US">
            <a:effectLst/>
          </a:endParaRPr>
        </a:p>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c115" refreshedDate="43487.613428819444" createdVersion="6" refreshedVersion="6" minRefreshableVersion="3" recordCount="267" xr:uid="{00000000-000A-0000-FFFF-FFFF00000000}">
  <cacheSource type="worksheet">
    <worksheetSource ref="A1:S268" sheet="Questions"/>
  </cacheSource>
  <cacheFields count="19">
    <cacheField name="Order" numFmtId="0">
      <sharedItems containsString="0" containsBlank="1" containsNumber="1" containsInteger="1" minValue="1" maxValue="274" count="275">
        <n v="1"/>
        <n v="2"/>
        <n v="3"/>
        <n v="4"/>
        <m/>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74" u="1"/>
        <n v="273" u="1"/>
        <n v="272" u="1"/>
        <n v="271" u="1"/>
        <n v="270" u="1"/>
        <n v="269" u="1"/>
        <n v="268" u="1"/>
        <n v="267" u="1"/>
      </sharedItems>
    </cacheField>
    <cacheField name="ID" numFmtId="0">
      <sharedItems containsBlank="1" count="277">
        <s v="QUAL-01"/>
        <s v="QUAL-02"/>
        <s v="QUAL-03"/>
        <s v="QUAL-04"/>
        <m/>
        <s v="QUAL-05"/>
        <s v="QUAL-06"/>
        <s v="QUAL-07"/>
        <s v="DOCU-01"/>
        <s v="DOCU-02"/>
        <s v="DOCU-03"/>
        <s v="DOCU-04"/>
        <s v="DOCU-05"/>
        <s v="DOCU-06"/>
        <s v="THRD-01"/>
        <s v="THRD-02"/>
        <s v="THRD-03"/>
        <s v="THRD-04"/>
        <s v="CONS-01"/>
        <s v="CONS-02"/>
        <s v="CONS-03"/>
        <s v="CONS-04"/>
        <s v="CONS-05"/>
        <s v="CONS-06"/>
        <s v=""/>
        <s v="CONS-08"/>
        <s v="APPL-01"/>
        <s v="APPL-02"/>
        <s v="APPL-03"/>
        <s v="APPL-04"/>
        <s v="APPL-05"/>
        <s v="APPL-06"/>
        <s v="APPL-07"/>
        <s v="APPL-08"/>
        <s v="APPL-09"/>
        <s v="APPL-10"/>
        <s v="APPL-11"/>
        <s v="APPL-12"/>
        <s v="APPL-13"/>
        <s v="APPL-14"/>
        <s v="APPL-15"/>
        <s v="APPL-16"/>
        <s v="APPL-17"/>
        <s v="AAAI-01"/>
        <s v="AAAI-02"/>
        <s v="AAAI-03"/>
        <s v="AAAI-04"/>
        <s v="AAAI-05"/>
        <s v="AAAI-06"/>
        <s v="AAAI-07"/>
        <s v="AAAI-08"/>
        <s v="AAAI-09"/>
        <s v="AAAI-10"/>
        <s v="AAAI-11"/>
        <s v="AAAI-12"/>
        <s v="AAAI-13"/>
        <s v="AAAI-14"/>
        <s v="AAAI-15"/>
        <s v="AAAI-16"/>
        <s v="AAAI-17"/>
        <s v="BCPL-01"/>
        <s v="BCPL-02"/>
        <s v="BCPL-03"/>
        <s v="BCPL-04"/>
        <s v="BCPL-05"/>
        <s v="BCPL-06"/>
        <s v="BCPL-07"/>
        <s v="BCPL-08"/>
        <s v="BCPL-09"/>
        <s v="BCPL-10"/>
        <s v="BCPL-11"/>
        <s v="BCPL-12"/>
        <s v="CHNG-01"/>
        <s v="CHNG-02"/>
        <s v="CHNG-03"/>
        <s v="CHNG-04"/>
        <s v="CHNG-05"/>
        <s v="CHNG-06"/>
        <s v="CHNG-07"/>
        <s v="CHNG-08"/>
        <s v="CHNG-09"/>
        <s v="CHNG-10"/>
        <s v="CHNG-11"/>
        <s v="CHNG-12"/>
        <s v="CHNG-13"/>
        <s v="CHNG-14"/>
        <s v="CHNG-15"/>
        <s v="DATA-01"/>
        <s v="DATA-02"/>
        <s v="DATA-03"/>
        <s v="DATA-04"/>
        <s v="DATA-05"/>
        <s v="DATA-06"/>
        <s v="DATA-07"/>
        <s v="DATA-08"/>
        <s v="DATA-09"/>
        <s v="DATA-10"/>
        <s v="DATA-11"/>
        <s v="DATA-12"/>
        <s v="DATA-13"/>
        <s v="DATA-14"/>
        <s v="DATA-15"/>
        <s v="DATA-16"/>
        <s v="DATA-17"/>
        <s v="DATA-18"/>
        <s v="DATA-20"/>
        <s v="DATA-21"/>
        <s v="DATA-22"/>
        <s v="DATA-23"/>
        <s v="DATA-24"/>
        <s v="DATA-25"/>
        <s v="DATA-26"/>
        <s v="DATA-27"/>
        <s v="DATA-28"/>
        <s v="DBAS-01"/>
        <s v="DBAS-02"/>
        <s v="DCTR-01"/>
        <s v="DCTR-02"/>
        <s v="DCTR-03"/>
        <s v="DCTR-04"/>
        <s v="DCTR-07"/>
        <s v="DCTR-08"/>
        <s v="DCTR-09"/>
        <s v="DCTR-11"/>
        <s v="DCTR-12"/>
        <s v="DCTR-13"/>
        <s v="DCTR-14"/>
        <s v="DCTR-15"/>
        <s v="DCTR-17"/>
        <s v="DCTR-18"/>
        <s v="DCTR-19"/>
        <s v="DRPL-01"/>
        <s v="DRPL-02"/>
        <s v="DRPL-03"/>
        <s v="DRPL-04"/>
        <s v="DRPL-05"/>
        <s v="DRPL-07"/>
        <s v="DRPL-08"/>
        <s v="DRPL-09"/>
        <s v="DRPL-10"/>
        <s v="DRPL-12"/>
        <s v="DRPL-13"/>
        <s v="FIDP-01"/>
        <s v="FIDP-02"/>
        <s v="FIDP-03"/>
        <s v="FIDP-04"/>
        <s v="FIDP-05"/>
        <s v="FIDP-06"/>
        <s v="FIDP-07"/>
        <s v="FIDP-08"/>
        <s v="FIDP-09"/>
        <s v="FIDP-10"/>
        <s v="FIDP-12"/>
        <s v="MAPP-01"/>
        <s v="MAPP-02"/>
        <s v="MAPP-03"/>
        <s v="MAPP-04"/>
        <s v="MAPP-05"/>
        <s v="MAPP-06"/>
        <s v="MAPP-07"/>
        <s v="MAPP-08"/>
        <s v="MAPP-09"/>
        <s v="MAPP-10"/>
        <s v="MAPP-11"/>
        <s v="PHYS-01"/>
        <s v="PHYS-02"/>
        <s v="PHYS-03"/>
        <s v="PHYS-04"/>
        <s v="PHYS-05"/>
        <s v="PPPR-01"/>
        <s v="PPPR-02"/>
        <s v="PPPR-03"/>
        <s v="PPPR-04"/>
        <s v="PPPR-05"/>
        <s v="PPPR-06"/>
        <s v="PPPR-07"/>
        <s v="PPPR-08"/>
        <s v="PPPR-09"/>
        <s v="PPPR-10"/>
        <s v="PPPR-11"/>
        <s v="PPPR-12"/>
        <s v="PPPR-13"/>
        <s v="PPPR-14"/>
        <s v="PPPR-15"/>
        <s v="PPPR-16"/>
        <s v="PPPR-17"/>
        <s v="PPPR-18"/>
        <s v="PPPR-19"/>
        <s v="PPPR-20"/>
        <s v="PROD-01"/>
        <s v="PROD-02"/>
        <s v="QLAS-01"/>
        <s v="QLAS-02"/>
        <s v="QLAS-03"/>
        <s v="QLAS-04"/>
        <s v="QLAS-05"/>
        <s v="SYST-01"/>
        <s v="SYST-02"/>
        <s v="SYST-03"/>
        <s v="SYST-04"/>
        <s v="VULN-01"/>
        <s v="VULN-03"/>
        <s v="VULN-04"/>
        <s v="VULN-05"/>
        <s v="VULN-06"/>
        <s v="VULN-07"/>
        <s v="VULN-08"/>
        <s v="VULN-09"/>
        <s v="HIPA-01"/>
        <s v="HIPA-02"/>
        <s v="HIPA-03"/>
        <s v="HIPA-04"/>
        <s v="HIPA-05"/>
        <s v="HIPA-06"/>
        <s v="HIPA-07"/>
        <s v="HIPA-08"/>
        <s v="HIPA-09"/>
        <s v="HIPA-10"/>
        <s v="HIPA-11"/>
        <s v="HIPA-12"/>
        <s v="HIPA-13"/>
        <s v="HIPA-14"/>
        <s v="HIPA-15"/>
        <s v="HIPA-16"/>
        <s v="HIPA-17"/>
        <s v="HIPA-18"/>
        <s v="HIPA-19"/>
        <s v="HIPA-20"/>
        <s v="HIPA-21"/>
        <s v="HIPA-22"/>
        <s v="HIPA-23"/>
        <s v="HIPA-24"/>
        <s v="HIPA-25"/>
        <s v="HIPA-26"/>
        <s v="HIPA-27"/>
        <s v="HIPA-28"/>
        <s v="HIPA-29"/>
        <s v="HIPA-30"/>
        <s v="HIPA-31"/>
        <s v="PCID-01"/>
        <s v="PCID-02"/>
        <s v="PCID-03"/>
        <s v="PCID-04"/>
        <s v="PCID-05"/>
        <s v="PCID-06"/>
        <s v="PCID-07"/>
        <s v="PCID-08"/>
        <s v="PCID-09"/>
        <s v="PCID-10"/>
        <s v="PCID-11"/>
        <s v="PCID-12"/>
        <s v="COMP-01"/>
        <s v="COMP-02"/>
        <s v="COMP-03"/>
        <s v="COMP-04"/>
        <s v="COMP-05"/>
        <s v="COMP-06"/>
        <s v="COMP-07"/>
        <s v="CONS-07" u="1"/>
        <s v="CONS-09" u="1"/>
        <s v="DCTR-10" u="1"/>
        <s v="DRPL-06" u="1"/>
        <s v="DCTR-16" u="1"/>
        <s v="FIDP-11" u="1"/>
        <s v="DATA-29" u="1"/>
        <s v="VULN-02" u="1"/>
        <s v="DCTR-05" u="1"/>
        <s v="DCTR-06" u="1"/>
        <s v="DATA-19" u="1"/>
        <s v="HIPA-32" u="1"/>
        <s v="PPPR-21" u="1"/>
        <s v="PPPR-22" u="1"/>
        <s v="PPPR-23" u="1"/>
        <s v="DRPL-11" u="1"/>
        <s v="DRPL-14" u="1"/>
        <s v="PHYS-06" u="1"/>
        <s v="APPL-18" u="1"/>
      </sharedItems>
    </cacheField>
    <cacheField name="Question" numFmtId="0">
      <sharedItems containsBlank="1" count="316" longText="1">
        <s v="Does your product process protected health information (PHI) or any data covered by the Health Insurance Portability and Accountability Act?"/>
        <s v="Does the vended product host/support a mobile application? (e.g. app)"/>
        <s v="Will institution data be shared with or hosted by any third parties? (e.g. any entity not wholly-owned by your company is considered a third-party)"/>
        <s v="Do you have a Business Continuity Plan (BCP)?"/>
        <m/>
        <s v="Do you have a Disaster Recovery Plan (DRP)?"/>
        <s v="Will data regulated by PCI DSS reside in the vended product?"/>
        <s v="Is your company a consulting firm providing only consultation to the Institution?"/>
        <s v="Have you undergone a SSAE 16 audit?"/>
        <s v="Have you completed the Cloud Security Alliance (CSA) self assessment or CAIQ?"/>
        <s v="Have you received the Cloud Security Alliance STAR certification?"/>
        <s v="Do you conform with a specific industry standard security framework? (e.g. NIST Cybersecurity Framework, ISO 27001, etc.)"/>
        <s v="Are you compliant with FISMA standards?"/>
        <s v="Does your organization have a data privacy policy?"/>
        <s v="Describe how you perform security assessments of third party companies with which you share data (i.e. hosting providers, cloud services, PaaS, IaaS, SaaS, etc.). Provide a summary of your practices that assures that the third party will be subject to the appropriate standards regarding security, service recoverability, and confidentiality."/>
        <s v="Provide a brief description for why each of these third parties will have access to institution data."/>
        <s v="What legal agreements (i.e. contracts) do you have in place with these third parties that address liability in the event of a data breach?"/>
        <s v="Describe or provide references to your third party management strategy or provide additional information that may help analysts better understand your environment and how it relates to third-party solutions."/>
        <s v="Will the consulting take place on-premises?"/>
        <s v="Will the consultant require access to Institution's network resources?"/>
        <s v="Will the consultant require access to hardware in the Institution's data centers?"/>
        <s v="Will the consultant require an account within the Institution's domain (@*.edu)?"/>
        <s v="Has the consultant received training on [sensitive, HIPAA, PCI, etc.] data handling?"/>
        <s v="Will any data be transferred to the consultant's possession?"/>
        <e v="#N/A"/>
        <s v="Will the consultant need remote access to the Institution's network or systems?"/>
        <s v="Do you support role-based access control (RBAC) for end-users?"/>
        <s v="Do you support role-based access control (RBAC) for system administrators?"/>
        <s v="Can employees access customer data remotely?"/>
        <s v="Can you provide overall system and/or application architecture diagrams including a full description of the data communications architecture for all components of the system?"/>
        <s v="Does the system provide data input validation and error messages? "/>
        <s v="Do you employ a single-tenant environment? "/>
        <s v="What operating system(s) is/are leveraged by the system(s)/application(s) that will have access to institution's data?"/>
        <s v="Have you or any third party you contract with that may have access or allow access to the institution's data experienced a breach?"/>
        <s v="Describe or provide a reference to additional software/products necessary to implement a functional system on either the backend or user-interface side of the system. "/>
        <s v="Describe or provide a reference to the overall system and/or application architecture(s), including appropriate diagrams. Include a full description of the data communications architecture for all components of the system. "/>
        <s v="Are databases used in the system segregated from front-end systems? (e.g. web and application servers)"/>
        <s v="Describe or provide a reference to all web-enabled features and functionality of the system (i.e. accessed via a web-based interface). "/>
        <s v="Are there any OS and/or web-browser combinations that are not currently supported?"/>
        <s v="Can your system take advantage of mobile and/or GPS enabled mobile devices?  "/>
        <s v="Describe or provide a reference to the facilities available in the system to provide separation of duties between security administration and system administration functions."/>
        <s v="Describe or provide a reference that details how administrator access is handled (e.g. provisioning, principle of least privilege, deprovisioning, etc.)"/>
        <s v="Describe or provide references explaining how tertiary services are redundant (i.e. DNS, ISP, etc…)."/>
        <s v="Can you enforce password/passphrase aging requirements?"/>
        <s v="Can you enforce password/passphrase complexity requirements [provided by the institution]?"/>
        <s v="Does the system have password complexity or length limitations and/or restrictions?"/>
        <s v="Do you have documented password/passphrase reset procedures that are currently implemented in the system and/or customer support?"/>
        <s v="Does your web-based interface support authentication, including standards-based single-sign-on? (e.g. InCommon)"/>
        <s v="Are there any passwords/passphrases hard coded into your systems or products?"/>
        <s v="Are user account passwords/passphrases visible in administration modules?"/>
        <s v="Are user account passwords/passphrases stored encrypted?"/>
        <s v="Does your application and/or user-frontend/portal support multi-factor authentication? (e.g. Duo, Google Authenticator, OTP, etc.)"/>
        <s v="Does your application support integration with other authentication and authorization systems?  List which ones (such as Active Directory, Kerberos and what version) in Additional Info?"/>
        <s v="Will any external authentication or authorization system be utilized by an application with access to the institution's data?"/>
        <s v="Does the system (servers/infrastructure) support external authentication services (e.g. Active Directory, LDAP) in place of local authentication?"/>
        <s v="Does the system operate in a mixed authentication mode (i.e. external and local authentication)?"/>
        <s v="Will any external authentication or authorization system be utilized by a system with access to institution data?"/>
        <s v="Are audit logs available that include AT LEAST all of the following; login, logout, actions performed, and source IP address?"/>
        <s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
        <s v="Describe or provide a reference to the retention period for those logs, how logs are protected, and whether they are accessible to the customer (and if so, how)."/>
        <s v="Describe or provide a reference to your Business Continuity Plan (BCP)."/>
        <s v="May the Institution review your BCP and supporting documentation?"/>
        <s v="Is an owner assigned who is responsible for the maintenance and review of the Business Continuity Plan?"/>
        <s v="Is there a defined problem/issue escalation plan in your BCP for impacted clients?"/>
        <s v="Is there a documented communication plan in your BCP for impacted clients?"/>
        <s v="Are all components of the BCP reviewed at least annually and updated as needed to reflect change? "/>
        <s v="Has your BCP been tested in the last year? "/>
        <s v="Does your organization conduct training and awareness activities to validate its employees understanding of their roles and responsibilities during a crisis?"/>
        <s v="Are specific crisis management roles and responsibilities defined and documented?"/>
        <s v="Does your organization have an alternative business site or a contracted Business Recovery provider?"/>
        <s v="Does your organization conduct an annual test of relocating to an alternate site for business recovery purposes?"/>
        <s v="Is this product a core service of your organization, and as such, the top priority during business continuity planning?"/>
        <s v="Do you have a documented and currently followed change management process (CMP)? "/>
        <s v="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
        <s v="Will the Institution be notified of major changes to your environment that could impact the Institution's security posture?"/>
        <s v="Do clients have the option to not participate in or postpone an upgrade to a new release?"/>
        <s v="Describe or provide a reference to your solution support strategy in relation to maintaining software currency. (i.e. how many concurrent versions are you willing to run and support?)"/>
        <s v="Identify the most current version of the software. Detail the percentage of live customers that are utilizing the proposed version of the software as well as each version of the software currently in use."/>
        <s v="Does the system support client customizations from one release to another?"/>
        <s v="Does your organization ensure through policy and procedure (that is currently implemented) that only application software verifiable as authorized, tested, and approved for production, and having met all other requirements and reviews necessary for commissioning, is placed into production?"/>
        <s v="Do you have a release schedule for product updates?"/>
        <s v="Do you have a technology roadmap, for the next 2 years, for enhancements and bug fixes for the product/service being assessed?"/>
        <s v="Is Institution involvement (i.e. technically or organizationally) required during product updates?"/>
        <s v="Do you have policy and procedure, currently implemented, managing how critical patches are applied to all systems and applications?"/>
        <s v="Do you have policy and procedure, currently implemented, guiding how security risks are mitigated until patches can be applied?"/>
        <s v="Are upgrades or system changes installed during off-peak hours or in a manner that does not impact the customer?"/>
        <s v="Do procedures exist to provide that emergency changes are documented and authorized (including after the fact approval)?"/>
        <s v="Do you physically and logically separate Institution's data from that of other customers?"/>
        <s v="Will Institution's data be stored on any devices (database servers, file servers, SAN, NAS, …) configured with non-RFC 1918/4193 (i.e. publicly routable) IP addresses?"/>
        <s v="Is sensitive data encrypted in transport? (e.g. system-to-client)"/>
        <s v="Is sensitive data encrypted in storage (e.g. disk encryption, at-rest)?"/>
        <s v="Do you employ or allow any cryptographic modules that do not conform to the Federal Information Processing Standards (FIPS PUB 140-2)?"/>
        <s v="Does your system employ encryption technologies when transmitting sensitive information over TCP/IP networks (e.g., SSH, SSL/TLS, VPN)? (e.g. system-to-system and system-to-client)"/>
        <s v="List all locations (i.e. city + datacenter name) where the institution's data will be stored?"/>
        <s v="At the completion of this contract, will data be returned to the institution?"/>
        <s v="Will the institution's data be available within the system for a period of time at the completion of this contract?"/>
        <s v="Can the institution extract a full backup of data?"/>
        <s v="Are ownership rights to all data, inputs, outputs, and metadata retained by the institution?"/>
        <s v="Are these rights retained even through a provider acquisition or bankruptcy event?"/>
        <s v="In the event of imminent bankruptcy, closing of business, or retirement of service, will you provide 90 days for customers to get their data out of the system and migrate applications?"/>
        <s v="Describe or provide a reference to the backup processes for the servers on which the service and/or data resides. "/>
        <s v="Are backup copies made according to pre-defined schedules and securely stored and protected?"/>
        <s v="How long are data backups stored?"/>
        <s v="Are data backups encrypted?"/>
        <s v="Do you have a cryptographic key management process (generation, exchange, storage, safeguards, use, vetting, and replacement), that is documented and currently implemented, for all system components? (e.g. database, system, web, etc.)"/>
        <s v="Are you performing off site backups? (i.e. digitally moved off site)"/>
        <s v="Are physical backups taken off site? (i.e. physically moved off site)"/>
        <s v="Do backups containing the institution's data ever leave the Institution's Data Zone either physically or via network routing?"/>
        <s v="Do you have a media handling process, that is documented and currently implemented, including end-of-life, repurposing, and data sanitization procedures?"/>
        <s v="Does the process described in DATA-23 adhere to DoD 5220.22-M and/or NIST SP 800-88 standards?"/>
        <s v="Do procedures exist to ensure that retention and destruction of data meets established business and regulatory requirements?"/>
        <s v="Is media used for long-term retention of business data and archival purposes stored in a secure, environmentally protected area?"/>
        <s v="Will you handle data in a FERPA compliant manner?"/>
        <s v="Is any institution data visible in system administration modules/tools?"/>
        <s v="Does the database support encryption of specified data elements in storage?"/>
        <s v="Do you currently use encryption in your database(s)?"/>
        <s v="Does your company own the physical data center where the Institution's data will reside?"/>
        <s v="Does the hosting provider have a SOC 2 Type 2 report available?"/>
        <s v="Are the data centers staffed 24 hours a day, seven days a week (i.e 24x7x365)?"/>
        <s v="Do any of your servers reside in a co-located data center?"/>
        <s v="Select the option that best describes the network segment that servers are connected to."/>
        <s v="Does this data center operate outside of the Institution's Data Zone?"/>
        <s v="Will any institution data leave the Institution's Data Zone?"/>
        <s v="Are your primary and secondary data centers geographically diverse?"/>
        <s v="If outsourced or co-located, is there a contract in place to prevent data from leaving the Institution's Data Zone?"/>
        <s v="What Tier Level is your data center (per levels defined by the Uptime Institute)?"/>
        <s v="Is the service hosted in a high availability environment?"/>
        <s v="Is redundant power available for all datacenters where institution data will reside? "/>
        <s v="Describe or provide a reference to the availability of cooling and fire suppression systems in all datacenters where institution data will reside."/>
        <s v="State how many Internet Service Providers (ISPs) provide connectivity to each datacenter where the institution's data will reside. "/>
        <s v="Does every datacenter where the Institution's data will reside have multiple telephone company or network provider entrances to the facility?"/>
        <s v="Describe or provide a reference to your Disaster Recovery Plan (DRP)."/>
        <s v="Is an owner assigned who is responsible for the maintenance and review of the DRP?"/>
        <s v="Can the Institution review your DRP and supporting documentation?"/>
        <s v="Are any disaster recovery locations outside the Institution's Data Zone?"/>
        <s v="Does your organization have a disaster recovery site or a contracted Disaster Recovery provider?"/>
        <s v="Is there a defined problem/issue escalation plan in your DRP for impacted clients?"/>
        <s v="Is there a documented communication plan in your DRP for impacted clients?"/>
        <s v="Describe or provide a reference to how your disaster recovery plan is tested? (i.e. scope of DR tests, end-to-end testing, etc.)"/>
        <s v="Has the Disaster Recovery Plan been tested in the last year?  Please provide a summary of the results in Additional Information (including actual recovery time)."/>
        <s v="Are all components of the DRP reviewed at least annually and updated as needed to reflect change? "/>
        <s v="Do you carry cyber-risk insurance to protect against unforeseen service outages, data that is lost or stolen, and security incidents?"/>
        <s v="Are you utilizing a web application firewall (WAF)?"/>
        <s v="Are you utilizing a stateful packet inspection (SPI) firewall?"/>
        <s v="State and describe who has the authority to change firewall rules?"/>
        <s v="Do you have a documented policy for firewall change requests?"/>
        <s v="Have you implemented an Intrusion Detection System (network-based)?"/>
        <s v="Have you implemented an Intrusion Prevention System (network-based)?"/>
        <s v="Do you employ host-based intrusion detection?"/>
        <s v="Do you employ host-based intrusion prevention?"/>
        <s v="Are you employing any next-generation persistent threat (NGPT) monitoring?"/>
        <s v="Do you monitor for intrusions on a 24x7x365 basis?"/>
        <s v="Are audit logs available for all changes to the network, firewall, IDS, and IPS systems?"/>
        <s v="On which mobile operating systems is your software or service supported?"/>
        <s v="Describe or provide a reference to the application's architecture and functionality."/>
        <s v="Is the application available from a trusted source (e.g., iTunes App Store, Android Market, BB World)?"/>
        <s v="Does the application store, process, or transmit critical data?"/>
        <s v="Is Institution's data encrypted in transport?"/>
        <s v="Is Institution's data encrypted in storage? (e.g. disk encryption, at-rest)"/>
        <s v="Does the mobile application support Kerberos, CAS, or Active Directory authentication?"/>
        <s v="Will any of these systems be implemented on systems hosting the Institution's data?"/>
        <s v="Does the application adhere to secure coding practices (e.g. OWASP, etc.)?"/>
        <s v="Has the application been tested for vulnerabilities by a third party?"/>
        <s v="State the party that performed the vulnerability test and the date it was conducted?"/>
        <s v="Does your organization have physical security controls and policies in place?"/>
        <s v="Are employees allowed to take home Institution's data in any form?"/>
        <s v="Are video monitoring feeds retained?"/>
        <s v="Are video feeds monitored by datacenter staff?"/>
        <s v="Are individuals required to sign in/out for installation and removal of equipment?"/>
        <s v="Can you share the organization chart, mission statement, and policies for your information security unit?"/>
        <s v="Do you have a documented patch management process?"/>
        <s v="Can you accommodate encryption requirements using open standards?"/>
        <s v="Have your developers been trained in secure coding techniques?"/>
        <s v="Was your application developed using secure coding techniques?"/>
        <s v="Do you subject your code to static code analysis and/or static application security testing prior to release?"/>
        <s v="Do you have software testing processes (dynamic or static) that are established and followed?"/>
        <s v="Are information security principles designed into the product lifecycle?"/>
        <s v="Do you have a documented systems development life cycle (SDLC)?"/>
        <s v="Do you have a formal incident response plan?"/>
        <s v="Will you comply with applicable breach notification laws?"/>
        <s v="Will you comply with the Institution's IT policies with regards to user privacy and data protection?"/>
        <s v="Is your company subject to Institution's Data Zone laws and regulations?"/>
        <s v="Do you perform background screenings or multi-state background checks on all employees prior to their first day of work?"/>
        <s v="Do you require new employees to fill out agreements and review policies?  "/>
        <s v="Do you have documented information security policy?"/>
        <s v="Do you have an information security awareness program?"/>
        <s v="Is security awareness training mandatory for all employees?"/>
        <s v="Do you have process and procedure(s) documented, and currently followed, that require a review and update of the access-list(s) for privileged accounts?"/>
        <s v="Do you have documented, and currently implemented, internal audit processes and procedures?"/>
        <s v="Do you incorporate customer feedback into security feature requests?"/>
        <s v="Can you provide an evaluation site to the institution for testing?"/>
        <s v="Provide a general summary of your Quality Assurance program."/>
        <s v="Do you comply with ISO 9001?"/>
        <s v="Will your company provide quality and performance metrics in relation to the scope of services and performance expectations for the services you are offering?"/>
        <s v="Have you supplied products and/or services to the Institution (or its Campuses) in the last five years?"/>
        <s v="Do you have a program to keep your customers abreast of higher education and/or industry issues?"/>
        <s v="Are systems that support this service managed via a separate management network?"/>
        <s v="Do you have an implemented system configuration management process? (e.g. secure &quot;gold&quot; images, etc.)"/>
        <s v="Are employee mobile devices managed by your company's Mobile Device Management (MDM) platform?"/>
        <s v="Do you have a systems management and configuration strategy that encompasses servers, appliances, and mobile devices (company and employee owned)?"/>
        <s v="Are your applications scanned externally for vulnerabilities?"/>
        <s v="Are your applications scanned for vulnerabilities prior to new releases?"/>
        <s v="Are your systems scanned externally for vulnerabilities?"/>
        <s v="Have your systems had an external vulnerability assessment in the last year?"/>
        <s v="Describe or provide a reference to the tool(s) used to scan for vulnerabilities in your applications and systems."/>
        <s v="Will you provide results of security scans to the Institution?"/>
        <s v="Describe or provide a reference to how you monitor for and protect against common web application security vulnerabilities (e.g. SQL injection, XSS, XSRF, etc.)."/>
        <s v="Will you allow the institution to perform its own security testing of your systems and/or application provided that testing is performed at a mutually agreed upon time and date?"/>
        <s v="Do your workforce members receive regular training related to the HIPAA Privacy and Security Rules and the HITECH Act?"/>
        <s v="Do you monitor or receive information regarding changes in HIPAA regulations?"/>
        <s v="Has your organization designated HIPAA Privacy and Security officers as required by the Rules?"/>
        <s v="Do you comply with the requirements of the Health Information Technology for Economic and Clinical Health Act (HITECH)?"/>
        <s v="Do you have an incident response process and reporting in place to investigate any potential incidents and report actual incidents?"/>
        <s v="Do you have a plan to comply with the Breach Notification requirements if there is a breach of data?"/>
        <s v="Have you conducted a risk analysis as required under the Security Rule?"/>
        <s v="Have you identified areas of risks?"/>
        <s v="Have you taken actions to mitigate the identified risks?"/>
        <s v="Does your application require user and system administrator password changes at a frequency no greater than 90 days?"/>
        <s v="Does your application require a user to set their own password after an administrator reset or on first use of the account?"/>
        <s v="Does your application lock-out an account after a number of failed login attempts? "/>
        <s v="Does your application automatically lock or log-out an account after a period of inactivity?"/>
        <s v="Are passwords visible in plain text, whether when stored or entered, including service level accounts (i.e. database accounts, etc.)?"/>
        <s v="If the application is institution-hosted, can all service level and administrative account passwords be changed by the institution?"/>
        <s v="Does your application provide the ability to define user access levels?"/>
        <s v="Does your application support varying levels of access to administrative tasks defined individually per user?"/>
        <s v="Does your application support varying levels of access to records based on user ID?"/>
        <s v="Is there a limit to the number of groups a user can be assigned?"/>
        <s v="Do accounts used for vendor supplied remote support abide by the same authentication policies and access logging as the rest of the system?"/>
        <s v="Does the application log record access including specific user, date/time of access, and originating IP or device? "/>
        <s v="Does the application log administrative activity, such user account access changes and password changes, including specific user, date/time of changes, and originating IP or device?"/>
        <s v="How long does the application keep access/change logs?"/>
        <s v="Can the application logs be archived? "/>
        <s v="Can the application logs be saved externally? "/>
        <s v="Does your data backup and retention policies and practices meet HIPAA requirements?"/>
        <s v="Do you have a disaster recovery plan and emergency mode operation plan?"/>
        <s v="Have the policies/plans mentioned above been tested?"/>
        <s v="Can you provide a HIPAA compliance attestation document?"/>
        <s v="Are you willing to enter into a Business Associate Agreement (BAA)?"/>
        <s v="Have you entered into a BAA with all subcontractors who may have access to protected health information (PHI)?"/>
        <s v="Do your systems or products store, process, or transmit cardholder (payment/credit/debt card) data?"/>
        <s v="Are you compliant with the Payment Card Industry Data Security Standard (PCI DSS)?"/>
        <s v="Do you have a current, executed within the past year, Attestation of Compliance (AoC) or Report on Compliance (RoC)?"/>
        <s v="Are you classified as a service provider?"/>
        <s v="Are you on the list of VISA approved service providers? "/>
        <s v="Are you classified as a merchant?  If so, what level (1, 2, 3, 4)?"/>
        <s v="Describe the architecture employed by the system to verify and authorize credit card transactions."/>
        <s v="What payment processors/gateways does the system support? "/>
        <s v="Can the application be installed in a PCI DSS compliant manner ?"/>
        <s v="Is the application listed as an approved PA-DSS application? "/>
        <s v="Does the system or products use a third party to collect, store, process, or transmit cardholder (payment/credit/debt card) data?"/>
        <s v="Include documentation describing the systems' abilities to comply with the PCI DSS and any features or capabilities of the system that must be added or changed in order to operate in compliance with the standards. "/>
        <s v="Describe your organization’s business background and ownership structure, including all parent and subsidiary relationships."/>
        <s v="Describe how long your organization has conducted business in this product area."/>
        <s v="Do you have existing higher education customers?"/>
        <s v="Have you had a significant breach in the last 5 years?"/>
        <s v="Do you have a dedicated Information Security staff or office?"/>
        <s v="Do you have a dedicated Software and System Development team(s)? (e.g. Customer Support, Implementation, Product Management, etc.)"/>
        <s v="Use this area to share information about your environment that will assist those who are assessing your company data security program."/>
        <s v="Will you provide results of security scans to the Institution (if requested)?" u="1"/>
        <s v="Have your applications had an external assessment in the last year?  Please list date in Additional Information (mm/dd/yyyy)" u="1"/>
        <s v="Describe or provide a reference to your media handling process, that is documented and currently implemented, including end-of-life, repurposing, and data sanitization procedures." u="1"/>
        <s v="State the party that performed the test and the date it was conducted?" u="1"/>
        <s v="Describe or provide a reference to any other safeguards used to monitor for attacks?" u="1"/>
        <s v="Does your systems or products store, process, or transmit cardholder (payment/credit/debt card) data?" u="1"/>
        <s v="Are your servers separated from other companies via a physical barrier, such as a cage or hardened walls?" u="1"/>
        <s v="Is your company subject to US laws and regulations?" u="1"/>
        <s v="Are any disaster recovery locations outside the United States?" u="1"/>
        <s v="Describe or provide a reference to your cryptographic key management process (generation, exchange, storage, safeguards, use, vetting, and replacement) of all system components (e.g. database, system, web, etc.)." u="1"/>
        <s v="Summarize the encryption algorithm/strategy you are using to secure the backups." u="1"/>
        <s v="List all datacenters and their cities, states (provinces), and countries where the institution's data will be stored (including within the United States).   " u="1"/>
        <s v="Does your organization conduct an annual test of relocating to this site for disaster recovery purposes?" u="1"/>
        <s v="Do current backups include all operating system software, utilities, security software, application software, and data files necessary for recovery?" u="1"/>
        <s v="Have you undergone a SSAE 16 audit? Please indicate in Additional Information if your hosting provider was the subject of the audit" u="1"/>
        <s v="Are you performing offsite backups? (i.e. digitally moved off site)" u="1"/>
        <s v="What type of availability does your Disaster Recovery site provide?" u="1"/>
        <s v="Does your system employ encryption technologies when transmitting sensitive information over TCP/IP networks (e.g., SSH, SSL/TLS, VPN)?" u="1"/>
        <s v="What are the equipment removal procedures for the clients?" u="1"/>
        <s v="Describe or provide a reference to your internal audit processes and procedures." u="1"/>
        <s v="Is intrusion monitoring performed internally or by a third-party service?" u="1"/>
        <s v="Will any institution data leave theInstitution's Data Zone?" u="1"/>
        <s v="Is the security awareness training mandatory for all employees?" u="1"/>
        <s v="Describe or provide a reference to physical safeguards that are placed on facilities housing the institution's data (e.g., video monitoring, restricted access areas, man traps, card access controls, etc.)?" u="1"/>
        <s v="If possible, can the Institution review your BCP and supporting documentation?" u="1"/>
        <s v="If possible, can the Institution review your DRP and supporting documentation?" u="1"/>
        <s v="Does your organization conduct an annual test of relocating to this alternate site for business recovery purposes?" u="1"/>
        <s v="Do backups containing the institution's data ever leave the Institutions Data Zone either physically or via network routing?" u="1"/>
        <s v="Do you have a documented information security policy?" u="1"/>
        <s v="Describe or provide a reference to your system development life cycle methodology including your environments, version control, and change management (if not already covered in the Change Management section)." u="1"/>
        <s v="Provide a general summary of your systems management and configuration strategy, including servers, appliances, and mobile devices (company and employee owned)." u="1"/>
        <s v="Is it encrypted (at rest) while in the consultant's possession?" u="1"/>
        <s v="Have your systems had an external assessment in the last year?  Please list date in Additional Information (mm/dd/yyyy)" u="1"/>
        <s v="How frequently are employees required to undergo the security awareness training?" u="1"/>
        <s v="If outsourced or co-located, is there a contract in place to prevent data from leaving the United States?" u="1"/>
        <s v="Do the documented test results identify your organizations actual recovery time capabilities for technology and facilities?" u="1"/>
        <s v="Do you conform with a specific industry standard security framework? (e.g. NIST Cybersecurity Framework, ISO 27001, etc.)  Answer yes or no and list framework in Additional Info" u="1"/>
        <s v="Is sensitive data encrypted in transport?" u="1"/>
        <s v="Does the physical barrier fully enclose the physical space preventing unauthorized physical contact with any of your devices?" u="1"/>
        <s v="Does the process described in DATA-24 adhere to DoD 5220.22-M and/or NIST SP 800-88 standards?" u="1"/>
        <s v="Is Institution data encrypted in storage? (e.g. disk encryption, at-rest)" u="1"/>
        <s v="How often are redundant power strategies tested?" u="1"/>
        <s v="Does the application adhere to secure coding practices?" u="1"/>
        <s v="Is the video feed monitored by data center staff?" u="1"/>
        <s v="Describe testing processes that are established and followed (e.g., development of test plans, personnel involved in the testing process, and authorized individual accountable for approval and certification of test results)?" u="1"/>
        <s v="Describe or provide a reference to the types of authentication, including standards-based single-sign-on (SSO, InCommon), that are supported by the web-based interface?" u="1"/>
        <s v="How long will it remain in their possession?" u="1"/>
        <s v="Is Institution data encrypted in transport?" u="1"/>
        <s v="Have you completed the Cloud Security Alliance (CSA) self assessment or CAIQ? Please indicate in Additional Information if you are in progress" u="1"/>
        <s v="Briefly describe your security organization. Include the responsible party for your information security program and the size of your security staff?" u="1"/>
        <s v="Is a process documented, and currently followed, that requires a review and update  of the access-list for privileged accounts?" u="1"/>
        <s v="Does this process adhere to DoD 5220.22-M and/or NIST SP 800-88 standards?" u="1"/>
        <s v="Does the systems or products use a third party to collect, store, process, or transmit cardholder (payment/credit/debt card) data?" u="1"/>
        <s v="Are audit logs available for all changes to the network, firewall, IDS, and/or IPS?" u="1"/>
        <s v="Describe or provide a reference to any other safeguards used to monitor for malicious activity?" u="1"/>
        <s v="Have your systems had an external assessment in the last year?" u="1"/>
        <s v="Do you subject your code to Static Code Analysis and/or Static Application Security Testing prior to release? If so, what tool(s) do you use?&quot;" u="1"/>
        <s v="Are there any passwords/passphrases &quot;hard coded&quot; into your systems or products?" u="1"/>
      </sharedItems>
    </cacheField>
    <cacheField name="Additional Info" numFmtId="0">
      <sharedItems containsBlank="1" containsMixedTypes="1" containsNumber="1" containsInteger="1" minValue="0" maxValue="0" count="3">
        <n v="0"/>
        <m/>
        <e v="#N/A"/>
      </sharedItems>
    </cacheField>
    <cacheField name="High Risk" numFmtId="0">
      <sharedItems containsBlank="1" count="3">
        <b v="1"/>
        <b v="0"/>
        <m/>
      </sharedItems>
    </cacheField>
    <cacheField name="Category" numFmtId="0">
      <sharedItems containsBlank="1"/>
    </cacheField>
    <cacheField name="C_Answer" numFmtId="0">
      <sharedItems containsBlank="1"/>
    </cacheField>
    <cacheField name="Required" numFmtId="0">
      <sharedItems containsString="0" containsBlank="1" containsNumber="1" containsInteger="1" minValue="0" maxValue="1"/>
    </cacheField>
    <cacheField name="V_Answer" numFmtId="0">
      <sharedItems containsBlank="1" containsMixedTypes="1" containsNumber="1" containsInteger="1" minValue="0" maxValue="0"/>
    </cacheField>
    <cacheField name="Compliant" numFmtId="0">
      <sharedItems containsBlank="1" containsMixedTypes="1" containsNumber="1" containsInteger="1" minValue="0" maxValue="1" count="4">
        <n v="1"/>
        <m/>
        <n v="0"/>
        <e v="#N/A"/>
      </sharedItems>
    </cacheField>
    <cacheField name="Weight" numFmtId="0">
      <sharedItems containsBlank="1" containsMixedTypes="1" containsNumber="1" containsInteger="1" minValue="0" maxValue="40"/>
    </cacheField>
    <cacheField name="Score" numFmtId="0">
      <sharedItems containsBlank="1" containsMixedTypes="1" containsNumber="1" containsInteger="1" minValue="0" maxValue="10"/>
    </cacheField>
    <cacheField name="CIS" numFmtId="165">
      <sharedItems containsBlank="1" containsMixedTypes="1" containsNumber="1" containsInteger="1" minValue="0" maxValue="0" count="33">
        <s v="CSC 13"/>
        <s v="CSC 18"/>
        <s v="CSC 10"/>
        <m/>
        <s v="CSC 14"/>
        <n v="0"/>
        <e v="#N/A"/>
        <s v="CSC 2, CSC 3"/>
        <s v="CSC16"/>
        <s v="CSC 12"/>
        <s v="CSC 2"/>
        <s v="CSC 7"/>
        <s v="CSC 5"/>
        <s v="CSC 16"/>
        <s v="CSC 6"/>
        <s v="CSC 1"/>
        <s v="CAC 13"/>
        <s v="CSC 13, CSC 14"/>
        <s v="CSC 3"/>
        <s v="CSC 3, CSC 14"/>
        <s v="CSC 9"/>
        <s v="CSC 10, CSC 12"/>
        <s v="CSC 19"/>
        <s v="CSC 13, CSC 18"/>
        <s v="CSC 4"/>
        <s v="CSC 4, CSC 17"/>
        <s v="CSC 17"/>
        <s v="CSC 7, CSC 18"/>
        <s v="CSC 20"/>
        <s v="CSC 16, 5"/>
        <s v="CSC 6, CSC 16"/>
        <s v="CSC 1, CSC 2"/>
        <s v="CSC 12, CSC 13"/>
      </sharedItems>
    </cacheField>
    <cacheField name="HIPAA" numFmtId="165">
      <sharedItems containsBlank="1" containsMixedTypes="1" containsNumber="1" containsInteger="1" minValue="0" maxValue="0" count="27">
        <s v="Discovery"/>
        <n v="0"/>
        <s v="§164.308(a)(1)(i)"/>
        <e v="#N/A"/>
        <s v="§164.308(a)(1)(ii)(B)"/>
        <m/>
        <s v="§164.308(a)(5)(i)"/>
        <s v="§164.316(b)(2)(iii)"/>
        <s v="§164.308(a)(2)"/>
        <s v="§164.308(a)(6)(i)"/>
        <s v="§164.308(a)(6)(ii)"/>
        <s v="§164.308(a)(1)(i), §164.308(a)(1)(ii)(A)"/>
        <s v="§164.308(a)(5)(ii)(D)"/>
        <s v="§164.308(a)(4), §164.312(a)(2)(ii),  _x000a_§164.312(a)(2)(iii)"/>
        <s v="§164.308(a)(4),_x000a_§164.312(a)(2)(ii), §164.312(a)(2)(iii)"/>
        <s v="§164.308(a)(4), _x000a_§164.312(d)"/>
        <s v="§164.308(a)(4), _x000a_§164.312(a)(1), §164.312(a)(2)(i), _x000a_§164.312(d)"/>
        <s v="§164.308(a)(4),_x000a_§164.312(a)(1), §164.312(a)(2)(i), _x000a_§164.312(d)"/>
        <s v="§164.308(a)(4), _x000a_§164.312(a)(1), §164.312(a)(2)(i),_x000a_§164.312(d)"/>
        <s v="§164.308(a)(4), _x000a_§164.312(a)(1)"/>
        <s v="§ 164.308(a)(1)(ii)(D)"/>
        <s v="§164.312(b)"/>
        <s v="§164.312(a)(2)(ii)"/>
        <s v="§164.308(a)(7)(i)"/>
        <s v="§164.308(b)(2)"/>
        <s v="§164.308(b)(1),_x000a_§164.308(b)(3), §164.314(a)(1)(i)"/>
        <s v="§164.308(a)(3)(i), §164.308(b)(1), _x000a_§164.308(b)(3), §164.314(a)(1)(i)"/>
      </sharedItems>
    </cacheField>
    <cacheField name="ISO 27002:27013" numFmtId="165">
      <sharedItems containsBlank="1" containsMixedTypes="1" containsNumber="1" minValue="0" maxValue="16" count="72">
        <s v="18.1.1"/>
        <n v="0"/>
        <s v="17.1.2"/>
        <m/>
        <s v="15.2.1"/>
        <s v="18.1.4"/>
        <s v="15.1.3"/>
        <s v="9.1.2"/>
        <s v="9.2.6"/>
        <s v="9"/>
        <e v="#N/A"/>
        <s v="11.2.6"/>
        <n v="6.2"/>
        <s v="9.1.1"/>
        <s v="12.5.1"/>
        <n v="16"/>
        <s v="12.1.1"/>
        <s v="12.1.4"/>
        <s v="9.2.3, 12.1.4"/>
        <n v="9.1999999999999993"/>
        <s v="9.2.3, 9.3.1, 9.4.3"/>
        <s v="9.1.1, 9.2.3, 9.3.1, 9.4.3"/>
        <s v="9.4.3"/>
        <s v="12.4"/>
        <s v="17.1.1"/>
        <s v="17"/>
        <s v="17.1.3"/>
        <s v="7.2.2, 17.1.3"/>
        <s v="7.2.2, 16.1.1, 17.1.3"/>
        <s v="17.2.1"/>
        <s v="12.1.2"/>
        <s v="12.6.1"/>
        <s v="10.1.1"/>
        <s v="8.2.3, 10.1.1"/>
        <s v="13.2"/>
        <s v="8.1.4"/>
        <s v="12.3.1"/>
        <s v="8.1.2"/>
        <s v="10.1.2"/>
        <s v="8.3.1"/>
        <s v="8.3.1, 18.1.1"/>
        <s v="14.2.5"/>
        <s v="11.1.1"/>
        <s v="11.1.4"/>
        <s v="16.1.1, 17.1.1"/>
        <s v="13.1.1"/>
        <s v="13"/>
        <s v="13.1.2"/>
        <s v="12.4.1"/>
        <s v="8.2.1; 8.2.3"/>
        <s v="8.2.3"/>
        <s v="9.4.2"/>
        <s v="14.2.1"/>
        <s v="12.7.1, 18.2.1"/>
        <s v="11.1.2, 11.1.3"/>
        <s v="11.1.2,  11.1.3"/>
        <s v="11.1.2"/>
        <s v="5.1.1"/>
        <s v="10.1.1, 18.1.5"/>
        <s v="14.2.1, 14.2.5, 14.2.8"/>
        <s v="16.1.5"/>
        <s v="7.1.1"/>
        <s v="7.1.2"/>
        <s v="7.2.2"/>
        <s v="9.2.5"/>
        <s v="12.7.1"/>
        <s v="6.2.1"/>
        <s v="18.2.1"/>
        <s v="18.1.1, 7.2.2"/>
        <s v="16.1.1"/>
        <s v="16.1.2, 16.1.5, 18.1.1"/>
        <s v="9.2.3"/>
      </sharedItems>
    </cacheField>
    <cacheField name="NIST Cybersecurity Framework" numFmtId="165">
      <sharedItems containsBlank="1" containsMixedTypes="1" containsNumber="1" containsInteger="1" minValue="0" maxValue="0" count="53">
        <s v="ID.GV-3"/>
        <n v="0"/>
        <s v="ID.AM-6, PR.AT-3"/>
        <s v="PR.IP-9"/>
        <m/>
        <s v="ID.AM-6, PR-AT-3"/>
        <e v="#N/A"/>
        <s v="ID.AM-5"/>
        <s v="PR.AC-3, PR.MA-2"/>
        <s v="PR.AC-4, PR.PT-3"/>
        <s v="PR.PT-3"/>
        <s v="ID.AM-2"/>
        <s v="ID.AM-1, ID.AM-2, ID.AM-4"/>
        <s v="PR.AC-4"/>
        <s v="PR.AC-1"/>
        <s v="PR.AC-1, PR.AC-4"/>
        <s v="PR.PT-1"/>
        <s v="PR.IP-3"/>
        <s v="PR.IP-3, PR.DS-7"/>
        <s v="PR.DS-6"/>
        <s v="PR.AC-2, PR.IP-5"/>
        <s v="PR.DS-2"/>
        <s v="PR.DS-1"/>
        <s v="PR.IP-4"/>
        <s v="PR.DS-1, PR.IP-4"/>
        <s v="PR.DS-3"/>
        <s v="PR.DS-3, ID.GV-3"/>
        <s v="PR.DS-1, PR.DS-2"/>
        <s v="PR.AC-5"/>
        <s v="PR.DS-4"/>
        <s v="PR.DS-5"/>
        <s v="DE.CM-1"/>
        <s v="DE.CM-1, DE.CM-2, DE.CM-7"/>
        <s v="DE.AE-1, DE.CM-1, PR.PT-4"/>
        <s v="DE.CM-7"/>
        <s v="DE.CM-7, PR.DS-2"/>
        <s v="DE.CM-7, PR.DS-1"/>
        <s v="DE.CM-7, DE.CM-8, ID.RA-1"/>
        <s v="PR.AC-2, PR.AT-5, PR.IP-5, DE.CM-2"/>
        <s v="PR.AC-2, PR.AC-4, PR.DS-1, PR.DS-3, PR.DS-5"/>
        <s v="DE.CM-2"/>
        <s v="ID.GV-2"/>
        <s v="PR.IP-12"/>
        <s v="DE.CM-8, RS.MI-3"/>
        <s v="PR.IP-2"/>
        <s v="PR.IP-11"/>
        <s v="PR.AT-1"/>
        <s v="PR.DS-7"/>
        <s v="PR.PT-4"/>
        <s v="PR.IP-1"/>
        <s v="PR.IP-1, PR.IP-2"/>
        <s v="DE.CM-8"/>
        <s v="ID.RA-1, DE.CM-8, PR.IP-12"/>
      </sharedItems>
    </cacheField>
    <cacheField name="NIST SP 800-171r1" numFmtId="165">
      <sharedItems containsBlank="1" containsMixedTypes="1" containsNumber="1" containsInteger="1" minValue="0" maxValue="0" count="72">
        <s v="ID.GV-3"/>
        <n v="0"/>
        <s v="ID.AM-6, PR.AT-3"/>
        <s v="PR.IP-9"/>
        <m/>
        <s v="3.8.2"/>
        <s v="3.1.2, 3.1.3"/>
        <s v="3.1.2"/>
        <e v="#N/A"/>
        <s v="3.4.9"/>
        <s v="3.1.12, 3.1.13, 3.1.14, 3.1.14, 3.1.15, 3.1.8, 3.1.20, 3.7.5, 3.8.2, 3.13.7"/>
        <s v="3.1.4"/>
        <s v="3.1.1, 3.1.5, 3.1.6, 3.7.1, 3.7.2"/>
        <s v="3.5.6"/>
        <s v="3.5.7"/>
        <s v="3.5.5, 3.5.8"/>
        <s v="3.5.1"/>
        <s v="3.5.10"/>
        <s v="3.5.2, 3.5.3"/>
        <s v="3.1.1"/>
        <s v="3.1.7, 3.3.1"/>
        <s v="3.1.7, 3.3.2, 3.3.3, 3.3.4, 3.3.5, 3.4.3, 3.7.1, 3.7.6, 3.10.4, 3.10.5"/>
        <s v="3.3.8, 3.3.9"/>
        <s v="3.12.2"/>
        <s v="3.2.1, 3.2.2"/>
        <s v="3.4.3, 3.4.4"/>
        <s v="3.4.3, 3.4.4, 3.4.5"/>
        <s v="3.4.4"/>
        <s v="3.14.4"/>
        <s v="3.1.3, 3.8.1"/>
        <s v="3.1.22"/>
        <s v="3.1.19, 3.8.1"/>
        <s v="3.8.6, 3.13.11"/>
        <s v="3.8.1"/>
        <s v="3.8.9"/>
        <s v="3.13.10"/>
        <s v="3.8.1, 3.8.9"/>
        <s v="3.8.1, 3.8.5, 3.8.9"/>
        <s v="3.7.1, 3.7.2, 3.8.3"/>
        <s v="3.7.3, 3.8.3,"/>
        <s v="3.8.1, 3.8.2"/>
        <s v="3.1.3"/>
        <s v="3.6.2"/>
        <s v="3.6.1, 3.14.6, 3.14.7"/>
        <s v="3.3.1"/>
        <s v="3.1.19"/>
        <s v="3.8.2, 3.10.1, 3.10.2, 3.10.5, 3.10.6, 3.12.1"/>
        <s v="3.8.1, 3.8.5, 3.8.7"/>
        <s v="3.10.2"/>
        <s v="3.7.3, 3.8.1, 3.8.5, 3.8.7, 3.10.3"/>
        <s v="3.9.1, 3.9.2"/>
        <s v="3.13.2"/>
        <s v="3.6.1, 3.12.2"/>
        <s v="3.6.2,"/>
        <s v="3.9.1"/>
        <s v="3.2.1"/>
        <s v="3.2.1, 3.2.2, 3.2.3"/>
        <s v="3.1.7"/>
        <s v="3.4.1, 3.4.2, 3.4.3"/>
        <s v="3.13.13"/>
        <s v="3.1.18, 3.7.1, 3.13.13"/>
        <s v="3.11.1, 3.11.2, 3.11.3"/>
        <s v="3.11.1, 3.11.2, 3.11.3, 3.14.2"/>
        <s v="3.2.2"/>
        <s v="3.6.1, 3.14.1"/>
        <s v="3.6.2, 3.12.2"/>
        <s v="3.5.9"/>
        <s v="3.1.8"/>
        <s v="3.1.10, 3.1.11"/>
        <s v="3.1.2, 3.1.5"/>
        <s v="3.3.2"/>
        <s v="3.6.3, 3.12.2"/>
      </sharedItems>
    </cacheField>
    <cacheField name="NIST SP 800-53r4" numFmtId="165">
      <sharedItems containsBlank="1" containsMixedTypes="1" containsNumber="1" containsInteger="1" minValue="0" maxValue="0" count="70">
        <s v="RA-2"/>
        <s v="IA-2, IA-3, CM-3, SI-2"/>
        <n v="0"/>
        <s v="AU-7, AU-9, IR-4"/>
        <m/>
        <s v="CA-5, PL-2"/>
        <s v="SA-9"/>
        <s v="PE-2, PE-3, PE-5, PE-11, PE-13, PE-14, SA-9"/>
        <s v="MP-2, RA-3"/>
        <s v="PS-3"/>
        <s v="PS-5"/>
        <s v="AC-4"/>
        <s v="MP-2"/>
        <e v="#N/A"/>
        <s v="AC-17; NIST SP 800-46"/>
        <s v="CM-11"/>
        <s v="AC-3, CM-7; NIST SP 800-46"/>
        <s v="CA-9, SC-4"/>
        <s v="AC-5"/>
        <s v="AC-2, AC-3, AC-6, MA-2, MA-3"/>
        <s v="IA-4"/>
        <s v="IA-5(1)"/>
        <s v="IA-2, IA-5"/>
        <s v="IA-5"/>
        <s v="AC-6(1,3,9), AU-2, AU-2(3), AU-3, AU-7, AU-9(4), AU-12, NIST 800-92"/>
        <s v="AU-2(3), AU-6, AU-12, AC-6(9), CM-3, MA-2, MA-5, PE-3"/>
        <s v="AU-9"/>
        <s v="AU-7, AU-9, IR-4, AC-5, CP-4, CP-10; NIST SP 800-34"/>
        <s v="AC-5, CP-4, CP-10; NIST SP 800-34"/>
        <s v="AT-3, AC-5, CP-4, CP-10; NIST SP 800-34"/>
        <s v="CM-3, CM-4, CM-5"/>
        <s v="AC-4, MP-2, MP-4"/>
        <s v="AC-22"/>
        <s v="MP-2, AC-19(5)"/>
        <s v="PE-2, PE-3, PE-5, MP-5"/>
        <s v="CP-9"/>
        <s v="SC-28, SC-13, FIPS PUB 140-2"/>
        <s v="CP-9, MP-5"/>
        <s v="CP-9 MP-6, NIST SP 800-60, NIST SP 800-88, AC-2, AC-6, IA-4, PM-2, PM-10, SI-5, MA-2, MA-3, MP-6"/>
        <s v="AC-2, AC-6, IA-4, PM-2, PM-10, SI-5, MA-2"/>
        <s v="SI-12, AC-2, AC-6, IA-4, PM-2, PM-10, SI-5, MA-2"/>
        <s v="AC-2, AC-6, IA-4, PM-2, PM-10, SI-5"/>
        <s v="PE-2, PE-3, PE-5, PE-11, PE-13, PE-14"/>
        <s v="IR-2, IR-4, IR-5"/>
        <s v="AU-2"/>
        <s v="AC-19(5)"/>
        <s v="MP-4, PE-2, PE-5, PE-6, PE-17"/>
        <s v="MP-2, MP-5, MP-7"/>
        <s v="PE-6"/>
        <s v="PM-2, PM-10, SI-5, CA-5, PM-1"/>
        <s v="CA-5, PM-1"/>
        <s v="CM-3, SA-15, SA-3, SA-8, SC-2, CA-5, PM-1"/>
        <s v="CA-5, PM-1, IR-4, IR-5, IR-7, IR-8"/>
        <s v="CA-5, PM-1, IR-4, IR-5, IR-6, IR-7, IR-8"/>
        <s v="CA-2, SA-15, CA-5, PM-1, IR-4, IR-5, IR-6, R-7, IR-8"/>
        <s v="CA-5, PM-1, PS-3"/>
        <s v="AT-2, CA-5, PM-1"/>
        <s v="AT-2, AT-3, CA-5, PM-1"/>
        <s v="CA-5, PM-1, PS-4, PS-5, PE-2, PE-3, PE-5, AC-6, RA-3, SA-8, CA-2, NIST SP 800-37; NIST SP 800-39; NIST SP 800-115; NIST SP 800-137"/>
        <s v="CM-2, CM-3, CM-6, CM-8"/>
        <s v="CM-2, CM-6, CM-3, AC-19, MA-2"/>
        <s v="SI-2"/>
        <s v="AT-3"/>
        <s v="IR-2, IR-4, IR-5, IR-7"/>
        <s v="IR-6"/>
        <s v="AC-7"/>
        <s v="AC-11, AC-11(1), AC-12"/>
        <s v="AU-2, AU-6, AU-12"/>
        <s v="AU-3"/>
        <s v="SA-3, SA-15, SC-2, PM-2, PM-10, SI-5,PM-3 "/>
      </sharedItems>
    </cacheField>
    <cacheField name="PCI DSS" numFmtId="165">
      <sharedItems containsBlank="1" containsMixedTypes="1" containsNumber="1" minValue="0" maxValue="12.9" count="54">
        <n v="0"/>
        <n v="12.8"/>
        <n v="12.1"/>
        <m/>
        <s v="PCI Scope, Discovery"/>
        <s v="PCI Scope"/>
        <s v="12.1, Scope"/>
        <e v="#N/A"/>
        <s v="7.x"/>
        <s v="12.8, 4.2"/>
        <n v="2.4"/>
        <s v="12.x"/>
        <s v="7.x, 8.x"/>
        <s v="8.x"/>
        <s v="2.1, 8.x"/>
        <s v="10.1, 10.2, 10.3, 10.5, 10.6, 10.7"/>
        <s v="10.1, 10.2, 10.3, 10.5, 10.6, 10.7, 9.x"/>
        <n v="10.7"/>
        <s v="6.4, 6.4.5, 6.4.5.1, 6.4.5.2"/>
        <s v="6.4, 12.8, 12.9"/>
        <s v="12.1, 12.8"/>
        <s v="12.1, 12.8, 6.2"/>
        <s v="12.2, 12.8"/>
        <s v="12.1, 12.2, 12.8"/>
        <s v="12.10, 12.8, 6.4"/>
        <s v="12.8, 9.x"/>
        <s v="12.8, 4.1"/>
        <s v="9.x"/>
        <n v="12.9"/>
        <n v="1.1000000000000001"/>
        <n v="11.4"/>
        <n v="11.5"/>
        <s v="1.1, 10.8, 10.6, 10.3, 10.2, 11.4"/>
        <n v="4.0999999999999996"/>
        <s v="12.1, 9.x"/>
        <s v="12.4, 12.5"/>
        <s v="6.4.5"/>
        <s v="12.6, 6.5"/>
        <n v="6.3"/>
        <s v="6.3.2"/>
        <s v="6.3.2, 6.4.5.3"/>
        <s v="6.3, 6.3.1"/>
        <s v="12.10, 12.8, 12.9"/>
        <n v="12.7"/>
        <s v="12.6, 7.x, 8.x, 9.x"/>
        <s v="12.1, 5.4 (?)"/>
        <n v="12.6"/>
        <s v="12.1, 12.5, 12.6"/>
        <n v="11.2"/>
        <s v="11.2, 11.3"/>
        <s v="11.2, 12.8"/>
        <s v="12.10, 10.10"/>
        <n v="12.2"/>
        <s v="12.8, 12.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67">
  <r>
    <x v="0"/>
    <x v="0"/>
    <x v="0"/>
    <x v="0"/>
    <x v="0"/>
    <s v="Qualifiers"/>
    <s v="Yes"/>
    <n v="1"/>
    <s v="Yes"/>
    <x v="0"/>
    <n v="10"/>
    <n v="10"/>
    <x v="0"/>
    <x v="0"/>
    <x v="0"/>
    <x v="0"/>
    <x v="0"/>
    <x v="0"/>
    <x v="0"/>
  </r>
  <r>
    <x v="1"/>
    <x v="1"/>
    <x v="1"/>
    <x v="0"/>
    <x v="1"/>
    <s v="Qualifiers"/>
    <s v="Yes"/>
    <n v="1"/>
    <s v="Yes"/>
    <x v="0"/>
    <n v="10"/>
    <n v="10"/>
    <x v="1"/>
    <x v="1"/>
    <x v="1"/>
    <x v="1"/>
    <x v="1"/>
    <x v="1"/>
    <x v="0"/>
  </r>
  <r>
    <x v="2"/>
    <x v="2"/>
    <x v="2"/>
    <x v="0"/>
    <x v="0"/>
    <s v="Qualifiers"/>
    <s v="No"/>
    <n v="1"/>
    <s v="No"/>
    <x v="0"/>
    <n v="10"/>
    <n v="10"/>
    <x v="0"/>
    <x v="1"/>
    <x v="1"/>
    <x v="2"/>
    <x v="2"/>
    <x v="2"/>
    <x v="1"/>
  </r>
  <r>
    <x v="3"/>
    <x v="3"/>
    <x v="3"/>
    <x v="0"/>
    <x v="0"/>
    <s v="Qualifiers"/>
    <s v="Yes"/>
    <n v="1"/>
    <n v="0"/>
    <x v="0"/>
    <n v="10"/>
    <n v="10"/>
    <x v="2"/>
    <x v="1"/>
    <x v="2"/>
    <x v="3"/>
    <x v="3"/>
    <x v="3"/>
    <x v="2"/>
  </r>
  <r>
    <x v="4"/>
    <x v="4"/>
    <x v="4"/>
    <x v="1"/>
    <x v="2"/>
    <m/>
    <m/>
    <m/>
    <m/>
    <x v="1"/>
    <m/>
    <m/>
    <x v="3"/>
    <x v="1"/>
    <x v="3"/>
    <x v="4"/>
    <x v="4"/>
    <x v="4"/>
    <x v="3"/>
  </r>
  <r>
    <x v="5"/>
    <x v="5"/>
    <x v="5"/>
    <x v="0"/>
    <x v="0"/>
    <s v="Qualifiers"/>
    <s v="Yes"/>
    <n v="1"/>
    <n v="0"/>
    <x v="0"/>
    <n v="10"/>
    <n v="10"/>
    <x v="2"/>
    <x v="1"/>
    <x v="2"/>
    <x v="3"/>
    <x v="3"/>
    <x v="5"/>
    <x v="2"/>
  </r>
  <r>
    <x v="6"/>
    <x v="6"/>
    <x v="6"/>
    <x v="0"/>
    <x v="0"/>
    <s v="Qualifiers"/>
    <s v="No"/>
    <n v="1"/>
    <n v="0"/>
    <x v="0"/>
    <n v="10"/>
    <n v="10"/>
    <x v="0"/>
    <x v="1"/>
    <x v="0"/>
    <x v="0"/>
    <x v="0"/>
    <x v="0"/>
    <x v="4"/>
  </r>
  <r>
    <x v="7"/>
    <x v="7"/>
    <x v="7"/>
    <x v="0"/>
    <x v="1"/>
    <s v="Qualifiers"/>
    <s v="Yes"/>
    <n v="1"/>
    <n v="0"/>
    <x v="0"/>
    <n v="10"/>
    <n v="10"/>
    <x v="4"/>
    <x v="1"/>
    <x v="1"/>
    <x v="1"/>
    <x v="1"/>
    <x v="2"/>
    <x v="5"/>
  </r>
  <r>
    <x v="8"/>
    <x v="8"/>
    <x v="8"/>
    <x v="0"/>
    <x v="1"/>
    <s v="Documentation"/>
    <s v="Yes"/>
    <n v="1"/>
    <n v="0"/>
    <x v="2"/>
    <n v="15"/>
    <n v="0"/>
    <x v="5"/>
    <x v="1"/>
    <x v="4"/>
    <x v="1"/>
    <x v="1"/>
    <x v="6"/>
    <x v="0"/>
  </r>
  <r>
    <x v="9"/>
    <x v="9"/>
    <x v="9"/>
    <x v="0"/>
    <x v="1"/>
    <s v="Documentation"/>
    <s v="Yes"/>
    <n v="1"/>
    <n v="0"/>
    <x v="2"/>
    <n v="10"/>
    <n v="0"/>
    <x v="5"/>
    <x v="1"/>
    <x v="4"/>
    <x v="1"/>
    <x v="1"/>
    <x v="7"/>
    <x v="0"/>
  </r>
  <r>
    <x v="10"/>
    <x v="10"/>
    <x v="10"/>
    <x v="0"/>
    <x v="1"/>
    <s v="Documentation"/>
    <s v="Yes"/>
    <n v="1"/>
    <n v="0"/>
    <x v="2"/>
    <n v="15"/>
    <n v="0"/>
    <x v="5"/>
    <x v="1"/>
    <x v="4"/>
    <x v="1"/>
    <x v="1"/>
    <x v="7"/>
    <x v="0"/>
  </r>
  <r>
    <x v="11"/>
    <x v="11"/>
    <x v="11"/>
    <x v="0"/>
    <x v="0"/>
    <s v="Documentation"/>
    <s v="Yes"/>
    <n v="1"/>
    <n v="0"/>
    <x v="2"/>
    <n v="25"/>
    <n v="0"/>
    <x v="5"/>
    <x v="1"/>
    <x v="0"/>
    <x v="1"/>
    <x v="1"/>
    <x v="6"/>
    <x v="6"/>
  </r>
  <r>
    <x v="12"/>
    <x v="12"/>
    <x v="12"/>
    <x v="0"/>
    <x v="1"/>
    <s v="Documentation"/>
    <s v="Yes"/>
    <n v="1"/>
    <n v="0"/>
    <x v="2"/>
    <n v="15"/>
    <n v="0"/>
    <x v="5"/>
    <x v="1"/>
    <x v="0"/>
    <x v="1"/>
    <x v="1"/>
    <x v="6"/>
    <x v="0"/>
  </r>
  <r>
    <x v="13"/>
    <x v="13"/>
    <x v="13"/>
    <x v="0"/>
    <x v="0"/>
    <s v="Documentation"/>
    <s v="Yes"/>
    <n v="1"/>
    <n v="0"/>
    <x v="2"/>
    <n v="25"/>
    <n v="0"/>
    <x v="5"/>
    <x v="2"/>
    <x v="5"/>
    <x v="0"/>
    <x v="0"/>
    <x v="6"/>
    <x v="0"/>
  </r>
  <r>
    <x v="14"/>
    <x v="14"/>
    <x v="14"/>
    <x v="0"/>
    <x v="0"/>
    <s v="Third-Parties"/>
    <s v="Yes"/>
    <n v="1"/>
    <n v="0"/>
    <x v="2"/>
    <n v="25"/>
    <n v="0"/>
    <x v="0"/>
    <x v="1"/>
    <x v="6"/>
    <x v="5"/>
    <x v="5"/>
    <x v="8"/>
    <x v="1"/>
  </r>
  <r>
    <x v="15"/>
    <x v="15"/>
    <x v="15"/>
    <x v="0"/>
    <x v="0"/>
    <s v="Third-Parties"/>
    <s v="Yes"/>
    <n v="1"/>
    <n v="0"/>
    <x v="2"/>
    <n v="25"/>
    <n v="0"/>
    <x v="0"/>
    <x v="1"/>
    <x v="6"/>
    <x v="5"/>
    <x v="5"/>
    <x v="2"/>
    <x v="1"/>
  </r>
  <r>
    <x v="16"/>
    <x v="16"/>
    <x v="16"/>
    <x v="0"/>
    <x v="0"/>
    <s v="Third-Parties"/>
    <s v="Yes"/>
    <n v="1"/>
    <n v="0"/>
    <x v="2"/>
    <n v="25"/>
    <n v="0"/>
    <x v="0"/>
    <x v="1"/>
    <x v="6"/>
    <x v="0"/>
    <x v="1"/>
    <x v="9"/>
    <x v="1"/>
  </r>
  <r>
    <x v="17"/>
    <x v="17"/>
    <x v="17"/>
    <x v="0"/>
    <x v="0"/>
    <s v="Third-Parties"/>
    <s v="Yes"/>
    <n v="1"/>
    <n v="0"/>
    <x v="2"/>
    <n v="25"/>
    <n v="0"/>
    <x v="5"/>
    <x v="1"/>
    <x v="6"/>
    <x v="2"/>
    <x v="1"/>
    <x v="10"/>
    <x v="1"/>
  </r>
  <r>
    <x v="18"/>
    <x v="18"/>
    <x v="18"/>
    <x v="0"/>
    <x v="1"/>
    <s v="Consulting"/>
    <s v="Yes"/>
    <n v="1"/>
    <n v="0"/>
    <x v="2"/>
    <n v="20"/>
    <n v="0"/>
    <x v="5"/>
    <x v="1"/>
    <x v="4"/>
    <x v="2"/>
    <x v="1"/>
    <x v="2"/>
    <x v="0"/>
  </r>
  <r>
    <x v="19"/>
    <x v="19"/>
    <x v="19"/>
    <x v="0"/>
    <x v="1"/>
    <s v="Consulting"/>
    <s v="No"/>
    <n v="1"/>
    <n v="0"/>
    <x v="2"/>
    <n v="20"/>
    <n v="0"/>
    <x v="4"/>
    <x v="1"/>
    <x v="7"/>
    <x v="2"/>
    <x v="6"/>
    <x v="11"/>
    <x v="0"/>
  </r>
  <r>
    <x v="20"/>
    <x v="20"/>
    <x v="20"/>
    <x v="0"/>
    <x v="0"/>
    <s v="Consulting"/>
    <s v="No"/>
    <n v="1"/>
    <n v="0"/>
    <x v="2"/>
    <n v="25"/>
    <n v="0"/>
    <x v="4"/>
    <x v="1"/>
    <x v="8"/>
    <x v="2"/>
    <x v="7"/>
    <x v="2"/>
    <x v="0"/>
  </r>
  <r>
    <x v="21"/>
    <x v="21"/>
    <x v="21"/>
    <x v="0"/>
    <x v="1"/>
    <s v="Consulting"/>
    <s v="No"/>
    <n v="1"/>
    <n v="0"/>
    <x v="2"/>
    <n v="20"/>
    <n v="0"/>
    <x v="4"/>
    <x v="1"/>
    <x v="1"/>
    <x v="2"/>
    <x v="1"/>
    <x v="2"/>
    <x v="0"/>
  </r>
  <r>
    <x v="22"/>
    <x v="22"/>
    <x v="22"/>
    <x v="0"/>
    <x v="1"/>
    <s v="Consulting"/>
    <s v="Yes"/>
    <n v="1"/>
    <n v="0"/>
    <x v="2"/>
    <n v="20"/>
    <n v="0"/>
    <x v="0"/>
    <x v="1"/>
    <x v="0"/>
    <x v="2"/>
    <x v="1"/>
    <x v="2"/>
    <x v="0"/>
  </r>
  <r>
    <x v="23"/>
    <x v="23"/>
    <x v="23"/>
    <x v="0"/>
    <x v="0"/>
    <s v="Consulting"/>
    <s v="No"/>
    <n v="1"/>
    <n v="0"/>
    <x v="2"/>
    <n v="25"/>
    <n v="0"/>
    <x v="0"/>
    <x v="1"/>
    <x v="9"/>
    <x v="2"/>
    <x v="5"/>
    <x v="12"/>
    <x v="0"/>
  </r>
  <r>
    <x v="24"/>
    <x v="24"/>
    <x v="24"/>
    <x v="2"/>
    <x v="0"/>
    <s v="Consulting"/>
    <s v="Yes"/>
    <n v="0"/>
    <e v="#N/A"/>
    <x v="3"/>
    <s v=""/>
    <s v=""/>
    <x v="6"/>
    <x v="3"/>
    <x v="10"/>
    <x v="6"/>
    <x v="8"/>
    <x v="13"/>
    <x v="7"/>
  </r>
  <r>
    <x v="25"/>
    <x v="25"/>
    <x v="25"/>
    <x v="0"/>
    <x v="0"/>
    <s v="Consulting"/>
    <s v="No"/>
    <n v="1"/>
    <n v="0"/>
    <x v="2"/>
    <n v="25"/>
    <n v="0"/>
    <x v="4"/>
    <x v="1"/>
    <x v="9"/>
    <x v="2"/>
    <x v="1"/>
    <x v="2"/>
    <x v="0"/>
  </r>
  <r>
    <x v="26"/>
    <x v="24"/>
    <x v="24"/>
    <x v="2"/>
    <x v="0"/>
    <s v="Consulting"/>
    <s v="Yes"/>
    <n v="0"/>
    <e v="#N/A"/>
    <x v="3"/>
    <s v=""/>
    <s v=""/>
    <x v="6"/>
    <x v="3"/>
    <x v="10"/>
    <x v="6"/>
    <x v="8"/>
    <x v="13"/>
    <x v="7"/>
  </r>
  <r>
    <x v="27"/>
    <x v="26"/>
    <x v="26"/>
    <x v="0"/>
    <x v="0"/>
    <s v="Application/Service Security"/>
    <s v="Yes"/>
    <n v="1"/>
    <n v="0"/>
    <x v="2"/>
    <n v="25"/>
    <n v="0"/>
    <x v="1"/>
    <x v="1"/>
    <x v="1"/>
    <x v="7"/>
    <x v="1"/>
    <x v="2"/>
    <x v="0"/>
  </r>
  <r>
    <x v="28"/>
    <x v="27"/>
    <x v="27"/>
    <x v="0"/>
    <x v="0"/>
    <s v="Application/Service Security"/>
    <s v="Yes"/>
    <n v="1"/>
    <n v="0"/>
    <x v="2"/>
    <n v="25"/>
    <n v="0"/>
    <x v="7"/>
    <x v="1"/>
    <x v="11"/>
    <x v="7"/>
    <x v="1"/>
    <x v="2"/>
    <x v="0"/>
  </r>
  <r>
    <x v="29"/>
    <x v="28"/>
    <x v="28"/>
    <x v="0"/>
    <x v="1"/>
    <s v="Application/Service Security"/>
    <s v="Yes"/>
    <n v="1"/>
    <n v="0"/>
    <x v="2"/>
    <n v="20"/>
    <n v="0"/>
    <x v="4"/>
    <x v="1"/>
    <x v="12"/>
    <x v="8"/>
    <x v="7"/>
    <x v="14"/>
    <x v="8"/>
  </r>
  <r>
    <x v="30"/>
    <x v="29"/>
    <x v="29"/>
    <x v="0"/>
    <x v="1"/>
    <s v="Application/Service Security"/>
    <s v="Yes"/>
    <n v="1"/>
    <n v="0"/>
    <x v="2"/>
    <n v="20"/>
    <n v="0"/>
    <x v="8"/>
    <x v="1"/>
    <x v="13"/>
    <x v="9"/>
    <x v="9"/>
    <x v="15"/>
    <x v="8"/>
  </r>
  <r>
    <x v="31"/>
    <x v="30"/>
    <x v="30"/>
    <x v="0"/>
    <x v="1"/>
    <s v="Application/Service Security"/>
    <s v="Yes"/>
    <n v="1"/>
    <n v="0"/>
    <x v="2"/>
    <n v="20"/>
    <n v="0"/>
    <x v="1"/>
    <x v="1"/>
    <x v="1"/>
    <x v="7"/>
    <x v="1"/>
    <x v="2"/>
    <x v="0"/>
  </r>
  <r>
    <x v="32"/>
    <x v="31"/>
    <x v="31"/>
    <x v="0"/>
    <x v="0"/>
    <s v="Application/Service Security"/>
    <s v="Yes"/>
    <n v="1"/>
    <n v="0"/>
    <x v="2"/>
    <n v="25"/>
    <n v="0"/>
    <x v="9"/>
    <x v="1"/>
    <x v="12"/>
    <x v="10"/>
    <x v="10"/>
    <x v="16"/>
    <x v="0"/>
  </r>
  <r>
    <x v="33"/>
    <x v="32"/>
    <x v="32"/>
    <x v="0"/>
    <x v="1"/>
    <s v="Application/Service Security"/>
    <m/>
    <n v="1"/>
    <n v="0"/>
    <x v="2"/>
    <n v="20"/>
    <n v="0"/>
    <x v="10"/>
    <x v="1"/>
    <x v="14"/>
    <x v="10"/>
    <x v="1"/>
    <x v="14"/>
    <x v="0"/>
  </r>
  <r>
    <x v="34"/>
    <x v="33"/>
    <x v="33"/>
    <x v="0"/>
    <x v="0"/>
    <s v="Application/Service Security"/>
    <s v="No"/>
    <n v="1"/>
    <n v="0"/>
    <x v="2"/>
    <n v="25"/>
    <n v="0"/>
    <x v="5"/>
    <x v="1"/>
    <x v="15"/>
    <x v="1"/>
    <x v="1"/>
    <x v="2"/>
    <x v="9"/>
  </r>
  <r>
    <x v="35"/>
    <x v="34"/>
    <x v="34"/>
    <x v="0"/>
    <x v="1"/>
    <s v="Application/Service Security"/>
    <m/>
    <n v="1"/>
    <n v="0"/>
    <x v="2"/>
    <n v="15"/>
    <n v="0"/>
    <x v="10"/>
    <x v="1"/>
    <x v="14"/>
    <x v="11"/>
    <x v="1"/>
    <x v="2"/>
    <x v="0"/>
  </r>
  <r>
    <x v="36"/>
    <x v="35"/>
    <x v="35"/>
    <x v="0"/>
    <x v="0"/>
    <s v="Application/Service Security"/>
    <m/>
    <n v="1"/>
    <n v="0"/>
    <x v="2"/>
    <n v="25"/>
    <n v="0"/>
    <x v="10"/>
    <x v="1"/>
    <x v="16"/>
    <x v="12"/>
    <x v="1"/>
    <x v="17"/>
    <x v="10"/>
  </r>
  <r>
    <x v="37"/>
    <x v="36"/>
    <x v="36"/>
    <x v="0"/>
    <x v="0"/>
    <s v="Application/Service Security"/>
    <s v="Yes"/>
    <n v="1"/>
    <n v="0"/>
    <x v="2"/>
    <n v="40"/>
    <n v="0"/>
    <x v="0"/>
    <x v="1"/>
    <x v="17"/>
    <x v="1"/>
    <x v="1"/>
    <x v="2"/>
    <x v="0"/>
  </r>
  <r>
    <x v="38"/>
    <x v="37"/>
    <x v="37"/>
    <x v="0"/>
    <x v="1"/>
    <s v="Application/Service Security"/>
    <s v="No"/>
    <n v="1"/>
    <n v="0"/>
    <x v="2"/>
    <n v="10"/>
    <n v="0"/>
    <x v="11"/>
    <x v="1"/>
    <x v="16"/>
    <x v="1"/>
    <x v="1"/>
    <x v="2"/>
    <x v="0"/>
  </r>
  <r>
    <x v="39"/>
    <x v="38"/>
    <x v="38"/>
    <x v="0"/>
    <x v="1"/>
    <s v="Application/Service Security"/>
    <s v="No"/>
    <n v="1"/>
    <n v="0"/>
    <x v="2"/>
    <n v="15"/>
    <n v="0"/>
    <x v="11"/>
    <x v="1"/>
    <x v="14"/>
    <x v="1"/>
    <x v="1"/>
    <x v="2"/>
    <x v="0"/>
  </r>
  <r>
    <x v="40"/>
    <x v="39"/>
    <x v="39"/>
    <x v="0"/>
    <x v="0"/>
    <s v="Application/Service Security"/>
    <s v="Yes"/>
    <n v="1"/>
    <n v="0"/>
    <x v="2"/>
    <n v="25"/>
    <n v="0"/>
    <x v="10"/>
    <x v="1"/>
    <x v="1"/>
    <x v="1"/>
    <x v="1"/>
    <x v="2"/>
    <x v="0"/>
  </r>
  <r>
    <x v="41"/>
    <x v="40"/>
    <x v="40"/>
    <x v="0"/>
    <x v="0"/>
    <s v="Application/Service Security"/>
    <s v="Yes"/>
    <n v="1"/>
    <n v="0"/>
    <x v="2"/>
    <n v="25"/>
    <n v="0"/>
    <x v="4"/>
    <x v="1"/>
    <x v="18"/>
    <x v="9"/>
    <x v="11"/>
    <x v="18"/>
    <x v="11"/>
  </r>
  <r>
    <x v="42"/>
    <x v="41"/>
    <x v="41"/>
    <x v="0"/>
    <x v="0"/>
    <s v="Application/Service Security"/>
    <s v="Yes"/>
    <n v="1"/>
    <n v="0"/>
    <x v="2"/>
    <n v="25"/>
    <n v="0"/>
    <x v="12"/>
    <x v="1"/>
    <x v="19"/>
    <x v="9"/>
    <x v="12"/>
    <x v="19"/>
    <x v="12"/>
  </r>
  <r>
    <x v="43"/>
    <x v="42"/>
    <x v="42"/>
    <x v="0"/>
    <x v="1"/>
    <s v="Application/Service Security"/>
    <s v="Yes"/>
    <n v="1"/>
    <n v="0"/>
    <x v="2"/>
    <n v="15"/>
    <n v="0"/>
    <x v="4"/>
    <x v="1"/>
    <x v="13"/>
    <x v="13"/>
    <x v="7"/>
    <x v="2"/>
    <x v="0"/>
  </r>
  <r>
    <x v="44"/>
    <x v="43"/>
    <x v="43"/>
    <x v="0"/>
    <x v="0"/>
    <s v="Authentication, Authorization, and Accounting"/>
    <s v="Yes"/>
    <n v="1"/>
    <n v="0"/>
    <x v="2"/>
    <n v="25"/>
    <n v="0"/>
    <x v="13"/>
    <x v="1"/>
    <x v="20"/>
    <x v="14"/>
    <x v="13"/>
    <x v="20"/>
    <x v="13"/>
  </r>
  <r>
    <x v="45"/>
    <x v="44"/>
    <x v="44"/>
    <x v="0"/>
    <x v="0"/>
    <s v="Authentication, Authorization, and Accounting"/>
    <s v="Yes"/>
    <n v="1"/>
    <n v="0"/>
    <x v="2"/>
    <n v="25"/>
    <n v="0"/>
    <x v="13"/>
    <x v="1"/>
    <x v="20"/>
    <x v="14"/>
    <x v="14"/>
    <x v="21"/>
    <x v="13"/>
  </r>
  <r>
    <x v="46"/>
    <x v="45"/>
    <x v="45"/>
    <x v="0"/>
    <x v="0"/>
    <s v="Authentication, Authorization, and Accounting"/>
    <s v="Yes"/>
    <n v="1"/>
    <n v="0"/>
    <x v="2"/>
    <n v="25"/>
    <n v="0"/>
    <x v="13"/>
    <x v="1"/>
    <x v="20"/>
    <x v="14"/>
    <x v="1"/>
    <x v="2"/>
    <x v="13"/>
  </r>
  <r>
    <x v="47"/>
    <x v="46"/>
    <x v="46"/>
    <x v="0"/>
    <x v="1"/>
    <s v="Authentication, Authorization, and Accounting"/>
    <s v="Yes"/>
    <n v="1"/>
    <n v="0"/>
    <x v="2"/>
    <n v="20"/>
    <n v="0"/>
    <x v="13"/>
    <x v="1"/>
    <x v="20"/>
    <x v="14"/>
    <x v="15"/>
    <x v="20"/>
    <x v="14"/>
  </r>
  <r>
    <x v="48"/>
    <x v="47"/>
    <x v="47"/>
    <x v="0"/>
    <x v="0"/>
    <s v="Authentication, Authorization, and Accounting"/>
    <s v="Yes"/>
    <n v="1"/>
    <n v="0"/>
    <x v="2"/>
    <n v="40"/>
    <n v="0"/>
    <x v="13"/>
    <x v="1"/>
    <x v="21"/>
    <x v="14"/>
    <x v="16"/>
    <x v="22"/>
    <x v="13"/>
  </r>
  <r>
    <x v="49"/>
    <x v="48"/>
    <x v="48"/>
    <x v="0"/>
    <x v="0"/>
    <s v="Authentication, Authorization, and Accounting"/>
    <s v="No"/>
    <n v="1"/>
    <n v="0"/>
    <x v="2"/>
    <n v="40"/>
    <n v="0"/>
    <x v="13"/>
    <x v="1"/>
    <x v="9"/>
    <x v="1"/>
    <x v="1"/>
    <x v="2"/>
    <x v="14"/>
  </r>
  <r>
    <x v="50"/>
    <x v="49"/>
    <x v="49"/>
    <x v="0"/>
    <x v="0"/>
    <s v="Authentication, Authorization, and Accounting"/>
    <s v="No"/>
    <n v="1"/>
    <n v="0"/>
    <x v="2"/>
    <n v="25"/>
    <n v="0"/>
    <x v="13"/>
    <x v="1"/>
    <x v="9"/>
    <x v="14"/>
    <x v="1"/>
    <x v="2"/>
    <x v="13"/>
  </r>
  <r>
    <x v="51"/>
    <x v="50"/>
    <x v="50"/>
    <x v="0"/>
    <x v="0"/>
    <s v="Authentication, Authorization, and Accounting"/>
    <s v="Yes"/>
    <n v="1"/>
    <n v="0"/>
    <x v="2"/>
    <n v="40"/>
    <n v="0"/>
    <x v="13"/>
    <x v="1"/>
    <x v="9"/>
    <x v="14"/>
    <x v="17"/>
    <x v="21"/>
    <x v="13"/>
  </r>
  <r>
    <x v="52"/>
    <x v="51"/>
    <x v="51"/>
    <x v="0"/>
    <x v="1"/>
    <s v="Authentication, Authorization, and Accounting"/>
    <s v="Yes"/>
    <n v="1"/>
    <n v="0"/>
    <x v="2"/>
    <n v="20"/>
    <n v="0"/>
    <x v="13"/>
    <x v="1"/>
    <x v="9"/>
    <x v="13"/>
    <x v="18"/>
    <x v="23"/>
    <x v="13"/>
  </r>
  <r>
    <x v="53"/>
    <x v="52"/>
    <x v="52"/>
    <x v="0"/>
    <x v="1"/>
    <s v="Authentication, Authorization, and Accounting"/>
    <s v="Yes"/>
    <n v="1"/>
    <n v="0"/>
    <x v="2"/>
    <n v="15"/>
    <n v="0"/>
    <x v="13"/>
    <x v="1"/>
    <x v="22"/>
    <x v="15"/>
    <x v="1"/>
    <x v="2"/>
    <x v="0"/>
  </r>
  <r>
    <x v="54"/>
    <x v="53"/>
    <x v="53"/>
    <x v="0"/>
    <x v="0"/>
    <s v="Authentication, Authorization, and Accounting"/>
    <s v="No"/>
    <n v="0"/>
    <n v="0"/>
    <x v="2"/>
    <s v=""/>
    <s v=""/>
    <x v="13"/>
    <x v="1"/>
    <x v="9"/>
    <x v="15"/>
    <x v="1"/>
    <x v="2"/>
    <x v="13"/>
  </r>
  <r>
    <x v="55"/>
    <x v="54"/>
    <x v="54"/>
    <x v="0"/>
    <x v="1"/>
    <s v="Authentication, Authorization, and Accounting"/>
    <s v="Yes"/>
    <n v="1"/>
    <n v="0"/>
    <x v="2"/>
    <n v="20"/>
    <n v="0"/>
    <x v="13"/>
    <x v="1"/>
    <x v="22"/>
    <x v="15"/>
    <x v="1"/>
    <x v="2"/>
    <x v="0"/>
  </r>
  <r>
    <x v="56"/>
    <x v="55"/>
    <x v="55"/>
    <x v="0"/>
    <x v="0"/>
    <s v="Authentication, Authorization, and Accounting"/>
    <s v="No"/>
    <n v="0"/>
    <n v="0"/>
    <x v="2"/>
    <s v=""/>
    <s v=""/>
    <x v="13"/>
    <x v="1"/>
    <x v="1"/>
    <x v="15"/>
    <x v="1"/>
    <x v="2"/>
    <x v="0"/>
  </r>
  <r>
    <x v="57"/>
    <x v="56"/>
    <x v="56"/>
    <x v="0"/>
    <x v="0"/>
    <s v="Authentication, Authorization, and Accounting"/>
    <s v="No"/>
    <n v="0"/>
    <n v="0"/>
    <x v="2"/>
    <s v=""/>
    <s v=""/>
    <x v="13"/>
    <x v="1"/>
    <x v="1"/>
    <x v="15"/>
    <x v="19"/>
    <x v="2"/>
    <x v="13"/>
  </r>
  <r>
    <x v="58"/>
    <x v="57"/>
    <x v="57"/>
    <x v="0"/>
    <x v="0"/>
    <s v="Authentication, Authorization, and Accounting"/>
    <s v="Yes"/>
    <n v="1"/>
    <n v="0"/>
    <x v="2"/>
    <n v="25"/>
    <n v="0"/>
    <x v="14"/>
    <x v="1"/>
    <x v="23"/>
    <x v="16"/>
    <x v="20"/>
    <x v="24"/>
    <x v="15"/>
  </r>
  <r>
    <x v="59"/>
    <x v="58"/>
    <x v="58"/>
    <x v="0"/>
    <x v="0"/>
    <s v="Authentication, Authorization, and Accounting"/>
    <s v="No"/>
    <n v="1"/>
    <n v="0"/>
    <x v="2"/>
    <n v="25"/>
    <n v="0"/>
    <x v="14"/>
    <x v="1"/>
    <x v="23"/>
    <x v="16"/>
    <x v="21"/>
    <x v="25"/>
    <x v="16"/>
  </r>
  <r>
    <x v="60"/>
    <x v="59"/>
    <x v="59"/>
    <x v="0"/>
    <x v="1"/>
    <s v="Authentication, Authorization, and Accounting"/>
    <s v="Yes"/>
    <n v="1"/>
    <n v="0"/>
    <x v="2"/>
    <n v="20"/>
    <n v="0"/>
    <x v="14"/>
    <x v="1"/>
    <x v="23"/>
    <x v="16"/>
    <x v="22"/>
    <x v="26"/>
    <x v="17"/>
  </r>
  <r>
    <x v="61"/>
    <x v="60"/>
    <x v="60"/>
    <x v="0"/>
    <x v="0"/>
    <s v="Business Continuity Plan"/>
    <s v="Yes"/>
    <n v="1"/>
    <n v="0"/>
    <x v="2"/>
    <n v="25"/>
    <n v="0"/>
    <x v="2"/>
    <x v="1"/>
    <x v="24"/>
    <x v="3"/>
    <x v="23"/>
    <x v="27"/>
    <x v="0"/>
  </r>
  <r>
    <x v="62"/>
    <x v="61"/>
    <x v="61"/>
    <x v="0"/>
    <x v="1"/>
    <s v="Business Continuity Plan"/>
    <s v="Yes"/>
    <n v="1"/>
    <n v="0"/>
    <x v="2"/>
    <n v="20"/>
    <n v="0"/>
    <x v="2"/>
    <x v="1"/>
    <x v="1"/>
    <x v="3"/>
    <x v="23"/>
    <x v="28"/>
    <x v="0"/>
  </r>
  <r>
    <x v="63"/>
    <x v="62"/>
    <x v="62"/>
    <x v="0"/>
    <x v="1"/>
    <s v="Business Continuity Plan"/>
    <s v="Yes"/>
    <n v="1"/>
    <n v="0"/>
    <x v="2"/>
    <n v="20"/>
    <n v="0"/>
    <x v="2"/>
    <x v="1"/>
    <x v="24"/>
    <x v="3"/>
    <x v="23"/>
    <x v="27"/>
    <x v="0"/>
  </r>
  <r>
    <x v="64"/>
    <x v="63"/>
    <x v="63"/>
    <x v="0"/>
    <x v="1"/>
    <s v="Business Continuity Plan"/>
    <s v="Yes"/>
    <n v="1"/>
    <n v="0"/>
    <x v="2"/>
    <n v="20"/>
    <n v="0"/>
    <x v="2"/>
    <x v="1"/>
    <x v="25"/>
    <x v="3"/>
    <x v="23"/>
    <x v="27"/>
    <x v="0"/>
  </r>
  <r>
    <x v="65"/>
    <x v="64"/>
    <x v="64"/>
    <x v="0"/>
    <x v="1"/>
    <s v="Business Continuity Plan"/>
    <s v="Yes"/>
    <n v="1"/>
    <n v="0"/>
    <x v="2"/>
    <n v="20"/>
    <n v="0"/>
    <x v="2"/>
    <x v="1"/>
    <x v="2"/>
    <x v="3"/>
    <x v="23"/>
    <x v="27"/>
    <x v="0"/>
  </r>
  <r>
    <x v="66"/>
    <x v="65"/>
    <x v="65"/>
    <x v="0"/>
    <x v="0"/>
    <s v="Business Continuity Plan"/>
    <s v="Yes"/>
    <n v="1"/>
    <n v="0"/>
    <x v="2"/>
    <n v="25"/>
    <n v="0"/>
    <x v="2"/>
    <x v="1"/>
    <x v="2"/>
    <x v="3"/>
    <x v="23"/>
    <x v="27"/>
    <x v="0"/>
  </r>
  <r>
    <x v="67"/>
    <x v="66"/>
    <x v="66"/>
    <x v="0"/>
    <x v="0"/>
    <s v="Business Continuity Plan"/>
    <s v="Yes"/>
    <n v="1"/>
    <n v="0"/>
    <x v="2"/>
    <n v="25"/>
    <n v="0"/>
    <x v="2"/>
    <x v="1"/>
    <x v="26"/>
    <x v="3"/>
    <x v="23"/>
    <x v="27"/>
    <x v="0"/>
  </r>
  <r>
    <x v="68"/>
    <x v="67"/>
    <x v="67"/>
    <x v="0"/>
    <x v="1"/>
    <s v="Business Continuity Plan"/>
    <s v="Yes"/>
    <n v="1"/>
    <n v="0"/>
    <x v="2"/>
    <n v="20"/>
    <n v="0"/>
    <x v="2"/>
    <x v="1"/>
    <x v="27"/>
    <x v="3"/>
    <x v="24"/>
    <x v="29"/>
    <x v="11"/>
  </r>
  <r>
    <x v="69"/>
    <x v="68"/>
    <x v="68"/>
    <x v="0"/>
    <x v="1"/>
    <s v="Business Continuity Plan"/>
    <s v="Yes"/>
    <n v="1"/>
    <n v="0"/>
    <x v="2"/>
    <n v="20"/>
    <n v="0"/>
    <x v="2"/>
    <x v="1"/>
    <x v="28"/>
    <x v="3"/>
    <x v="1"/>
    <x v="28"/>
    <x v="11"/>
  </r>
  <r>
    <x v="70"/>
    <x v="69"/>
    <x v="69"/>
    <x v="0"/>
    <x v="1"/>
    <s v="Business Continuity Plan"/>
    <s v="Yes"/>
    <n v="1"/>
    <n v="0"/>
    <x v="2"/>
    <n v="20"/>
    <n v="0"/>
    <x v="2"/>
    <x v="1"/>
    <x v="29"/>
    <x v="3"/>
    <x v="1"/>
    <x v="28"/>
    <x v="2"/>
  </r>
  <r>
    <x v="71"/>
    <x v="70"/>
    <x v="70"/>
    <x v="0"/>
    <x v="1"/>
    <s v="Business Continuity Plan"/>
    <s v="Yes"/>
    <n v="0"/>
    <n v="0"/>
    <x v="2"/>
    <n v="20"/>
    <s v=""/>
    <x v="2"/>
    <x v="1"/>
    <x v="26"/>
    <x v="3"/>
    <x v="1"/>
    <x v="28"/>
    <x v="2"/>
  </r>
  <r>
    <x v="72"/>
    <x v="71"/>
    <x v="71"/>
    <x v="0"/>
    <x v="1"/>
    <s v="Business Continuity Plan"/>
    <s v="Yes"/>
    <n v="1"/>
    <n v="0"/>
    <x v="2"/>
    <n v="15"/>
    <n v="0"/>
    <x v="2"/>
    <x v="1"/>
    <x v="1"/>
    <x v="3"/>
    <x v="1"/>
    <x v="28"/>
    <x v="2"/>
  </r>
  <r>
    <x v="73"/>
    <x v="72"/>
    <x v="72"/>
    <x v="0"/>
    <x v="0"/>
    <s v="Change Management"/>
    <s v="Yes"/>
    <n v="1"/>
    <n v="0"/>
    <x v="2"/>
    <n v="25"/>
    <n v="0"/>
    <x v="2"/>
    <x v="1"/>
    <x v="30"/>
    <x v="17"/>
    <x v="25"/>
    <x v="30"/>
    <x v="18"/>
  </r>
  <r>
    <x v="74"/>
    <x v="73"/>
    <x v="73"/>
    <x v="0"/>
    <x v="1"/>
    <s v="Change Management"/>
    <s v="Yes"/>
    <n v="1"/>
    <n v="0"/>
    <x v="2"/>
    <n v="20"/>
    <n v="0"/>
    <x v="2"/>
    <x v="1"/>
    <x v="30"/>
    <x v="18"/>
    <x v="26"/>
    <x v="30"/>
    <x v="18"/>
  </r>
  <r>
    <x v="75"/>
    <x v="74"/>
    <x v="74"/>
    <x v="0"/>
    <x v="1"/>
    <s v="Change Management"/>
    <s v="Yes"/>
    <n v="1"/>
    <n v="0"/>
    <x v="2"/>
    <n v="20"/>
    <n v="0"/>
    <x v="2"/>
    <x v="1"/>
    <x v="30"/>
    <x v="1"/>
    <x v="1"/>
    <x v="30"/>
    <x v="19"/>
  </r>
  <r>
    <x v="76"/>
    <x v="75"/>
    <x v="75"/>
    <x v="0"/>
    <x v="1"/>
    <s v="Change Management"/>
    <s v="Yes"/>
    <n v="1"/>
    <n v="0"/>
    <x v="2"/>
    <n v="20"/>
    <n v="0"/>
    <x v="2"/>
    <x v="1"/>
    <x v="1"/>
    <x v="1"/>
    <x v="1"/>
    <x v="30"/>
    <x v="2"/>
  </r>
  <r>
    <x v="77"/>
    <x v="76"/>
    <x v="76"/>
    <x v="0"/>
    <x v="0"/>
    <s v="Change Management"/>
    <s v="Yes"/>
    <n v="1"/>
    <n v="0"/>
    <x v="2"/>
    <n v="25"/>
    <n v="0"/>
    <x v="10"/>
    <x v="1"/>
    <x v="1"/>
    <x v="1"/>
    <x v="1"/>
    <x v="30"/>
    <x v="20"/>
  </r>
  <r>
    <x v="78"/>
    <x v="77"/>
    <x v="77"/>
    <x v="0"/>
    <x v="1"/>
    <s v="Change Management"/>
    <s v="Yes"/>
    <n v="1"/>
    <n v="0"/>
    <x v="2"/>
    <n v="10"/>
    <n v="0"/>
    <x v="10"/>
    <x v="1"/>
    <x v="1"/>
    <x v="1"/>
    <x v="1"/>
    <x v="30"/>
    <x v="0"/>
  </r>
  <r>
    <x v="79"/>
    <x v="78"/>
    <x v="78"/>
    <x v="0"/>
    <x v="1"/>
    <s v="Change Management"/>
    <s v="Yes"/>
    <n v="1"/>
    <n v="0"/>
    <x v="2"/>
    <n v="15"/>
    <n v="0"/>
    <x v="2"/>
    <x v="1"/>
    <x v="1"/>
    <x v="1"/>
    <x v="1"/>
    <x v="30"/>
    <x v="0"/>
  </r>
  <r>
    <x v="80"/>
    <x v="79"/>
    <x v="79"/>
    <x v="0"/>
    <x v="0"/>
    <s v="Change Management"/>
    <s v="Yes"/>
    <n v="1"/>
    <n v="0"/>
    <x v="2"/>
    <n v="25"/>
    <n v="0"/>
    <x v="10"/>
    <x v="1"/>
    <x v="16"/>
    <x v="19"/>
    <x v="27"/>
    <x v="30"/>
    <x v="2"/>
  </r>
  <r>
    <x v="81"/>
    <x v="80"/>
    <x v="80"/>
    <x v="0"/>
    <x v="1"/>
    <s v="Change Management"/>
    <s v="Yes"/>
    <n v="1"/>
    <n v="0"/>
    <x v="2"/>
    <n v="15"/>
    <n v="0"/>
    <x v="2"/>
    <x v="1"/>
    <x v="1"/>
    <x v="1"/>
    <x v="28"/>
    <x v="30"/>
    <x v="0"/>
  </r>
  <r>
    <x v="82"/>
    <x v="81"/>
    <x v="81"/>
    <x v="0"/>
    <x v="1"/>
    <s v="Change Management"/>
    <s v="Yes"/>
    <n v="1"/>
    <n v="0"/>
    <x v="2"/>
    <n v="15"/>
    <n v="0"/>
    <x v="10"/>
    <x v="1"/>
    <x v="1"/>
    <x v="1"/>
    <x v="1"/>
    <x v="30"/>
    <x v="0"/>
  </r>
  <r>
    <x v="83"/>
    <x v="82"/>
    <x v="82"/>
    <x v="0"/>
    <x v="1"/>
    <s v="Change Management"/>
    <s v="Yes"/>
    <n v="1"/>
    <n v="0"/>
    <x v="2"/>
    <n v="15"/>
    <n v="0"/>
    <x v="5"/>
    <x v="1"/>
    <x v="1"/>
    <x v="1"/>
    <x v="1"/>
    <x v="30"/>
    <x v="0"/>
  </r>
  <r>
    <x v="84"/>
    <x v="83"/>
    <x v="83"/>
    <x v="0"/>
    <x v="1"/>
    <s v="Change Management"/>
    <s v="Yes"/>
    <n v="1"/>
    <n v="0"/>
    <x v="2"/>
    <n v="20"/>
    <n v="0"/>
    <x v="10"/>
    <x v="1"/>
    <x v="31"/>
    <x v="1"/>
    <x v="1"/>
    <x v="30"/>
    <x v="21"/>
  </r>
  <r>
    <x v="85"/>
    <x v="84"/>
    <x v="84"/>
    <x v="0"/>
    <x v="1"/>
    <s v="Change Management"/>
    <s v="Yes"/>
    <n v="1"/>
    <n v="0"/>
    <x v="2"/>
    <n v="20"/>
    <n v="0"/>
    <x v="0"/>
    <x v="4"/>
    <x v="31"/>
    <x v="1"/>
    <x v="1"/>
    <x v="30"/>
    <x v="22"/>
  </r>
  <r>
    <x v="86"/>
    <x v="85"/>
    <x v="85"/>
    <x v="0"/>
    <x v="1"/>
    <s v="Change Management"/>
    <s v="Yes"/>
    <n v="1"/>
    <n v="0"/>
    <x v="2"/>
    <n v="15"/>
    <n v="0"/>
    <x v="2"/>
    <x v="1"/>
    <x v="1"/>
    <x v="1"/>
    <x v="1"/>
    <x v="30"/>
    <x v="23"/>
  </r>
  <r>
    <x v="87"/>
    <x v="86"/>
    <x v="86"/>
    <x v="0"/>
    <x v="1"/>
    <s v="Change Management"/>
    <s v="Yes"/>
    <n v="1"/>
    <n v="0"/>
    <x v="2"/>
    <n v="15"/>
    <n v="0"/>
    <x v="2"/>
    <x v="1"/>
    <x v="30"/>
    <x v="17"/>
    <x v="1"/>
    <x v="30"/>
    <x v="24"/>
  </r>
  <r>
    <x v="88"/>
    <x v="87"/>
    <x v="87"/>
    <x v="0"/>
    <x v="0"/>
    <s v="Data"/>
    <s v="Yes"/>
    <n v="1"/>
    <n v="0"/>
    <x v="2"/>
    <n v="25"/>
    <n v="0"/>
    <x v="9"/>
    <x v="1"/>
    <x v="1"/>
    <x v="20"/>
    <x v="29"/>
    <x v="31"/>
    <x v="1"/>
  </r>
  <r>
    <x v="89"/>
    <x v="88"/>
    <x v="88"/>
    <x v="0"/>
    <x v="1"/>
    <s v="Data"/>
    <s v="Yes"/>
    <n v="1"/>
    <n v="0"/>
    <x v="2"/>
    <n v="15"/>
    <n v="0"/>
    <x v="9"/>
    <x v="1"/>
    <x v="1"/>
    <x v="20"/>
    <x v="30"/>
    <x v="32"/>
    <x v="25"/>
  </r>
  <r>
    <x v="90"/>
    <x v="89"/>
    <x v="89"/>
    <x v="0"/>
    <x v="0"/>
    <s v="Data"/>
    <s v="Yes"/>
    <n v="1"/>
    <n v="0"/>
    <x v="2"/>
    <n v="25"/>
    <n v="0"/>
    <x v="0"/>
    <x v="1"/>
    <x v="32"/>
    <x v="21"/>
    <x v="1"/>
    <x v="2"/>
    <x v="26"/>
  </r>
  <r>
    <x v="91"/>
    <x v="90"/>
    <x v="90"/>
    <x v="0"/>
    <x v="0"/>
    <s v="Data"/>
    <s v="Yes"/>
    <n v="1"/>
    <n v="0"/>
    <x v="2"/>
    <n v="40"/>
    <n v="0"/>
    <x v="0"/>
    <x v="1"/>
    <x v="33"/>
    <x v="22"/>
    <x v="31"/>
    <x v="33"/>
    <x v="1"/>
  </r>
  <r>
    <x v="92"/>
    <x v="91"/>
    <x v="91"/>
    <x v="0"/>
    <x v="0"/>
    <s v="Data"/>
    <s v="Yes"/>
    <n v="1"/>
    <n v="0"/>
    <x v="2"/>
    <n v="25"/>
    <n v="0"/>
    <x v="0"/>
    <x v="1"/>
    <x v="33"/>
    <x v="1"/>
    <x v="32"/>
    <x v="2"/>
    <x v="2"/>
  </r>
  <r>
    <x v="93"/>
    <x v="92"/>
    <x v="92"/>
    <x v="0"/>
    <x v="0"/>
    <s v="Data"/>
    <s v="Yes"/>
    <n v="1"/>
    <n v="0"/>
    <x v="2"/>
    <n v="25"/>
    <n v="0"/>
    <x v="0"/>
    <x v="1"/>
    <x v="34"/>
    <x v="21"/>
    <x v="1"/>
    <x v="34"/>
    <x v="26"/>
  </r>
  <r>
    <x v="94"/>
    <x v="93"/>
    <x v="93"/>
    <x v="0"/>
    <x v="1"/>
    <s v="Data"/>
    <m/>
    <n v="1"/>
    <n v="0"/>
    <x v="2"/>
    <n v="20"/>
    <n v="0"/>
    <x v="15"/>
    <x v="1"/>
    <x v="1"/>
    <x v="1"/>
    <x v="33"/>
    <x v="12"/>
    <x v="25"/>
  </r>
  <r>
    <x v="95"/>
    <x v="94"/>
    <x v="94"/>
    <x v="0"/>
    <x v="0"/>
    <s v="Data"/>
    <s v="Yes"/>
    <n v="1"/>
    <n v="0"/>
    <x v="2"/>
    <n v="25"/>
    <n v="0"/>
    <x v="0"/>
    <x v="1"/>
    <x v="35"/>
    <x v="1"/>
    <x v="33"/>
    <x v="12"/>
    <x v="1"/>
  </r>
  <r>
    <x v="96"/>
    <x v="95"/>
    <x v="95"/>
    <x v="0"/>
    <x v="1"/>
    <s v="Data"/>
    <s v="Yes"/>
    <n v="1"/>
    <n v="0"/>
    <x v="2"/>
    <n v="20"/>
    <n v="0"/>
    <x v="0"/>
    <x v="1"/>
    <x v="35"/>
    <x v="1"/>
    <x v="1"/>
    <x v="2"/>
    <x v="1"/>
  </r>
  <r>
    <x v="97"/>
    <x v="96"/>
    <x v="96"/>
    <x v="0"/>
    <x v="1"/>
    <s v="Data"/>
    <s v="Yes"/>
    <n v="1"/>
    <n v="0"/>
    <x v="2"/>
    <n v="15"/>
    <n v="0"/>
    <x v="5"/>
    <x v="1"/>
    <x v="36"/>
    <x v="1"/>
    <x v="1"/>
    <x v="2"/>
    <x v="1"/>
  </r>
  <r>
    <x v="98"/>
    <x v="97"/>
    <x v="97"/>
    <x v="0"/>
    <x v="0"/>
    <s v="Data"/>
    <s v="Yes"/>
    <n v="1"/>
    <n v="0"/>
    <x v="2"/>
    <n v="25"/>
    <n v="0"/>
    <x v="0"/>
    <x v="1"/>
    <x v="37"/>
    <x v="1"/>
    <x v="33"/>
    <x v="2"/>
    <x v="1"/>
  </r>
  <r>
    <x v="99"/>
    <x v="98"/>
    <x v="98"/>
    <x v="0"/>
    <x v="1"/>
    <s v="Data"/>
    <s v="Yes"/>
    <n v="0"/>
    <n v="0"/>
    <x v="2"/>
    <n v="0"/>
    <s v=""/>
    <x v="0"/>
    <x v="1"/>
    <x v="37"/>
    <x v="1"/>
    <x v="5"/>
    <x v="2"/>
    <x v="1"/>
  </r>
  <r>
    <x v="100"/>
    <x v="99"/>
    <x v="99"/>
    <x v="0"/>
    <x v="1"/>
    <s v="Data"/>
    <s v="Yes"/>
    <n v="1"/>
    <n v="0"/>
    <x v="2"/>
    <n v="15"/>
    <n v="0"/>
    <x v="16"/>
    <x v="1"/>
    <x v="37"/>
    <x v="1"/>
    <x v="33"/>
    <x v="2"/>
    <x v="1"/>
  </r>
  <r>
    <x v="101"/>
    <x v="100"/>
    <x v="100"/>
    <x v="0"/>
    <x v="1"/>
    <s v="Data"/>
    <m/>
    <n v="1"/>
    <n v="0"/>
    <x v="2"/>
    <n v="20"/>
    <n v="0"/>
    <x v="2"/>
    <x v="1"/>
    <x v="36"/>
    <x v="23"/>
    <x v="34"/>
    <x v="35"/>
    <x v="27"/>
  </r>
  <r>
    <x v="102"/>
    <x v="101"/>
    <x v="101"/>
    <x v="0"/>
    <x v="1"/>
    <s v="Data"/>
    <s v="Yes"/>
    <n v="1"/>
    <n v="0"/>
    <x v="2"/>
    <n v="20"/>
    <n v="0"/>
    <x v="2"/>
    <x v="1"/>
    <x v="36"/>
    <x v="23"/>
    <x v="34"/>
    <x v="35"/>
    <x v="1"/>
  </r>
  <r>
    <x v="103"/>
    <x v="102"/>
    <x v="102"/>
    <x v="0"/>
    <x v="1"/>
    <s v="Data"/>
    <m/>
    <n v="1"/>
    <n v="0"/>
    <x v="2"/>
    <n v="20"/>
    <n v="0"/>
    <x v="2"/>
    <x v="1"/>
    <x v="36"/>
    <x v="23"/>
    <x v="34"/>
    <x v="35"/>
    <x v="0"/>
  </r>
  <r>
    <x v="104"/>
    <x v="103"/>
    <x v="103"/>
    <x v="0"/>
    <x v="0"/>
    <s v="Data"/>
    <s v="Yes"/>
    <n v="1"/>
    <n v="0"/>
    <x v="2"/>
    <n v="25"/>
    <n v="0"/>
    <x v="2"/>
    <x v="1"/>
    <x v="36"/>
    <x v="24"/>
    <x v="34"/>
    <x v="35"/>
    <x v="0"/>
  </r>
  <r>
    <x v="105"/>
    <x v="104"/>
    <x v="104"/>
    <x v="0"/>
    <x v="1"/>
    <s v="Data"/>
    <s v="Yes"/>
    <n v="1"/>
    <n v="0"/>
    <x v="2"/>
    <n v="15"/>
    <n v="0"/>
    <x v="2"/>
    <x v="1"/>
    <x v="38"/>
    <x v="1"/>
    <x v="35"/>
    <x v="36"/>
    <x v="0"/>
  </r>
  <r>
    <x v="106"/>
    <x v="105"/>
    <x v="105"/>
    <x v="0"/>
    <x v="1"/>
    <s v="Data"/>
    <s v="Yes"/>
    <n v="1"/>
    <n v="0"/>
    <x v="2"/>
    <n v="10"/>
    <n v="0"/>
    <x v="2"/>
    <x v="1"/>
    <x v="36"/>
    <x v="23"/>
    <x v="36"/>
    <x v="35"/>
    <x v="27"/>
  </r>
  <r>
    <x v="107"/>
    <x v="106"/>
    <x v="106"/>
    <x v="0"/>
    <x v="1"/>
    <s v="Data"/>
    <s v="Yes"/>
    <n v="1"/>
    <n v="0"/>
    <x v="2"/>
    <n v="20"/>
    <n v="0"/>
    <x v="2"/>
    <x v="1"/>
    <x v="36"/>
    <x v="23"/>
    <x v="37"/>
    <x v="37"/>
    <x v="27"/>
  </r>
  <r>
    <x v="108"/>
    <x v="107"/>
    <x v="107"/>
    <x v="0"/>
    <x v="1"/>
    <s v="Data"/>
    <s v="Yes"/>
    <n v="1"/>
    <n v="0"/>
    <x v="2"/>
    <n v="20"/>
    <n v="0"/>
    <x v="0"/>
    <x v="1"/>
    <x v="36"/>
    <x v="1"/>
    <x v="34"/>
    <x v="37"/>
    <x v="1"/>
  </r>
  <r>
    <x v="109"/>
    <x v="108"/>
    <x v="108"/>
    <x v="0"/>
    <x v="0"/>
    <s v="Data"/>
    <s v="No"/>
    <n v="1"/>
    <n v="0"/>
    <x v="2"/>
    <n v="25"/>
    <n v="0"/>
    <x v="0"/>
    <x v="1"/>
    <x v="39"/>
    <x v="25"/>
    <x v="38"/>
    <x v="38"/>
    <x v="27"/>
  </r>
  <r>
    <x v="110"/>
    <x v="109"/>
    <x v="109"/>
    <x v="0"/>
    <x v="1"/>
    <s v="Data"/>
    <s v="Yes"/>
    <n v="1"/>
    <n v="0"/>
    <x v="2"/>
    <n v="15"/>
    <n v="0"/>
    <x v="0"/>
    <x v="1"/>
    <x v="40"/>
    <x v="25"/>
    <x v="39"/>
    <x v="39"/>
    <x v="0"/>
  </r>
  <r>
    <x v="111"/>
    <x v="110"/>
    <x v="110"/>
    <x v="0"/>
    <x v="1"/>
    <s v="Data"/>
    <s v="Yes"/>
    <n v="1"/>
    <n v="0"/>
    <x v="2"/>
    <n v="20"/>
    <n v="0"/>
    <x v="0"/>
    <x v="1"/>
    <x v="40"/>
    <x v="26"/>
    <x v="39"/>
    <x v="40"/>
    <x v="0"/>
  </r>
  <r>
    <x v="112"/>
    <x v="111"/>
    <x v="111"/>
    <x v="0"/>
    <x v="1"/>
    <s v="Data"/>
    <s v="Yes"/>
    <n v="1"/>
    <n v="0"/>
    <x v="2"/>
    <n v="20"/>
    <n v="0"/>
    <x v="0"/>
    <x v="1"/>
    <x v="40"/>
    <x v="25"/>
    <x v="40"/>
    <x v="41"/>
    <x v="25"/>
  </r>
  <r>
    <x v="113"/>
    <x v="112"/>
    <x v="112"/>
    <x v="0"/>
    <x v="1"/>
    <s v="Data"/>
    <s v="Yes"/>
    <n v="1"/>
    <n v="0"/>
    <x v="2"/>
    <n v="20"/>
    <n v="0"/>
    <x v="0"/>
    <x v="1"/>
    <x v="0"/>
    <x v="0"/>
    <x v="1"/>
    <x v="2"/>
    <x v="0"/>
  </r>
  <r>
    <x v="114"/>
    <x v="113"/>
    <x v="113"/>
    <x v="0"/>
    <x v="0"/>
    <s v="Data"/>
    <s v="Yes"/>
    <n v="1"/>
    <n v="0"/>
    <x v="2"/>
    <n v="25"/>
    <n v="0"/>
    <x v="17"/>
    <x v="1"/>
    <x v="41"/>
    <x v="13"/>
    <x v="1"/>
    <x v="2"/>
    <x v="0"/>
  </r>
  <r>
    <x v="115"/>
    <x v="114"/>
    <x v="114"/>
    <x v="0"/>
    <x v="0"/>
    <s v="Database"/>
    <s v="Yes"/>
    <n v="1"/>
    <n v="0"/>
    <x v="2"/>
    <n v="25"/>
    <n v="0"/>
    <x v="0"/>
    <x v="1"/>
    <x v="32"/>
    <x v="22"/>
    <x v="1"/>
    <x v="2"/>
    <x v="0"/>
  </r>
  <r>
    <x v="116"/>
    <x v="115"/>
    <x v="115"/>
    <x v="0"/>
    <x v="0"/>
    <s v="Database"/>
    <s v="Yes"/>
    <n v="1"/>
    <n v="0"/>
    <x v="2"/>
    <n v="25"/>
    <n v="0"/>
    <x v="0"/>
    <x v="1"/>
    <x v="32"/>
    <x v="27"/>
    <x v="1"/>
    <x v="2"/>
    <x v="0"/>
  </r>
  <r>
    <x v="117"/>
    <x v="116"/>
    <x v="116"/>
    <x v="0"/>
    <x v="1"/>
    <s v="Datacenter"/>
    <s v="Yes"/>
    <n v="1"/>
    <n v="0"/>
    <x v="2"/>
    <n v="15"/>
    <n v="0"/>
    <x v="4"/>
    <x v="1"/>
    <x v="42"/>
    <x v="20"/>
    <x v="1"/>
    <x v="2"/>
    <x v="25"/>
  </r>
  <r>
    <x v="118"/>
    <x v="117"/>
    <x v="117"/>
    <x v="0"/>
    <x v="1"/>
    <s v="Datacenter"/>
    <s v="Yes"/>
    <n v="1"/>
    <n v="0"/>
    <x v="2"/>
    <n v="15"/>
    <n v="0"/>
    <x v="0"/>
    <x v="1"/>
    <x v="42"/>
    <x v="1"/>
    <x v="1"/>
    <x v="2"/>
    <x v="0"/>
  </r>
  <r>
    <x v="119"/>
    <x v="118"/>
    <x v="118"/>
    <x v="0"/>
    <x v="1"/>
    <s v="Datacenter"/>
    <s v="Yes"/>
    <n v="1"/>
    <n v="0"/>
    <x v="2"/>
    <n v="15"/>
    <n v="0"/>
    <x v="18"/>
    <x v="1"/>
    <x v="29"/>
    <x v="1"/>
    <x v="1"/>
    <x v="2"/>
    <x v="0"/>
  </r>
  <r>
    <x v="120"/>
    <x v="119"/>
    <x v="119"/>
    <x v="0"/>
    <x v="0"/>
    <s v="Datacenter"/>
    <s v="No"/>
    <n v="1"/>
    <n v="0"/>
    <x v="2"/>
    <n v="25"/>
    <n v="0"/>
    <x v="19"/>
    <x v="1"/>
    <x v="1"/>
    <x v="1"/>
    <x v="1"/>
    <x v="11"/>
    <x v="1"/>
  </r>
  <r>
    <x v="121"/>
    <x v="24"/>
    <x v="24"/>
    <x v="2"/>
    <x v="0"/>
    <s v="Datacenter"/>
    <s v="Yes"/>
    <n v="0"/>
    <e v="#N/A"/>
    <x v="3"/>
    <s v=""/>
    <s v=""/>
    <x v="6"/>
    <x v="3"/>
    <x v="10"/>
    <x v="6"/>
    <x v="8"/>
    <x v="13"/>
    <x v="7"/>
  </r>
  <r>
    <x v="122"/>
    <x v="24"/>
    <x v="24"/>
    <x v="2"/>
    <x v="0"/>
    <s v="Datacenter"/>
    <s v="Yes"/>
    <n v="0"/>
    <e v="#N/A"/>
    <x v="3"/>
    <s v=""/>
    <s v=""/>
    <x v="6"/>
    <x v="3"/>
    <x v="10"/>
    <x v="6"/>
    <x v="8"/>
    <x v="13"/>
    <x v="7"/>
  </r>
  <r>
    <x v="123"/>
    <x v="120"/>
    <x v="120"/>
    <x v="0"/>
    <x v="1"/>
    <s v="Datacenter"/>
    <s v="Yes"/>
    <n v="1"/>
    <n v="0"/>
    <x v="2"/>
    <n v="20"/>
    <n v="0"/>
    <x v="20"/>
    <x v="1"/>
    <x v="1"/>
    <x v="28"/>
    <x v="41"/>
    <x v="2"/>
    <x v="0"/>
  </r>
  <r>
    <x v="124"/>
    <x v="121"/>
    <x v="121"/>
    <x v="0"/>
    <x v="1"/>
    <s v="Datacenter"/>
    <s v="No"/>
    <n v="1"/>
    <n v="0"/>
    <x v="2"/>
    <n v="20"/>
    <n v="0"/>
    <x v="9"/>
    <x v="1"/>
    <x v="0"/>
    <x v="1"/>
    <x v="1"/>
    <x v="2"/>
    <x v="1"/>
  </r>
  <r>
    <x v="125"/>
    <x v="122"/>
    <x v="122"/>
    <x v="0"/>
    <x v="0"/>
    <s v="Datacenter"/>
    <s v="No"/>
    <n v="1"/>
    <n v="0"/>
    <x v="2"/>
    <n v="25"/>
    <n v="0"/>
    <x v="9"/>
    <x v="1"/>
    <x v="0"/>
    <x v="1"/>
    <x v="1"/>
    <x v="2"/>
    <x v="28"/>
  </r>
  <r>
    <x v="126"/>
    <x v="24"/>
    <x v="24"/>
    <x v="2"/>
    <x v="0"/>
    <s v="Datacenter"/>
    <s v="No"/>
    <n v="0"/>
    <e v="#N/A"/>
    <x v="3"/>
    <s v=""/>
    <s v=""/>
    <x v="6"/>
    <x v="3"/>
    <x v="10"/>
    <x v="6"/>
    <x v="8"/>
    <x v="13"/>
    <x v="7"/>
  </r>
  <r>
    <x v="127"/>
    <x v="123"/>
    <x v="123"/>
    <x v="0"/>
    <x v="1"/>
    <s v="Datacenter"/>
    <s v="Yes"/>
    <n v="1"/>
    <n v="0"/>
    <x v="2"/>
    <n v="20"/>
    <n v="0"/>
    <x v="2"/>
    <x v="1"/>
    <x v="43"/>
    <x v="1"/>
    <x v="1"/>
    <x v="2"/>
    <x v="1"/>
  </r>
  <r>
    <x v="128"/>
    <x v="124"/>
    <x v="124"/>
    <x v="0"/>
    <x v="1"/>
    <s v="Datacenter"/>
    <s v="Yes"/>
    <n v="1"/>
    <n v="0"/>
    <x v="2"/>
    <n v="20"/>
    <n v="0"/>
    <x v="9"/>
    <x v="1"/>
    <x v="0"/>
    <x v="1"/>
    <x v="1"/>
    <x v="2"/>
    <x v="1"/>
  </r>
  <r>
    <x v="129"/>
    <x v="125"/>
    <x v="125"/>
    <x v="0"/>
    <x v="1"/>
    <s v="Datacenter"/>
    <s v="Yes"/>
    <n v="1"/>
    <n v="0"/>
    <x v="2"/>
    <n v="15"/>
    <n v="0"/>
    <x v="5"/>
    <x v="1"/>
    <x v="24"/>
    <x v="1"/>
    <x v="1"/>
    <x v="2"/>
    <x v="0"/>
  </r>
  <r>
    <x v="130"/>
    <x v="126"/>
    <x v="126"/>
    <x v="0"/>
    <x v="1"/>
    <s v="Datacenter"/>
    <s v="Yes"/>
    <n v="1"/>
    <n v="0"/>
    <x v="2"/>
    <n v="20"/>
    <n v="0"/>
    <x v="2"/>
    <x v="1"/>
    <x v="24"/>
    <x v="29"/>
    <x v="1"/>
    <x v="2"/>
    <x v="0"/>
  </r>
  <r>
    <x v="131"/>
    <x v="127"/>
    <x v="127"/>
    <x v="0"/>
    <x v="1"/>
    <s v="Datacenter"/>
    <s v="Yes"/>
    <n v="1"/>
    <n v="0"/>
    <x v="2"/>
    <n v="20"/>
    <n v="0"/>
    <x v="5"/>
    <x v="1"/>
    <x v="29"/>
    <x v="29"/>
    <x v="1"/>
    <x v="2"/>
    <x v="0"/>
  </r>
  <r>
    <x v="132"/>
    <x v="24"/>
    <x v="24"/>
    <x v="2"/>
    <x v="0"/>
    <s v="Datacenter"/>
    <s v="Yes"/>
    <n v="0"/>
    <e v="#N/A"/>
    <x v="3"/>
    <s v=""/>
    <s v=""/>
    <x v="6"/>
    <x v="3"/>
    <x v="10"/>
    <x v="6"/>
    <x v="8"/>
    <x v="13"/>
    <x v="7"/>
  </r>
  <r>
    <x v="133"/>
    <x v="128"/>
    <x v="128"/>
    <x v="0"/>
    <x v="1"/>
    <s v="Datacenter"/>
    <s v="Yes"/>
    <n v="1"/>
    <n v="0"/>
    <x v="2"/>
    <n v="20"/>
    <n v="0"/>
    <x v="5"/>
    <x v="1"/>
    <x v="29"/>
    <x v="1"/>
    <x v="1"/>
    <x v="42"/>
    <x v="0"/>
  </r>
  <r>
    <x v="134"/>
    <x v="129"/>
    <x v="129"/>
    <x v="0"/>
    <x v="1"/>
    <s v="Datacenter"/>
    <s v="Yes"/>
    <n v="1"/>
    <n v="0"/>
    <x v="2"/>
    <n v="20"/>
    <n v="0"/>
    <x v="2"/>
    <x v="1"/>
    <x v="29"/>
    <x v="29"/>
    <x v="1"/>
    <x v="42"/>
    <x v="1"/>
  </r>
  <r>
    <x v="135"/>
    <x v="130"/>
    <x v="130"/>
    <x v="0"/>
    <x v="1"/>
    <s v="Datacenter"/>
    <s v="Yes"/>
    <n v="1"/>
    <n v="0"/>
    <x v="2"/>
    <n v="20"/>
    <n v="0"/>
    <x v="0"/>
    <x v="1"/>
    <x v="29"/>
    <x v="29"/>
    <x v="1"/>
    <x v="42"/>
    <x v="1"/>
  </r>
  <r>
    <x v="136"/>
    <x v="131"/>
    <x v="131"/>
    <x v="0"/>
    <x v="0"/>
    <s v="Disaster Recovery Plan"/>
    <s v="Yes"/>
    <n v="1"/>
    <n v="0"/>
    <x v="2"/>
    <n v="25"/>
    <n v="0"/>
    <x v="2"/>
    <x v="1"/>
    <x v="24"/>
    <x v="3"/>
    <x v="23"/>
    <x v="28"/>
    <x v="1"/>
  </r>
  <r>
    <x v="137"/>
    <x v="132"/>
    <x v="132"/>
    <x v="0"/>
    <x v="1"/>
    <s v="Disaster Recovery Plan"/>
    <s v="Yes"/>
    <n v="1"/>
    <n v="0"/>
    <x v="2"/>
    <n v="20"/>
    <n v="0"/>
    <x v="2"/>
    <x v="1"/>
    <x v="44"/>
    <x v="3"/>
    <x v="23"/>
    <x v="28"/>
    <x v="1"/>
  </r>
  <r>
    <x v="138"/>
    <x v="133"/>
    <x v="133"/>
    <x v="0"/>
    <x v="1"/>
    <s v="Disaster Recovery Plan"/>
    <s v="Yes"/>
    <n v="1"/>
    <n v="0"/>
    <x v="2"/>
    <n v="20"/>
    <n v="0"/>
    <x v="2"/>
    <x v="1"/>
    <x v="1"/>
    <x v="3"/>
    <x v="23"/>
    <x v="28"/>
    <x v="1"/>
  </r>
  <r>
    <x v="139"/>
    <x v="134"/>
    <x v="134"/>
    <x v="0"/>
    <x v="1"/>
    <s v="Disaster Recovery Plan"/>
    <s v="No"/>
    <n v="1"/>
    <n v="0"/>
    <x v="2"/>
    <n v="20"/>
    <n v="0"/>
    <x v="21"/>
    <x v="1"/>
    <x v="24"/>
    <x v="3"/>
    <x v="1"/>
    <x v="28"/>
    <x v="1"/>
  </r>
  <r>
    <x v="140"/>
    <x v="135"/>
    <x v="135"/>
    <x v="0"/>
    <x v="1"/>
    <s v="Disaster Recovery Plan"/>
    <s v="Yes"/>
    <n v="1"/>
    <n v="0"/>
    <x v="2"/>
    <n v="20"/>
    <n v="0"/>
    <x v="2"/>
    <x v="1"/>
    <x v="29"/>
    <x v="3"/>
    <x v="1"/>
    <x v="28"/>
    <x v="0"/>
  </r>
  <r>
    <x v="141"/>
    <x v="24"/>
    <x v="24"/>
    <x v="2"/>
    <x v="0"/>
    <s v="Disaster Recovery Plan"/>
    <s v="Yes"/>
    <n v="0"/>
    <e v="#N/A"/>
    <x v="3"/>
    <s v=""/>
    <s v=""/>
    <x v="6"/>
    <x v="3"/>
    <x v="10"/>
    <x v="6"/>
    <x v="8"/>
    <x v="13"/>
    <x v="7"/>
  </r>
  <r>
    <x v="142"/>
    <x v="136"/>
    <x v="136"/>
    <x v="0"/>
    <x v="0"/>
    <s v="Disaster Recovery Plan"/>
    <s v="Yes"/>
    <n v="1"/>
    <n v="0"/>
    <x v="2"/>
    <n v="25"/>
    <n v="0"/>
    <x v="2"/>
    <x v="1"/>
    <x v="1"/>
    <x v="3"/>
    <x v="23"/>
    <x v="28"/>
    <x v="1"/>
  </r>
  <r>
    <x v="143"/>
    <x v="137"/>
    <x v="137"/>
    <x v="0"/>
    <x v="1"/>
    <s v="Disaster Recovery Plan"/>
    <s v="Yes"/>
    <n v="1"/>
    <n v="0"/>
    <x v="2"/>
    <n v="20"/>
    <n v="0"/>
    <x v="2"/>
    <x v="1"/>
    <x v="2"/>
    <x v="3"/>
    <x v="23"/>
    <x v="28"/>
    <x v="1"/>
  </r>
  <r>
    <x v="144"/>
    <x v="138"/>
    <x v="138"/>
    <x v="0"/>
    <x v="1"/>
    <s v="Disaster Recovery Plan"/>
    <s v="Yes"/>
    <n v="1"/>
    <n v="0"/>
    <x v="2"/>
    <n v="20"/>
    <n v="0"/>
    <x v="2"/>
    <x v="1"/>
    <x v="26"/>
    <x v="3"/>
    <x v="23"/>
    <x v="28"/>
    <x v="0"/>
  </r>
  <r>
    <x v="145"/>
    <x v="139"/>
    <x v="139"/>
    <x v="0"/>
    <x v="1"/>
    <s v="Disaster Recovery Plan"/>
    <s v="Yes"/>
    <n v="1"/>
    <n v="0"/>
    <x v="2"/>
    <n v="20"/>
    <n v="0"/>
    <x v="2"/>
    <x v="1"/>
    <x v="26"/>
    <x v="3"/>
    <x v="23"/>
    <x v="28"/>
    <x v="0"/>
  </r>
  <r>
    <x v="146"/>
    <x v="24"/>
    <x v="24"/>
    <x v="2"/>
    <x v="0"/>
    <s v="Disaster Recovery Plan"/>
    <s v="Yes"/>
    <n v="0"/>
    <e v="#N/A"/>
    <x v="3"/>
    <s v=""/>
    <s v=""/>
    <x v="6"/>
    <x v="3"/>
    <x v="10"/>
    <x v="6"/>
    <x v="8"/>
    <x v="13"/>
    <x v="7"/>
  </r>
  <r>
    <x v="147"/>
    <x v="140"/>
    <x v="140"/>
    <x v="0"/>
    <x v="1"/>
    <s v="Disaster Recovery Plan"/>
    <s v="Yes"/>
    <n v="1"/>
    <n v="0"/>
    <x v="2"/>
    <n v="20"/>
    <n v="0"/>
    <x v="2"/>
    <x v="1"/>
    <x v="24"/>
    <x v="3"/>
    <x v="23"/>
    <x v="28"/>
    <x v="0"/>
  </r>
  <r>
    <x v="148"/>
    <x v="141"/>
    <x v="141"/>
    <x v="0"/>
    <x v="1"/>
    <s v="Disaster Recovery Plan"/>
    <s v="Yes"/>
    <n v="1"/>
    <n v="0"/>
    <x v="2"/>
    <n v="20"/>
    <n v="0"/>
    <x v="5"/>
    <x v="1"/>
    <x v="1"/>
    <x v="1"/>
    <x v="42"/>
    <x v="28"/>
    <x v="1"/>
  </r>
  <r>
    <x v="149"/>
    <x v="142"/>
    <x v="142"/>
    <x v="0"/>
    <x v="0"/>
    <s v="Firewalls, IDS, IPS, and Networking"/>
    <s v="Yes"/>
    <n v="1"/>
    <n v="0"/>
    <x v="2"/>
    <n v="25"/>
    <n v="0"/>
    <x v="20"/>
    <x v="1"/>
    <x v="45"/>
    <x v="30"/>
    <x v="1"/>
    <x v="2"/>
    <x v="29"/>
  </r>
  <r>
    <x v="150"/>
    <x v="143"/>
    <x v="143"/>
    <x v="0"/>
    <x v="0"/>
    <s v="Firewalls, IDS, IPS, and Networking"/>
    <s v="Yes"/>
    <n v="1"/>
    <n v="0"/>
    <x v="2"/>
    <n v="25"/>
    <n v="0"/>
    <x v="20"/>
    <x v="1"/>
    <x v="45"/>
    <x v="30"/>
    <x v="1"/>
    <x v="2"/>
    <x v="29"/>
  </r>
  <r>
    <x v="151"/>
    <x v="144"/>
    <x v="144"/>
    <x v="0"/>
    <x v="1"/>
    <s v="Firewalls, IDS, IPS, and Networking"/>
    <s v="Yes"/>
    <n v="1"/>
    <n v="0"/>
    <x v="2"/>
    <n v="20"/>
    <n v="0"/>
    <x v="20"/>
    <x v="1"/>
    <x v="46"/>
    <x v="28"/>
    <x v="1"/>
    <x v="2"/>
    <x v="29"/>
  </r>
  <r>
    <x v="152"/>
    <x v="145"/>
    <x v="145"/>
    <x v="0"/>
    <x v="0"/>
    <s v="Firewalls, IDS, IPS, and Networking"/>
    <s v="Yes"/>
    <n v="1"/>
    <n v="0"/>
    <x v="2"/>
    <n v="25"/>
    <n v="0"/>
    <x v="20"/>
    <x v="1"/>
    <x v="30"/>
    <x v="28"/>
    <x v="1"/>
    <x v="2"/>
    <x v="29"/>
  </r>
  <r>
    <x v="153"/>
    <x v="146"/>
    <x v="146"/>
    <x v="0"/>
    <x v="0"/>
    <s v="Firewalls, IDS, IPS, and Networking"/>
    <s v="Yes"/>
    <n v="1"/>
    <n v="0"/>
    <x v="2"/>
    <n v="25"/>
    <n v="0"/>
    <x v="22"/>
    <x v="1"/>
    <x v="47"/>
    <x v="31"/>
    <x v="43"/>
    <x v="43"/>
    <x v="30"/>
  </r>
  <r>
    <x v="154"/>
    <x v="147"/>
    <x v="147"/>
    <x v="0"/>
    <x v="1"/>
    <s v="Firewalls, IDS, IPS, and Networking"/>
    <s v="Yes"/>
    <n v="1"/>
    <n v="0"/>
    <x v="2"/>
    <n v="20"/>
    <n v="0"/>
    <x v="22"/>
    <x v="1"/>
    <x v="47"/>
    <x v="31"/>
    <x v="43"/>
    <x v="43"/>
    <x v="30"/>
  </r>
  <r>
    <x v="155"/>
    <x v="148"/>
    <x v="148"/>
    <x v="0"/>
    <x v="0"/>
    <s v="Firewalls, IDS, IPS, and Networking"/>
    <s v="Yes"/>
    <n v="1"/>
    <n v="0"/>
    <x v="2"/>
    <n v="25"/>
    <n v="0"/>
    <x v="22"/>
    <x v="1"/>
    <x v="47"/>
    <x v="31"/>
    <x v="43"/>
    <x v="43"/>
    <x v="30"/>
  </r>
  <r>
    <x v="156"/>
    <x v="149"/>
    <x v="149"/>
    <x v="0"/>
    <x v="1"/>
    <s v="Firewalls, IDS, IPS, and Networking"/>
    <s v="Yes"/>
    <n v="1"/>
    <n v="0"/>
    <x v="2"/>
    <n v="20"/>
    <n v="0"/>
    <x v="22"/>
    <x v="1"/>
    <x v="47"/>
    <x v="31"/>
    <x v="43"/>
    <x v="43"/>
    <x v="30"/>
  </r>
  <r>
    <x v="157"/>
    <x v="150"/>
    <x v="150"/>
    <x v="0"/>
    <x v="1"/>
    <s v="Firewalls, IDS, IPS, and Networking"/>
    <s v="Yes"/>
    <n v="1"/>
    <n v="0"/>
    <x v="2"/>
    <n v="20"/>
    <n v="0"/>
    <x v="22"/>
    <x v="1"/>
    <x v="48"/>
    <x v="1"/>
    <x v="43"/>
    <x v="43"/>
    <x v="31"/>
  </r>
  <r>
    <x v="158"/>
    <x v="151"/>
    <x v="151"/>
    <x v="0"/>
    <x v="1"/>
    <s v="Firewalls, IDS, IPS, and Networking"/>
    <s v="Yes"/>
    <n v="1"/>
    <n v="0"/>
    <x v="2"/>
    <n v="15"/>
    <n v="0"/>
    <x v="22"/>
    <x v="1"/>
    <x v="48"/>
    <x v="32"/>
    <x v="43"/>
    <x v="43"/>
    <x v="30"/>
  </r>
  <r>
    <x v="159"/>
    <x v="24"/>
    <x v="24"/>
    <x v="2"/>
    <x v="0"/>
    <s v="Firewalls, IDS, IPS, and Networking"/>
    <s v="Yes"/>
    <n v="0"/>
    <e v="#N/A"/>
    <x v="3"/>
    <s v=""/>
    <s v=""/>
    <x v="6"/>
    <x v="3"/>
    <x v="10"/>
    <x v="6"/>
    <x v="8"/>
    <x v="13"/>
    <x v="7"/>
  </r>
  <r>
    <x v="160"/>
    <x v="152"/>
    <x v="152"/>
    <x v="0"/>
    <x v="0"/>
    <s v="Firewalls, IDS, IPS, and Networking"/>
    <s v="Yes"/>
    <n v="1"/>
    <n v="0"/>
    <x v="2"/>
    <n v="25"/>
    <n v="0"/>
    <x v="14"/>
    <x v="1"/>
    <x v="48"/>
    <x v="33"/>
    <x v="44"/>
    <x v="44"/>
    <x v="32"/>
  </r>
  <r>
    <x v="161"/>
    <x v="153"/>
    <x v="153"/>
    <x v="0"/>
    <x v="1"/>
    <s v="Mobile Applications"/>
    <s v="Yes"/>
    <n v="1"/>
    <n v="0"/>
    <x v="2"/>
    <n v="15"/>
    <n v="0"/>
    <x v="1"/>
    <x v="1"/>
    <x v="1"/>
    <x v="1"/>
    <x v="1"/>
    <x v="2"/>
    <x v="0"/>
  </r>
  <r>
    <x v="162"/>
    <x v="154"/>
    <x v="154"/>
    <x v="0"/>
    <x v="1"/>
    <s v="Mobile Applications"/>
    <s v="Yes"/>
    <n v="1"/>
    <n v="0"/>
    <x v="2"/>
    <n v="20"/>
    <n v="0"/>
    <x v="18"/>
    <x v="1"/>
    <x v="1"/>
    <x v="34"/>
    <x v="1"/>
    <x v="2"/>
    <x v="0"/>
  </r>
  <r>
    <x v="163"/>
    <x v="155"/>
    <x v="155"/>
    <x v="0"/>
    <x v="0"/>
    <s v="Mobile Applications"/>
    <s v="Yes"/>
    <n v="1"/>
    <n v="0"/>
    <x v="2"/>
    <n v="25"/>
    <n v="0"/>
    <x v="1"/>
    <x v="1"/>
    <x v="1"/>
    <x v="34"/>
    <x v="1"/>
    <x v="2"/>
    <x v="0"/>
  </r>
  <r>
    <x v="164"/>
    <x v="156"/>
    <x v="156"/>
    <x v="0"/>
    <x v="1"/>
    <s v="Mobile Applications"/>
    <s v="No"/>
    <n v="1"/>
    <n v="0"/>
    <x v="2"/>
    <n v="20"/>
    <n v="0"/>
    <x v="23"/>
    <x v="1"/>
    <x v="49"/>
    <x v="35"/>
    <x v="1"/>
    <x v="2"/>
    <x v="0"/>
  </r>
  <r>
    <x v="165"/>
    <x v="157"/>
    <x v="157"/>
    <x v="0"/>
    <x v="0"/>
    <s v="Mobile Applications"/>
    <s v="Yes"/>
    <n v="1"/>
    <n v="0"/>
    <x v="2"/>
    <n v="25"/>
    <n v="0"/>
    <x v="0"/>
    <x v="1"/>
    <x v="50"/>
    <x v="35"/>
    <x v="45"/>
    <x v="45"/>
    <x v="33"/>
  </r>
  <r>
    <x v="166"/>
    <x v="158"/>
    <x v="158"/>
    <x v="0"/>
    <x v="0"/>
    <s v="Mobile Applications"/>
    <s v="Yes"/>
    <n v="1"/>
    <n v="0"/>
    <x v="2"/>
    <n v="40"/>
    <n v="0"/>
    <x v="4"/>
    <x v="1"/>
    <x v="50"/>
    <x v="36"/>
    <x v="1"/>
    <x v="2"/>
    <x v="0"/>
  </r>
  <r>
    <x v="167"/>
    <x v="159"/>
    <x v="159"/>
    <x v="0"/>
    <x v="0"/>
    <s v="Mobile Applications"/>
    <s v="Yes"/>
    <n v="1"/>
    <n v="0"/>
    <x v="2"/>
    <n v="25"/>
    <n v="0"/>
    <x v="13"/>
    <x v="1"/>
    <x v="51"/>
    <x v="1"/>
    <x v="1"/>
    <x v="2"/>
    <x v="0"/>
  </r>
  <r>
    <x v="168"/>
    <x v="160"/>
    <x v="160"/>
    <x v="0"/>
    <x v="1"/>
    <s v="Mobile Applications"/>
    <s v="Yes"/>
    <n v="1"/>
    <n v="0"/>
    <x v="2"/>
    <n v="20"/>
    <n v="0"/>
    <x v="13"/>
    <x v="1"/>
    <x v="1"/>
    <x v="1"/>
    <x v="1"/>
    <x v="2"/>
    <x v="0"/>
  </r>
  <r>
    <x v="169"/>
    <x v="161"/>
    <x v="161"/>
    <x v="0"/>
    <x v="0"/>
    <s v="Mobile Applications"/>
    <s v="Yes"/>
    <n v="1"/>
    <n v="0"/>
    <x v="2"/>
    <n v="25"/>
    <n v="0"/>
    <x v="1"/>
    <x v="1"/>
    <x v="52"/>
    <x v="34"/>
    <x v="1"/>
    <x v="2"/>
    <x v="0"/>
  </r>
  <r>
    <x v="170"/>
    <x v="162"/>
    <x v="162"/>
    <x v="0"/>
    <x v="0"/>
    <s v="Mobile Applications"/>
    <s v="Yes"/>
    <n v="1"/>
    <n v="0"/>
    <x v="2"/>
    <n v="25"/>
    <n v="0"/>
    <x v="1"/>
    <x v="1"/>
    <x v="53"/>
    <x v="37"/>
    <x v="1"/>
    <x v="2"/>
    <x v="0"/>
  </r>
  <r>
    <x v="171"/>
    <x v="163"/>
    <x v="163"/>
    <x v="0"/>
    <x v="0"/>
    <s v="Mobile Applications"/>
    <s v="Yes"/>
    <n v="1"/>
    <n v="0"/>
    <x v="2"/>
    <n v="25"/>
    <n v="0"/>
    <x v="1"/>
    <x v="1"/>
    <x v="53"/>
    <x v="37"/>
    <x v="1"/>
    <x v="2"/>
    <x v="0"/>
  </r>
  <r>
    <x v="172"/>
    <x v="164"/>
    <x v="164"/>
    <x v="0"/>
    <x v="1"/>
    <s v="Physical Security"/>
    <s v="Yes"/>
    <n v="1"/>
    <s v="No"/>
    <x v="2"/>
    <n v="20"/>
    <n v="0"/>
    <x v="18"/>
    <x v="1"/>
    <x v="42"/>
    <x v="38"/>
    <x v="46"/>
    <x v="46"/>
    <x v="27"/>
  </r>
  <r>
    <x v="173"/>
    <x v="165"/>
    <x v="165"/>
    <x v="0"/>
    <x v="0"/>
    <s v="Physical Security"/>
    <s v="No"/>
    <n v="1"/>
    <n v="0"/>
    <x v="2"/>
    <n v="25"/>
    <n v="0"/>
    <x v="0"/>
    <x v="1"/>
    <x v="50"/>
    <x v="39"/>
    <x v="47"/>
    <x v="47"/>
    <x v="34"/>
  </r>
  <r>
    <x v="174"/>
    <x v="166"/>
    <x v="166"/>
    <x v="0"/>
    <x v="1"/>
    <s v="Physical Security"/>
    <s v="Yes"/>
    <n v="1"/>
    <n v="0"/>
    <x v="2"/>
    <n v="20"/>
    <n v="0"/>
    <x v="18"/>
    <x v="1"/>
    <x v="54"/>
    <x v="40"/>
    <x v="48"/>
    <x v="48"/>
    <x v="27"/>
  </r>
  <r>
    <x v="175"/>
    <x v="167"/>
    <x v="167"/>
    <x v="0"/>
    <x v="1"/>
    <s v="Physical Security"/>
    <s v="Yes"/>
    <n v="1"/>
    <n v="0"/>
    <x v="2"/>
    <n v="20"/>
    <n v="0"/>
    <x v="18"/>
    <x v="1"/>
    <x v="55"/>
    <x v="40"/>
    <x v="48"/>
    <x v="48"/>
    <x v="27"/>
  </r>
  <r>
    <x v="176"/>
    <x v="168"/>
    <x v="168"/>
    <x v="0"/>
    <x v="1"/>
    <s v="Physical Security"/>
    <s v="Yes"/>
    <n v="1"/>
    <n v="0"/>
    <x v="2"/>
    <n v="15"/>
    <n v="0"/>
    <x v="4"/>
    <x v="1"/>
    <x v="56"/>
    <x v="25"/>
    <x v="49"/>
    <x v="47"/>
    <x v="27"/>
  </r>
  <r>
    <x v="177"/>
    <x v="169"/>
    <x v="169"/>
    <x v="0"/>
    <x v="1"/>
    <s v="Policies, Procedures, and Processes"/>
    <s v="Yes"/>
    <n v="1"/>
    <n v="0"/>
    <x v="2"/>
    <n v="20"/>
    <n v="0"/>
    <x v="5"/>
    <x v="1"/>
    <x v="57"/>
    <x v="41"/>
    <x v="50"/>
    <x v="49"/>
    <x v="35"/>
  </r>
  <r>
    <x v="178"/>
    <x v="170"/>
    <x v="170"/>
    <x v="0"/>
    <x v="0"/>
    <s v="Policies, Procedures, and Processes"/>
    <s v="Yes"/>
    <n v="1"/>
    <n v="0"/>
    <x v="2"/>
    <n v="25"/>
    <n v="0"/>
    <x v="24"/>
    <x v="1"/>
    <x v="31"/>
    <x v="42"/>
    <x v="1"/>
    <x v="50"/>
    <x v="36"/>
  </r>
  <r>
    <x v="179"/>
    <x v="171"/>
    <x v="171"/>
    <x v="0"/>
    <x v="1"/>
    <s v="Policies, Procedures, and Processes"/>
    <s v="Yes"/>
    <n v="1"/>
    <n v="0"/>
    <x v="2"/>
    <n v="20"/>
    <n v="0"/>
    <x v="0"/>
    <x v="1"/>
    <x v="58"/>
    <x v="1"/>
    <x v="1"/>
    <x v="50"/>
    <x v="0"/>
  </r>
  <r>
    <x v="180"/>
    <x v="172"/>
    <x v="172"/>
    <x v="0"/>
    <x v="0"/>
    <s v="Policies, Procedures, and Processes"/>
    <s v="Yes"/>
    <n v="1"/>
    <n v="0"/>
    <x v="2"/>
    <n v="25"/>
    <n v="0"/>
    <x v="25"/>
    <x v="1"/>
    <x v="52"/>
    <x v="1"/>
    <x v="1"/>
    <x v="50"/>
    <x v="37"/>
  </r>
  <r>
    <x v="181"/>
    <x v="173"/>
    <x v="173"/>
    <x v="0"/>
    <x v="1"/>
    <s v="Policies, Procedures, and Processes"/>
    <s v="Yes"/>
    <n v="1"/>
    <n v="0"/>
    <x v="2"/>
    <n v="20"/>
    <n v="0"/>
    <x v="24"/>
    <x v="1"/>
    <x v="52"/>
    <x v="1"/>
    <x v="1"/>
    <x v="50"/>
    <x v="38"/>
  </r>
  <r>
    <x v="182"/>
    <x v="174"/>
    <x v="174"/>
    <x v="0"/>
    <x v="0"/>
    <s v="Policies, Procedures, and Processes"/>
    <s v="Yes"/>
    <n v="1"/>
    <n v="0"/>
    <x v="2"/>
    <n v="25"/>
    <n v="0"/>
    <x v="24"/>
    <x v="1"/>
    <x v="59"/>
    <x v="43"/>
    <x v="1"/>
    <x v="50"/>
    <x v="39"/>
  </r>
  <r>
    <x v="183"/>
    <x v="175"/>
    <x v="175"/>
    <x v="0"/>
    <x v="1"/>
    <s v="Policies, Procedures, and Processes"/>
    <s v="Yes"/>
    <n v="1"/>
    <n v="0"/>
    <x v="2"/>
    <n v="20"/>
    <n v="0"/>
    <x v="3"/>
    <x v="5"/>
    <x v="3"/>
    <x v="4"/>
    <x v="4"/>
    <x v="4"/>
    <x v="40"/>
  </r>
  <r>
    <x v="184"/>
    <x v="176"/>
    <x v="176"/>
    <x v="0"/>
    <x v="1"/>
    <s v="Policies, Procedures, and Processes"/>
    <s v="Yes"/>
    <n v="1"/>
    <n v="0"/>
    <x v="2"/>
    <n v="20"/>
    <n v="0"/>
    <x v="24"/>
    <x v="1"/>
    <x v="52"/>
    <x v="1"/>
    <x v="51"/>
    <x v="50"/>
    <x v="41"/>
  </r>
  <r>
    <x v="185"/>
    <x v="177"/>
    <x v="177"/>
    <x v="0"/>
    <x v="1"/>
    <s v="Policies, Procedures, and Processes"/>
    <s v="Yes"/>
    <n v="1"/>
    <n v="0"/>
    <x v="2"/>
    <n v="20"/>
    <n v="0"/>
    <x v="24"/>
    <x v="1"/>
    <x v="52"/>
    <x v="44"/>
    <x v="1"/>
    <x v="51"/>
    <x v="39"/>
  </r>
  <r>
    <x v="186"/>
    <x v="178"/>
    <x v="178"/>
    <x v="0"/>
    <x v="0"/>
    <s v="Policies, Procedures, and Processes"/>
    <s v="Yes"/>
    <n v="1"/>
    <n v="0"/>
    <x v="2"/>
    <n v="25"/>
    <n v="0"/>
    <x v="22"/>
    <x v="1"/>
    <x v="60"/>
    <x v="3"/>
    <x v="52"/>
    <x v="52"/>
    <x v="42"/>
  </r>
  <r>
    <x v="187"/>
    <x v="179"/>
    <x v="179"/>
    <x v="0"/>
    <x v="0"/>
    <s v="Policies, Procedures, and Processes"/>
    <s v="Yes"/>
    <n v="1"/>
    <n v="0"/>
    <x v="2"/>
    <n v="25"/>
    <n v="0"/>
    <x v="22"/>
    <x v="1"/>
    <x v="0"/>
    <x v="0"/>
    <x v="53"/>
    <x v="53"/>
    <x v="1"/>
  </r>
  <r>
    <x v="188"/>
    <x v="180"/>
    <x v="180"/>
    <x v="0"/>
    <x v="1"/>
    <s v="Policies, Procedures, and Processes"/>
    <s v="Yes"/>
    <n v="1"/>
    <n v="0"/>
    <x v="2"/>
    <n v="15"/>
    <n v="0"/>
    <x v="0"/>
    <x v="1"/>
    <x v="0"/>
    <x v="1"/>
    <x v="42"/>
    <x v="54"/>
    <x v="1"/>
  </r>
  <r>
    <x v="189"/>
    <x v="181"/>
    <x v="181"/>
    <x v="0"/>
    <x v="1"/>
    <s v="Policies, Procedures, and Processes"/>
    <s v="Yes"/>
    <n v="1"/>
    <n v="0"/>
    <x v="2"/>
    <n v="20"/>
    <n v="0"/>
    <x v="22"/>
    <x v="1"/>
    <x v="0"/>
    <x v="0"/>
    <x v="1"/>
    <x v="50"/>
    <x v="0"/>
  </r>
  <r>
    <x v="190"/>
    <x v="182"/>
    <x v="182"/>
    <x v="0"/>
    <x v="1"/>
    <s v="Policies, Procedures, and Processes"/>
    <s v="Yes"/>
    <n v="1"/>
    <n v="0"/>
    <x v="2"/>
    <n v="15"/>
    <n v="0"/>
    <x v="12"/>
    <x v="1"/>
    <x v="61"/>
    <x v="45"/>
    <x v="54"/>
    <x v="55"/>
    <x v="43"/>
  </r>
  <r>
    <x v="191"/>
    <x v="183"/>
    <x v="183"/>
    <x v="0"/>
    <x v="1"/>
    <s v="Policies, Procedures, and Processes"/>
    <s v="Yes"/>
    <n v="1"/>
    <n v="0"/>
    <x v="2"/>
    <n v="15"/>
    <n v="0"/>
    <x v="26"/>
    <x v="1"/>
    <x v="62"/>
    <x v="45"/>
    <x v="1"/>
    <x v="50"/>
    <x v="44"/>
  </r>
  <r>
    <x v="192"/>
    <x v="184"/>
    <x v="184"/>
    <x v="0"/>
    <x v="0"/>
    <s v="Policies, Procedures, and Processes"/>
    <s v="Yes"/>
    <n v="1"/>
    <n v="0"/>
    <x v="2"/>
    <n v="25"/>
    <n v="0"/>
    <x v="26"/>
    <x v="2"/>
    <x v="57"/>
    <x v="0"/>
    <x v="1"/>
    <x v="50"/>
    <x v="45"/>
  </r>
  <r>
    <x v="193"/>
    <x v="185"/>
    <x v="185"/>
    <x v="0"/>
    <x v="0"/>
    <s v="Policies, Procedures, and Processes"/>
    <s v="Yes"/>
    <n v="1"/>
    <n v="0"/>
    <x v="2"/>
    <n v="25"/>
    <n v="0"/>
    <x v="26"/>
    <x v="6"/>
    <x v="63"/>
    <x v="46"/>
    <x v="55"/>
    <x v="56"/>
    <x v="46"/>
  </r>
  <r>
    <x v="194"/>
    <x v="186"/>
    <x v="186"/>
    <x v="0"/>
    <x v="1"/>
    <s v="Policies, Procedures, and Processes"/>
    <s v="Yes"/>
    <n v="1"/>
    <n v="0"/>
    <x v="2"/>
    <n v="20"/>
    <n v="0"/>
    <x v="26"/>
    <x v="6"/>
    <x v="63"/>
    <x v="46"/>
    <x v="56"/>
    <x v="57"/>
    <x v="46"/>
  </r>
  <r>
    <x v="195"/>
    <x v="187"/>
    <x v="187"/>
    <x v="0"/>
    <x v="1"/>
    <s v="Policies, Procedures, and Processes"/>
    <s v="Yes"/>
    <n v="1"/>
    <n v="0"/>
    <x v="2"/>
    <n v="20"/>
    <n v="0"/>
    <x v="26"/>
    <x v="1"/>
    <x v="64"/>
    <x v="9"/>
    <x v="57"/>
    <x v="50"/>
    <x v="47"/>
  </r>
  <r>
    <x v="196"/>
    <x v="188"/>
    <x v="188"/>
    <x v="0"/>
    <x v="1"/>
    <s v="Policies, Procedures, and Processes"/>
    <s v="Yes"/>
    <n v="1"/>
    <n v="0"/>
    <x v="2"/>
    <n v="20"/>
    <n v="0"/>
    <x v="5"/>
    <x v="1"/>
    <x v="65"/>
    <x v="1"/>
    <x v="1"/>
    <x v="58"/>
    <x v="0"/>
  </r>
  <r>
    <x v="197"/>
    <x v="189"/>
    <x v="189"/>
    <x v="0"/>
    <x v="1"/>
    <s v="Product Evaluation"/>
    <s v="Yes"/>
    <n v="1"/>
    <n v="0"/>
    <x v="2"/>
    <n v="15"/>
    <n v="0"/>
    <x v="5"/>
    <x v="1"/>
    <x v="1"/>
    <x v="1"/>
    <x v="1"/>
    <x v="2"/>
    <x v="0"/>
  </r>
  <r>
    <x v="198"/>
    <x v="190"/>
    <x v="190"/>
    <x v="0"/>
    <x v="1"/>
    <s v="Product Evaluation"/>
    <s v="Yes"/>
    <n v="1"/>
    <n v="0"/>
    <x v="2"/>
    <n v="15"/>
    <n v="0"/>
    <x v="5"/>
    <x v="1"/>
    <x v="1"/>
    <x v="47"/>
    <x v="1"/>
    <x v="2"/>
    <x v="0"/>
  </r>
  <r>
    <x v="199"/>
    <x v="191"/>
    <x v="191"/>
    <x v="0"/>
    <x v="1"/>
    <s v="Quality Assurance"/>
    <s v="Yes"/>
    <n v="1"/>
    <n v="0"/>
    <x v="2"/>
    <n v="15"/>
    <n v="0"/>
    <x v="0"/>
    <x v="1"/>
    <x v="1"/>
    <x v="1"/>
    <x v="1"/>
    <x v="2"/>
    <x v="0"/>
  </r>
  <r>
    <x v="200"/>
    <x v="192"/>
    <x v="192"/>
    <x v="0"/>
    <x v="1"/>
    <s v="Quality Assurance"/>
    <s v="Yes"/>
    <n v="1"/>
    <n v="0"/>
    <x v="2"/>
    <n v="15"/>
    <n v="0"/>
    <x v="0"/>
    <x v="1"/>
    <x v="0"/>
    <x v="1"/>
    <x v="1"/>
    <x v="2"/>
    <x v="0"/>
  </r>
  <r>
    <x v="201"/>
    <x v="193"/>
    <x v="193"/>
    <x v="0"/>
    <x v="1"/>
    <s v="Quality Assurance"/>
    <s v="Yes"/>
    <n v="1"/>
    <n v="0"/>
    <x v="2"/>
    <n v="15"/>
    <n v="0"/>
    <x v="0"/>
    <x v="1"/>
    <x v="1"/>
    <x v="1"/>
    <x v="1"/>
    <x v="2"/>
    <x v="0"/>
  </r>
  <r>
    <x v="202"/>
    <x v="194"/>
    <x v="194"/>
    <x v="0"/>
    <x v="1"/>
    <s v="Quality Assurance"/>
    <s v="Yes"/>
    <n v="1"/>
    <n v="0"/>
    <x v="2"/>
    <n v="15"/>
    <n v="0"/>
    <x v="5"/>
    <x v="1"/>
    <x v="1"/>
    <x v="1"/>
    <x v="1"/>
    <x v="2"/>
    <x v="0"/>
  </r>
  <r>
    <x v="203"/>
    <x v="195"/>
    <x v="195"/>
    <x v="0"/>
    <x v="1"/>
    <s v="Quality Assurance"/>
    <s v="Yes"/>
    <n v="1"/>
    <n v="0"/>
    <x v="2"/>
    <n v="15"/>
    <n v="0"/>
    <x v="26"/>
    <x v="1"/>
    <x v="1"/>
    <x v="1"/>
    <x v="1"/>
    <x v="2"/>
    <x v="0"/>
  </r>
  <r>
    <x v="204"/>
    <x v="196"/>
    <x v="196"/>
    <x v="0"/>
    <x v="0"/>
    <s v="Systems Management &amp; Configuration"/>
    <s v="Yes"/>
    <n v="1"/>
    <n v="0"/>
    <x v="2"/>
    <n v="25"/>
    <n v="0"/>
    <x v="9"/>
    <x v="1"/>
    <x v="45"/>
    <x v="48"/>
    <x v="41"/>
    <x v="11"/>
    <x v="0"/>
  </r>
  <r>
    <x v="205"/>
    <x v="197"/>
    <x v="197"/>
    <x v="0"/>
    <x v="1"/>
    <s v="Systems Management &amp; Configuration"/>
    <s v="Yes"/>
    <n v="1"/>
    <n v="0"/>
    <x v="2"/>
    <n v="10"/>
    <n v="0"/>
    <x v="18"/>
    <x v="1"/>
    <x v="1"/>
    <x v="49"/>
    <x v="58"/>
    <x v="59"/>
    <x v="0"/>
  </r>
  <r>
    <x v="206"/>
    <x v="198"/>
    <x v="198"/>
    <x v="0"/>
    <x v="1"/>
    <s v="Systems Management &amp; Configuration"/>
    <s v="Yes"/>
    <n v="1"/>
    <n v="0"/>
    <x v="2"/>
    <n v="15"/>
    <n v="0"/>
    <x v="18"/>
    <x v="1"/>
    <x v="66"/>
    <x v="1"/>
    <x v="59"/>
    <x v="2"/>
    <x v="0"/>
  </r>
  <r>
    <x v="207"/>
    <x v="199"/>
    <x v="199"/>
    <x v="0"/>
    <x v="1"/>
    <s v="Systems Management &amp; Configuration"/>
    <s v="Yes"/>
    <n v="1"/>
    <n v="0"/>
    <x v="2"/>
    <n v="20"/>
    <n v="0"/>
    <x v="18"/>
    <x v="1"/>
    <x v="16"/>
    <x v="50"/>
    <x v="60"/>
    <x v="60"/>
    <x v="0"/>
  </r>
  <r>
    <x v="208"/>
    <x v="200"/>
    <x v="200"/>
    <x v="0"/>
    <x v="0"/>
    <s v="Vulnerability Scanning"/>
    <s v="Yes"/>
    <n v="1"/>
    <n v="0"/>
    <x v="2"/>
    <n v="25"/>
    <n v="0"/>
    <x v="24"/>
    <x v="1"/>
    <x v="31"/>
    <x v="51"/>
    <x v="61"/>
    <x v="61"/>
    <x v="48"/>
  </r>
  <r>
    <x v="209"/>
    <x v="24"/>
    <x v="24"/>
    <x v="2"/>
    <x v="0"/>
    <s v="Vulnerability Scanning"/>
    <s v="Yes"/>
    <n v="0"/>
    <e v="#N/A"/>
    <x v="3"/>
    <s v=""/>
    <s v=""/>
    <x v="6"/>
    <x v="3"/>
    <x v="10"/>
    <x v="6"/>
    <x v="8"/>
    <x v="13"/>
    <x v="7"/>
  </r>
  <r>
    <x v="210"/>
    <x v="201"/>
    <x v="201"/>
    <x v="0"/>
    <x v="1"/>
    <s v="Vulnerability Scanning"/>
    <s v="Yes"/>
    <n v="1"/>
    <n v="0"/>
    <x v="2"/>
    <n v="20"/>
    <n v="0"/>
    <x v="24"/>
    <x v="1"/>
    <x v="1"/>
    <x v="51"/>
    <x v="61"/>
    <x v="61"/>
    <x v="48"/>
  </r>
  <r>
    <x v="211"/>
    <x v="202"/>
    <x v="202"/>
    <x v="0"/>
    <x v="0"/>
    <s v="Vulnerability Scanning"/>
    <s v="Yes"/>
    <n v="1"/>
    <n v="0"/>
    <x v="2"/>
    <n v="25"/>
    <n v="0"/>
    <x v="24"/>
    <x v="1"/>
    <x v="1"/>
    <x v="51"/>
    <x v="61"/>
    <x v="61"/>
    <x v="48"/>
  </r>
  <r>
    <x v="212"/>
    <x v="203"/>
    <x v="203"/>
    <x v="0"/>
    <x v="0"/>
    <s v="Vulnerability Scanning"/>
    <s v="Yes"/>
    <n v="1"/>
    <n v="0"/>
    <x v="2"/>
    <n v="25"/>
    <n v="0"/>
    <x v="24"/>
    <x v="1"/>
    <x v="1"/>
    <x v="51"/>
    <x v="1"/>
    <x v="61"/>
    <x v="48"/>
  </r>
  <r>
    <x v="213"/>
    <x v="204"/>
    <x v="204"/>
    <x v="0"/>
    <x v="1"/>
    <s v="Vulnerability Scanning"/>
    <s v="Yes"/>
    <n v="1"/>
    <n v="0"/>
    <x v="2"/>
    <n v="15"/>
    <n v="0"/>
    <x v="24"/>
    <x v="1"/>
    <x v="1"/>
    <x v="51"/>
    <x v="61"/>
    <x v="61"/>
    <x v="48"/>
  </r>
  <r>
    <x v="214"/>
    <x v="205"/>
    <x v="205"/>
    <x v="0"/>
    <x v="1"/>
    <s v="Vulnerability Scanning"/>
    <s v="Yes"/>
    <n v="1"/>
    <n v="0"/>
    <x v="2"/>
    <n v="15"/>
    <n v="0"/>
    <x v="24"/>
    <x v="1"/>
    <x v="1"/>
    <x v="51"/>
    <x v="1"/>
    <x v="61"/>
    <x v="48"/>
  </r>
  <r>
    <x v="215"/>
    <x v="206"/>
    <x v="206"/>
    <x v="0"/>
    <x v="1"/>
    <s v="Vulnerability Scanning"/>
    <s v="Yes"/>
    <n v="1"/>
    <n v="0"/>
    <x v="2"/>
    <n v="20"/>
    <n v="0"/>
    <x v="27"/>
    <x v="1"/>
    <x v="31"/>
    <x v="52"/>
    <x v="62"/>
    <x v="61"/>
    <x v="49"/>
  </r>
  <r>
    <x v="216"/>
    <x v="207"/>
    <x v="207"/>
    <x v="0"/>
    <x v="0"/>
    <s v="Vulnerability Scanning"/>
    <s v="Yes"/>
    <n v="1"/>
    <n v="0"/>
    <x v="2"/>
    <n v="25"/>
    <n v="0"/>
    <x v="28"/>
    <x v="1"/>
    <x v="67"/>
    <x v="51"/>
    <x v="61"/>
    <x v="61"/>
    <x v="50"/>
  </r>
  <r>
    <x v="217"/>
    <x v="208"/>
    <x v="208"/>
    <x v="0"/>
    <x v="1"/>
    <s v="HIPAA"/>
    <s v="Yes"/>
    <n v="1"/>
    <n v="0"/>
    <x v="2"/>
    <n v="20"/>
    <n v="0"/>
    <x v="26"/>
    <x v="6"/>
    <x v="68"/>
    <x v="0"/>
    <x v="63"/>
    <x v="62"/>
    <x v="0"/>
  </r>
  <r>
    <x v="218"/>
    <x v="209"/>
    <x v="209"/>
    <x v="0"/>
    <x v="1"/>
    <s v="HIPAA"/>
    <s v="Yes"/>
    <n v="1"/>
    <n v="0"/>
    <x v="2"/>
    <n v="20"/>
    <n v="0"/>
    <x v="0"/>
    <x v="7"/>
    <x v="0"/>
    <x v="0"/>
    <x v="1"/>
    <x v="2"/>
    <x v="0"/>
  </r>
  <r>
    <x v="219"/>
    <x v="210"/>
    <x v="210"/>
    <x v="0"/>
    <x v="0"/>
    <s v="HIPAA"/>
    <s v="Yes"/>
    <n v="1"/>
    <n v="0"/>
    <x v="2"/>
    <n v="25"/>
    <n v="0"/>
    <x v="26"/>
    <x v="8"/>
    <x v="0"/>
    <x v="0"/>
    <x v="1"/>
    <x v="2"/>
    <x v="0"/>
  </r>
  <r>
    <x v="220"/>
    <x v="211"/>
    <x v="211"/>
    <x v="0"/>
    <x v="0"/>
    <s v="HIPAA"/>
    <s v="Yes"/>
    <n v="1"/>
    <n v="0"/>
    <x v="2"/>
    <n v="25"/>
    <n v="0"/>
    <x v="0"/>
    <x v="1"/>
    <x v="0"/>
    <x v="0"/>
    <x v="1"/>
    <x v="2"/>
    <x v="0"/>
  </r>
  <r>
    <x v="221"/>
    <x v="212"/>
    <x v="212"/>
    <x v="0"/>
    <x v="1"/>
    <s v="HIPAA"/>
    <s v="Yes"/>
    <n v="1"/>
    <n v="0"/>
    <x v="2"/>
    <n v="20"/>
    <n v="0"/>
    <x v="22"/>
    <x v="9"/>
    <x v="69"/>
    <x v="0"/>
    <x v="64"/>
    <x v="63"/>
    <x v="51"/>
  </r>
  <r>
    <x v="222"/>
    <x v="213"/>
    <x v="213"/>
    <x v="0"/>
    <x v="0"/>
    <s v="HIPAA"/>
    <s v="Yes"/>
    <n v="1"/>
    <n v="0"/>
    <x v="2"/>
    <n v="25"/>
    <n v="0"/>
    <x v="22"/>
    <x v="10"/>
    <x v="70"/>
    <x v="0"/>
    <x v="65"/>
    <x v="64"/>
    <x v="1"/>
  </r>
  <r>
    <x v="223"/>
    <x v="214"/>
    <x v="214"/>
    <x v="0"/>
    <x v="0"/>
    <s v="HIPAA"/>
    <s v="Yes"/>
    <n v="1"/>
    <n v="0"/>
    <x v="2"/>
    <n v="25"/>
    <n v="0"/>
    <x v="0"/>
    <x v="2"/>
    <x v="1"/>
    <x v="0"/>
    <x v="1"/>
    <x v="2"/>
    <x v="52"/>
  </r>
  <r>
    <x v="224"/>
    <x v="215"/>
    <x v="215"/>
    <x v="0"/>
    <x v="1"/>
    <s v="HIPAA"/>
    <s v="Yes"/>
    <n v="1"/>
    <n v="0"/>
    <x v="2"/>
    <n v="20"/>
    <n v="0"/>
    <x v="24"/>
    <x v="11"/>
    <x v="1"/>
    <x v="0"/>
    <x v="1"/>
    <x v="2"/>
    <x v="52"/>
  </r>
  <r>
    <x v="225"/>
    <x v="216"/>
    <x v="216"/>
    <x v="0"/>
    <x v="1"/>
    <s v="HIPAA"/>
    <s v="Yes"/>
    <n v="1"/>
    <n v="0"/>
    <x v="2"/>
    <n v="20"/>
    <n v="0"/>
    <x v="24"/>
    <x v="4"/>
    <x v="1"/>
    <x v="0"/>
    <x v="1"/>
    <x v="2"/>
    <x v="52"/>
  </r>
  <r>
    <x v="226"/>
    <x v="217"/>
    <x v="217"/>
    <x v="0"/>
    <x v="1"/>
    <s v="HIPAA"/>
    <s v="Yes"/>
    <n v="1"/>
    <n v="0"/>
    <x v="2"/>
    <n v="20"/>
    <n v="0"/>
    <x v="13"/>
    <x v="12"/>
    <x v="22"/>
    <x v="0"/>
    <x v="13"/>
    <x v="20"/>
    <x v="0"/>
  </r>
  <r>
    <x v="227"/>
    <x v="218"/>
    <x v="218"/>
    <x v="0"/>
    <x v="1"/>
    <s v="HIPAA"/>
    <s v="Yes"/>
    <n v="1"/>
    <n v="0"/>
    <x v="2"/>
    <n v="20"/>
    <n v="0"/>
    <x v="13"/>
    <x v="12"/>
    <x v="22"/>
    <x v="0"/>
    <x v="66"/>
    <x v="21"/>
    <x v="0"/>
  </r>
  <r>
    <x v="228"/>
    <x v="219"/>
    <x v="219"/>
    <x v="0"/>
    <x v="1"/>
    <s v="HIPAA"/>
    <s v="Yes"/>
    <n v="1"/>
    <n v="0"/>
    <x v="2"/>
    <n v="20"/>
    <n v="0"/>
    <x v="13"/>
    <x v="13"/>
    <x v="22"/>
    <x v="0"/>
    <x v="67"/>
    <x v="65"/>
    <x v="0"/>
  </r>
  <r>
    <x v="229"/>
    <x v="220"/>
    <x v="220"/>
    <x v="0"/>
    <x v="1"/>
    <s v="HIPAA"/>
    <s v="Yes"/>
    <n v="1"/>
    <n v="0"/>
    <x v="2"/>
    <n v="20"/>
    <n v="0"/>
    <x v="13"/>
    <x v="14"/>
    <x v="22"/>
    <x v="0"/>
    <x v="68"/>
    <x v="66"/>
    <x v="13"/>
  </r>
  <r>
    <x v="230"/>
    <x v="221"/>
    <x v="221"/>
    <x v="0"/>
    <x v="0"/>
    <s v="HIPAA"/>
    <s v="No"/>
    <n v="1"/>
    <n v="0"/>
    <x v="2"/>
    <n v="25"/>
    <n v="0"/>
    <x v="13"/>
    <x v="15"/>
    <x v="22"/>
    <x v="0"/>
    <x v="17"/>
    <x v="21"/>
    <x v="13"/>
  </r>
  <r>
    <x v="231"/>
    <x v="222"/>
    <x v="222"/>
    <x v="0"/>
    <x v="1"/>
    <s v="HIPAA"/>
    <s v="Yes"/>
    <n v="1"/>
    <n v="0"/>
    <x v="2"/>
    <n v="20"/>
    <n v="0"/>
    <x v="13"/>
    <x v="15"/>
    <x v="1"/>
    <x v="0"/>
    <x v="1"/>
    <x v="2"/>
    <x v="13"/>
  </r>
  <r>
    <x v="232"/>
    <x v="223"/>
    <x v="223"/>
    <x v="0"/>
    <x v="1"/>
    <s v="HIPAA"/>
    <s v="Yes"/>
    <n v="1"/>
    <n v="0"/>
    <x v="2"/>
    <n v="20"/>
    <n v="0"/>
    <x v="13"/>
    <x v="16"/>
    <x v="1"/>
    <x v="0"/>
    <x v="7"/>
    <x v="2"/>
    <x v="13"/>
  </r>
  <r>
    <x v="233"/>
    <x v="224"/>
    <x v="224"/>
    <x v="0"/>
    <x v="1"/>
    <s v="HIPAA"/>
    <s v="Yes"/>
    <n v="1"/>
    <n v="0"/>
    <x v="2"/>
    <n v="20"/>
    <n v="0"/>
    <x v="29"/>
    <x v="17"/>
    <x v="13"/>
    <x v="0"/>
    <x v="69"/>
    <x v="2"/>
    <x v="13"/>
  </r>
  <r>
    <x v="234"/>
    <x v="225"/>
    <x v="225"/>
    <x v="0"/>
    <x v="1"/>
    <s v="HIPAA"/>
    <s v="Yes"/>
    <n v="1"/>
    <n v="0"/>
    <x v="2"/>
    <n v="20"/>
    <n v="0"/>
    <x v="13"/>
    <x v="18"/>
    <x v="71"/>
    <x v="0"/>
    <x v="7"/>
    <x v="2"/>
    <x v="13"/>
  </r>
  <r>
    <x v="235"/>
    <x v="226"/>
    <x v="226"/>
    <x v="0"/>
    <x v="1"/>
    <s v="HIPAA"/>
    <s v="No"/>
    <n v="1"/>
    <n v="0"/>
    <x v="2"/>
    <n v="20"/>
    <n v="0"/>
    <x v="13"/>
    <x v="19"/>
    <x v="71"/>
    <x v="0"/>
    <x v="1"/>
    <x v="2"/>
    <x v="0"/>
  </r>
  <r>
    <x v="236"/>
    <x v="227"/>
    <x v="227"/>
    <x v="0"/>
    <x v="1"/>
    <s v="HIPAA"/>
    <s v="Yes"/>
    <n v="1"/>
    <n v="0"/>
    <x v="2"/>
    <n v="20"/>
    <n v="0"/>
    <x v="30"/>
    <x v="19"/>
    <x v="1"/>
    <x v="0"/>
    <x v="44"/>
    <x v="67"/>
    <x v="13"/>
  </r>
  <r>
    <x v="237"/>
    <x v="228"/>
    <x v="228"/>
    <x v="0"/>
    <x v="1"/>
    <s v="HIPAA"/>
    <s v="Yes"/>
    <n v="1"/>
    <n v="0"/>
    <x v="2"/>
    <n v="20"/>
    <n v="0"/>
    <x v="14"/>
    <x v="20"/>
    <x v="48"/>
    <x v="0"/>
    <x v="70"/>
    <x v="68"/>
    <x v="17"/>
  </r>
  <r>
    <x v="238"/>
    <x v="229"/>
    <x v="229"/>
    <x v="0"/>
    <x v="1"/>
    <s v="HIPAA"/>
    <s v="Yes"/>
    <n v="1"/>
    <n v="0"/>
    <x v="2"/>
    <n v="20"/>
    <n v="0"/>
    <x v="14"/>
    <x v="21"/>
    <x v="48"/>
    <x v="0"/>
    <x v="1"/>
    <x v="2"/>
    <x v="17"/>
  </r>
  <r>
    <x v="239"/>
    <x v="230"/>
    <x v="230"/>
    <x v="0"/>
    <x v="1"/>
    <s v="HIPAA"/>
    <s v="Yes"/>
    <n v="1"/>
    <n v="0"/>
    <x v="2"/>
    <n v="20"/>
    <n v="0"/>
    <x v="14"/>
    <x v="21"/>
    <x v="48"/>
    <x v="0"/>
    <x v="1"/>
    <x v="2"/>
    <x v="17"/>
  </r>
  <r>
    <x v="240"/>
    <x v="231"/>
    <x v="231"/>
    <x v="0"/>
    <x v="1"/>
    <s v="HIPAA"/>
    <s v="Yes"/>
    <n v="1"/>
    <n v="0"/>
    <x v="2"/>
    <n v="20"/>
    <n v="0"/>
    <x v="14"/>
    <x v="21"/>
    <x v="48"/>
    <x v="0"/>
    <x v="1"/>
    <x v="2"/>
    <x v="17"/>
  </r>
  <r>
    <x v="241"/>
    <x v="232"/>
    <x v="232"/>
    <x v="0"/>
    <x v="1"/>
    <s v="HIPAA"/>
    <s v="Yes"/>
    <n v="1"/>
    <n v="0"/>
    <x v="2"/>
    <n v="20"/>
    <n v="0"/>
    <x v="14"/>
    <x v="21"/>
    <x v="48"/>
    <x v="0"/>
    <x v="1"/>
    <x v="2"/>
    <x v="17"/>
  </r>
  <r>
    <x v="242"/>
    <x v="233"/>
    <x v="233"/>
    <x v="0"/>
    <x v="1"/>
    <s v="HIPAA"/>
    <s v="Yes"/>
    <n v="1"/>
    <n v="0"/>
    <x v="2"/>
    <n v="20"/>
    <n v="0"/>
    <x v="2"/>
    <x v="22"/>
    <x v="0"/>
    <x v="0"/>
    <x v="1"/>
    <x v="2"/>
    <x v="17"/>
  </r>
  <r>
    <x v="243"/>
    <x v="234"/>
    <x v="234"/>
    <x v="0"/>
    <x v="1"/>
    <s v="HIPAA"/>
    <s v="Yes"/>
    <n v="1"/>
    <n v="0"/>
    <x v="2"/>
    <n v="20"/>
    <n v="0"/>
    <x v="2"/>
    <x v="23"/>
    <x v="24"/>
    <x v="0"/>
    <x v="23"/>
    <x v="2"/>
    <x v="2"/>
  </r>
  <r>
    <x v="244"/>
    <x v="235"/>
    <x v="235"/>
    <x v="0"/>
    <x v="1"/>
    <s v="HIPAA"/>
    <s v="Yes"/>
    <n v="1"/>
    <n v="0"/>
    <x v="2"/>
    <n v="20"/>
    <n v="0"/>
    <x v="2"/>
    <x v="23"/>
    <x v="26"/>
    <x v="0"/>
    <x v="71"/>
    <x v="2"/>
    <x v="2"/>
  </r>
  <r>
    <x v="245"/>
    <x v="236"/>
    <x v="236"/>
    <x v="0"/>
    <x v="1"/>
    <s v="HIPAA"/>
    <s v="Yes"/>
    <n v="1"/>
    <n v="0"/>
    <x v="2"/>
    <n v="20"/>
    <n v="0"/>
    <x v="2"/>
    <x v="24"/>
    <x v="0"/>
    <x v="0"/>
    <x v="1"/>
    <x v="2"/>
    <x v="17"/>
  </r>
  <r>
    <x v="246"/>
    <x v="237"/>
    <x v="237"/>
    <x v="0"/>
    <x v="1"/>
    <s v="HIPAA"/>
    <s v="Yes"/>
    <n v="1"/>
    <n v="0"/>
    <x v="2"/>
    <n v="20"/>
    <n v="0"/>
    <x v="2"/>
    <x v="25"/>
    <x v="0"/>
    <x v="0"/>
    <x v="1"/>
    <x v="2"/>
    <x v="0"/>
  </r>
  <r>
    <x v="247"/>
    <x v="238"/>
    <x v="238"/>
    <x v="0"/>
    <x v="1"/>
    <s v="HIPAA"/>
    <s v="Yes"/>
    <n v="1"/>
    <n v="0"/>
    <x v="2"/>
    <n v="20"/>
    <n v="0"/>
    <x v="2"/>
    <x v="26"/>
    <x v="0"/>
    <x v="0"/>
    <x v="1"/>
    <x v="2"/>
    <x v="1"/>
  </r>
  <r>
    <x v="248"/>
    <x v="239"/>
    <x v="239"/>
    <x v="0"/>
    <x v="1"/>
    <s v="PCI DSS"/>
    <s v="No"/>
    <n v="1"/>
    <n v="0"/>
    <x v="2"/>
    <n v="15"/>
    <n v="0"/>
    <x v="2"/>
    <x v="1"/>
    <x v="0"/>
    <x v="0"/>
    <x v="1"/>
    <x v="2"/>
    <x v="1"/>
  </r>
  <r>
    <x v="249"/>
    <x v="240"/>
    <x v="240"/>
    <x v="0"/>
    <x v="1"/>
    <s v="PCI DSS"/>
    <s v="Yes"/>
    <n v="1"/>
    <n v="0"/>
    <x v="2"/>
    <n v="20"/>
    <n v="0"/>
    <x v="2"/>
    <x v="1"/>
    <x v="0"/>
    <x v="0"/>
    <x v="1"/>
    <x v="2"/>
    <x v="1"/>
  </r>
  <r>
    <x v="250"/>
    <x v="241"/>
    <x v="241"/>
    <x v="0"/>
    <x v="0"/>
    <s v="PCI DSS"/>
    <s v="Yes"/>
    <n v="1"/>
    <n v="0"/>
    <x v="2"/>
    <n v="25"/>
    <n v="0"/>
    <x v="2"/>
    <x v="1"/>
    <x v="0"/>
    <x v="0"/>
    <x v="1"/>
    <x v="2"/>
    <x v="1"/>
  </r>
  <r>
    <x v="251"/>
    <x v="242"/>
    <x v="242"/>
    <x v="0"/>
    <x v="1"/>
    <s v="PCI DSS"/>
    <s v="Yes"/>
    <n v="1"/>
    <n v="0"/>
    <x v="2"/>
    <n v="20"/>
    <n v="0"/>
    <x v="5"/>
    <x v="1"/>
    <x v="1"/>
    <x v="0"/>
    <x v="1"/>
    <x v="2"/>
    <x v="1"/>
  </r>
  <r>
    <x v="252"/>
    <x v="243"/>
    <x v="243"/>
    <x v="0"/>
    <x v="1"/>
    <s v="PCI DSS"/>
    <s v="Yes"/>
    <n v="1"/>
    <n v="0"/>
    <x v="2"/>
    <n v="20"/>
    <n v="0"/>
    <x v="5"/>
    <x v="1"/>
    <x v="1"/>
    <x v="0"/>
    <x v="1"/>
    <x v="2"/>
    <x v="1"/>
  </r>
  <r>
    <x v="253"/>
    <x v="244"/>
    <x v="244"/>
    <x v="0"/>
    <x v="0"/>
    <s v="PCI DSS"/>
    <s v="Yes"/>
    <n v="1"/>
    <n v="0"/>
    <x v="2"/>
    <n v="25"/>
    <n v="0"/>
    <x v="5"/>
    <x v="1"/>
    <x v="1"/>
    <x v="0"/>
    <x v="1"/>
    <x v="2"/>
    <x v="1"/>
  </r>
  <r>
    <x v="254"/>
    <x v="245"/>
    <x v="245"/>
    <x v="0"/>
    <x v="1"/>
    <s v="PCI DSS"/>
    <s v="Yes"/>
    <n v="1"/>
    <n v="0"/>
    <x v="2"/>
    <n v="20"/>
    <n v="0"/>
    <x v="31"/>
    <x v="1"/>
    <x v="1"/>
    <x v="0"/>
    <x v="1"/>
    <x v="2"/>
    <x v="5"/>
  </r>
  <r>
    <x v="255"/>
    <x v="246"/>
    <x v="246"/>
    <x v="0"/>
    <x v="1"/>
    <s v="PCI DSS"/>
    <s v="Yes"/>
    <n v="1"/>
    <n v="0"/>
    <x v="2"/>
    <n v="20"/>
    <n v="0"/>
    <x v="1"/>
    <x v="1"/>
    <x v="1"/>
    <x v="0"/>
    <x v="1"/>
    <x v="2"/>
    <x v="1"/>
  </r>
  <r>
    <x v="256"/>
    <x v="247"/>
    <x v="247"/>
    <x v="0"/>
    <x v="0"/>
    <s v="PCI DSS"/>
    <s v="Yes"/>
    <n v="1"/>
    <n v="0"/>
    <x v="2"/>
    <n v="25"/>
    <n v="0"/>
    <x v="2"/>
    <x v="1"/>
    <x v="1"/>
    <x v="0"/>
    <x v="1"/>
    <x v="2"/>
    <x v="1"/>
  </r>
  <r>
    <x v="257"/>
    <x v="248"/>
    <x v="248"/>
    <x v="0"/>
    <x v="1"/>
    <s v="PCI DSS"/>
    <s v="Yes"/>
    <n v="1"/>
    <n v="0"/>
    <x v="2"/>
    <n v="20"/>
    <n v="0"/>
    <x v="5"/>
    <x v="1"/>
    <x v="1"/>
    <x v="0"/>
    <x v="1"/>
    <x v="2"/>
    <x v="1"/>
  </r>
  <r>
    <x v="258"/>
    <x v="249"/>
    <x v="249"/>
    <x v="0"/>
    <x v="1"/>
    <s v="PCI DSS"/>
    <s v="No"/>
    <n v="1"/>
    <n v="0"/>
    <x v="2"/>
    <n v="20"/>
    <n v="0"/>
    <x v="32"/>
    <x v="1"/>
    <x v="1"/>
    <x v="0"/>
    <x v="1"/>
    <x v="2"/>
    <x v="1"/>
  </r>
  <r>
    <x v="259"/>
    <x v="250"/>
    <x v="250"/>
    <x v="0"/>
    <x v="1"/>
    <s v="PCI DSS"/>
    <s v="No"/>
    <n v="1"/>
    <n v="0"/>
    <x v="2"/>
    <n v="20"/>
    <n v="0"/>
    <x v="2"/>
    <x v="1"/>
    <x v="1"/>
    <x v="0"/>
    <x v="1"/>
    <x v="2"/>
    <x v="1"/>
  </r>
  <r>
    <x v="260"/>
    <x v="251"/>
    <x v="251"/>
    <x v="0"/>
    <x v="1"/>
    <s v="Company"/>
    <m/>
    <n v="1"/>
    <n v="0"/>
    <x v="2"/>
    <n v="10"/>
    <n v="0"/>
    <x v="5"/>
    <x v="1"/>
    <x v="1"/>
    <x v="1"/>
    <x v="1"/>
    <x v="2"/>
    <x v="1"/>
  </r>
  <r>
    <x v="261"/>
    <x v="252"/>
    <x v="252"/>
    <x v="0"/>
    <x v="1"/>
    <s v="Company"/>
    <m/>
    <n v="1"/>
    <n v="0"/>
    <x v="2"/>
    <n v="10"/>
    <n v="0"/>
    <x v="5"/>
    <x v="1"/>
    <x v="1"/>
    <x v="1"/>
    <x v="1"/>
    <x v="2"/>
    <x v="1"/>
  </r>
  <r>
    <x v="262"/>
    <x v="253"/>
    <x v="253"/>
    <x v="0"/>
    <x v="1"/>
    <s v="Company"/>
    <s v="Yes"/>
    <n v="1"/>
    <n v="0"/>
    <x v="2"/>
    <n v="10"/>
    <n v="0"/>
    <x v="5"/>
    <x v="1"/>
    <x v="4"/>
    <x v="1"/>
    <x v="1"/>
    <x v="2"/>
    <x v="1"/>
  </r>
  <r>
    <x v="263"/>
    <x v="254"/>
    <x v="254"/>
    <x v="0"/>
    <x v="0"/>
    <s v="Company"/>
    <s v="No"/>
    <n v="1"/>
    <n v="0"/>
    <x v="2"/>
    <n v="25"/>
    <n v="0"/>
    <x v="5"/>
    <x v="1"/>
    <x v="1"/>
    <x v="1"/>
    <x v="1"/>
    <x v="2"/>
    <x v="0"/>
  </r>
  <r>
    <x v="264"/>
    <x v="255"/>
    <x v="255"/>
    <x v="0"/>
    <x v="0"/>
    <s v="Company"/>
    <s v="Yes"/>
    <n v="1"/>
    <n v="0"/>
    <x v="2"/>
    <n v="25"/>
    <n v="0"/>
    <x v="5"/>
    <x v="1"/>
    <x v="4"/>
    <x v="1"/>
    <x v="1"/>
    <x v="2"/>
    <x v="53"/>
  </r>
  <r>
    <x v="265"/>
    <x v="256"/>
    <x v="256"/>
    <x v="0"/>
    <x v="1"/>
    <s v="Company"/>
    <s v="Yes"/>
    <n v="1"/>
    <n v="0"/>
    <x v="2"/>
    <n v="15"/>
    <n v="0"/>
    <x v="5"/>
    <x v="1"/>
    <x v="52"/>
    <x v="1"/>
    <x v="1"/>
    <x v="69"/>
    <x v="1"/>
  </r>
  <r>
    <x v="266"/>
    <x v="257"/>
    <x v="257"/>
    <x v="0"/>
    <x v="0"/>
    <s v="Company"/>
    <m/>
    <n v="1"/>
    <n v="0"/>
    <x v="2"/>
    <n v="25"/>
    <n v="0"/>
    <x v="5"/>
    <x v="1"/>
    <x v="4"/>
    <x v="1"/>
    <x v="1"/>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4:K93" firstHeaderRow="1" firstDataRow="1" firstDataCol="11" rowPageCount="2" colPageCount="1"/>
  <pivotFields count="19">
    <pivotField axis="axisRow" outline="0" showAll="0" defaultSubtotal="0">
      <items count="275">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m="1" x="274"/>
        <item x="4"/>
        <item m="1" x="273"/>
        <item m="1" x="272"/>
        <item m="1" x="271"/>
        <item m="1" x="270"/>
        <item m="1" x="269"/>
        <item m="1" x="268"/>
        <item m="1" x="267"/>
      </items>
    </pivotField>
    <pivotField axis="axisRow" outline="0" showAll="0" defaultSubtotal="0">
      <items count="277">
        <item x="43"/>
        <item x="44"/>
        <item x="45"/>
        <item x="46"/>
        <item x="47"/>
        <item x="48"/>
        <item x="49"/>
        <item x="50"/>
        <item x="51"/>
        <item x="52"/>
        <item x="53"/>
        <item x="54"/>
        <item x="55"/>
        <item x="56"/>
        <item x="57"/>
        <item x="58"/>
        <item x="59"/>
        <item x="26"/>
        <item x="27"/>
        <item x="28"/>
        <item x="29"/>
        <item x="30"/>
        <item x="31"/>
        <item x="32"/>
        <item x="33"/>
        <item x="34"/>
        <item x="35"/>
        <item x="36"/>
        <item x="37"/>
        <item x="38"/>
        <item x="39"/>
        <item x="40"/>
        <item x="41"/>
        <item x="42"/>
        <item m="1" x="276"/>
        <item x="60"/>
        <item x="61"/>
        <item x="62"/>
        <item x="63"/>
        <item x="64"/>
        <item x="65"/>
        <item x="67"/>
        <item x="68"/>
        <item x="69"/>
        <item x="70"/>
        <item x="71"/>
        <item x="72"/>
        <item x="73"/>
        <item x="74"/>
        <item x="75"/>
        <item x="76"/>
        <item x="77"/>
        <item x="78"/>
        <item x="79"/>
        <item x="80"/>
        <item x="81"/>
        <item x="82"/>
        <item x="83"/>
        <item x="84"/>
        <item x="85"/>
        <item x="86"/>
        <item x="19"/>
        <item x="20"/>
        <item x="21"/>
        <item x="22"/>
        <item x="23"/>
        <item x="25"/>
        <item m="1" x="259"/>
        <item x="87"/>
        <item x="88"/>
        <item x="89"/>
        <item x="90"/>
        <item x="91"/>
        <item x="92"/>
        <item x="93"/>
        <item x="94"/>
        <item x="95"/>
        <item x="96"/>
        <item x="97"/>
        <item x="98"/>
        <item x="99"/>
        <item x="100"/>
        <item x="101"/>
        <item x="102"/>
        <item x="103"/>
        <item x="104"/>
        <item m="1" x="268"/>
        <item x="105"/>
        <item x="106"/>
        <item x="107"/>
        <item x="108"/>
        <item x="109"/>
        <item x="110"/>
        <item x="111"/>
        <item x="112"/>
        <item x="113"/>
        <item m="1" x="264"/>
        <item x="114"/>
        <item x="115"/>
        <item x="116"/>
        <item x="117"/>
        <item x="118"/>
        <item x="119"/>
        <item m="1" x="266"/>
        <item m="1" x="267"/>
        <item x="120"/>
        <item x="121"/>
        <item x="122"/>
        <item m="1" x="260"/>
        <item x="123"/>
        <item x="124"/>
        <item x="125"/>
        <item x="126"/>
        <item x="127"/>
        <item m="1" x="262"/>
        <item x="128"/>
        <item x="129"/>
        <item x="130"/>
        <item x="8"/>
        <item x="9"/>
        <item x="10"/>
        <item x="11"/>
        <item x="12"/>
        <item x="13"/>
        <item x="131"/>
        <item x="132"/>
        <item x="133"/>
        <item x="134"/>
        <item x="135"/>
        <item m="1" x="261"/>
        <item x="136"/>
        <item x="137"/>
        <item x="138"/>
        <item x="139"/>
        <item m="1" x="273"/>
        <item x="140"/>
        <item x="141"/>
        <item m="1" x="274"/>
        <item x="142"/>
        <item x="143"/>
        <item x="144"/>
        <item x="145"/>
        <item x="146"/>
        <item x="147"/>
        <item x="148"/>
        <item x="149"/>
        <item x="150"/>
        <item x="151"/>
        <item x="152"/>
        <item x="208"/>
        <item x="209"/>
        <item x="210"/>
        <item x="211"/>
        <item x="212"/>
        <item x="213"/>
        <item x="214"/>
        <item x="215"/>
        <item x="216"/>
        <item x="217"/>
        <item x="218"/>
        <item x="219"/>
        <item x="220"/>
        <item x="221"/>
        <item x="222"/>
        <item x="223"/>
        <item x="224"/>
        <item x="225"/>
        <item x="226"/>
        <item x="227"/>
        <item x="228"/>
        <item x="229"/>
        <item x="231"/>
        <item x="232"/>
        <item x="233"/>
        <item x="234"/>
        <item x="235"/>
        <item x="236"/>
        <item x="237"/>
        <item x="238"/>
        <item m="1" x="269"/>
        <item x="153"/>
        <item x="154"/>
        <item x="155"/>
        <item x="156"/>
        <item x="157"/>
        <item x="158"/>
        <item x="159"/>
        <item x="160"/>
        <item x="161"/>
        <item x="162"/>
        <item x="163"/>
        <item x="239"/>
        <item x="240"/>
        <item x="241"/>
        <item x="242"/>
        <item x="243"/>
        <item x="247"/>
        <item x="248"/>
        <item x="249"/>
        <item x="164"/>
        <item x="165"/>
        <item x="166"/>
        <item x="167"/>
        <item x="168"/>
        <item m="1" x="275"/>
        <item x="170"/>
        <item x="171"/>
        <item x="172"/>
        <item x="173"/>
        <item x="174"/>
        <item x="176"/>
        <item x="177"/>
        <item x="179"/>
        <item x="180"/>
        <item x="181"/>
        <item x="182"/>
        <item x="183"/>
        <item x="184"/>
        <item x="186"/>
        <item x="187"/>
        <item x="188"/>
        <item m="1" x="271"/>
        <item x="189"/>
        <item x="190"/>
        <item x="192"/>
        <item x="193"/>
        <item x="194"/>
        <item x="195"/>
        <item x="0"/>
        <item x="1"/>
        <item x="2"/>
        <item x="3"/>
        <item x="5"/>
        <item x="6"/>
        <item x="7"/>
        <item x="196"/>
        <item x="197"/>
        <item x="198"/>
        <item x="200"/>
        <item x="201"/>
        <item x="202"/>
        <item x="205"/>
        <item x="207"/>
        <item x="169"/>
        <item x="175"/>
        <item x="178"/>
        <item m="1" x="270"/>
        <item m="1" x="272"/>
        <item x="191"/>
        <item x="199"/>
        <item x="203"/>
        <item x="204"/>
        <item x="206"/>
        <item x="250"/>
        <item x="14"/>
        <item x="15"/>
        <item x="16"/>
        <item x="17"/>
        <item x="18"/>
        <item m="1" x="258"/>
        <item x="66"/>
        <item m="1" x="263"/>
        <item m="1" x="265"/>
        <item x="230"/>
        <item x="244"/>
        <item x="245"/>
        <item x="246"/>
        <item x="4"/>
        <item x="251"/>
        <item x="252"/>
        <item x="253"/>
        <item x="254"/>
        <item x="255"/>
        <item x="256"/>
        <item x="257"/>
        <item x="24"/>
        <item x="185"/>
      </items>
    </pivotField>
    <pivotField axis="axisRow" outline="0" showAll="0" defaultSubtotal="0">
      <items count="316">
        <item x="65"/>
        <item x="140"/>
        <item m="1" x="266"/>
        <item m="1" x="311"/>
        <item x="57"/>
        <item x="101"/>
        <item x="103"/>
        <item x="36"/>
        <item x="198"/>
        <item x="165"/>
        <item x="168"/>
        <item x="176"/>
        <item x="97"/>
        <item x="221"/>
        <item x="106"/>
        <item x="68"/>
        <item x="196"/>
        <item x="118"/>
        <item x="38"/>
        <item m="1" x="315"/>
        <item x="98"/>
        <item x="85"/>
        <item x="50"/>
        <item x="49"/>
        <item x="166"/>
        <item x="242"/>
        <item x="12"/>
        <item x="240"/>
        <item x="243"/>
        <item m="1" x="273"/>
        <item x="143"/>
        <item x="142"/>
        <item x="237"/>
        <item x="200"/>
        <item x="201"/>
        <item x="123"/>
        <item m="1" x="264"/>
        <item x="202"/>
        <item x="94"/>
        <item x="28"/>
        <item x="247"/>
        <item x="231"/>
        <item x="232"/>
        <item x="96"/>
        <item x="171"/>
        <item x="43"/>
        <item x="44"/>
        <item x="236"/>
        <item x="190"/>
        <item x="29"/>
        <item x="39"/>
        <item x="41"/>
        <item x="34"/>
        <item x="37"/>
        <item m="1" x="262"/>
        <item x="138"/>
        <item m="1" x="281"/>
        <item x="58"/>
        <item x="154"/>
        <item x="128"/>
        <item x="100"/>
        <item x="40"/>
        <item x="35"/>
        <item x="59"/>
        <item m="1" x="303"/>
        <item x="60"/>
        <item m="1" x="267"/>
        <item x="131"/>
        <item m="1" x="260"/>
        <item x="76"/>
        <item x="42"/>
        <item x="227"/>
        <item x="119"/>
        <item m="1" x="285"/>
        <item x="75"/>
        <item m="1" x="271"/>
        <item x="110"/>
        <item x="86"/>
        <item m="1" x="293"/>
        <item x="141"/>
        <item x="192"/>
        <item x="211"/>
        <item m="1" x="294"/>
        <item x="115"/>
        <item x="31"/>
        <item x="148"/>
        <item x="149"/>
        <item x="91"/>
        <item x="3"/>
        <item x="241"/>
        <item x="5"/>
        <item x="234"/>
        <item x="72"/>
        <item m="1" x="286"/>
        <item x="170"/>
        <item x="145"/>
        <item x="177"/>
        <item x="178"/>
        <item x="213"/>
        <item x="195"/>
        <item x="80"/>
        <item x="81"/>
        <item x="197"/>
        <item x="212"/>
        <item x="185"/>
        <item x="46"/>
        <item x="84"/>
        <item x="83"/>
        <item x="189"/>
        <item x="151"/>
        <item x="209"/>
        <item x="182"/>
        <item x="87"/>
        <item x="183"/>
        <item m="1" x="314"/>
        <item x="26"/>
        <item x="27"/>
        <item x="208"/>
        <item x="130"/>
        <item m="1" x="300"/>
        <item x="229"/>
        <item x="228"/>
        <item x="156"/>
        <item x="114"/>
        <item x="117"/>
        <item x="159"/>
        <item m="1" x="296"/>
        <item x="54"/>
        <item x="45"/>
        <item x="55"/>
        <item x="30"/>
        <item x="78"/>
        <item m="1" x="310"/>
        <item x="1"/>
        <item m="1" x="309"/>
        <item x="51"/>
        <item x="220"/>
        <item x="219"/>
        <item x="223"/>
        <item x="218"/>
        <item x="217"/>
        <item x="52"/>
        <item x="224"/>
        <item x="225"/>
        <item x="116"/>
        <item x="233"/>
        <item m="1" x="284"/>
        <item m="1" x="270"/>
        <item x="67"/>
        <item x="79"/>
        <item x="13"/>
        <item x="135"/>
        <item x="69"/>
        <item x="0"/>
        <item m="1" x="275"/>
        <item m="1" x="263"/>
        <item x="162"/>
        <item x="22"/>
        <item x="139"/>
        <item x="210"/>
        <item x="235"/>
        <item m="1" x="306"/>
        <item x="214"/>
        <item x="238"/>
        <item x="215"/>
        <item x="146"/>
        <item x="147"/>
        <item x="33"/>
        <item x="10"/>
        <item x="194"/>
        <item x="216"/>
        <item m="1" x="272"/>
        <item x="172"/>
        <item x="102"/>
        <item m="1" x="299"/>
        <item x="77"/>
        <item m="1" x="292"/>
        <item m="1" x="282"/>
        <item m="1" x="283"/>
        <item x="222"/>
        <item x="99"/>
        <item x="73"/>
        <item m="1" x="308"/>
        <item x="62"/>
        <item x="132"/>
        <item x="113"/>
        <item m="1" x="298"/>
        <item m="1" x="305"/>
        <item x="82"/>
        <item m="1" x="289"/>
        <item x="111"/>
        <item x="127"/>
        <item x="90"/>
        <item m="1" x="295"/>
        <item x="155"/>
        <item x="248"/>
        <item m="1" x="280"/>
        <item x="126"/>
        <item m="1" x="301"/>
        <item x="63"/>
        <item x="136"/>
        <item x="64"/>
        <item x="137"/>
        <item x="226"/>
        <item x="71"/>
        <item x="7"/>
        <item m="1" x="265"/>
        <item m="1" x="269"/>
        <item x="93"/>
        <item x="153"/>
        <item x="120"/>
        <item x="144"/>
        <item x="129"/>
        <item m="1" x="261"/>
        <item m="1" x="268"/>
        <item x="173"/>
        <item m="1" x="276"/>
        <item x="32"/>
        <item x="125"/>
        <item m="1" x="274"/>
        <item x="23"/>
        <item x="56"/>
        <item x="53"/>
        <item x="160"/>
        <item x="6"/>
        <item x="2"/>
        <item x="88"/>
        <item x="25"/>
        <item x="20"/>
        <item x="19"/>
        <item x="21"/>
        <item x="74"/>
        <item x="95"/>
        <item x="207"/>
        <item x="179"/>
        <item x="180"/>
        <item x="112"/>
        <item m="1" x="258"/>
        <item x="193"/>
        <item m="1" x="307"/>
        <item m="1" x="302"/>
        <item m="1" x="287"/>
        <item m="1" x="291"/>
        <item m="1" x="277"/>
        <item x="191"/>
        <item m="1" x="288"/>
        <item m="1" x="290"/>
        <item x="204"/>
        <item x="206"/>
        <item x="250"/>
        <item x="14"/>
        <item x="15"/>
        <item x="16"/>
        <item x="17"/>
        <item x="18"/>
        <item m="1" x="304"/>
        <item x="66"/>
        <item m="1" x="278"/>
        <item m="1" x="259"/>
        <item x="230"/>
        <item x="244"/>
        <item x="245"/>
        <item x="246"/>
        <item x="121"/>
        <item m="1" x="279"/>
        <item x="4"/>
        <item x="251"/>
        <item x="252"/>
        <item x="253"/>
        <item x="254"/>
        <item x="255"/>
        <item x="256"/>
        <item x="257"/>
        <item x="24"/>
        <item x="48"/>
        <item x="61"/>
        <item x="89"/>
        <item x="92"/>
        <item x="105"/>
        <item x="107"/>
        <item m="1" x="297"/>
        <item x="122"/>
        <item x="124"/>
        <item x="133"/>
        <item x="134"/>
        <item m="1" x="312"/>
        <item x="152"/>
        <item x="157"/>
        <item x="158"/>
        <item x="161"/>
        <item x="167"/>
        <item x="174"/>
        <item x="175"/>
        <item x="184"/>
        <item x="186"/>
        <item x="187"/>
        <item x="188"/>
        <item m="1" x="313"/>
        <item x="205"/>
        <item x="239"/>
        <item x="249"/>
        <item x="8"/>
        <item x="9"/>
        <item x="11"/>
        <item x="163"/>
        <item x="181"/>
        <item x="203"/>
        <item x="47"/>
        <item x="70"/>
        <item x="104"/>
        <item x="108"/>
        <item x="109"/>
        <item x="150"/>
        <item x="164"/>
        <item x="169"/>
        <item x="199"/>
      </items>
    </pivotField>
    <pivotField axis="axisRow" outline="0" showAll="0" defaultSubtotal="0">
      <items count="3">
        <item x="0"/>
        <item x="1"/>
        <item x="2"/>
      </items>
    </pivotField>
    <pivotField axis="axisPage" showAll="0" defaultSubtotal="0">
      <items count="3">
        <item x="1"/>
        <item x="0"/>
        <item x="2"/>
      </items>
    </pivotField>
    <pivotField showAll="0"/>
    <pivotField showAll="0"/>
    <pivotField showAll="0"/>
    <pivotField showAll="0"/>
    <pivotField axis="axisPage" showAll="0" defaultSubtotal="0">
      <items count="4">
        <item x="2"/>
        <item x="0"/>
        <item x="1"/>
        <item x="3"/>
      </items>
    </pivotField>
    <pivotField showAll="0"/>
    <pivotField showAll="0"/>
    <pivotField axis="axisRow" outline="0" showAll="0" defaultSubtotal="0">
      <items count="33">
        <item x="5"/>
        <item x="16"/>
        <item x="15"/>
        <item x="2"/>
        <item x="21"/>
        <item x="9"/>
        <item x="32"/>
        <item x="0"/>
        <item x="23"/>
        <item x="4"/>
        <item x="13"/>
        <item x="29"/>
        <item x="26"/>
        <item x="1"/>
        <item x="22"/>
        <item x="10"/>
        <item x="7"/>
        <item x="28"/>
        <item x="18"/>
        <item x="19"/>
        <item x="24"/>
        <item x="25"/>
        <item x="12"/>
        <item x="14"/>
        <item x="30"/>
        <item x="11"/>
        <item x="20"/>
        <item x="8"/>
        <item x="6"/>
        <item x="3"/>
        <item x="27"/>
        <item x="31"/>
        <item x="17"/>
      </items>
    </pivotField>
    <pivotField axis="axisRow" outline="0" showAll="0" defaultSubtotal="0">
      <items count="27">
        <item x="1"/>
        <item x="20"/>
        <item x="2"/>
        <item x="11"/>
        <item x="4"/>
        <item x="8"/>
        <item x="26"/>
        <item x="19"/>
        <item x="16"/>
        <item x="18"/>
        <item x="15"/>
        <item x="13"/>
        <item x="17"/>
        <item x="14"/>
        <item x="6"/>
        <item x="12"/>
        <item x="9"/>
        <item x="10"/>
        <item x="23"/>
        <item x="25"/>
        <item x="24"/>
        <item x="22"/>
        <item x="21"/>
        <item x="7"/>
        <item x="0"/>
        <item x="3"/>
        <item x="5"/>
      </items>
    </pivotField>
    <pivotField axis="axisRow" outline="0" showAll="0" defaultSubtotal="0">
      <items count="72">
        <item x="1"/>
        <item x="12"/>
        <item x="19"/>
        <item x="15"/>
        <item x="32"/>
        <item x="58"/>
        <item x="38"/>
        <item x="42"/>
        <item x="56"/>
        <item x="55"/>
        <item x="54"/>
        <item x="43"/>
        <item x="11"/>
        <item x="16"/>
        <item x="30"/>
        <item x="17"/>
        <item x="36"/>
        <item x="23"/>
        <item x="48"/>
        <item x="14"/>
        <item x="31"/>
        <item x="53"/>
        <item x="46"/>
        <item x="45"/>
        <item x="47"/>
        <item x="34"/>
        <item x="52"/>
        <item x="59"/>
        <item x="4"/>
        <item x="69"/>
        <item x="44"/>
        <item x="70"/>
        <item x="60"/>
        <item x="25"/>
        <item x="24"/>
        <item x="2"/>
        <item x="26"/>
        <item x="29"/>
        <item x="0"/>
        <item x="68"/>
        <item x="5"/>
        <item x="67"/>
        <item x="57"/>
        <item x="66"/>
        <item x="61"/>
        <item x="62"/>
        <item x="63"/>
        <item x="28"/>
        <item x="27"/>
        <item x="37"/>
        <item x="35"/>
        <item x="49"/>
        <item x="50"/>
        <item x="33"/>
        <item x="39"/>
        <item x="40"/>
        <item x="9"/>
        <item x="13"/>
        <item x="21"/>
        <item x="7"/>
        <item x="71"/>
        <item x="18"/>
        <item x="20"/>
        <item x="64"/>
        <item x="8"/>
        <item x="51"/>
        <item x="22"/>
        <item x="10"/>
        <item x="3"/>
        <item x="65"/>
        <item x="6"/>
        <item x="41"/>
      </items>
    </pivotField>
    <pivotField axis="axisRow" outline="0" showAll="0" defaultSubtotal="0">
      <items count="53">
        <item x="1"/>
        <item x="33"/>
        <item x="31"/>
        <item x="32"/>
        <item x="40"/>
        <item x="34"/>
        <item x="37"/>
        <item x="36"/>
        <item x="35"/>
        <item x="51"/>
        <item x="43"/>
        <item x="12"/>
        <item x="11"/>
        <item x="7"/>
        <item x="2"/>
        <item x="0"/>
        <item x="14"/>
        <item x="15"/>
        <item x="39"/>
        <item x="38"/>
        <item x="20"/>
        <item x="8"/>
        <item x="13"/>
        <item x="9"/>
        <item x="28"/>
        <item x="46"/>
        <item x="22"/>
        <item x="27"/>
        <item x="24"/>
        <item x="21"/>
        <item x="25"/>
        <item x="26"/>
        <item x="29"/>
        <item x="30"/>
        <item x="19"/>
        <item x="47"/>
        <item x="49"/>
        <item x="45"/>
        <item x="42"/>
        <item x="44"/>
        <item x="17"/>
        <item x="18"/>
        <item x="23"/>
        <item x="3"/>
        <item x="16"/>
        <item x="10"/>
        <item x="48"/>
        <item x="6"/>
        <item x="41"/>
        <item x="4"/>
        <item x="50"/>
        <item x="52"/>
        <item x="5"/>
      </items>
    </pivotField>
    <pivotField axis="axisRow" outline="0" showAll="0" defaultSubtotal="0">
      <items count="72">
        <item x="1"/>
        <item x="19"/>
        <item x="12"/>
        <item x="68"/>
        <item x="10"/>
        <item x="45"/>
        <item x="31"/>
        <item x="7"/>
        <item x="6"/>
        <item x="69"/>
        <item x="30"/>
        <item x="41"/>
        <item x="29"/>
        <item x="11"/>
        <item x="57"/>
        <item x="20"/>
        <item x="67"/>
        <item x="48"/>
        <item x="61"/>
        <item x="23"/>
        <item x="35"/>
        <item x="59"/>
        <item x="51"/>
        <item x="28"/>
        <item x="55"/>
        <item x="24"/>
        <item x="56"/>
        <item x="63"/>
        <item x="44"/>
        <item x="70"/>
        <item x="58"/>
        <item x="25"/>
        <item x="26"/>
        <item x="27"/>
        <item x="9"/>
        <item x="16"/>
        <item x="17"/>
        <item x="18"/>
        <item x="15"/>
        <item x="13"/>
        <item x="14"/>
        <item x="66"/>
        <item x="52"/>
        <item x="64"/>
        <item x="43"/>
        <item x="42"/>
        <item x="53"/>
        <item x="65"/>
        <item x="71"/>
        <item x="38"/>
        <item x="49"/>
        <item x="39"/>
        <item x="33"/>
        <item x="40"/>
        <item x="47"/>
        <item x="37"/>
        <item x="36"/>
        <item x="5"/>
        <item x="46"/>
        <item x="32"/>
        <item x="34"/>
        <item x="54"/>
        <item x="2"/>
        <item x="0"/>
        <item x="3"/>
        <item x="8"/>
        <item x="50"/>
        <item x="4"/>
        <item x="60"/>
        <item x="62"/>
        <item x="21"/>
        <item x="22"/>
      </items>
    </pivotField>
    <pivotField axis="axisRow" outline="0" showAll="0" defaultSubtotal="0">
      <items count="70">
        <item x="2"/>
        <item x="66"/>
        <item x="14"/>
        <item x="45"/>
        <item x="19"/>
        <item x="41"/>
        <item x="39"/>
        <item x="32"/>
        <item x="16"/>
        <item x="11"/>
        <item x="31"/>
        <item x="18"/>
        <item x="28"/>
        <item x="24"/>
        <item x="65"/>
        <item x="57"/>
        <item x="56"/>
        <item x="62"/>
        <item x="29"/>
        <item x="44"/>
        <item x="67"/>
        <item x="68"/>
        <item x="3"/>
        <item x="27"/>
        <item x="54"/>
        <item x="5"/>
        <item x="50"/>
        <item x="53"/>
        <item x="52"/>
        <item x="55"/>
        <item x="17"/>
        <item x="15"/>
        <item x="59"/>
        <item x="30"/>
        <item x="51"/>
        <item x="35"/>
        <item x="38"/>
        <item x="37"/>
        <item x="1"/>
        <item x="22"/>
        <item x="20"/>
        <item x="23"/>
        <item x="21"/>
        <item x="43"/>
        <item x="63"/>
        <item x="64"/>
        <item x="12"/>
        <item x="33"/>
        <item x="47"/>
        <item x="46"/>
        <item x="34"/>
        <item x="42"/>
        <item x="7"/>
        <item x="48"/>
        <item x="0"/>
        <item x="6"/>
        <item x="36"/>
        <item x="40"/>
        <item x="61"/>
        <item x="13"/>
        <item x="49"/>
        <item x="4"/>
        <item x="58"/>
        <item x="60"/>
        <item x="8"/>
        <item x="9"/>
        <item x="10"/>
        <item x="69"/>
        <item x="25"/>
        <item x="26"/>
      </items>
    </pivotField>
    <pivotField axis="axisRow" showAll="0" defaultSubtotal="0">
      <items count="54">
        <item x="0"/>
        <item x="29"/>
        <item x="10"/>
        <item x="33"/>
        <item x="38"/>
        <item x="17"/>
        <item x="48"/>
        <item x="30"/>
        <item x="31"/>
        <item x="2"/>
        <item x="52"/>
        <item x="46"/>
        <item x="43"/>
        <item x="1"/>
        <item x="28"/>
        <item x="32"/>
        <item x="15"/>
        <item x="49"/>
        <item x="50"/>
        <item x="23"/>
        <item x="47"/>
        <item x="20"/>
        <item x="21"/>
        <item x="45"/>
        <item x="34"/>
        <item x="6"/>
        <item x="51"/>
        <item x="42"/>
        <item x="24"/>
        <item x="22"/>
        <item x="35"/>
        <item x="37"/>
        <item x="44"/>
        <item x="26"/>
        <item x="9"/>
        <item x="25"/>
        <item x="11"/>
        <item x="14"/>
        <item x="41"/>
        <item x="39"/>
        <item x="40"/>
        <item x="19"/>
        <item x="18"/>
        <item x="36"/>
        <item x="8"/>
        <item x="12"/>
        <item x="13"/>
        <item x="27"/>
        <item x="5"/>
        <item x="4"/>
        <item x="7"/>
        <item x="3"/>
        <item x="53"/>
        <item x="16"/>
      </items>
    </pivotField>
  </pivotFields>
  <rowFields count="11">
    <field x="0"/>
    <field x="1"/>
    <field x="2"/>
    <field x="3"/>
    <field x="12"/>
    <field x="13"/>
    <field x="14"/>
    <field x="15"/>
    <field x="16"/>
    <field x="17"/>
    <field x="18"/>
  </rowFields>
  <rowItems count="89">
    <i>
      <x v="10"/>
      <x v="121"/>
      <x v="303"/>
      <x/>
      <x/>
      <x/>
      <x v="38"/>
      <x/>
      <x/>
      <x v="55"/>
      <x v="25"/>
    </i>
    <i>
      <x v="12"/>
      <x v="123"/>
      <x v="150"/>
      <x/>
      <x/>
      <x v="2"/>
      <x v="40"/>
      <x v="15"/>
      <x v="63"/>
      <x v="55"/>
      <x/>
    </i>
    <i>
      <x v="13"/>
      <x v="254"/>
      <x v="250"/>
      <x/>
      <x v="7"/>
      <x/>
      <x v="70"/>
      <x v="52"/>
      <x v="57"/>
      <x v="64"/>
      <x v="13"/>
    </i>
    <i>
      <x v="14"/>
      <x v="255"/>
      <x v="251"/>
      <x/>
      <x v="7"/>
      <x/>
      <x v="70"/>
      <x v="52"/>
      <x v="57"/>
      <x/>
      <x v="13"/>
    </i>
    <i>
      <x v="15"/>
      <x v="256"/>
      <x v="252"/>
      <x/>
      <x v="7"/>
      <x/>
      <x v="70"/>
      <x v="15"/>
      <x/>
      <x v="65"/>
      <x v="13"/>
    </i>
    <i>
      <x v="16"/>
      <x v="257"/>
      <x v="253"/>
      <x/>
      <x/>
      <x/>
      <x v="70"/>
      <x v="14"/>
      <x/>
      <x v="66"/>
      <x v="13"/>
    </i>
    <i>
      <x v="19"/>
      <x v="62"/>
      <x v="228"/>
      <x/>
      <x v="9"/>
      <x/>
      <x v="64"/>
      <x v="14"/>
      <x v="7"/>
      <x/>
      <x/>
    </i>
    <i>
      <x v="22"/>
      <x v="65"/>
      <x v="220"/>
      <x/>
      <x v="7"/>
      <x/>
      <x v="56"/>
      <x v="14"/>
      <x v="57"/>
      <x v="46"/>
      <x/>
    </i>
    <i>
      <x v="24"/>
      <x v="66"/>
      <x v="227"/>
      <x/>
      <x v="9"/>
      <x/>
      <x v="56"/>
      <x v="14"/>
      <x/>
      <x/>
      <x/>
    </i>
    <i>
      <x v="26"/>
      <x v="17"/>
      <x v="115"/>
      <x/>
      <x v="13"/>
      <x/>
      <x/>
      <x v="13"/>
      <x/>
      <x/>
      <x/>
    </i>
    <i>
      <x v="27"/>
      <x v="18"/>
      <x v="116"/>
      <x/>
      <x v="16"/>
      <x/>
      <x v="12"/>
      <x v="13"/>
      <x/>
      <x/>
      <x/>
    </i>
    <i>
      <x v="31"/>
      <x v="22"/>
      <x v="84"/>
      <x/>
      <x v="5"/>
      <x/>
      <x v="1"/>
      <x v="45"/>
      <x v="4"/>
      <x v="8"/>
      <x/>
    </i>
    <i>
      <x v="33"/>
      <x v="24"/>
      <x v="167"/>
      <x/>
      <x/>
      <x/>
      <x v="3"/>
      <x/>
      <x/>
      <x/>
      <x v="34"/>
    </i>
    <i>
      <x v="35"/>
      <x v="26"/>
      <x v="62"/>
      <x/>
      <x v="15"/>
      <x/>
      <x v="13"/>
      <x v="11"/>
      <x/>
      <x v="30"/>
      <x v="2"/>
    </i>
    <i>
      <x v="36"/>
      <x v="27"/>
      <x v="7"/>
      <x/>
      <x v="7"/>
      <x/>
      <x v="15"/>
      <x/>
      <x/>
      <x/>
      <x/>
    </i>
    <i>
      <x v="39"/>
      <x v="30"/>
      <x v="50"/>
      <x/>
      <x v="15"/>
      <x/>
      <x/>
      <x/>
      <x/>
      <x/>
      <x/>
    </i>
    <i>
      <x v="40"/>
      <x v="31"/>
      <x v="61"/>
      <x/>
      <x v="9"/>
      <x/>
      <x v="61"/>
      <x v="23"/>
      <x v="13"/>
      <x v="11"/>
      <x v="36"/>
    </i>
    <i>
      <x v="41"/>
      <x v="32"/>
      <x v="51"/>
      <x/>
      <x v="22"/>
      <x/>
      <x v="2"/>
      <x v="23"/>
      <x v="2"/>
      <x v="4"/>
      <x v="45"/>
    </i>
    <i>
      <x v="43"/>
      <x/>
      <x v="45"/>
      <x/>
      <x v="10"/>
      <x/>
      <x v="62"/>
      <x v="16"/>
      <x v="39"/>
      <x v="40"/>
      <x v="46"/>
    </i>
    <i>
      <x v="44"/>
      <x v="1"/>
      <x v="46"/>
      <x/>
      <x v="10"/>
      <x/>
      <x v="62"/>
      <x v="16"/>
      <x v="40"/>
      <x v="42"/>
      <x v="46"/>
    </i>
    <i>
      <x v="45"/>
      <x v="2"/>
      <x v="128"/>
      <x/>
      <x v="10"/>
      <x/>
      <x v="62"/>
      <x v="16"/>
      <x/>
      <x/>
      <x v="46"/>
    </i>
    <i>
      <x v="47"/>
      <x v="4"/>
      <x v="307"/>
      <x/>
      <x v="10"/>
      <x/>
      <x v="58"/>
      <x v="16"/>
      <x v="35"/>
      <x v="39"/>
      <x v="46"/>
    </i>
    <i>
      <x v="48"/>
      <x v="5"/>
      <x v="274"/>
      <x/>
      <x v="10"/>
      <x/>
      <x v="56"/>
      <x/>
      <x/>
      <x/>
      <x v="37"/>
    </i>
    <i>
      <x v="49"/>
      <x v="6"/>
      <x v="23"/>
      <x/>
      <x v="10"/>
      <x/>
      <x v="56"/>
      <x v="16"/>
      <x/>
      <x/>
      <x v="46"/>
    </i>
    <i>
      <x v="50"/>
      <x v="7"/>
      <x v="22"/>
      <x/>
      <x v="10"/>
      <x/>
      <x v="56"/>
      <x v="16"/>
      <x v="36"/>
      <x v="42"/>
      <x v="46"/>
    </i>
    <i>
      <x v="53"/>
      <x v="10"/>
      <x v="222"/>
      <x/>
      <x v="10"/>
      <x/>
      <x v="56"/>
      <x v="17"/>
      <x/>
      <x/>
      <x v="46"/>
    </i>
    <i>
      <x v="55"/>
      <x v="12"/>
      <x v="129"/>
      <x/>
      <x v="10"/>
      <x/>
      <x/>
      <x v="17"/>
      <x/>
      <x/>
      <x/>
    </i>
    <i>
      <x v="56"/>
      <x v="13"/>
      <x v="221"/>
      <x/>
      <x v="10"/>
      <x/>
      <x/>
      <x v="17"/>
      <x v="1"/>
      <x/>
      <x v="46"/>
    </i>
    <i>
      <x v="57"/>
      <x v="14"/>
      <x v="4"/>
      <x/>
      <x v="23"/>
      <x/>
      <x v="17"/>
      <x v="44"/>
      <x v="15"/>
      <x v="13"/>
      <x v="16"/>
    </i>
    <i>
      <x v="58"/>
      <x v="15"/>
      <x v="57"/>
      <x/>
      <x v="23"/>
      <x/>
      <x v="17"/>
      <x v="44"/>
      <x v="70"/>
      <x v="68"/>
      <x v="53"/>
    </i>
    <i>
      <x v="60"/>
      <x v="35"/>
      <x v="65"/>
      <x/>
      <x v="3"/>
      <x/>
      <x v="34"/>
      <x v="43"/>
      <x v="19"/>
      <x v="23"/>
      <x/>
    </i>
    <i>
      <x v="65"/>
      <x v="40"/>
      <x/>
      <x/>
      <x v="3"/>
      <x/>
      <x v="35"/>
      <x v="43"/>
      <x v="19"/>
      <x v="23"/>
      <x/>
    </i>
    <i>
      <x v="66"/>
      <x v="260"/>
      <x v="256"/>
      <x/>
      <x v="3"/>
      <x/>
      <x v="36"/>
      <x v="43"/>
      <x v="19"/>
      <x v="23"/>
      <x/>
    </i>
    <i>
      <x v="72"/>
      <x v="46"/>
      <x v="92"/>
      <x/>
      <x v="3"/>
      <x/>
      <x v="14"/>
      <x v="40"/>
      <x v="31"/>
      <x v="33"/>
      <x v="42"/>
    </i>
    <i>
      <x v="76"/>
      <x v="50"/>
      <x v="69"/>
      <x/>
      <x v="15"/>
      <x/>
      <x/>
      <x/>
      <x/>
      <x v="33"/>
      <x v="21"/>
    </i>
    <i>
      <x v="79"/>
      <x v="53"/>
      <x v="149"/>
      <x/>
      <x v="15"/>
      <x/>
      <x v="13"/>
      <x v="34"/>
      <x v="33"/>
      <x v="33"/>
      <x v="9"/>
    </i>
    <i>
      <x v="87"/>
      <x v="68"/>
      <x v="112"/>
      <x/>
      <x v="5"/>
      <x/>
      <x/>
      <x v="20"/>
      <x v="12"/>
      <x v="10"/>
      <x v="13"/>
    </i>
    <i>
      <x v="89"/>
      <x v="70"/>
      <x v="276"/>
      <x/>
      <x v="7"/>
      <x/>
      <x v="4"/>
      <x v="29"/>
      <x/>
      <x/>
      <x v="33"/>
    </i>
    <i>
      <x v="90"/>
      <x v="71"/>
      <x v="192"/>
      <x/>
      <x v="7"/>
      <x/>
      <x v="53"/>
      <x v="26"/>
      <x v="6"/>
      <x v="47"/>
      <x v="13"/>
    </i>
    <i>
      <x v="91"/>
      <x v="72"/>
      <x v="87"/>
      <x/>
      <x v="7"/>
      <x/>
      <x v="53"/>
      <x/>
      <x v="59"/>
      <x/>
      <x v="9"/>
    </i>
    <i>
      <x v="92"/>
      <x v="73"/>
      <x v="277"/>
      <x/>
      <x v="7"/>
      <x/>
      <x v="25"/>
      <x v="29"/>
      <x/>
      <x v="50"/>
      <x v="33"/>
    </i>
    <i>
      <x v="94"/>
      <x v="75"/>
      <x v="38"/>
      <x/>
      <x v="7"/>
      <x/>
      <x v="50"/>
      <x/>
      <x v="52"/>
      <x v="46"/>
      <x v="13"/>
    </i>
    <i>
      <x v="97"/>
      <x v="78"/>
      <x v="12"/>
      <x/>
      <x v="7"/>
      <x/>
      <x v="49"/>
      <x/>
      <x v="52"/>
      <x/>
      <x v="13"/>
    </i>
    <i>
      <x v="103"/>
      <x v="84"/>
      <x v="6"/>
      <x/>
      <x v="3"/>
      <x/>
      <x v="16"/>
      <x v="28"/>
      <x v="60"/>
      <x v="35"/>
      <x/>
    </i>
    <i>
      <x v="108"/>
      <x v="90"/>
      <x v="310"/>
      <x/>
      <x v="7"/>
      <x/>
      <x v="54"/>
      <x v="30"/>
      <x v="49"/>
      <x v="36"/>
      <x v="47"/>
    </i>
    <i>
      <x v="113"/>
      <x v="95"/>
      <x v="185"/>
      <x/>
      <x v="32"/>
      <x/>
      <x v="71"/>
      <x v="22"/>
      <x/>
      <x/>
      <x/>
    </i>
    <i>
      <x v="114"/>
      <x v="97"/>
      <x v="123"/>
      <x/>
      <x v="7"/>
      <x/>
      <x v="4"/>
      <x v="26"/>
      <x/>
      <x/>
      <x/>
    </i>
    <i>
      <x v="115"/>
      <x v="98"/>
      <x v="83"/>
      <x/>
      <x v="7"/>
      <x/>
      <x v="4"/>
      <x v="27"/>
      <x/>
      <x/>
      <x/>
    </i>
    <i>
      <x v="119"/>
      <x v="102"/>
      <x v="72"/>
      <x/>
      <x v="19"/>
      <x/>
      <x/>
      <x/>
      <x/>
      <x v="9"/>
      <x v="13"/>
    </i>
    <i>
      <x v="124"/>
      <x v="107"/>
      <x v="281"/>
      <x/>
      <x v="5"/>
      <x/>
      <x v="38"/>
      <x/>
      <x/>
      <x/>
      <x v="14"/>
    </i>
    <i>
      <x v="135"/>
      <x v="124"/>
      <x v="67"/>
      <x/>
      <x v="3"/>
      <x/>
      <x v="34"/>
      <x v="43"/>
      <x v="19"/>
      <x v="12"/>
      <x v="13"/>
    </i>
    <i>
      <x v="141"/>
      <x v="130"/>
      <x v="200"/>
      <x/>
      <x v="3"/>
      <x/>
      <x/>
      <x v="43"/>
      <x v="19"/>
      <x v="12"/>
      <x v="13"/>
    </i>
    <i>
      <x v="148"/>
      <x v="138"/>
      <x v="31"/>
      <x/>
      <x v="26"/>
      <x/>
      <x v="23"/>
      <x v="33"/>
      <x/>
      <x/>
      <x v="1"/>
    </i>
    <i>
      <x v="149"/>
      <x v="139"/>
      <x v="30"/>
      <x/>
      <x v="26"/>
      <x/>
      <x v="23"/>
      <x v="33"/>
      <x/>
      <x/>
      <x v="1"/>
    </i>
    <i>
      <x v="151"/>
      <x v="141"/>
      <x v="95"/>
      <x/>
      <x v="26"/>
      <x/>
      <x v="14"/>
      <x v="24"/>
      <x/>
      <x/>
      <x v="1"/>
    </i>
    <i>
      <x v="152"/>
      <x v="142"/>
      <x v="165"/>
      <x/>
      <x v="14"/>
      <x/>
      <x v="24"/>
      <x v="2"/>
      <x v="44"/>
      <x v="43"/>
      <x v="7"/>
    </i>
    <i>
      <x v="154"/>
      <x v="144"/>
      <x v="85"/>
      <x/>
      <x v="14"/>
      <x/>
      <x v="24"/>
      <x v="2"/>
      <x v="44"/>
      <x v="43"/>
      <x v="7"/>
    </i>
    <i>
      <x v="159"/>
      <x v="148"/>
      <x v="286"/>
      <x/>
      <x v="23"/>
      <x/>
      <x v="18"/>
      <x v="1"/>
      <x v="28"/>
      <x v="19"/>
      <x v="15"/>
    </i>
    <i>
      <x v="162"/>
      <x v="182"/>
      <x v="194"/>
      <x/>
      <x v="13"/>
      <x/>
      <x/>
      <x v="5"/>
      <x/>
      <x/>
      <x/>
    </i>
    <i>
      <x v="164"/>
      <x v="184"/>
      <x v="287"/>
      <x/>
      <x v="7"/>
      <x/>
      <x v="52"/>
      <x v="8"/>
      <x v="5"/>
      <x v="3"/>
      <x v="3"/>
    </i>
    <i>
      <x v="165"/>
      <x v="185"/>
      <x v="288"/>
      <x/>
      <x v="9"/>
      <x/>
      <x v="52"/>
      <x v="7"/>
      <x/>
      <x/>
      <x/>
    </i>
    <i>
      <x v="166"/>
      <x v="186"/>
      <x v="125"/>
      <x/>
      <x v="10"/>
      <x/>
      <x v="65"/>
      <x/>
      <x/>
      <x/>
      <x/>
    </i>
    <i>
      <x v="168"/>
      <x v="188"/>
      <x v="289"/>
      <x/>
      <x v="13"/>
      <x/>
      <x v="26"/>
      <x v="5"/>
      <x/>
      <x/>
      <x/>
    </i>
    <i>
      <x v="169"/>
      <x v="189"/>
      <x v="156"/>
      <x/>
      <x v="13"/>
      <x/>
      <x v="21"/>
      <x v="6"/>
      <x/>
      <x/>
      <x/>
    </i>
    <i>
      <x v="170"/>
      <x v="190"/>
      <x v="304"/>
      <x/>
      <x v="13"/>
      <x/>
      <x v="21"/>
      <x v="6"/>
      <x/>
      <x/>
      <x/>
    </i>
    <i>
      <x v="172"/>
      <x v="200"/>
      <x v="9"/>
      <x/>
      <x v="7"/>
      <x/>
      <x v="52"/>
      <x v="18"/>
      <x v="54"/>
      <x v="48"/>
      <x v="24"/>
    </i>
    <i>
      <x v="177"/>
      <x v="205"/>
      <x v="94"/>
      <x/>
      <x v="20"/>
      <x/>
      <x v="20"/>
      <x v="38"/>
      <x/>
      <x v="26"/>
      <x v="43"/>
    </i>
    <i>
      <x v="179"/>
      <x v="207"/>
      <x v="172"/>
      <x/>
      <x v="21"/>
      <x/>
      <x v="26"/>
      <x/>
      <x/>
      <x v="26"/>
      <x v="31"/>
    </i>
    <i>
      <x v="181"/>
      <x v="209"/>
      <x v="291"/>
      <x/>
      <x v="20"/>
      <x/>
      <x v="27"/>
      <x v="10"/>
      <x/>
      <x v="26"/>
      <x v="39"/>
    </i>
    <i>
      <x v="185"/>
      <x v="245"/>
      <x v="97"/>
      <x/>
      <x v="14"/>
      <x/>
      <x v="32"/>
      <x v="43"/>
      <x v="42"/>
      <x v="28"/>
      <x v="27"/>
    </i>
    <i>
      <x v="186"/>
      <x v="212"/>
      <x v="234"/>
      <x/>
      <x v="14"/>
      <x/>
      <x v="38"/>
      <x v="15"/>
      <x v="46"/>
      <x v="27"/>
      <x v="13"/>
    </i>
    <i>
      <x v="191"/>
      <x v="217"/>
      <x v="293"/>
      <x/>
      <x v="12"/>
      <x v="2"/>
      <x v="42"/>
      <x v="15"/>
      <x/>
      <x v="26"/>
      <x v="23"/>
    </i>
    <i>
      <x v="192"/>
      <x v="276"/>
      <x v="104"/>
      <x/>
      <x v="12"/>
      <x v="14"/>
      <x v="46"/>
      <x v="25"/>
      <x v="24"/>
      <x v="16"/>
      <x v="11"/>
    </i>
    <i>
      <x v="203"/>
      <x v="235"/>
      <x v="16"/>
      <x/>
      <x v="5"/>
      <x/>
      <x v="23"/>
      <x v="46"/>
      <x v="11"/>
      <x v="9"/>
      <x/>
    </i>
    <i>
      <x v="207"/>
      <x v="238"/>
      <x v="33"/>
      <x/>
      <x v="20"/>
      <x/>
      <x v="20"/>
      <x v="9"/>
      <x v="18"/>
      <x v="58"/>
      <x v="6"/>
    </i>
    <i>
      <x v="210"/>
      <x v="240"/>
      <x v="37"/>
      <x/>
      <x v="20"/>
      <x/>
      <x/>
      <x v="9"/>
      <x v="18"/>
      <x v="58"/>
      <x v="6"/>
    </i>
    <i>
      <x v="211"/>
      <x v="250"/>
      <x v="306"/>
      <x/>
      <x v="20"/>
      <x/>
      <x/>
      <x v="9"/>
      <x/>
      <x v="58"/>
      <x v="6"/>
    </i>
    <i>
      <x v="215"/>
      <x v="242"/>
      <x v="233"/>
      <x/>
      <x v="17"/>
      <x/>
      <x v="41"/>
      <x v="9"/>
      <x v="18"/>
      <x v="58"/>
      <x v="18"/>
    </i>
    <i>
      <x v="218"/>
      <x v="151"/>
      <x v="159"/>
      <x/>
      <x v="12"/>
      <x v="5"/>
      <x v="38"/>
      <x v="15"/>
      <x/>
      <x/>
      <x/>
    </i>
    <i>
      <x v="219"/>
      <x v="152"/>
      <x v="81"/>
      <x/>
      <x v="7"/>
      <x/>
      <x v="38"/>
      <x v="15"/>
      <x/>
      <x/>
      <x/>
    </i>
    <i>
      <x v="221"/>
      <x v="154"/>
      <x v="98"/>
      <x/>
      <x v="14"/>
      <x v="17"/>
      <x v="31"/>
      <x v="15"/>
      <x v="47"/>
      <x v="45"/>
      <x v="13"/>
    </i>
    <i>
      <x v="222"/>
      <x v="155"/>
      <x v="162"/>
      <x/>
      <x v="7"/>
      <x v="2"/>
      <x/>
      <x v="15"/>
      <x/>
      <x/>
      <x v="10"/>
    </i>
    <i>
      <x v="229"/>
      <x v="162"/>
      <x v="13"/>
      <x/>
      <x v="10"/>
      <x v="10"/>
      <x v="66"/>
      <x v="15"/>
      <x v="36"/>
      <x v="42"/>
      <x v="46"/>
    </i>
    <i>
      <x v="249"/>
      <x v="193"/>
      <x v="89"/>
      <x/>
      <x v="3"/>
      <x/>
      <x v="38"/>
      <x v="15"/>
      <x/>
      <x/>
      <x v="13"/>
    </i>
    <i>
      <x v="252"/>
      <x v="264"/>
      <x v="260"/>
      <x/>
      <x/>
      <x/>
      <x/>
      <x v="15"/>
      <x/>
      <x/>
      <x v="13"/>
    </i>
    <i>
      <x v="255"/>
      <x v="196"/>
      <x v="40"/>
      <x/>
      <x v="3"/>
      <x/>
      <x/>
      <x v="15"/>
      <x/>
      <x/>
      <x v="13"/>
    </i>
    <i>
      <x v="262"/>
      <x v="271"/>
      <x v="269"/>
      <x/>
      <x/>
      <x/>
      <x/>
      <x/>
      <x/>
      <x/>
      <x/>
    </i>
    <i>
      <x v="263"/>
      <x v="272"/>
      <x v="270"/>
      <x/>
      <x/>
      <x/>
      <x v="28"/>
      <x/>
      <x/>
      <x/>
      <x v="52"/>
    </i>
    <i>
      <x v="265"/>
      <x v="274"/>
      <x v="272"/>
      <x/>
      <x/>
      <x/>
      <x v="28"/>
      <x/>
      <x/>
      <x/>
      <x v="13"/>
    </i>
  </rowItems>
  <colItems count="1">
    <i/>
  </colItems>
  <pageFields count="2">
    <pageField fld="4" item="1" hier="-1"/>
    <pageField fld="9" item="0" hier="-1"/>
  </pageFields>
  <formats count="2390">
    <format dxfId="2389">
      <pivotArea type="all" dataOnly="0" outline="0" fieldPosition="0"/>
    </format>
    <format dxfId="2388">
      <pivotArea field="0" type="button" dataOnly="0" labelOnly="1" outline="0" axis="axisRow" fieldPosition="0"/>
    </format>
    <format dxfId="2387">
      <pivotArea dataOnly="0" labelOnly="1" fieldPosition="0">
        <references count="1">
          <reference field="0" count="50">
            <x v="0"/>
            <x v="2"/>
            <x v="3"/>
            <x v="4"/>
            <x v="5"/>
            <x v="7"/>
            <x v="9"/>
            <x v="10"/>
            <x v="11"/>
            <x v="12"/>
            <x v="16"/>
            <x v="18"/>
            <x v="22"/>
            <x v="25"/>
            <x v="26"/>
            <x v="28"/>
            <x v="29"/>
            <x v="30"/>
            <x v="31"/>
            <x v="35"/>
            <x v="36"/>
            <x v="37"/>
            <x v="38"/>
            <x v="39"/>
            <x v="40"/>
            <x v="41"/>
            <x v="42"/>
            <x v="43"/>
            <x v="44"/>
            <x v="45"/>
            <x v="46"/>
            <x v="47"/>
            <x v="49"/>
            <x v="55"/>
            <x v="56"/>
            <x v="62"/>
            <x v="63"/>
            <x v="64"/>
            <x v="65"/>
            <x v="66"/>
            <x v="67"/>
            <x v="68"/>
            <x v="79"/>
            <x v="81"/>
            <x v="82"/>
            <x v="83"/>
            <x v="84"/>
            <x v="85"/>
            <x v="86"/>
            <x v="87"/>
          </reference>
        </references>
      </pivotArea>
    </format>
    <format dxfId="2386">
      <pivotArea dataOnly="0" labelOnly="1" fieldPosition="0">
        <references count="1">
          <reference field="0" count="50">
            <x v="88"/>
            <x v="89"/>
            <x v="90"/>
            <x v="91"/>
            <x v="93"/>
            <x v="94"/>
            <x v="95"/>
            <x v="96"/>
            <x v="97"/>
            <x v="98"/>
            <x v="99"/>
            <x v="100"/>
            <x v="101"/>
            <x v="102"/>
            <x v="103"/>
            <x v="104"/>
            <x v="105"/>
            <x v="106"/>
            <x v="107"/>
            <x v="108"/>
            <x v="110"/>
            <x v="111"/>
            <x v="113"/>
            <x v="119"/>
            <x v="120"/>
            <x v="121"/>
            <x v="122"/>
            <x v="123"/>
            <x v="124"/>
            <x v="125"/>
            <x v="126"/>
            <x v="127"/>
            <x v="128"/>
            <x v="129"/>
            <x v="130"/>
            <x v="134"/>
            <x v="135"/>
            <x v="136"/>
            <x v="144"/>
            <x v="146"/>
            <x v="147"/>
            <x v="148"/>
            <x v="149"/>
            <x v="150"/>
            <x v="151"/>
            <x v="152"/>
            <x v="153"/>
            <x v="154"/>
            <x v="155"/>
            <x v="159"/>
          </reference>
        </references>
      </pivotArea>
    </format>
    <format dxfId="2385">
      <pivotArea dataOnly="0" labelOnly="1" fieldPosition="0">
        <references count="1">
          <reference field="0" count="50">
            <x v="160"/>
            <x v="161"/>
            <x v="162"/>
            <x v="164"/>
            <x v="165"/>
            <x v="166"/>
            <x v="167"/>
            <x v="168"/>
            <x v="171"/>
            <x v="172"/>
            <x v="173"/>
            <x v="175"/>
            <x v="176"/>
            <x v="177"/>
            <x v="178"/>
            <x v="179"/>
            <x v="180"/>
            <x v="181"/>
            <x v="182"/>
            <x v="183"/>
            <x v="184"/>
            <x v="185"/>
            <x v="186"/>
            <x v="187"/>
            <x v="188"/>
            <x v="189"/>
            <x v="192"/>
            <x v="193"/>
            <x v="197"/>
            <x v="199"/>
            <x v="200"/>
            <x v="201"/>
            <x v="204"/>
            <x v="206"/>
            <x v="207"/>
            <x v="208"/>
            <x v="209"/>
            <x v="210"/>
            <x v="211"/>
            <x v="212"/>
            <x v="214"/>
            <x v="215"/>
            <x v="216"/>
            <x v="217"/>
            <x v="218"/>
            <x v="219"/>
            <x v="220"/>
            <x v="221"/>
            <x v="223"/>
            <x v="224"/>
          </reference>
        </references>
      </pivotArea>
    </format>
    <format dxfId="2384">
      <pivotArea dataOnly="0" labelOnly="1" fieldPosition="0">
        <references count="1">
          <reference field="0" count="18">
            <x v="225"/>
            <x v="226"/>
            <x v="227"/>
            <x v="228"/>
            <x v="229"/>
            <x v="230"/>
            <x v="231"/>
            <x v="232"/>
            <x v="233"/>
            <x v="234"/>
            <x v="235"/>
            <x v="236"/>
            <x v="237"/>
            <x v="238"/>
            <x v="239"/>
            <x v="240"/>
            <x v="241"/>
            <x v="242"/>
          </reference>
        </references>
      </pivotArea>
    </format>
    <format dxfId="2383">
      <pivotArea dataOnly="0" labelOnly="1" grandRow="1" outline="0" fieldPosition="0"/>
    </format>
    <format dxfId="2382">
      <pivotArea dataOnly="0" labelOnly="1" fieldPosition="0">
        <references count="2">
          <reference field="0" count="1" selected="0">
            <x v="0"/>
          </reference>
          <reference field="1" count="1">
            <x v="228"/>
          </reference>
        </references>
      </pivotArea>
    </format>
    <format dxfId="2381">
      <pivotArea dataOnly="0" labelOnly="1" fieldPosition="0">
        <references count="2">
          <reference field="0" count="1" selected="0">
            <x v="2"/>
          </reference>
          <reference field="1" count="1">
            <x v="230"/>
          </reference>
        </references>
      </pivotArea>
    </format>
    <format dxfId="2380">
      <pivotArea dataOnly="0" labelOnly="1" fieldPosition="0">
        <references count="2">
          <reference field="0" count="1" selected="0">
            <x v="3"/>
          </reference>
          <reference field="1" count="1">
            <x v="231"/>
          </reference>
        </references>
      </pivotArea>
    </format>
    <format dxfId="2379">
      <pivotArea dataOnly="0" labelOnly="1" fieldPosition="0">
        <references count="2">
          <reference field="0" count="1" selected="0">
            <x v="4"/>
          </reference>
          <reference field="1" count="1">
            <x v="232"/>
          </reference>
        </references>
      </pivotArea>
    </format>
    <format dxfId="2378">
      <pivotArea dataOnly="0" labelOnly="1" fieldPosition="0">
        <references count="2">
          <reference field="0" count="1" selected="0">
            <x v="5"/>
          </reference>
          <reference field="1" count="1">
            <x v="233"/>
          </reference>
        </references>
      </pivotArea>
    </format>
    <format dxfId="2377">
      <pivotArea dataOnly="0" labelOnly="1" fieldPosition="0">
        <references count="2">
          <reference field="0" count="1" selected="0">
            <x v="7"/>
          </reference>
          <reference field="1" count="1">
            <x v="118"/>
          </reference>
        </references>
      </pivotArea>
    </format>
    <format dxfId="2376">
      <pivotArea dataOnly="0" labelOnly="1" fieldPosition="0">
        <references count="2">
          <reference field="0" count="1" selected="0">
            <x v="9"/>
          </reference>
          <reference field="1" count="1">
            <x v="120"/>
          </reference>
        </references>
      </pivotArea>
    </format>
    <format dxfId="2375">
      <pivotArea dataOnly="0" labelOnly="1" fieldPosition="0">
        <references count="2">
          <reference field="0" count="1" selected="0">
            <x v="10"/>
          </reference>
          <reference field="1" count="1">
            <x v="121"/>
          </reference>
        </references>
      </pivotArea>
    </format>
    <format dxfId="2374">
      <pivotArea dataOnly="0" labelOnly="1" fieldPosition="0">
        <references count="2">
          <reference field="0" count="1" selected="0">
            <x v="11"/>
          </reference>
          <reference field="1" count="1">
            <x v="122"/>
          </reference>
        </references>
      </pivotArea>
    </format>
    <format dxfId="2373">
      <pivotArea dataOnly="0" labelOnly="1" fieldPosition="0">
        <references count="2">
          <reference field="0" count="1" selected="0">
            <x v="12"/>
          </reference>
          <reference field="1" count="1">
            <x v="123"/>
          </reference>
        </references>
      </pivotArea>
    </format>
    <format dxfId="2372">
      <pivotArea dataOnly="0" labelOnly="1" fieldPosition="0">
        <references count="2">
          <reference field="0" count="1" selected="0">
            <x v="16"/>
          </reference>
          <reference field="1" count="1">
            <x v="64"/>
          </reference>
        </references>
      </pivotArea>
    </format>
    <format dxfId="2371">
      <pivotArea dataOnly="0" labelOnly="1" fieldPosition="0">
        <references count="2">
          <reference field="0" count="1" selected="0">
            <x v="18"/>
          </reference>
          <reference field="1" count="1">
            <x v="66"/>
          </reference>
        </references>
      </pivotArea>
    </format>
    <format dxfId="2370">
      <pivotArea dataOnly="0" labelOnly="1" fieldPosition="0">
        <references count="2">
          <reference field="0" count="1" selected="0">
            <x v="22"/>
          </reference>
          <reference field="1" count="1">
            <x v="19"/>
          </reference>
        </references>
      </pivotArea>
    </format>
    <format dxfId="2369">
      <pivotArea dataOnly="0" labelOnly="1" fieldPosition="0">
        <references count="2">
          <reference field="0" count="1" selected="0">
            <x v="25"/>
          </reference>
          <reference field="1" count="1">
            <x v="22"/>
          </reference>
        </references>
      </pivotArea>
    </format>
    <format dxfId="2368">
      <pivotArea dataOnly="0" labelOnly="1" fieldPosition="0">
        <references count="2">
          <reference field="0" count="1" selected="0">
            <x v="26"/>
          </reference>
          <reference field="1" count="1">
            <x v="23"/>
          </reference>
        </references>
      </pivotArea>
    </format>
    <format dxfId="2367">
      <pivotArea dataOnly="0" labelOnly="1" fieldPosition="0">
        <references count="2">
          <reference field="0" count="1" selected="0">
            <x v="28"/>
          </reference>
          <reference field="1" count="1">
            <x v="25"/>
          </reference>
        </references>
      </pivotArea>
    </format>
    <format dxfId="2366">
      <pivotArea dataOnly="0" labelOnly="1" fieldPosition="0">
        <references count="2">
          <reference field="0" count="1" selected="0">
            <x v="29"/>
          </reference>
          <reference field="1" count="1">
            <x v="26"/>
          </reference>
        </references>
      </pivotArea>
    </format>
    <format dxfId="2365">
      <pivotArea dataOnly="0" labelOnly="1" fieldPosition="0">
        <references count="2">
          <reference field="0" count="1" selected="0">
            <x v="30"/>
          </reference>
          <reference field="1" count="1">
            <x v="27"/>
          </reference>
        </references>
      </pivotArea>
    </format>
    <format dxfId="2364">
      <pivotArea dataOnly="0" labelOnly="1" fieldPosition="0">
        <references count="2">
          <reference field="0" count="1" selected="0">
            <x v="31"/>
          </reference>
          <reference field="1" count="1">
            <x v="28"/>
          </reference>
        </references>
      </pivotArea>
    </format>
    <format dxfId="2363">
      <pivotArea dataOnly="0" labelOnly="1" fieldPosition="0">
        <references count="2">
          <reference field="0" count="1" selected="0">
            <x v="35"/>
          </reference>
          <reference field="1" count="1">
            <x v="32"/>
          </reference>
        </references>
      </pivotArea>
    </format>
    <format dxfId="2362">
      <pivotArea dataOnly="0" labelOnly="1" fieldPosition="0">
        <references count="2">
          <reference field="0" count="1" selected="0">
            <x v="36"/>
          </reference>
          <reference field="1" count="1">
            <x v="33"/>
          </reference>
        </references>
      </pivotArea>
    </format>
    <format dxfId="2361">
      <pivotArea dataOnly="0" labelOnly="1" fieldPosition="0">
        <references count="2">
          <reference field="0" count="1" selected="0">
            <x v="37"/>
          </reference>
          <reference field="1" count="1">
            <x v="34"/>
          </reference>
        </references>
      </pivotArea>
    </format>
    <format dxfId="2360">
      <pivotArea dataOnly="0" labelOnly="1" fieldPosition="0">
        <references count="2">
          <reference field="0" count="1" selected="0">
            <x v="38"/>
          </reference>
          <reference field="1" count="1">
            <x v="0"/>
          </reference>
        </references>
      </pivotArea>
    </format>
    <format dxfId="2359">
      <pivotArea dataOnly="0" labelOnly="1" fieldPosition="0">
        <references count="2">
          <reference field="0" count="1" selected="0">
            <x v="39"/>
          </reference>
          <reference field="1" count="1">
            <x v="1"/>
          </reference>
        </references>
      </pivotArea>
    </format>
    <format dxfId="2358">
      <pivotArea dataOnly="0" labelOnly="1" fieldPosition="0">
        <references count="2">
          <reference field="0" count="1" selected="0">
            <x v="40"/>
          </reference>
          <reference field="1" count="1">
            <x v="2"/>
          </reference>
        </references>
      </pivotArea>
    </format>
    <format dxfId="2357">
      <pivotArea dataOnly="0" labelOnly="1" fieldPosition="0">
        <references count="2">
          <reference field="0" count="1" selected="0">
            <x v="41"/>
          </reference>
          <reference field="1" count="1">
            <x v="3"/>
          </reference>
        </references>
      </pivotArea>
    </format>
    <format dxfId="2356">
      <pivotArea dataOnly="0" labelOnly="1" fieldPosition="0">
        <references count="2">
          <reference field="0" count="1" selected="0">
            <x v="42"/>
          </reference>
          <reference field="1" count="1">
            <x v="4"/>
          </reference>
        </references>
      </pivotArea>
    </format>
    <format dxfId="2355">
      <pivotArea dataOnly="0" labelOnly="1" fieldPosition="0">
        <references count="2">
          <reference field="0" count="1" selected="0">
            <x v="43"/>
          </reference>
          <reference field="1" count="1">
            <x v="5"/>
          </reference>
        </references>
      </pivotArea>
    </format>
    <format dxfId="2354">
      <pivotArea dataOnly="0" labelOnly="1" fieldPosition="0">
        <references count="2">
          <reference field="0" count="1" selected="0">
            <x v="44"/>
          </reference>
          <reference field="1" count="1">
            <x v="6"/>
          </reference>
        </references>
      </pivotArea>
    </format>
    <format dxfId="2353">
      <pivotArea dataOnly="0" labelOnly="1" fieldPosition="0">
        <references count="2">
          <reference field="0" count="1" selected="0">
            <x v="45"/>
          </reference>
          <reference field="1" count="1">
            <x v="7"/>
          </reference>
        </references>
      </pivotArea>
    </format>
    <format dxfId="2352">
      <pivotArea dataOnly="0" labelOnly="1" fieldPosition="0">
        <references count="2">
          <reference field="0" count="1" selected="0">
            <x v="46"/>
          </reference>
          <reference field="1" count="1">
            <x v="8"/>
          </reference>
        </references>
      </pivotArea>
    </format>
    <format dxfId="2351">
      <pivotArea dataOnly="0" labelOnly="1" fieldPosition="0">
        <references count="2">
          <reference field="0" count="1" selected="0">
            <x v="47"/>
          </reference>
          <reference field="1" count="1">
            <x v="9"/>
          </reference>
        </references>
      </pivotArea>
    </format>
    <format dxfId="2350">
      <pivotArea dataOnly="0" labelOnly="1" fieldPosition="0">
        <references count="2">
          <reference field="0" count="1" selected="0">
            <x v="49"/>
          </reference>
          <reference field="1" count="1">
            <x v="11"/>
          </reference>
        </references>
      </pivotArea>
    </format>
    <format dxfId="2349">
      <pivotArea dataOnly="0" labelOnly="1" fieldPosition="0">
        <references count="2">
          <reference field="0" count="1" selected="0">
            <x v="55"/>
          </reference>
          <reference field="1" count="1">
            <x v="35"/>
          </reference>
        </references>
      </pivotArea>
    </format>
    <format dxfId="2348">
      <pivotArea dataOnly="0" labelOnly="1" fieldPosition="0">
        <references count="2">
          <reference field="0" count="1" selected="0">
            <x v="56"/>
          </reference>
          <reference field="1" count="1">
            <x v="36"/>
          </reference>
        </references>
      </pivotArea>
    </format>
    <format dxfId="2347">
      <pivotArea dataOnly="0" labelOnly="1" fieldPosition="0">
        <references count="2">
          <reference field="0" count="1" selected="0">
            <x v="62"/>
          </reference>
          <reference field="1" count="1">
            <x v="42"/>
          </reference>
        </references>
      </pivotArea>
    </format>
    <format dxfId="2346">
      <pivotArea dataOnly="0" labelOnly="1" fieldPosition="0">
        <references count="2">
          <reference field="0" count="1" selected="0">
            <x v="63"/>
          </reference>
          <reference field="1" count="1">
            <x v="43"/>
          </reference>
        </references>
      </pivotArea>
    </format>
    <format dxfId="2345">
      <pivotArea dataOnly="0" labelOnly="1" fieldPosition="0">
        <references count="2">
          <reference field="0" count="1" selected="0">
            <x v="64"/>
          </reference>
          <reference field="1" count="1">
            <x v="44"/>
          </reference>
        </references>
      </pivotArea>
    </format>
    <format dxfId="2344">
      <pivotArea dataOnly="0" labelOnly="1" fieldPosition="0">
        <references count="2">
          <reference field="0" count="1" selected="0">
            <x v="65"/>
          </reference>
          <reference field="1" count="1">
            <x v="45"/>
          </reference>
        </references>
      </pivotArea>
    </format>
    <format dxfId="2343">
      <pivotArea dataOnly="0" labelOnly="1" fieldPosition="0">
        <references count="2">
          <reference field="0" count="1" selected="0">
            <x v="66"/>
          </reference>
          <reference field="1" count="1">
            <x v="46"/>
          </reference>
        </references>
      </pivotArea>
    </format>
    <format dxfId="2342">
      <pivotArea dataOnly="0" labelOnly="1" fieldPosition="0">
        <references count="2">
          <reference field="0" count="1" selected="0">
            <x v="67"/>
          </reference>
          <reference field="1" count="1">
            <x v="47"/>
          </reference>
        </references>
      </pivotArea>
    </format>
    <format dxfId="2341">
      <pivotArea dataOnly="0" labelOnly="1" fieldPosition="0">
        <references count="2">
          <reference field="0" count="1" selected="0">
            <x v="68"/>
          </reference>
          <reference field="1" count="1">
            <x v="48"/>
          </reference>
        </references>
      </pivotArea>
    </format>
    <format dxfId="2340">
      <pivotArea dataOnly="0" labelOnly="1" fieldPosition="0">
        <references count="2">
          <reference field="0" count="1" selected="0">
            <x v="79"/>
          </reference>
          <reference field="1" count="1">
            <x v="59"/>
          </reference>
        </references>
      </pivotArea>
    </format>
    <format dxfId="2339">
      <pivotArea dataOnly="0" labelOnly="1" fieldPosition="0">
        <references count="2">
          <reference field="0" count="1" selected="0">
            <x v="81"/>
          </reference>
          <reference field="1" count="1">
            <x v="68"/>
          </reference>
        </references>
      </pivotArea>
    </format>
    <format dxfId="2338">
      <pivotArea dataOnly="0" labelOnly="1" fieldPosition="0">
        <references count="2">
          <reference field="0" count="1" selected="0">
            <x v="82"/>
          </reference>
          <reference field="1" count="1">
            <x v="69"/>
          </reference>
        </references>
      </pivotArea>
    </format>
    <format dxfId="2337">
      <pivotArea dataOnly="0" labelOnly="1" fieldPosition="0">
        <references count="2">
          <reference field="0" count="1" selected="0">
            <x v="83"/>
          </reference>
          <reference field="1" count="1">
            <x v="70"/>
          </reference>
        </references>
      </pivotArea>
    </format>
    <format dxfId="2336">
      <pivotArea dataOnly="0" labelOnly="1" fieldPosition="0">
        <references count="2">
          <reference field="0" count="1" selected="0">
            <x v="84"/>
          </reference>
          <reference field="1" count="1">
            <x v="71"/>
          </reference>
        </references>
      </pivotArea>
    </format>
    <format dxfId="2335">
      <pivotArea dataOnly="0" labelOnly="1" fieldPosition="0">
        <references count="2">
          <reference field="0" count="1" selected="0">
            <x v="85"/>
          </reference>
          <reference field="1" count="1">
            <x v="72"/>
          </reference>
        </references>
      </pivotArea>
    </format>
    <format dxfId="2334">
      <pivotArea dataOnly="0" labelOnly="1" fieldPosition="0">
        <references count="2">
          <reference field="0" count="1" selected="0">
            <x v="86"/>
          </reference>
          <reference field="1" count="1">
            <x v="73"/>
          </reference>
        </references>
      </pivotArea>
    </format>
    <format dxfId="2333">
      <pivotArea dataOnly="0" labelOnly="1" fieldPosition="0">
        <references count="2">
          <reference field="0" count="1" selected="0">
            <x v="87"/>
          </reference>
          <reference field="1" count="1">
            <x v="74"/>
          </reference>
        </references>
      </pivotArea>
    </format>
    <format dxfId="2332">
      <pivotArea dataOnly="0" labelOnly="1" fieldPosition="0">
        <references count="2">
          <reference field="0" count="1" selected="0">
            <x v="88"/>
          </reference>
          <reference field="1" count="1">
            <x v="75"/>
          </reference>
        </references>
      </pivotArea>
    </format>
    <format dxfId="2331">
      <pivotArea dataOnly="0" labelOnly="1" fieldPosition="0">
        <references count="2">
          <reference field="0" count="1" selected="0">
            <x v="89"/>
          </reference>
          <reference field="1" count="1">
            <x v="76"/>
          </reference>
        </references>
      </pivotArea>
    </format>
    <format dxfId="2330">
      <pivotArea dataOnly="0" labelOnly="1" fieldPosition="0">
        <references count="2">
          <reference field="0" count="1" selected="0">
            <x v="90"/>
          </reference>
          <reference field="1" count="1">
            <x v="77"/>
          </reference>
        </references>
      </pivotArea>
    </format>
    <format dxfId="2329">
      <pivotArea dataOnly="0" labelOnly="1" fieldPosition="0">
        <references count="2">
          <reference field="0" count="1" selected="0">
            <x v="91"/>
          </reference>
          <reference field="1" count="1">
            <x v="78"/>
          </reference>
        </references>
      </pivotArea>
    </format>
    <format dxfId="2328">
      <pivotArea dataOnly="0" labelOnly="1" fieldPosition="0">
        <references count="2">
          <reference field="0" count="1" selected="0">
            <x v="93"/>
          </reference>
          <reference field="1" count="1">
            <x v="80"/>
          </reference>
        </references>
      </pivotArea>
    </format>
    <format dxfId="2327">
      <pivotArea dataOnly="0" labelOnly="1" fieldPosition="0">
        <references count="2">
          <reference field="0" count="1" selected="0">
            <x v="94"/>
          </reference>
          <reference field="1" count="1">
            <x v="81"/>
          </reference>
        </references>
      </pivotArea>
    </format>
    <format dxfId="2326">
      <pivotArea dataOnly="0" labelOnly="1" fieldPosition="0">
        <references count="2">
          <reference field="0" count="1" selected="0">
            <x v="95"/>
          </reference>
          <reference field="1" count="1">
            <x v="82"/>
          </reference>
        </references>
      </pivotArea>
    </format>
    <format dxfId="2325">
      <pivotArea dataOnly="0" labelOnly="1" fieldPosition="0">
        <references count="2">
          <reference field="0" count="1" selected="0">
            <x v="96"/>
          </reference>
          <reference field="1" count="1">
            <x v="83"/>
          </reference>
        </references>
      </pivotArea>
    </format>
    <format dxfId="2324">
      <pivotArea dataOnly="0" labelOnly="1" fieldPosition="0">
        <references count="2">
          <reference field="0" count="1" selected="0">
            <x v="97"/>
          </reference>
          <reference field="1" count="1">
            <x v="84"/>
          </reference>
        </references>
      </pivotArea>
    </format>
    <format dxfId="2323">
      <pivotArea dataOnly="0" labelOnly="1" fieldPosition="0">
        <references count="2">
          <reference field="0" count="1" selected="0">
            <x v="98"/>
          </reference>
          <reference field="1" count="1">
            <x v="85"/>
          </reference>
        </references>
      </pivotArea>
    </format>
    <format dxfId="2322">
      <pivotArea dataOnly="0" labelOnly="1" fieldPosition="0">
        <references count="2">
          <reference field="0" count="1" selected="0">
            <x v="99"/>
          </reference>
          <reference field="1" count="1">
            <x v="86"/>
          </reference>
        </references>
      </pivotArea>
    </format>
    <format dxfId="2321">
      <pivotArea dataOnly="0" labelOnly="1" fieldPosition="0">
        <references count="2">
          <reference field="0" count="1" selected="0">
            <x v="100"/>
          </reference>
          <reference field="1" count="1">
            <x v="87"/>
          </reference>
        </references>
      </pivotArea>
    </format>
    <format dxfId="2320">
      <pivotArea dataOnly="0" labelOnly="1" fieldPosition="0">
        <references count="2">
          <reference field="0" count="1" selected="0">
            <x v="101"/>
          </reference>
          <reference field="1" count="1">
            <x v="88"/>
          </reference>
        </references>
      </pivotArea>
    </format>
    <format dxfId="2319">
      <pivotArea dataOnly="0" labelOnly="1" fieldPosition="0">
        <references count="2">
          <reference field="0" count="1" selected="0">
            <x v="102"/>
          </reference>
          <reference field="1" count="1">
            <x v="89"/>
          </reference>
        </references>
      </pivotArea>
    </format>
    <format dxfId="2318">
      <pivotArea dataOnly="0" labelOnly="1" fieldPosition="0">
        <references count="2">
          <reference field="0" count="1" selected="0">
            <x v="103"/>
          </reference>
          <reference field="1" count="1">
            <x v="90"/>
          </reference>
        </references>
      </pivotArea>
    </format>
    <format dxfId="2317">
      <pivotArea dataOnly="0" labelOnly="1" fieldPosition="0">
        <references count="2">
          <reference field="0" count="1" selected="0">
            <x v="104"/>
          </reference>
          <reference field="1" count="1">
            <x v="91"/>
          </reference>
        </references>
      </pivotArea>
    </format>
    <format dxfId="2316">
      <pivotArea dataOnly="0" labelOnly="1" fieldPosition="0">
        <references count="2">
          <reference field="0" count="1" selected="0">
            <x v="105"/>
          </reference>
          <reference field="1" count="1">
            <x v="92"/>
          </reference>
        </references>
      </pivotArea>
    </format>
    <format dxfId="2315">
      <pivotArea dataOnly="0" labelOnly="1" fieldPosition="0">
        <references count="2">
          <reference field="0" count="1" selected="0">
            <x v="106"/>
          </reference>
          <reference field="1" count="1">
            <x v="93"/>
          </reference>
        </references>
      </pivotArea>
    </format>
    <format dxfId="2314">
      <pivotArea dataOnly="0" labelOnly="1" fieldPosition="0">
        <references count="2">
          <reference field="0" count="1" selected="0">
            <x v="107"/>
          </reference>
          <reference field="1" count="1">
            <x v="94"/>
          </reference>
        </references>
      </pivotArea>
    </format>
    <format dxfId="2313">
      <pivotArea dataOnly="0" labelOnly="1" fieldPosition="0">
        <references count="2">
          <reference field="0" count="1" selected="0">
            <x v="108"/>
          </reference>
          <reference field="1" count="1">
            <x v="95"/>
          </reference>
        </references>
      </pivotArea>
    </format>
    <format dxfId="2312">
      <pivotArea dataOnly="0" labelOnly="1" fieldPosition="0">
        <references count="2">
          <reference field="0" count="1" selected="0">
            <x v="110"/>
          </reference>
          <reference field="1" count="1">
            <x v="97"/>
          </reference>
        </references>
      </pivotArea>
    </format>
    <format dxfId="2311">
      <pivotArea dataOnly="0" labelOnly="1" fieldPosition="0">
        <references count="2">
          <reference field="0" count="1" selected="0">
            <x v="111"/>
          </reference>
          <reference field="1" count="1">
            <x v="98"/>
          </reference>
        </references>
      </pivotArea>
    </format>
    <format dxfId="2310">
      <pivotArea dataOnly="0" labelOnly="1" fieldPosition="0">
        <references count="2">
          <reference field="0" count="1" selected="0">
            <x v="113"/>
          </reference>
          <reference field="1" count="1">
            <x v="100"/>
          </reference>
        </references>
      </pivotArea>
    </format>
    <format dxfId="2309">
      <pivotArea dataOnly="0" labelOnly="1" fieldPosition="0">
        <references count="2">
          <reference field="0" count="1" selected="0">
            <x v="119"/>
          </reference>
          <reference field="1" count="1">
            <x v="106"/>
          </reference>
        </references>
      </pivotArea>
    </format>
    <format dxfId="2308">
      <pivotArea dataOnly="0" labelOnly="1" fieldPosition="0">
        <references count="2">
          <reference field="0" count="1" selected="0">
            <x v="120"/>
          </reference>
          <reference field="1" count="1">
            <x v="107"/>
          </reference>
        </references>
      </pivotArea>
    </format>
    <format dxfId="2307">
      <pivotArea dataOnly="0" labelOnly="1" fieldPosition="0">
        <references count="2">
          <reference field="0" count="1" selected="0">
            <x v="121"/>
          </reference>
          <reference field="1" count="1">
            <x v="108"/>
          </reference>
        </references>
      </pivotArea>
    </format>
    <format dxfId="2306">
      <pivotArea dataOnly="0" labelOnly="1" fieldPosition="0">
        <references count="2">
          <reference field="0" count="1" selected="0">
            <x v="122"/>
          </reference>
          <reference field="1" count="1">
            <x v="109"/>
          </reference>
        </references>
      </pivotArea>
    </format>
    <format dxfId="2305">
      <pivotArea dataOnly="0" labelOnly="1" fieldPosition="0">
        <references count="2">
          <reference field="0" count="1" selected="0">
            <x v="123"/>
          </reference>
          <reference field="1" count="1">
            <x v="110"/>
          </reference>
        </references>
      </pivotArea>
    </format>
    <format dxfId="2304">
      <pivotArea dataOnly="0" labelOnly="1" fieldPosition="0">
        <references count="2">
          <reference field="0" count="1" selected="0">
            <x v="124"/>
          </reference>
          <reference field="1" count="1">
            <x v="111"/>
          </reference>
        </references>
      </pivotArea>
    </format>
    <format dxfId="2303">
      <pivotArea dataOnly="0" labelOnly="1" fieldPosition="0">
        <references count="2">
          <reference field="0" count="1" selected="0">
            <x v="125"/>
          </reference>
          <reference field="1" count="1">
            <x v="112"/>
          </reference>
        </references>
      </pivotArea>
    </format>
    <format dxfId="2302">
      <pivotArea dataOnly="0" labelOnly="1" fieldPosition="0">
        <references count="2">
          <reference field="0" count="1" selected="0">
            <x v="126"/>
          </reference>
          <reference field="1" count="1">
            <x v="113"/>
          </reference>
        </references>
      </pivotArea>
    </format>
    <format dxfId="2301">
      <pivotArea dataOnly="0" labelOnly="1" fieldPosition="0">
        <references count="2">
          <reference field="0" count="1" selected="0">
            <x v="127"/>
          </reference>
          <reference field="1" count="1">
            <x v="114"/>
          </reference>
        </references>
      </pivotArea>
    </format>
    <format dxfId="2300">
      <pivotArea dataOnly="0" labelOnly="1" fieldPosition="0">
        <references count="2">
          <reference field="0" count="1" selected="0">
            <x v="128"/>
          </reference>
          <reference field="1" count="1">
            <x v="115"/>
          </reference>
        </references>
      </pivotArea>
    </format>
    <format dxfId="2299">
      <pivotArea dataOnly="0" labelOnly="1" fieldPosition="0">
        <references count="2">
          <reference field="0" count="1" selected="0">
            <x v="129"/>
          </reference>
          <reference field="1" count="1">
            <x v="116"/>
          </reference>
        </references>
      </pivotArea>
    </format>
    <format dxfId="2298">
      <pivotArea dataOnly="0" labelOnly="1" fieldPosition="0">
        <references count="2">
          <reference field="0" count="1" selected="0">
            <x v="130"/>
          </reference>
          <reference field="1" count="1">
            <x v="117"/>
          </reference>
        </references>
      </pivotArea>
    </format>
    <format dxfId="2297">
      <pivotArea dataOnly="0" labelOnly="1" fieldPosition="0">
        <references count="2">
          <reference field="0" count="1" selected="0">
            <x v="134"/>
          </reference>
          <reference field="1" count="1">
            <x v="127"/>
          </reference>
        </references>
      </pivotArea>
    </format>
    <format dxfId="2296">
      <pivotArea dataOnly="0" labelOnly="1" fieldPosition="0">
        <references count="2">
          <reference field="0" count="1" selected="0">
            <x v="135"/>
          </reference>
          <reference field="1" count="1">
            <x v="128"/>
          </reference>
        </references>
      </pivotArea>
    </format>
    <format dxfId="2295">
      <pivotArea dataOnly="0" labelOnly="1" fieldPosition="0">
        <references count="2">
          <reference field="0" count="1" selected="0">
            <x v="136"/>
          </reference>
          <reference field="1" count="1">
            <x v="129"/>
          </reference>
        </references>
      </pivotArea>
    </format>
    <format dxfId="2294">
      <pivotArea dataOnly="0" labelOnly="1" fieldPosition="0">
        <references count="2">
          <reference field="0" count="1" selected="0">
            <x v="144"/>
          </reference>
          <reference field="1" count="1">
            <x v="137"/>
          </reference>
        </references>
      </pivotArea>
    </format>
    <format dxfId="2293">
      <pivotArea dataOnly="0" labelOnly="1" fieldPosition="0">
        <references count="2">
          <reference field="0" count="1" selected="0">
            <x v="146"/>
          </reference>
          <reference field="1" count="1">
            <x v="139"/>
          </reference>
        </references>
      </pivotArea>
    </format>
    <format dxfId="2292">
      <pivotArea dataOnly="0" labelOnly="1" fieldPosition="0">
        <references count="2">
          <reference field="0" count="1" selected="0">
            <x v="147"/>
          </reference>
          <reference field="1" count="1">
            <x v="140"/>
          </reference>
        </references>
      </pivotArea>
    </format>
    <format dxfId="2291">
      <pivotArea dataOnly="0" labelOnly="1" fieldPosition="0">
        <references count="2">
          <reference field="0" count="1" selected="0">
            <x v="148"/>
          </reference>
          <reference field="1" count="1">
            <x v="141"/>
          </reference>
        </references>
      </pivotArea>
    </format>
    <format dxfId="2290">
      <pivotArea dataOnly="0" labelOnly="1" fieldPosition="0">
        <references count="2">
          <reference field="0" count="1" selected="0">
            <x v="149"/>
          </reference>
          <reference field="1" count="1">
            <x v="142"/>
          </reference>
        </references>
      </pivotArea>
    </format>
    <format dxfId="2289">
      <pivotArea dataOnly="0" labelOnly="1" fieldPosition="0">
        <references count="2">
          <reference field="0" count="1" selected="0">
            <x v="150"/>
          </reference>
          <reference field="1" count="1">
            <x v="143"/>
          </reference>
        </references>
      </pivotArea>
    </format>
    <format dxfId="2288">
      <pivotArea dataOnly="0" labelOnly="1" fieldPosition="0">
        <references count="2">
          <reference field="0" count="1" selected="0">
            <x v="151"/>
          </reference>
          <reference field="1" count="1">
            <x v="144"/>
          </reference>
        </references>
      </pivotArea>
    </format>
    <format dxfId="2287">
      <pivotArea dataOnly="0" labelOnly="1" fieldPosition="0">
        <references count="2">
          <reference field="0" count="1" selected="0">
            <x v="152"/>
          </reference>
          <reference field="1" count="1">
            <x v="145"/>
          </reference>
        </references>
      </pivotArea>
    </format>
    <format dxfId="2286">
      <pivotArea dataOnly="0" labelOnly="1" fieldPosition="0">
        <references count="2">
          <reference field="0" count="1" selected="0">
            <x v="153"/>
          </reference>
          <reference field="1" count="1">
            <x v="146"/>
          </reference>
        </references>
      </pivotArea>
    </format>
    <format dxfId="2285">
      <pivotArea dataOnly="0" labelOnly="1" fieldPosition="0">
        <references count="2">
          <reference field="0" count="1" selected="0">
            <x v="154"/>
          </reference>
          <reference field="1" count="1">
            <x v="147"/>
          </reference>
        </references>
      </pivotArea>
    </format>
    <format dxfId="2284">
      <pivotArea dataOnly="0" labelOnly="1" fieldPosition="0">
        <references count="2">
          <reference field="0" count="1" selected="0">
            <x v="155"/>
          </reference>
          <reference field="1" count="1">
            <x v="148"/>
          </reference>
        </references>
      </pivotArea>
    </format>
    <format dxfId="2283">
      <pivotArea dataOnly="0" labelOnly="1" fieldPosition="0">
        <references count="2">
          <reference field="0" count="1" selected="0">
            <x v="159"/>
          </reference>
          <reference field="1" count="1">
            <x v="183"/>
          </reference>
        </references>
      </pivotArea>
    </format>
    <format dxfId="2282">
      <pivotArea dataOnly="0" labelOnly="1" fieldPosition="0">
        <references count="2">
          <reference field="0" count="1" selected="0">
            <x v="160"/>
          </reference>
          <reference field="1" count="1">
            <x v="184"/>
          </reference>
        </references>
      </pivotArea>
    </format>
    <format dxfId="2281">
      <pivotArea dataOnly="0" labelOnly="1" fieldPosition="0">
        <references count="2">
          <reference field="0" count="1" selected="0">
            <x v="161"/>
          </reference>
          <reference field="1" count="1">
            <x v="185"/>
          </reference>
        </references>
      </pivotArea>
    </format>
    <format dxfId="2280">
      <pivotArea dataOnly="0" labelOnly="1" fieldPosition="0">
        <references count="2">
          <reference field="0" count="1" selected="0">
            <x v="162"/>
          </reference>
          <reference field="1" count="1">
            <x v="186"/>
          </reference>
        </references>
      </pivotArea>
    </format>
    <format dxfId="2279">
      <pivotArea dataOnly="0" labelOnly="1" fieldPosition="0">
        <references count="2">
          <reference field="0" count="1" selected="0">
            <x v="164"/>
          </reference>
          <reference field="1" count="1">
            <x v="188"/>
          </reference>
        </references>
      </pivotArea>
    </format>
    <format dxfId="2278">
      <pivotArea dataOnly="0" labelOnly="1" fieldPosition="0">
        <references count="2">
          <reference field="0" count="1" selected="0">
            <x v="165"/>
          </reference>
          <reference field="1" count="1">
            <x v="189"/>
          </reference>
        </references>
      </pivotArea>
    </format>
    <format dxfId="2277">
      <pivotArea dataOnly="0" labelOnly="1" fieldPosition="0">
        <references count="2">
          <reference field="0" count="1" selected="0">
            <x v="166"/>
          </reference>
          <reference field="1" count="1">
            <x v="190"/>
          </reference>
        </references>
      </pivotArea>
    </format>
    <format dxfId="2276">
      <pivotArea dataOnly="0" labelOnly="1" fieldPosition="0">
        <references count="2">
          <reference field="0" count="1" selected="0">
            <x v="167"/>
          </reference>
          <reference field="1" count="1">
            <x v="199"/>
          </reference>
        </references>
      </pivotArea>
    </format>
    <format dxfId="2275">
      <pivotArea dataOnly="0" labelOnly="1" fieldPosition="0">
        <references count="2">
          <reference field="0" count="1" selected="0">
            <x v="168"/>
          </reference>
          <reference field="1" count="1">
            <x v="200"/>
          </reference>
        </references>
      </pivotArea>
    </format>
    <format dxfId="2274">
      <pivotArea dataOnly="0" labelOnly="1" fieldPosition="0">
        <references count="2">
          <reference field="0" count="1" selected="0">
            <x v="171"/>
          </reference>
          <reference field="1" count="1">
            <x v="203"/>
          </reference>
        </references>
      </pivotArea>
    </format>
    <format dxfId="2273">
      <pivotArea dataOnly="0" labelOnly="1" fieldPosition="0">
        <references count="2">
          <reference field="0" count="1" selected="0">
            <x v="172"/>
          </reference>
          <reference field="1" count="1">
            <x v="204"/>
          </reference>
        </references>
      </pivotArea>
    </format>
    <format dxfId="2272">
      <pivotArea dataOnly="0" labelOnly="1" fieldPosition="0">
        <references count="2">
          <reference field="0" count="1" selected="0">
            <x v="173"/>
          </reference>
          <reference field="1" count="1">
            <x v="205"/>
          </reference>
        </references>
      </pivotArea>
    </format>
    <format dxfId="2271">
      <pivotArea dataOnly="0" labelOnly="1" fieldPosition="0">
        <references count="2">
          <reference field="0" count="1" selected="0">
            <x v="175"/>
          </reference>
          <reference field="1" count="1">
            <x v="207"/>
          </reference>
        </references>
      </pivotArea>
    </format>
    <format dxfId="2270">
      <pivotArea dataOnly="0" labelOnly="1" fieldPosition="0">
        <references count="2">
          <reference field="0" count="1" selected="0">
            <x v="176"/>
          </reference>
          <reference field="1" count="1">
            <x v="208"/>
          </reference>
        </references>
      </pivotArea>
    </format>
    <format dxfId="2269">
      <pivotArea dataOnly="0" labelOnly="1" fieldPosition="0">
        <references count="2">
          <reference field="0" count="1" selected="0">
            <x v="177"/>
          </reference>
          <reference field="1" count="1">
            <x v="209"/>
          </reference>
        </references>
      </pivotArea>
    </format>
    <format dxfId="2268">
      <pivotArea dataOnly="0" labelOnly="1" fieldPosition="0">
        <references count="2">
          <reference field="0" count="1" selected="0">
            <x v="178"/>
          </reference>
          <reference field="1" count="1">
            <x v="210"/>
          </reference>
        </references>
      </pivotArea>
    </format>
    <format dxfId="2267">
      <pivotArea dataOnly="0" labelOnly="1" fieldPosition="0">
        <references count="2">
          <reference field="0" count="1" selected="0">
            <x v="179"/>
          </reference>
          <reference field="1" count="1">
            <x v="211"/>
          </reference>
        </references>
      </pivotArea>
    </format>
    <format dxfId="2266">
      <pivotArea dataOnly="0" labelOnly="1" fieldPosition="0">
        <references count="2">
          <reference field="0" count="1" selected="0">
            <x v="180"/>
          </reference>
          <reference field="1" count="1">
            <x v="212"/>
          </reference>
        </references>
      </pivotArea>
    </format>
    <format dxfId="2265">
      <pivotArea dataOnly="0" labelOnly="1" fieldPosition="0">
        <references count="2">
          <reference field="0" count="1" selected="0">
            <x v="181"/>
          </reference>
          <reference field="1" count="1">
            <x v="213"/>
          </reference>
        </references>
      </pivotArea>
    </format>
    <format dxfId="2264">
      <pivotArea dataOnly="0" labelOnly="1" fieldPosition="0">
        <references count="2">
          <reference field="0" count="1" selected="0">
            <x v="182"/>
          </reference>
          <reference field="1" count="1">
            <x v="214"/>
          </reference>
        </references>
      </pivotArea>
    </format>
    <format dxfId="2263">
      <pivotArea dataOnly="0" labelOnly="1" fieldPosition="0">
        <references count="2">
          <reference field="0" count="1" selected="0">
            <x v="183"/>
          </reference>
          <reference field="1" count="1">
            <x v="215"/>
          </reference>
        </references>
      </pivotArea>
    </format>
    <format dxfId="2262">
      <pivotArea dataOnly="0" labelOnly="1" fieldPosition="0">
        <references count="2">
          <reference field="0" count="1" selected="0">
            <x v="184"/>
          </reference>
          <reference field="1" count="1">
            <x v="216"/>
          </reference>
        </references>
      </pivotArea>
    </format>
    <format dxfId="2261">
      <pivotArea dataOnly="0" labelOnly="1" fieldPosition="0">
        <references count="2">
          <reference field="0" count="1" selected="0">
            <x v="185"/>
          </reference>
          <reference field="1" count="1">
            <x v="217"/>
          </reference>
        </references>
      </pivotArea>
    </format>
    <format dxfId="2260">
      <pivotArea dataOnly="0" labelOnly="1" fieldPosition="0">
        <references count="2">
          <reference field="0" count="1" selected="0">
            <x v="186"/>
          </reference>
          <reference field="1" count="1">
            <x v="218"/>
          </reference>
        </references>
      </pivotArea>
    </format>
    <format dxfId="2259">
      <pivotArea dataOnly="0" labelOnly="1" fieldPosition="0">
        <references count="2">
          <reference field="0" count="1" selected="0">
            <x v="187"/>
          </reference>
          <reference field="1" count="1">
            <x v="219"/>
          </reference>
        </references>
      </pivotArea>
    </format>
    <format dxfId="2258">
      <pivotArea dataOnly="0" labelOnly="1" fieldPosition="0">
        <references count="2">
          <reference field="0" count="1" selected="0">
            <x v="188"/>
          </reference>
          <reference field="1" count="1">
            <x v="220"/>
          </reference>
        </references>
      </pivotArea>
    </format>
    <format dxfId="2257">
      <pivotArea dataOnly="0" labelOnly="1" fieldPosition="0">
        <references count="2">
          <reference field="0" count="1" selected="0">
            <x v="189"/>
          </reference>
          <reference field="1" count="1">
            <x v="221"/>
          </reference>
        </references>
      </pivotArea>
    </format>
    <format dxfId="2256">
      <pivotArea dataOnly="0" labelOnly="1" fieldPosition="0">
        <references count="2">
          <reference field="0" count="1" selected="0">
            <x v="192"/>
          </reference>
          <reference field="1" count="1">
            <x v="224"/>
          </reference>
        </references>
      </pivotArea>
    </format>
    <format dxfId="2255">
      <pivotArea dataOnly="0" labelOnly="1" fieldPosition="0">
        <references count="2">
          <reference field="0" count="1" selected="0">
            <x v="193"/>
          </reference>
          <reference field="1" count="1">
            <x v="225"/>
          </reference>
        </references>
      </pivotArea>
    </format>
    <format dxfId="2254">
      <pivotArea dataOnly="0" labelOnly="1" fieldPosition="0">
        <references count="2">
          <reference field="0" count="1" selected="0">
            <x v="197"/>
          </reference>
          <reference field="1" count="1">
            <x v="236"/>
          </reference>
        </references>
      </pivotArea>
    </format>
    <format dxfId="2253">
      <pivotArea dataOnly="0" labelOnly="1" fieldPosition="0">
        <references count="2">
          <reference field="0" count="1" selected="0">
            <x v="199"/>
          </reference>
          <reference field="1" count="1">
            <x v="238"/>
          </reference>
        </references>
      </pivotArea>
    </format>
    <format dxfId="2252">
      <pivotArea dataOnly="0" labelOnly="1" fieldPosition="0">
        <references count="2">
          <reference field="0" count="1" selected="0">
            <x v="200"/>
          </reference>
          <reference field="1" count="1">
            <x v="239"/>
          </reference>
        </references>
      </pivotArea>
    </format>
    <format dxfId="2251">
      <pivotArea dataOnly="0" labelOnly="1" fieldPosition="0">
        <references count="2">
          <reference field="0" count="1" selected="0">
            <x v="201"/>
          </reference>
          <reference field="1" count="1">
            <x v="240"/>
          </reference>
        </references>
      </pivotArea>
    </format>
    <format dxfId="2250">
      <pivotArea dataOnly="0" labelOnly="1" fieldPosition="0">
        <references count="2">
          <reference field="0" count="1" selected="0">
            <x v="204"/>
          </reference>
          <reference field="1" count="1">
            <x v="149"/>
          </reference>
        </references>
      </pivotArea>
    </format>
    <format dxfId="2249">
      <pivotArea dataOnly="0" labelOnly="1" fieldPosition="0">
        <references count="2">
          <reference field="0" count="1" selected="0">
            <x v="206"/>
          </reference>
          <reference field="1" count="1">
            <x v="151"/>
          </reference>
        </references>
      </pivotArea>
    </format>
    <format dxfId="2248">
      <pivotArea dataOnly="0" labelOnly="1" fieldPosition="0">
        <references count="2">
          <reference field="0" count="1" selected="0">
            <x v="207"/>
          </reference>
          <reference field="1" count="1">
            <x v="152"/>
          </reference>
        </references>
      </pivotArea>
    </format>
    <format dxfId="2247">
      <pivotArea dataOnly="0" labelOnly="1" fieldPosition="0">
        <references count="2">
          <reference field="0" count="1" selected="0">
            <x v="208"/>
          </reference>
          <reference field="1" count="1">
            <x v="153"/>
          </reference>
        </references>
      </pivotArea>
    </format>
    <format dxfId="2246">
      <pivotArea dataOnly="0" labelOnly="1" fieldPosition="0">
        <references count="2">
          <reference field="0" count="1" selected="0">
            <x v="209"/>
          </reference>
          <reference field="1" count="1">
            <x v="154"/>
          </reference>
        </references>
      </pivotArea>
    </format>
    <format dxfId="2245">
      <pivotArea dataOnly="0" labelOnly="1" fieldPosition="0">
        <references count="2">
          <reference field="0" count="1" selected="0">
            <x v="210"/>
          </reference>
          <reference field="1" count="1">
            <x v="155"/>
          </reference>
        </references>
      </pivotArea>
    </format>
    <format dxfId="2244">
      <pivotArea dataOnly="0" labelOnly="1" fieldPosition="0">
        <references count="2">
          <reference field="0" count="1" selected="0">
            <x v="211"/>
          </reference>
          <reference field="1" count="1">
            <x v="156"/>
          </reference>
        </references>
      </pivotArea>
    </format>
    <format dxfId="2243">
      <pivotArea dataOnly="0" labelOnly="1" fieldPosition="0">
        <references count="2">
          <reference field="0" count="1" selected="0">
            <x v="212"/>
          </reference>
          <reference field="1" count="1">
            <x v="157"/>
          </reference>
        </references>
      </pivotArea>
    </format>
    <format dxfId="2242">
      <pivotArea dataOnly="0" labelOnly="1" fieldPosition="0">
        <references count="2">
          <reference field="0" count="1" selected="0">
            <x v="214"/>
          </reference>
          <reference field="1" count="1">
            <x v="159"/>
          </reference>
        </references>
      </pivotArea>
    </format>
    <format dxfId="2241">
      <pivotArea dataOnly="0" labelOnly="1" fieldPosition="0">
        <references count="2">
          <reference field="0" count="1" selected="0">
            <x v="215"/>
          </reference>
          <reference field="1" count="1">
            <x v="160"/>
          </reference>
        </references>
      </pivotArea>
    </format>
    <format dxfId="2240">
      <pivotArea dataOnly="0" labelOnly="1" fieldPosition="0">
        <references count="2">
          <reference field="0" count="1" selected="0">
            <x v="216"/>
          </reference>
          <reference field="1" count="1">
            <x v="161"/>
          </reference>
        </references>
      </pivotArea>
    </format>
    <format dxfId="2239">
      <pivotArea dataOnly="0" labelOnly="1" fieldPosition="0">
        <references count="2">
          <reference field="0" count="1" selected="0">
            <x v="217"/>
          </reference>
          <reference field="1" count="1">
            <x v="162"/>
          </reference>
        </references>
      </pivotArea>
    </format>
    <format dxfId="2238">
      <pivotArea dataOnly="0" labelOnly="1" fieldPosition="0">
        <references count="2">
          <reference field="0" count="1" selected="0">
            <x v="218"/>
          </reference>
          <reference field="1" count="1">
            <x v="163"/>
          </reference>
        </references>
      </pivotArea>
    </format>
    <format dxfId="2237">
      <pivotArea dataOnly="0" labelOnly="1" fieldPosition="0">
        <references count="2">
          <reference field="0" count="1" selected="0">
            <x v="219"/>
          </reference>
          <reference field="1" count="1">
            <x v="164"/>
          </reference>
        </references>
      </pivotArea>
    </format>
    <format dxfId="2236">
      <pivotArea dataOnly="0" labelOnly="1" fieldPosition="0">
        <references count="2">
          <reference field="0" count="1" selected="0">
            <x v="220"/>
          </reference>
          <reference field="1" count="1">
            <x v="165"/>
          </reference>
        </references>
      </pivotArea>
    </format>
    <format dxfId="2235">
      <pivotArea dataOnly="0" labelOnly="1" fieldPosition="0">
        <references count="2">
          <reference field="0" count="1" selected="0">
            <x v="221"/>
          </reference>
          <reference field="1" count="1">
            <x v="166"/>
          </reference>
        </references>
      </pivotArea>
    </format>
    <format dxfId="2234">
      <pivotArea dataOnly="0" labelOnly="1" fieldPosition="0">
        <references count="2">
          <reference field="0" count="1" selected="0">
            <x v="223"/>
          </reference>
          <reference field="1" count="1">
            <x v="168"/>
          </reference>
        </references>
      </pivotArea>
    </format>
    <format dxfId="2233">
      <pivotArea dataOnly="0" labelOnly="1" fieldPosition="0">
        <references count="2">
          <reference field="0" count="1" selected="0">
            <x v="224"/>
          </reference>
          <reference field="1" count="1">
            <x v="169"/>
          </reference>
        </references>
      </pivotArea>
    </format>
    <format dxfId="2232">
      <pivotArea dataOnly="0" labelOnly="1" fieldPosition="0">
        <references count="2">
          <reference field="0" count="1" selected="0">
            <x v="225"/>
          </reference>
          <reference field="1" count="1">
            <x v="170"/>
          </reference>
        </references>
      </pivotArea>
    </format>
    <format dxfId="2231">
      <pivotArea dataOnly="0" labelOnly="1" fieldPosition="0">
        <references count="2">
          <reference field="0" count="1" selected="0">
            <x v="226"/>
          </reference>
          <reference field="1" count="1">
            <x v="171"/>
          </reference>
        </references>
      </pivotArea>
    </format>
    <format dxfId="2230">
      <pivotArea dataOnly="0" labelOnly="1" fieldPosition="0">
        <references count="2">
          <reference field="0" count="1" selected="0">
            <x v="227"/>
          </reference>
          <reference field="1" count="1">
            <x v="172"/>
          </reference>
        </references>
      </pivotArea>
    </format>
    <format dxfId="2229">
      <pivotArea dataOnly="0" labelOnly="1" fieldPosition="0">
        <references count="2">
          <reference field="0" count="1" selected="0">
            <x v="228"/>
          </reference>
          <reference field="1" count="1">
            <x v="173"/>
          </reference>
        </references>
      </pivotArea>
    </format>
    <format dxfId="2228">
      <pivotArea dataOnly="0" labelOnly="1" fieldPosition="0">
        <references count="2">
          <reference field="0" count="1" selected="0">
            <x v="229"/>
          </reference>
          <reference field="1" count="1">
            <x v="174"/>
          </reference>
        </references>
      </pivotArea>
    </format>
    <format dxfId="2227">
      <pivotArea dataOnly="0" labelOnly="1" fieldPosition="0">
        <references count="2">
          <reference field="0" count="1" selected="0">
            <x v="230"/>
          </reference>
          <reference field="1" count="1">
            <x v="175"/>
          </reference>
        </references>
      </pivotArea>
    </format>
    <format dxfId="2226">
      <pivotArea dataOnly="0" labelOnly="1" fieldPosition="0">
        <references count="2">
          <reference field="0" count="1" selected="0">
            <x v="231"/>
          </reference>
          <reference field="1" count="1">
            <x v="176"/>
          </reference>
        </references>
      </pivotArea>
    </format>
    <format dxfId="2225">
      <pivotArea dataOnly="0" labelOnly="1" fieldPosition="0">
        <references count="2">
          <reference field="0" count="1" selected="0">
            <x v="232"/>
          </reference>
          <reference field="1" count="1">
            <x v="177"/>
          </reference>
        </references>
      </pivotArea>
    </format>
    <format dxfId="2224">
      <pivotArea dataOnly="0" labelOnly="1" fieldPosition="0">
        <references count="2">
          <reference field="0" count="1" selected="0">
            <x v="233"/>
          </reference>
          <reference field="1" count="1">
            <x v="178"/>
          </reference>
        </references>
      </pivotArea>
    </format>
    <format dxfId="2223">
      <pivotArea dataOnly="0" labelOnly="1" fieldPosition="0">
        <references count="2">
          <reference field="0" count="1" selected="0">
            <x v="234"/>
          </reference>
          <reference field="1" count="1">
            <x v="179"/>
          </reference>
        </references>
      </pivotArea>
    </format>
    <format dxfId="2222">
      <pivotArea dataOnly="0" labelOnly="1" fieldPosition="0">
        <references count="2">
          <reference field="0" count="1" selected="0">
            <x v="235"/>
          </reference>
          <reference field="1" count="1">
            <x v="191"/>
          </reference>
        </references>
      </pivotArea>
    </format>
    <format dxfId="2221">
      <pivotArea dataOnly="0" labelOnly="1" fieldPosition="0">
        <references count="2">
          <reference field="0" count="1" selected="0">
            <x v="236"/>
          </reference>
          <reference field="1" count="1">
            <x v="192"/>
          </reference>
        </references>
      </pivotArea>
    </format>
    <format dxfId="2220">
      <pivotArea dataOnly="0" labelOnly="1" fieldPosition="0">
        <references count="2">
          <reference field="0" count="1" selected="0">
            <x v="237"/>
          </reference>
          <reference field="1" count="1">
            <x v="193"/>
          </reference>
        </references>
      </pivotArea>
    </format>
    <format dxfId="2219">
      <pivotArea dataOnly="0" labelOnly="1" fieldPosition="0">
        <references count="2">
          <reference field="0" count="1" selected="0">
            <x v="238"/>
          </reference>
          <reference field="1" count="1">
            <x v="194"/>
          </reference>
        </references>
      </pivotArea>
    </format>
    <format dxfId="2218">
      <pivotArea dataOnly="0" labelOnly="1" fieldPosition="0">
        <references count="2">
          <reference field="0" count="1" selected="0">
            <x v="239"/>
          </reference>
          <reference field="1" count="1">
            <x v="195"/>
          </reference>
        </references>
      </pivotArea>
    </format>
    <format dxfId="2217">
      <pivotArea dataOnly="0" labelOnly="1" fieldPosition="0">
        <references count="2">
          <reference field="0" count="1" selected="0">
            <x v="240"/>
          </reference>
          <reference field="1" count="1">
            <x v="196"/>
          </reference>
        </references>
      </pivotArea>
    </format>
    <format dxfId="2216">
      <pivotArea dataOnly="0" labelOnly="1" fieldPosition="0">
        <references count="2">
          <reference field="0" count="1" selected="0">
            <x v="241"/>
          </reference>
          <reference field="1" count="1">
            <x v="197"/>
          </reference>
        </references>
      </pivotArea>
    </format>
    <format dxfId="2215">
      <pivotArea dataOnly="0" labelOnly="1" fieldPosition="0">
        <references count="2">
          <reference field="0" count="1" selected="0">
            <x v="242"/>
          </reference>
          <reference field="1" count="1">
            <x v="198"/>
          </reference>
        </references>
      </pivotArea>
    </format>
    <format dxfId="2214">
      <pivotArea dataOnly="0" labelOnly="1" fieldPosition="0">
        <references count="3">
          <reference field="0" count="1" selected="0">
            <x v="0"/>
          </reference>
          <reference field="1" count="1" selected="0">
            <x v="228"/>
          </reference>
          <reference field="2" count="1">
            <x v="153"/>
          </reference>
        </references>
      </pivotArea>
    </format>
    <format dxfId="2213">
      <pivotArea dataOnly="0" labelOnly="1" fieldPosition="0">
        <references count="3">
          <reference field="0" count="1" selected="0">
            <x v="2"/>
          </reference>
          <reference field="1" count="1" selected="0">
            <x v="230"/>
          </reference>
          <reference field="2" count="1">
            <x v="225"/>
          </reference>
        </references>
      </pivotArea>
    </format>
    <format dxfId="2212">
      <pivotArea dataOnly="0" labelOnly="1" fieldPosition="0">
        <references count="3">
          <reference field="0" count="1" selected="0">
            <x v="3"/>
          </reference>
          <reference field="1" count="1" selected="0">
            <x v="231"/>
          </reference>
          <reference field="2" count="1">
            <x v="88"/>
          </reference>
        </references>
      </pivotArea>
    </format>
    <format dxfId="2211">
      <pivotArea dataOnly="0" labelOnly="1" fieldPosition="0">
        <references count="3">
          <reference field="0" count="1" selected="0">
            <x v="4"/>
          </reference>
          <reference field="1" count="1" selected="0">
            <x v="232"/>
          </reference>
          <reference field="2" count="1">
            <x v="90"/>
          </reference>
        </references>
      </pivotArea>
    </format>
    <format dxfId="2210">
      <pivotArea dataOnly="0" labelOnly="1" fieldPosition="0">
        <references count="3">
          <reference field="0" count="1" selected="0">
            <x v="5"/>
          </reference>
          <reference field="1" count="1" selected="0">
            <x v="233"/>
          </reference>
          <reference field="2" count="1">
            <x v="224"/>
          </reference>
        </references>
      </pivotArea>
    </format>
    <format dxfId="2209">
      <pivotArea dataOnly="0" labelOnly="1" fieldPosition="0">
        <references count="3">
          <reference field="0" count="1" selected="0">
            <x v="7"/>
          </reference>
          <reference field="1" count="1" selected="0">
            <x v="118"/>
          </reference>
          <reference field="2" count="1">
            <x v="171"/>
          </reference>
        </references>
      </pivotArea>
    </format>
    <format dxfId="2208">
      <pivotArea dataOnly="0" labelOnly="1" fieldPosition="0">
        <references count="3">
          <reference field="0" count="1" selected="0">
            <x v="9"/>
          </reference>
          <reference field="1" count="1" selected="0">
            <x v="120"/>
          </reference>
          <reference field="2" count="1">
            <x v="168"/>
          </reference>
        </references>
      </pivotArea>
    </format>
    <format dxfId="2207">
      <pivotArea dataOnly="0" labelOnly="1" fieldPosition="0">
        <references count="3">
          <reference field="0" count="1" selected="0">
            <x v="10"/>
          </reference>
          <reference field="1" count="1" selected="0">
            <x v="121"/>
          </reference>
          <reference field="2" count="1">
            <x v="82"/>
          </reference>
        </references>
      </pivotArea>
    </format>
    <format dxfId="2206">
      <pivotArea dataOnly="0" labelOnly="1" fieldPosition="0">
        <references count="3">
          <reference field="0" count="1" selected="0">
            <x v="11"/>
          </reference>
          <reference field="1" count="1" selected="0">
            <x v="122"/>
          </reference>
          <reference field="2" count="1">
            <x v="26"/>
          </reference>
        </references>
      </pivotArea>
    </format>
    <format dxfId="2205">
      <pivotArea dataOnly="0" labelOnly="1" fieldPosition="0">
        <references count="3">
          <reference field="0" count="1" selected="0">
            <x v="12"/>
          </reference>
          <reference field="1" count="1" selected="0">
            <x v="123"/>
          </reference>
          <reference field="2" count="1">
            <x v="150"/>
          </reference>
        </references>
      </pivotArea>
    </format>
    <format dxfId="2204">
      <pivotArea dataOnly="0" labelOnly="1" fieldPosition="0">
        <references count="3">
          <reference field="0" count="1" selected="0">
            <x v="16"/>
          </reference>
          <reference field="1" count="1" selected="0">
            <x v="64"/>
          </reference>
          <reference field="2" count="1">
            <x v="157"/>
          </reference>
        </references>
      </pivotArea>
    </format>
    <format dxfId="2203">
      <pivotArea dataOnly="0" labelOnly="1" fieldPosition="0">
        <references count="3">
          <reference field="0" count="1" selected="0">
            <x v="18"/>
          </reference>
          <reference field="1" count="1" selected="0">
            <x v="66"/>
          </reference>
          <reference field="2" count="1">
            <x v="189"/>
          </reference>
        </references>
      </pivotArea>
    </format>
    <format dxfId="2202">
      <pivotArea dataOnly="0" labelOnly="1" fieldPosition="0">
        <references count="3">
          <reference field="0" count="1" selected="0">
            <x v="22"/>
          </reference>
          <reference field="1" count="1" selected="0">
            <x v="19"/>
          </reference>
          <reference field="2" count="1">
            <x v="39"/>
          </reference>
        </references>
      </pivotArea>
    </format>
    <format dxfId="2201">
      <pivotArea dataOnly="0" labelOnly="1" fieldPosition="0">
        <references count="3">
          <reference field="0" count="1" selected="0">
            <x v="25"/>
          </reference>
          <reference field="1" count="1" selected="0">
            <x v="22"/>
          </reference>
          <reference field="2" count="1">
            <x v="84"/>
          </reference>
        </references>
      </pivotArea>
    </format>
    <format dxfId="2200">
      <pivotArea dataOnly="0" labelOnly="1" fieldPosition="0">
        <references count="3">
          <reference field="0" count="1" selected="0">
            <x v="26"/>
          </reference>
          <reference field="1" count="1" selected="0">
            <x v="23"/>
          </reference>
          <reference field="2" count="1">
            <x v="217"/>
          </reference>
        </references>
      </pivotArea>
    </format>
    <format dxfId="2199">
      <pivotArea dataOnly="0" labelOnly="1" fieldPosition="0">
        <references count="3">
          <reference field="0" count="1" selected="0">
            <x v="28"/>
          </reference>
          <reference field="1" count="1" selected="0">
            <x v="25"/>
          </reference>
          <reference field="2" count="1">
            <x v="52"/>
          </reference>
        </references>
      </pivotArea>
    </format>
    <format dxfId="2198">
      <pivotArea dataOnly="0" labelOnly="1" fieldPosition="0">
        <references count="3">
          <reference field="0" count="1" selected="0">
            <x v="29"/>
          </reference>
          <reference field="1" count="1" selected="0">
            <x v="26"/>
          </reference>
          <reference field="2" count="1">
            <x v="62"/>
          </reference>
        </references>
      </pivotArea>
    </format>
    <format dxfId="2197">
      <pivotArea dataOnly="0" labelOnly="1" fieldPosition="0">
        <references count="3">
          <reference field="0" count="1" selected="0">
            <x v="30"/>
          </reference>
          <reference field="1" count="1" selected="0">
            <x v="27"/>
          </reference>
          <reference field="2" count="1">
            <x v="7"/>
          </reference>
        </references>
      </pivotArea>
    </format>
    <format dxfId="2196">
      <pivotArea dataOnly="0" labelOnly="1" fieldPosition="0">
        <references count="3">
          <reference field="0" count="1" selected="0">
            <x v="31"/>
          </reference>
          <reference field="1" count="1" selected="0">
            <x v="28"/>
          </reference>
          <reference field="2" count="1">
            <x v="53"/>
          </reference>
        </references>
      </pivotArea>
    </format>
    <format dxfId="2195">
      <pivotArea dataOnly="0" labelOnly="1" fieldPosition="0">
        <references count="3">
          <reference field="0" count="1" selected="0">
            <x v="35"/>
          </reference>
          <reference field="1" count="1" selected="0">
            <x v="32"/>
          </reference>
          <reference field="2" count="1">
            <x v="51"/>
          </reference>
        </references>
      </pivotArea>
    </format>
    <format dxfId="2194">
      <pivotArea dataOnly="0" labelOnly="1" fieldPosition="0">
        <references count="3">
          <reference field="0" count="1" selected="0">
            <x v="36"/>
          </reference>
          <reference field="1" count="1" selected="0">
            <x v="33"/>
          </reference>
          <reference field="2" count="1">
            <x v="130"/>
          </reference>
        </references>
      </pivotArea>
    </format>
    <format dxfId="2193">
      <pivotArea dataOnly="0" labelOnly="1" fieldPosition="0">
        <references count="3">
          <reference field="0" count="1" selected="0">
            <x v="37"/>
          </reference>
          <reference field="1" count="1" selected="0">
            <x v="34"/>
          </reference>
          <reference field="2" count="1">
            <x v="70"/>
          </reference>
        </references>
      </pivotArea>
    </format>
    <format dxfId="2192">
      <pivotArea dataOnly="0" labelOnly="1" fieldPosition="0">
        <references count="3">
          <reference field="0" count="1" selected="0">
            <x v="38"/>
          </reference>
          <reference field="1" count="1" selected="0">
            <x v="0"/>
          </reference>
          <reference field="2" count="1">
            <x v="45"/>
          </reference>
        </references>
      </pivotArea>
    </format>
    <format dxfId="2191">
      <pivotArea dataOnly="0" labelOnly="1" fieldPosition="0">
        <references count="3">
          <reference field="0" count="1" selected="0">
            <x v="39"/>
          </reference>
          <reference field="1" count="1" selected="0">
            <x v="1"/>
          </reference>
          <reference field="2" count="1">
            <x v="46"/>
          </reference>
        </references>
      </pivotArea>
    </format>
    <format dxfId="2190">
      <pivotArea dataOnly="0" labelOnly="1" fieldPosition="0">
        <references count="3">
          <reference field="0" count="1" selected="0">
            <x v="40"/>
          </reference>
          <reference field="1" count="1" selected="0">
            <x v="2"/>
          </reference>
          <reference field="2" count="1">
            <x v="128"/>
          </reference>
        </references>
      </pivotArea>
    </format>
    <format dxfId="2189">
      <pivotArea dataOnly="0" labelOnly="1" fieldPosition="0">
        <references count="3">
          <reference field="0" count="1" selected="0">
            <x v="41"/>
          </reference>
          <reference field="1" count="1" selected="0">
            <x v="3"/>
          </reference>
          <reference field="2" count="1">
            <x v="105"/>
          </reference>
        </references>
      </pivotArea>
    </format>
    <format dxfId="2188">
      <pivotArea dataOnly="0" labelOnly="1" fieldPosition="0">
        <references count="3">
          <reference field="0" count="1" selected="0">
            <x v="42"/>
          </reference>
          <reference field="1" count="1" selected="0">
            <x v="4"/>
          </reference>
          <reference field="2" count="1">
            <x v="64"/>
          </reference>
        </references>
      </pivotArea>
    </format>
    <format dxfId="2187">
      <pivotArea dataOnly="0" labelOnly="1" fieldPosition="0">
        <references count="3">
          <reference field="0" count="1" selected="0">
            <x v="43"/>
          </reference>
          <reference field="1" count="1" selected="0">
            <x v="5"/>
          </reference>
          <reference field="2" count="1">
            <x v="19"/>
          </reference>
        </references>
      </pivotArea>
    </format>
    <format dxfId="2186">
      <pivotArea dataOnly="0" labelOnly="1" fieldPosition="0">
        <references count="3">
          <reference field="0" count="1" selected="0">
            <x v="44"/>
          </reference>
          <reference field="1" count="1" selected="0">
            <x v="6"/>
          </reference>
          <reference field="2" count="1">
            <x v="23"/>
          </reference>
        </references>
      </pivotArea>
    </format>
    <format dxfId="2185">
      <pivotArea dataOnly="0" labelOnly="1" fieldPosition="0">
        <references count="3">
          <reference field="0" count="1" selected="0">
            <x v="45"/>
          </reference>
          <reference field="1" count="1" selected="0">
            <x v="7"/>
          </reference>
          <reference field="2" count="1">
            <x v="22"/>
          </reference>
        </references>
      </pivotArea>
    </format>
    <format dxfId="2184">
      <pivotArea dataOnly="0" labelOnly="1" fieldPosition="0">
        <references count="3">
          <reference field="0" count="1" selected="0">
            <x v="46"/>
          </reference>
          <reference field="1" count="1" selected="0">
            <x v="8"/>
          </reference>
          <reference field="2" count="1">
            <x v="135"/>
          </reference>
        </references>
      </pivotArea>
    </format>
    <format dxfId="2183">
      <pivotArea dataOnly="0" labelOnly="1" fieldPosition="0">
        <references count="3">
          <reference field="0" count="1" selected="0">
            <x v="47"/>
          </reference>
          <reference field="1" count="1" selected="0">
            <x v="9"/>
          </reference>
          <reference field="2" count="1">
            <x v="141"/>
          </reference>
        </references>
      </pivotArea>
    </format>
    <format dxfId="2182">
      <pivotArea dataOnly="0" labelOnly="1" fieldPosition="0">
        <references count="3">
          <reference field="0" count="1" selected="0">
            <x v="49"/>
          </reference>
          <reference field="1" count="1" selected="0">
            <x v="11"/>
          </reference>
          <reference field="2" count="1">
            <x v="127"/>
          </reference>
        </references>
      </pivotArea>
    </format>
    <format dxfId="2181">
      <pivotArea dataOnly="0" labelOnly="1" fieldPosition="0">
        <references count="3">
          <reference field="0" count="1" selected="0">
            <x v="55"/>
          </reference>
          <reference field="1" count="1" selected="0">
            <x v="35"/>
          </reference>
          <reference field="2" count="1">
            <x v="65"/>
          </reference>
        </references>
      </pivotArea>
    </format>
    <format dxfId="2180">
      <pivotArea dataOnly="0" labelOnly="1" fieldPosition="0">
        <references count="3">
          <reference field="0" count="1" selected="0">
            <x v="56"/>
          </reference>
          <reference field="1" count="1" selected="0">
            <x v="36"/>
          </reference>
          <reference field="2" count="1">
            <x v="183"/>
          </reference>
        </references>
      </pivotArea>
    </format>
    <format dxfId="2179">
      <pivotArea dataOnly="0" labelOnly="1" fieldPosition="0">
        <references count="3">
          <reference field="0" count="1" selected="0">
            <x v="62"/>
          </reference>
          <reference field="1" count="1" selected="0">
            <x v="42"/>
          </reference>
          <reference field="2" count="1">
            <x v="15"/>
          </reference>
        </references>
      </pivotArea>
    </format>
    <format dxfId="2178">
      <pivotArea dataOnly="0" labelOnly="1" fieldPosition="0">
        <references count="3">
          <reference field="0" count="1" selected="0">
            <x v="63"/>
          </reference>
          <reference field="1" count="1" selected="0">
            <x v="43"/>
          </reference>
          <reference field="2" count="1">
            <x v="152"/>
          </reference>
        </references>
      </pivotArea>
    </format>
    <format dxfId="2177">
      <pivotArea dataOnly="0" labelOnly="1" fieldPosition="0">
        <references count="3">
          <reference field="0" count="1" selected="0">
            <x v="64"/>
          </reference>
          <reference field="1" count="1" selected="0">
            <x v="44"/>
          </reference>
          <reference field="2" count="1">
            <x v="146"/>
          </reference>
        </references>
      </pivotArea>
    </format>
    <format dxfId="2176">
      <pivotArea dataOnly="0" labelOnly="1" fieldPosition="0">
        <references count="3">
          <reference field="0" count="1" selected="0">
            <x v="65"/>
          </reference>
          <reference field="1" count="1" selected="0">
            <x v="45"/>
          </reference>
          <reference field="2" count="1">
            <x v="204"/>
          </reference>
        </references>
      </pivotArea>
    </format>
    <format dxfId="2175">
      <pivotArea dataOnly="0" labelOnly="1" fieldPosition="0">
        <references count="3">
          <reference field="0" count="1" selected="0">
            <x v="66"/>
          </reference>
          <reference field="1" count="1" selected="0">
            <x v="46"/>
          </reference>
          <reference field="2" count="1">
            <x v="92"/>
          </reference>
        </references>
      </pivotArea>
    </format>
    <format dxfId="2174">
      <pivotArea dataOnly="0" labelOnly="1" fieldPosition="0">
        <references count="3">
          <reference field="0" count="1" selected="0">
            <x v="67"/>
          </reference>
          <reference field="1" count="1" selected="0">
            <x v="47"/>
          </reference>
          <reference field="2" count="1">
            <x v="181"/>
          </reference>
        </references>
      </pivotArea>
    </format>
    <format dxfId="2173">
      <pivotArea dataOnly="0" labelOnly="1" fieldPosition="0">
        <references count="3">
          <reference field="0" count="1" selected="0">
            <x v="68"/>
          </reference>
          <reference field="1" count="1" selected="0">
            <x v="48"/>
          </reference>
          <reference field="2" count="1">
            <x v="231"/>
          </reference>
        </references>
      </pivotArea>
    </format>
    <format dxfId="2172">
      <pivotArea dataOnly="0" labelOnly="1" fieldPosition="0">
        <references count="3">
          <reference field="0" count="1" selected="0">
            <x v="79"/>
          </reference>
          <reference field="1" count="1" selected="0">
            <x v="59"/>
          </reference>
          <reference field="2" count="1">
            <x v="21"/>
          </reference>
        </references>
      </pivotArea>
    </format>
    <format dxfId="2171">
      <pivotArea dataOnly="0" labelOnly="1" fieldPosition="0">
        <references count="3">
          <reference field="0" count="1" selected="0">
            <x v="81"/>
          </reference>
          <reference field="1" count="1" selected="0">
            <x v="68"/>
          </reference>
          <reference field="2" count="1">
            <x v="112"/>
          </reference>
        </references>
      </pivotArea>
    </format>
    <format dxfId="2170">
      <pivotArea dataOnly="0" labelOnly="1" fieldPosition="0">
        <references count="3">
          <reference field="0" count="1" selected="0">
            <x v="82"/>
          </reference>
          <reference field="1" count="1" selected="0">
            <x v="69"/>
          </reference>
          <reference field="2" count="1">
            <x v="226"/>
          </reference>
        </references>
      </pivotArea>
    </format>
    <format dxfId="2169">
      <pivotArea dataOnly="0" labelOnly="1" fieldPosition="0">
        <references count="3">
          <reference field="0" count="1" selected="0">
            <x v="83"/>
          </reference>
          <reference field="1" count="1" selected="0">
            <x v="70"/>
          </reference>
          <reference field="2" count="1">
            <x v="193"/>
          </reference>
        </references>
      </pivotArea>
    </format>
    <format dxfId="2168">
      <pivotArea dataOnly="0" labelOnly="1" fieldPosition="0">
        <references count="3">
          <reference field="0" count="1" selected="0">
            <x v="84"/>
          </reference>
          <reference field="1" count="1" selected="0">
            <x v="71"/>
          </reference>
          <reference field="2" count="1">
            <x v="192"/>
          </reference>
        </references>
      </pivotArea>
    </format>
    <format dxfId="2167">
      <pivotArea dataOnly="0" labelOnly="1" fieldPosition="0">
        <references count="3">
          <reference field="0" count="1" selected="0">
            <x v="85"/>
          </reference>
          <reference field="1" count="1" selected="0">
            <x v="72"/>
          </reference>
          <reference field="2" count="1">
            <x v="87"/>
          </reference>
        </references>
      </pivotArea>
    </format>
    <format dxfId="2166">
      <pivotArea dataOnly="0" labelOnly="1" fieldPosition="0">
        <references count="3">
          <reference field="0" count="1" selected="0">
            <x v="86"/>
          </reference>
          <reference field="1" count="1" selected="0">
            <x v="73"/>
          </reference>
          <reference field="2" count="1">
            <x v="154"/>
          </reference>
        </references>
      </pivotArea>
    </format>
    <format dxfId="2165">
      <pivotArea dataOnly="0" labelOnly="1" fieldPosition="0">
        <references count="3">
          <reference field="0" count="1" selected="0">
            <x v="87"/>
          </reference>
          <reference field="1" count="1" selected="0">
            <x v="74"/>
          </reference>
          <reference field="2" count="1">
            <x v="208"/>
          </reference>
        </references>
      </pivotArea>
    </format>
    <format dxfId="2164">
      <pivotArea dataOnly="0" labelOnly="1" fieldPosition="0">
        <references count="3">
          <reference field="0" count="1" selected="0">
            <x v="88"/>
          </reference>
          <reference field="1" count="1" selected="0">
            <x v="75"/>
          </reference>
          <reference field="2" count="1">
            <x v="38"/>
          </reference>
        </references>
      </pivotArea>
    </format>
    <format dxfId="2163">
      <pivotArea dataOnly="0" labelOnly="1" fieldPosition="0">
        <references count="3">
          <reference field="0" count="1" selected="0">
            <x v="89"/>
          </reference>
          <reference field="1" count="1" selected="0">
            <x v="76"/>
          </reference>
          <reference field="2" count="1">
            <x v="232"/>
          </reference>
        </references>
      </pivotArea>
    </format>
    <format dxfId="2162">
      <pivotArea dataOnly="0" labelOnly="1" fieldPosition="0">
        <references count="3">
          <reference field="0" count="1" selected="0">
            <x v="90"/>
          </reference>
          <reference field="1" count="1" selected="0">
            <x v="77"/>
          </reference>
          <reference field="2" count="1">
            <x v="43"/>
          </reference>
        </references>
      </pivotArea>
    </format>
    <format dxfId="2161">
      <pivotArea dataOnly="0" labelOnly="1" fieldPosition="0">
        <references count="3">
          <reference field="0" count="1" selected="0">
            <x v="91"/>
          </reference>
          <reference field="1" count="1" selected="0">
            <x v="78"/>
          </reference>
          <reference field="2" count="1">
            <x v="12"/>
          </reference>
        </references>
      </pivotArea>
    </format>
    <format dxfId="2160">
      <pivotArea dataOnly="0" labelOnly="1" fieldPosition="0">
        <references count="3">
          <reference field="0" count="1" selected="0">
            <x v="93"/>
          </reference>
          <reference field="1" count="1" selected="0">
            <x v="80"/>
          </reference>
          <reference field="2" count="1">
            <x v="180"/>
          </reference>
        </references>
      </pivotArea>
    </format>
    <format dxfId="2159">
      <pivotArea dataOnly="0" labelOnly="1" fieldPosition="0">
        <references count="3">
          <reference field="0" count="1" selected="0">
            <x v="94"/>
          </reference>
          <reference field="1" count="1" selected="0">
            <x v="81"/>
          </reference>
          <reference field="2" count="1">
            <x v="60"/>
          </reference>
        </references>
      </pivotArea>
    </format>
    <format dxfId="2158">
      <pivotArea dataOnly="0" labelOnly="1" fieldPosition="0">
        <references count="3">
          <reference field="0" count="1" selected="0">
            <x v="95"/>
          </reference>
          <reference field="1" count="1" selected="0">
            <x v="82"/>
          </reference>
          <reference field="2" count="1">
            <x v="5"/>
          </reference>
        </references>
      </pivotArea>
    </format>
    <format dxfId="2157">
      <pivotArea dataOnly="0" labelOnly="1" fieldPosition="0">
        <references count="3">
          <reference field="0" count="1" selected="0">
            <x v="96"/>
          </reference>
          <reference field="1" count="1" selected="0">
            <x v="83"/>
          </reference>
          <reference field="2" count="1">
            <x v="173"/>
          </reference>
        </references>
      </pivotArea>
    </format>
    <format dxfId="2156">
      <pivotArea dataOnly="0" labelOnly="1" fieldPosition="0">
        <references count="3">
          <reference field="0" count="1" selected="0">
            <x v="97"/>
          </reference>
          <reference field="1" count="1" selected="0">
            <x v="84"/>
          </reference>
          <reference field="2" count="1">
            <x v="6"/>
          </reference>
        </references>
      </pivotArea>
    </format>
    <format dxfId="2155">
      <pivotArea dataOnly="0" labelOnly="1" fieldPosition="0">
        <references count="3">
          <reference field="0" count="1" selected="0">
            <x v="98"/>
          </reference>
          <reference field="1" count="1" selected="0">
            <x v="85"/>
          </reference>
          <reference field="2" count="1">
            <x v="214"/>
          </reference>
        </references>
      </pivotArea>
    </format>
    <format dxfId="2154">
      <pivotArea dataOnly="0" labelOnly="1" fieldPosition="0">
        <references count="3">
          <reference field="0" count="1" selected="0">
            <x v="99"/>
          </reference>
          <reference field="1" count="1" selected="0">
            <x v="86"/>
          </reference>
          <reference field="2" count="1">
            <x v="66"/>
          </reference>
        </references>
      </pivotArea>
    </format>
    <format dxfId="2153">
      <pivotArea dataOnly="0" labelOnly="1" fieldPosition="0">
        <references count="3">
          <reference field="0" count="1" selected="0">
            <x v="100"/>
          </reference>
          <reference field="1" count="1" selected="0">
            <x v="87"/>
          </reference>
          <reference field="2" count="1">
            <x v="75"/>
          </reference>
        </references>
      </pivotArea>
    </format>
    <format dxfId="2152">
      <pivotArea dataOnly="0" labelOnly="1" fieldPosition="0">
        <references count="3">
          <reference field="0" count="1" selected="0">
            <x v="101"/>
          </reference>
          <reference field="1" count="1" selected="0">
            <x v="88"/>
          </reference>
          <reference field="2" count="1">
            <x v="29"/>
          </reference>
        </references>
      </pivotArea>
    </format>
    <format dxfId="2151">
      <pivotArea dataOnly="0" labelOnly="1" fieldPosition="0">
        <references count="3">
          <reference field="0" count="1" selected="0">
            <x v="102"/>
          </reference>
          <reference field="1" count="1" selected="0">
            <x v="89"/>
          </reference>
          <reference field="2" count="1">
            <x v="14"/>
          </reference>
        </references>
      </pivotArea>
    </format>
    <format dxfId="2150">
      <pivotArea dataOnly="0" labelOnly="1" fieldPosition="0">
        <references count="3">
          <reference field="0" count="1" selected="0">
            <x v="103"/>
          </reference>
          <reference field="1" count="1" selected="0">
            <x v="90"/>
          </reference>
          <reference field="2" count="1">
            <x v="73"/>
          </reference>
        </references>
      </pivotArea>
    </format>
    <format dxfId="2149">
      <pivotArea dataOnly="0" labelOnly="1" fieldPosition="0">
        <references count="3">
          <reference field="0" count="1" selected="0">
            <x v="104"/>
          </reference>
          <reference field="1" count="1" selected="0">
            <x v="91"/>
          </reference>
          <reference field="2" count="1">
            <x v="68"/>
          </reference>
        </references>
      </pivotArea>
    </format>
    <format dxfId="2148">
      <pivotArea dataOnly="0" labelOnly="1" fieldPosition="0">
        <references count="3">
          <reference field="0" count="1" selected="0">
            <x v="105"/>
          </reference>
          <reference field="1" count="1" selected="0">
            <x v="92"/>
          </reference>
          <reference field="2" count="1">
            <x v="134"/>
          </reference>
        </references>
      </pivotArea>
    </format>
    <format dxfId="2147">
      <pivotArea dataOnly="0" labelOnly="1" fieldPosition="0">
        <references count="3">
          <reference field="0" count="1" selected="0">
            <x v="106"/>
          </reference>
          <reference field="1" count="1" selected="0">
            <x v="93"/>
          </reference>
          <reference field="2" count="1">
            <x v="76"/>
          </reference>
        </references>
      </pivotArea>
    </format>
    <format dxfId="2146">
      <pivotArea dataOnly="0" labelOnly="1" fieldPosition="0">
        <references count="3">
          <reference field="0" count="1" selected="0">
            <x v="107"/>
          </reference>
          <reference field="1" count="1" selected="0">
            <x v="94"/>
          </reference>
          <reference field="2" count="1">
            <x v="190"/>
          </reference>
        </references>
      </pivotArea>
    </format>
    <format dxfId="2145">
      <pivotArea dataOnly="0" labelOnly="1" fieldPosition="0">
        <references count="3">
          <reference field="0" count="1" selected="0">
            <x v="108"/>
          </reference>
          <reference field="1" count="1" selected="0">
            <x v="95"/>
          </reference>
          <reference field="2" count="1">
            <x v="236"/>
          </reference>
        </references>
      </pivotArea>
    </format>
    <format dxfId="2144">
      <pivotArea dataOnly="0" labelOnly="1" fieldPosition="0">
        <references count="3">
          <reference field="0" count="1" selected="0">
            <x v="110"/>
          </reference>
          <reference field="1" count="1" selected="0">
            <x v="97"/>
          </reference>
          <reference field="2" count="1">
            <x v="123"/>
          </reference>
        </references>
      </pivotArea>
    </format>
    <format dxfId="2143">
      <pivotArea dataOnly="0" labelOnly="1" fieldPosition="0">
        <references count="3">
          <reference field="0" count="1" selected="0">
            <x v="111"/>
          </reference>
          <reference field="1" count="1" selected="0">
            <x v="98"/>
          </reference>
          <reference field="2" count="1">
            <x v="83"/>
          </reference>
        </references>
      </pivotArea>
    </format>
    <format dxfId="2142">
      <pivotArea dataOnly="0" labelOnly="1" fieldPosition="0">
        <references count="3">
          <reference field="0" count="1" selected="0">
            <x v="113"/>
          </reference>
          <reference field="1" count="1" selected="0">
            <x v="100"/>
          </reference>
          <reference field="2" count="1">
            <x v="124"/>
          </reference>
        </references>
      </pivotArea>
    </format>
    <format dxfId="2141">
      <pivotArea dataOnly="0" labelOnly="1" fieldPosition="0">
        <references count="3">
          <reference field="0" count="1" selected="0">
            <x v="121"/>
          </reference>
          <reference field="1" count="1" selected="0">
            <x v="108"/>
          </reference>
          <reference field="2" count="1">
            <x v="207"/>
          </reference>
        </references>
      </pivotArea>
    </format>
    <format dxfId="2140">
      <pivotArea dataOnly="0" labelOnly="1" fieldPosition="0">
        <references count="3">
          <reference field="0" count="1" selected="0">
            <x v="122"/>
          </reference>
          <reference field="1" count="1" selected="0">
            <x v="109"/>
          </reference>
          <reference field="2" count="1">
            <x v="35"/>
          </reference>
        </references>
      </pivotArea>
    </format>
    <format dxfId="2139">
      <pivotArea dataOnly="0" labelOnly="1" fieldPosition="0">
        <references count="3">
          <reference field="0" count="1" selected="0">
            <x v="123"/>
          </reference>
          <reference field="1" count="1" selected="0">
            <x v="110"/>
          </reference>
          <reference field="2" count="1">
            <x v="176"/>
          </reference>
        </references>
      </pivotArea>
    </format>
    <format dxfId="2138">
      <pivotArea dataOnly="0" labelOnly="1" fieldPosition="0">
        <references count="3">
          <reference field="0" count="1" selected="0">
            <x v="124"/>
          </reference>
          <reference field="1" count="1" selected="0">
            <x v="111"/>
          </reference>
          <reference field="2" count="1">
            <x v="218"/>
          </reference>
        </references>
      </pivotArea>
    </format>
    <format dxfId="2137">
      <pivotArea dataOnly="0" labelOnly="1" fieldPosition="0">
        <references count="3">
          <reference field="0" count="1" selected="0">
            <x v="125"/>
          </reference>
          <reference field="1" count="1" selected="0">
            <x v="112"/>
          </reference>
          <reference field="2" count="1">
            <x v="197"/>
          </reference>
        </references>
      </pivotArea>
    </format>
    <format dxfId="2136">
      <pivotArea dataOnly="0" labelOnly="1" fieldPosition="0">
        <references count="3">
          <reference field="0" count="1" selected="0">
            <x v="126"/>
          </reference>
          <reference field="1" count="1" selected="0">
            <x v="113"/>
          </reference>
          <reference field="2" count="1">
            <x v="191"/>
          </reference>
        </references>
      </pivotArea>
    </format>
    <format dxfId="2135">
      <pivotArea dataOnly="0" labelOnly="1" fieldPosition="0">
        <references count="3">
          <reference field="0" count="1" selected="0">
            <x v="127"/>
          </reference>
          <reference field="1" count="1" selected="0">
            <x v="114"/>
          </reference>
          <reference field="2" count="1">
            <x v="174"/>
          </reference>
        </references>
      </pivotArea>
    </format>
    <format dxfId="2134">
      <pivotArea dataOnly="0" labelOnly="1" fieldPosition="0">
        <references count="3">
          <reference field="0" count="1" selected="0">
            <x v="128"/>
          </reference>
          <reference field="1" count="1" selected="0">
            <x v="115"/>
          </reference>
          <reference field="2" count="1">
            <x v="59"/>
          </reference>
        </references>
      </pivotArea>
    </format>
    <format dxfId="2133">
      <pivotArea dataOnly="0" labelOnly="1" fieldPosition="0">
        <references count="3">
          <reference field="0" count="1" selected="0">
            <x v="129"/>
          </reference>
          <reference field="1" count="1" selected="0">
            <x v="116"/>
          </reference>
          <reference field="2" count="1">
            <x v="212"/>
          </reference>
        </references>
      </pivotArea>
    </format>
    <format dxfId="2132">
      <pivotArea dataOnly="0" labelOnly="1" fieldPosition="0">
        <references count="3">
          <reference field="0" count="1" selected="0">
            <x v="130"/>
          </reference>
          <reference field="1" count="1" selected="0">
            <x v="117"/>
          </reference>
          <reference field="2" count="1">
            <x v="118"/>
          </reference>
        </references>
      </pivotArea>
    </format>
    <format dxfId="2131">
      <pivotArea dataOnly="0" labelOnly="1" fieldPosition="0">
        <references count="3">
          <reference field="0" count="1" selected="0">
            <x v="134"/>
          </reference>
          <reference field="1" count="1" selected="0">
            <x v="127"/>
          </reference>
          <reference field="2" count="1">
            <x v="2"/>
          </reference>
        </references>
      </pivotArea>
    </format>
    <format dxfId="2130">
      <pivotArea dataOnly="0" labelOnly="1" fieldPosition="0">
        <references count="3">
          <reference field="0" count="1" selected="0">
            <x v="135"/>
          </reference>
          <reference field="1" count="1" selected="0">
            <x v="128"/>
          </reference>
          <reference field="2" count="1">
            <x v="151"/>
          </reference>
        </references>
      </pivotArea>
    </format>
    <format dxfId="2129">
      <pivotArea dataOnly="0" labelOnly="1" fieldPosition="0">
        <references count="3">
          <reference field="0" count="1" selected="0">
            <x v="136"/>
          </reference>
          <reference field="1" count="1" selected="0">
            <x v="129"/>
          </reference>
          <reference field="2" count="1">
            <x v="219"/>
          </reference>
        </references>
      </pivotArea>
    </format>
    <format dxfId="2128">
      <pivotArea dataOnly="0" labelOnly="1" fieldPosition="0">
        <references count="3">
          <reference field="0" count="1" selected="0">
            <x v="144"/>
          </reference>
          <reference field="1" count="1" selected="0">
            <x v="137"/>
          </reference>
          <reference field="2" count="1">
            <x v="79"/>
          </reference>
        </references>
      </pivotArea>
    </format>
    <format dxfId="2127">
      <pivotArea dataOnly="0" labelOnly="1" fieldPosition="0">
        <references count="3">
          <reference field="0" count="1" selected="0">
            <x v="146"/>
          </reference>
          <reference field="1" count="1" selected="0">
            <x v="139"/>
          </reference>
          <reference field="2" count="1">
            <x v="30"/>
          </reference>
        </references>
      </pivotArea>
    </format>
    <format dxfId="2126">
      <pivotArea dataOnly="0" labelOnly="1" fieldPosition="0">
        <references count="3">
          <reference field="0" count="1" selected="0">
            <x v="147"/>
          </reference>
          <reference field="1" count="1" selected="0">
            <x v="140"/>
          </reference>
          <reference field="2" count="1">
            <x v="211"/>
          </reference>
        </references>
      </pivotArea>
    </format>
    <format dxfId="2125">
      <pivotArea dataOnly="0" labelOnly="1" fieldPosition="0">
        <references count="3">
          <reference field="0" count="1" selected="0">
            <x v="148"/>
          </reference>
          <reference field="1" count="1" selected="0">
            <x v="141"/>
          </reference>
          <reference field="2" count="1">
            <x v="95"/>
          </reference>
        </references>
      </pivotArea>
    </format>
    <format dxfId="2124">
      <pivotArea dataOnly="0" labelOnly="1" fieldPosition="0">
        <references count="3">
          <reference field="0" count="1" selected="0">
            <x v="149"/>
          </reference>
          <reference field="1" count="1" selected="0">
            <x v="142"/>
          </reference>
          <reference field="2" count="1">
            <x v="165"/>
          </reference>
        </references>
      </pivotArea>
    </format>
    <format dxfId="2123">
      <pivotArea dataOnly="0" labelOnly="1" fieldPosition="0">
        <references count="3">
          <reference field="0" count="1" selected="0">
            <x v="150"/>
          </reference>
          <reference field="1" count="1" selected="0">
            <x v="143"/>
          </reference>
          <reference field="2" count="1">
            <x v="166"/>
          </reference>
        </references>
      </pivotArea>
    </format>
    <format dxfId="2122">
      <pivotArea dataOnly="0" labelOnly="1" fieldPosition="0">
        <references count="3">
          <reference field="0" count="1" selected="0">
            <x v="151"/>
          </reference>
          <reference field="1" count="1" selected="0">
            <x v="144"/>
          </reference>
          <reference field="2" count="1">
            <x v="85"/>
          </reference>
        </references>
      </pivotArea>
    </format>
    <format dxfId="2121">
      <pivotArea dataOnly="0" labelOnly="1" fieldPosition="0">
        <references count="3">
          <reference field="0" count="1" selected="0">
            <x v="152"/>
          </reference>
          <reference field="1" count="1" selected="0">
            <x v="145"/>
          </reference>
          <reference field="2" count="1">
            <x v="86"/>
          </reference>
        </references>
      </pivotArea>
    </format>
    <format dxfId="2120">
      <pivotArea dataOnly="0" labelOnly="1" fieldPosition="0">
        <references count="3">
          <reference field="0" count="1" selected="0">
            <x v="153"/>
          </reference>
          <reference field="1" count="1" selected="0">
            <x v="146"/>
          </reference>
          <reference field="2" count="1">
            <x v="54"/>
          </reference>
        </references>
      </pivotArea>
    </format>
    <format dxfId="2119">
      <pivotArea dataOnly="0" labelOnly="1" fieldPosition="0">
        <references count="3">
          <reference field="0" count="1" selected="0">
            <x v="154"/>
          </reference>
          <reference field="1" count="1" selected="0">
            <x v="147"/>
          </reference>
          <reference field="2" count="1">
            <x v="109"/>
          </reference>
        </references>
      </pivotArea>
    </format>
    <format dxfId="2118">
      <pivotArea dataOnly="0" labelOnly="1" fieldPosition="0">
        <references count="3">
          <reference field="0" count="1" selected="0">
            <x v="155"/>
          </reference>
          <reference field="1" count="1" selected="0">
            <x v="148"/>
          </reference>
          <reference field="2" count="1">
            <x v="3"/>
          </reference>
        </references>
      </pivotArea>
    </format>
    <format dxfId="2117">
      <pivotArea dataOnly="0" labelOnly="1" fieldPosition="0">
        <references count="3">
          <reference field="0" count="1" selected="0">
            <x v="159"/>
          </reference>
          <reference field="1" count="1" selected="0">
            <x v="183"/>
          </reference>
          <reference field="2" count="1">
            <x v="122"/>
          </reference>
        </references>
      </pivotArea>
    </format>
    <format dxfId="2116">
      <pivotArea dataOnly="0" labelOnly="1" fieldPosition="0">
        <references count="3">
          <reference field="0" count="1" selected="0">
            <x v="160"/>
          </reference>
          <reference field="1" count="1" selected="0">
            <x v="184"/>
          </reference>
          <reference field="2" count="1">
            <x v="187"/>
          </reference>
        </references>
      </pivotArea>
    </format>
    <format dxfId="2115">
      <pivotArea dataOnly="0" labelOnly="1" fieldPosition="0">
        <references count="3">
          <reference field="0" count="1" selected="0">
            <x v="161"/>
          </reference>
          <reference field="1" count="1" selected="0">
            <x v="185"/>
          </reference>
          <reference field="2" count="1">
            <x v="186"/>
          </reference>
        </references>
      </pivotArea>
    </format>
    <format dxfId="2114">
      <pivotArea dataOnly="0" labelOnly="1" fieldPosition="0">
        <references count="3">
          <reference field="0" count="1" selected="0">
            <x v="162"/>
          </reference>
          <reference field="1" count="1" selected="0">
            <x v="186"/>
          </reference>
          <reference field="2" count="1">
            <x v="125"/>
          </reference>
        </references>
      </pivotArea>
    </format>
    <format dxfId="2113">
      <pivotArea dataOnly="0" labelOnly="1" fieldPosition="0">
        <references count="3">
          <reference field="0" count="1" selected="0">
            <x v="164"/>
          </reference>
          <reference field="1" count="1" selected="0">
            <x v="188"/>
          </reference>
          <reference field="2" count="1">
            <x v="119"/>
          </reference>
        </references>
      </pivotArea>
    </format>
    <format dxfId="2112">
      <pivotArea dataOnly="0" labelOnly="1" fieldPosition="0">
        <references count="3">
          <reference field="0" count="1" selected="0">
            <x v="165"/>
          </reference>
          <reference field="1" count="1" selected="0">
            <x v="189"/>
          </reference>
          <reference field="2" count="1">
            <x v="156"/>
          </reference>
        </references>
      </pivotArea>
    </format>
    <format dxfId="2111">
      <pivotArea dataOnly="0" labelOnly="1" fieldPosition="0">
        <references count="3">
          <reference field="0" count="1" selected="0">
            <x v="166"/>
          </reference>
          <reference field="1" count="1" selected="0">
            <x v="190"/>
          </reference>
          <reference field="2" count="1">
            <x v="213"/>
          </reference>
        </references>
      </pivotArea>
    </format>
    <format dxfId="2110">
      <pivotArea dataOnly="0" labelOnly="1" fieldPosition="0">
        <references count="3">
          <reference field="0" count="1" selected="0">
            <x v="167"/>
          </reference>
          <reference field="1" count="1" selected="0">
            <x v="199"/>
          </reference>
          <reference field="2" count="1">
            <x v="56"/>
          </reference>
        </references>
      </pivotArea>
    </format>
    <format dxfId="2109">
      <pivotArea dataOnly="0" labelOnly="1" fieldPosition="0">
        <references count="3">
          <reference field="0" count="1" selected="0">
            <x v="168"/>
          </reference>
          <reference field="1" count="1" selected="0">
            <x v="200"/>
          </reference>
          <reference field="2" count="1">
            <x v="9"/>
          </reference>
        </references>
      </pivotArea>
    </format>
    <format dxfId="2108">
      <pivotArea dataOnly="0" labelOnly="1" fieldPosition="0">
        <references count="3">
          <reference field="0" count="1" selected="0">
            <x v="171"/>
          </reference>
          <reference field="1" count="1" selected="0">
            <x v="203"/>
          </reference>
          <reference field="2" count="1">
            <x v="10"/>
          </reference>
        </references>
      </pivotArea>
    </format>
    <format dxfId="2107">
      <pivotArea dataOnly="0" labelOnly="1" fieldPosition="0">
        <references count="3">
          <reference field="0" count="1" selected="0">
            <x v="172"/>
          </reference>
          <reference field="1" count="1" selected="0">
            <x v="204"/>
          </reference>
          <reference field="2" count="1">
            <x v="216"/>
          </reference>
        </references>
      </pivotArea>
    </format>
    <format dxfId="2106">
      <pivotArea dataOnly="0" labelOnly="1" fieldPosition="0">
        <references count="3">
          <reference field="0" count="1" selected="0">
            <x v="173"/>
          </reference>
          <reference field="1" count="1" selected="0">
            <x v="205"/>
          </reference>
          <reference field="2" count="1">
            <x v="94"/>
          </reference>
        </references>
      </pivotArea>
    </format>
    <format dxfId="2105">
      <pivotArea dataOnly="0" labelOnly="1" fieldPosition="0">
        <references count="3">
          <reference field="0" count="1" selected="0">
            <x v="175"/>
          </reference>
          <reference field="1" count="1" selected="0">
            <x v="207"/>
          </reference>
          <reference field="2" count="1">
            <x v="172"/>
          </reference>
        </references>
      </pivotArea>
    </format>
    <format dxfId="2104">
      <pivotArea dataOnly="0" labelOnly="1" fieldPosition="0">
        <references count="3">
          <reference field="0" count="1" selected="0">
            <x v="176"/>
          </reference>
          <reference field="1" count="1" selected="0">
            <x v="208"/>
          </reference>
          <reference field="2" count="1">
            <x v="215"/>
          </reference>
        </references>
      </pivotArea>
    </format>
    <format dxfId="2103">
      <pivotArea dataOnly="0" labelOnly="1" fieldPosition="0">
        <references count="3">
          <reference field="0" count="1" selected="0">
            <x v="177"/>
          </reference>
          <reference field="1" count="1" selected="0">
            <x v="209"/>
          </reference>
          <reference field="2" count="1">
            <x v="114"/>
          </reference>
        </references>
      </pivotArea>
    </format>
    <format dxfId="2102">
      <pivotArea dataOnly="0" labelOnly="1" fieldPosition="0">
        <references count="3">
          <reference field="0" count="1" selected="0">
            <x v="178"/>
          </reference>
          <reference field="1" count="1" selected="0">
            <x v="210"/>
          </reference>
          <reference field="2" count="1">
            <x v="11"/>
          </reference>
        </references>
      </pivotArea>
    </format>
    <format dxfId="2101">
      <pivotArea dataOnly="0" labelOnly="1" fieldPosition="0">
        <references count="3">
          <reference field="0" count="1" selected="0">
            <x v="179"/>
          </reference>
          <reference field="1" count="1" selected="0">
            <x v="211"/>
          </reference>
          <reference field="2" count="1">
            <x v="96"/>
          </reference>
        </references>
      </pivotArea>
    </format>
    <format dxfId="2100">
      <pivotArea dataOnly="0" labelOnly="1" fieldPosition="0">
        <references count="3">
          <reference field="0" count="1" selected="0">
            <x v="180"/>
          </reference>
          <reference field="1" count="1" selected="0">
            <x v="212"/>
          </reference>
          <reference field="2" count="1">
            <x v="97"/>
          </reference>
        </references>
      </pivotArea>
    </format>
    <format dxfId="2099">
      <pivotArea dataOnly="0" labelOnly="1" fieldPosition="0">
        <references count="3">
          <reference field="0" count="1" selected="0">
            <x v="181"/>
          </reference>
          <reference field="1" count="1" selected="0">
            <x v="213"/>
          </reference>
          <reference field="2" count="1">
            <x v="234"/>
          </reference>
        </references>
      </pivotArea>
    </format>
    <format dxfId="2098">
      <pivotArea dataOnly="0" labelOnly="1" fieldPosition="0">
        <references count="3">
          <reference field="0" count="1" selected="0">
            <x v="182"/>
          </reference>
          <reference field="1" count="1" selected="0">
            <x v="214"/>
          </reference>
          <reference field="2" count="1">
            <x v="235"/>
          </reference>
        </references>
      </pivotArea>
    </format>
    <format dxfId="2097">
      <pivotArea dataOnly="0" labelOnly="1" fieldPosition="0">
        <references count="3">
          <reference field="0" count="1" selected="0">
            <x v="183"/>
          </reference>
          <reference field="1" count="1" selected="0">
            <x v="215"/>
          </reference>
          <reference field="2" count="1">
            <x v="206"/>
          </reference>
        </references>
      </pivotArea>
    </format>
    <format dxfId="2096">
      <pivotArea dataOnly="0" labelOnly="1" fieldPosition="0">
        <references count="3">
          <reference field="0" count="1" selected="0">
            <x v="184"/>
          </reference>
          <reference field="1" count="1" selected="0">
            <x v="216"/>
          </reference>
          <reference field="2" count="1">
            <x v="111"/>
          </reference>
        </references>
      </pivotArea>
    </format>
    <format dxfId="2095">
      <pivotArea dataOnly="0" labelOnly="1" fieldPosition="0">
        <references count="3">
          <reference field="0" count="1" selected="0">
            <x v="185"/>
          </reference>
          <reference field="1" count="1" selected="0">
            <x v="217"/>
          </reference>
          <reference field="2" count="1">
            <x v="113"/>
          </reference>
        </references>
      </pivotArea>
    </format>
    <format dxfId="2094">
      <pivotArea dataOnly="0" labelOnly="1" fieldPosition="0">
        <references count="3">
          <reference field="0" count="1" selected="0">
            <x v="186"/>
          </reference>
          <reference field="1" count="1" selected="0">
            <x v="218"/>
          </reference>
          <reference field="2" count="1">
            <x v="93"/>
          </reference>
        </references>
      </pivotArea>
    </format>
    <format dxfId="2093">
      <pivotArea dataOnly="0" labelOnly="1" fieldPosition="0">
        <references count="3">
          <reference field="0" count="1" selected="0">
            <x v="187"/>
          </reference>
          <reference field="1" count="1" selected="0">
            <x v="219"/>
          </reference>
          <reference field="2" count="1">
            <x v="104"/>
          </reference>
        </references>
      </pivotArea>
    </format>
    <format dxfId="2092">
      <pivotArea dataOnly="0" labelOnly="1" fieldPosition="0">
        <references count="3">
          <reference field="0" count="1" selected="0">
            <x v="188"/>
          </reference>
          <reference field="1" count="1" selected="0">
            <x v="220"/>
          </reference>
          <reference field="2" count="1">
            <x v="196"/>
          </reference>
        </references>
      </pivotArea>
    </format>
    <format dxfId="2091">
      <pivotArea dataOnly="0" labelOnly="1" fieldPosition="0">
        <references count="3">
          <reference field="0" count="1" selected="0">
            <x v="189"/>
          </reference>
          <reference field="1" count="1" selected="0">
            <x v="221"/>
          </reference>
          <reference field="2" count="1">
            <x v="182"/>
          </reference>
        </references>
      </pivotArea>
    </format>
    <format dxfId="2090">
      <pivotArea dataOnly="0" labelOnly="1" fieldPosition="0">
        <references count="3">
          <reference field="0" count="1" selected="0">
            <x v="192"/>
          </reference>
          <reference field="1" count="1" selected="0">
            <x v="224"/>
          </reference>
          <reference field="2" count="1">
            <x v="80"/>
          </reference>
        </references>
      </pivotArea>
    </format>
    <format dxfId="2089">
      <pivotArea dataOnly="0" labelOnly="1" fieldPosition="0">
        <references count="3">
          <reference field="0" count="1" selected="0">
            <x v="193"/>
          </reference>
          <reference field="1" count="1" selected="0">
            <x v="225"/>
          </reference>
          <reference field="2" count="1">
            <x v="238"/>
          </reference>
        </references>
      </pivotArea>
    </format>
    <format dxfId="2088">
      <pivotArea dataOnly="0" labelOnly="1" fieldPosition="0">
        <references count="3">
          <reference field="0" count="1" selected="0">
            <x v="197"/>
          </reference>
          <reference field="1" count="1" selected="0">
            <x v="236"/>
          </reference>
          <reference field="2" count="1">
            <x v="102"/>
          </reference>
        </references>
      </pivotArea>
    </format>
    <format dxfId="2087">
      <pivotArea dataOnly="0" labelOnly="1" fieldPosition="0">
        <references count="3">
          <reference field="0" count="1" selected="0">
            <x v="199"/>
          </reference>
          <reference field="1" count="1" selected="0">
            <x v="238"/>
          </reference>
          <reference field="2" count="1">
            <x v="33"/>
          </reference>
        </references>
      </pivotArea>
    </format>
    <format dxfId="2086">
      <pivotArea dataOnly="0" labelOnly="1" fieldPosition="0">
        <references count="3">
          <reference field="0" count="1" selected="0">
            <x v="200"/>
          </reference>
          <reference field="1" count="1" selected="0">
            <x v="239"/>
          </reference>
          <reference field="2" count="1">
            <x v="34"/>
          </reference>
        </references>
      </pivotArea>
    </format>
    <format dxfId="2085">
      <pivotArea dataOnly="0" labelOnly="1" fieldPosition="0">
        <references count="3">
          <reference field="0" count="1" selected="0">
            <x v="201"/>
          </reference>
          <reference field="1" count="1" selected="0">
            <x v="240"/>
          </reference>
          <reference field="2" count="1">
            <x v="37"/>
          </reference>
        </references>
      </pivotArea>
    </format>
    <format dxfId="2084">
      <pivotArea dataOnly="0" labelOnly="1" fieldPosition="0">
        <references count="3">
          <reference field="0" count="1" selected="0">
            <x v="204"/>
          </reference>
          <reference field="1" count="1" selected="0">
            <x v="149"/>
          </reference>
          <reference field="2" count="1">
            <x v="117"/>
          </reference>
        </references>
      </pivotArea>
    </format>
    <format dxfId="2083">
      <pivotArea dataOnly="0" labelOnly="1" fieldPosition="0">
        <references count="3">
          <reference field="0" count="1" selected="0">
            <x v="206"/>
          </reference>
          <reference field="1" count="1" selected="0">
            <x v="151"/>
          </reference>
          <reference field="2" count="1">
            <x v="159"/>
          </reference>
        </references>
      </pivotArea>
    </format>
    <format dxfId="2082">
      <pivotArea dataOnly="0" labelOnly="1" fieldPosition="0">
        <references count="3">
          <reference field="0" count="1" selected="0">
            <x v="207"/>
          </reference>
          <reference field="1" count="1" selected="0">
            <x v="152"/>
          </reference>
          <reference field="2" count="1">
            <x v="81"/>
          </reference>
        </references>
      </pivotArea>
    </format>
    <format dxfId="2081">
      <pivotArea dataOnly="0" labelOnly="1" fieldPosition="0">
        <references count="3">
          <reference field="0" count="1" selected="0">
            <x v="208"/>
          </reference>
          <reference field="1" count="1" selected="0">
            <x v="153"/>
          </reference>
          <reference field="2" count="1">
            <x v="103"/>
          </reference>
        </references>
      </pivotArea>
    </format>
    <format dxfId="2080">
      <pivotArea dataOnly="0" labelOnly="1" fieldPosition="0">
        <references count="3">
          <reference field="0" count="1" selected="0">
            <x v="209"/>
          </reference>
          <reference field="1" count="1" selected="0">
            <x v="154"/>
          </reference>
          <reference field="2" count="1">
            <x v="98"/>
          </reference>
        </references>
      </pivotArea>
    </format>
    <format dxfId="2079">
      <pivotArea dataOnly="0" labelOnly="1" fieldPosition="0">
        <references count="3">
          <reference field="0" count="1" selected="0">
            <x v="210"/>
          </reference>
          <reference field="1" count="1" selected="0">
            <x v="155"/>
          </reference>
          <reference field="2" count="1">
            <x v="162"/>
          </reference>
        </references>
      </pivotArea>
    </format>
    <format dxfId="2078">
      <pivotArea dataOnly="0" labelOnly="1" fieldPosition="0">
        <references count="3">
          <reference field="0" count="1" selected="0">
            <x v="211"/>
          </reference>
          <reference field="1" count="1" selected="0">
            <x v="156"/>
          </reference>
          <reference field="2" count="1">
            <x v="164"/>
          </reference>
        </references>
      </pivotArea>
    </format>
    <format dxfId="2077">
      <pivotArea dataOnly="0" labelOnly="1" fieldPosition="0">
        <references count="3">
          <reference field="0" count="1" selected="0">
            <x v="212"/>
          </reference>
          <reference field="1" count="1" selected="0">
            <x v="157"/>
          </reference>
          <reference field="2" count="1">
            <x v="170"/>
          </reference>
        </references>
      </pivotArea>
    </format>
    <format dxfId="2076">
      <pivotArea dataOnly="0" labelOnly="1" fieldPosition="0">
        <references count="3">
          <reference field="0" count="1" selected="0">
            <x v="214"/>
          </reference>
          <reference field="1" count="1" selected="0">
            <x v="159"/>
          </reference>
          <reference field="2" count="1">
            <x v="139"/>
          </reference>
        </references>
      </pivotArea>
    </format>
    <format dxfId="2075">
      <pivotArea dataOnly="0" labelOnly="1" fieldPosition="0">
        <references count="3">
          <reference field="0" count="1" selected="0">
            <x v="215"/>
          </reference>
          <reference field="1" count="1" selected="0">
            <x v="160"/>
          </reference>
          <reference field="2" count="1">
            <x v="137"/>
          </reference>
        </references>
      </pivotArea>
    </format>
    <format dxfId="2074">
      <pivotArea dataOnly="0" labelOnly="1" fieldPosition="0">
        <references count="3">
          <reference field="0" count="1" selected="0">
            <x v="216"/>
          </reference>
          <reference field="1" count="1" selected="0">
            <x v="161"/>
          </reference>
          <reference field="2" count="1">
            <x v="136"/>
          </reference>
        </references>
      </pivotArea>
    </format>
    <format dxfId="2073">
      <pivotArea dataOnly="0" labelOnly="1" fieldPosition="0">
        <references count="3">
          <reference field="0" count="1" selected="0">
            <x v="217"/>
          </reference>
          <reference field="1" count="1" selected="0">
            <x v="162"/>
          </reference>
          <reference field="2" count="1">
            <x v="13"/>
          </reference>
        </references>
      </pivotArea>
    </format>
    <format dxfId="2072">
      <pivotArea dataOnly="0" labelOnly="1" fieldPosition="0">
        <references count="3">
          <reference field="0" count="1" selected="0">
            <x v="218"/>
          </reference>
          <reference field="1" count="1" selected="0">
            <x v="163"/>
          </reference>
          <reference field="2" count="1">
            <x v="179"/>
          </reference>
        </references>
      </pivotArea>
    </format>
    <format dxfId="2071">
      <pivotArea dataOnly="0" labelOnly="1" fieldPosition="0">
        <references count="3">
          <reference field="0" count="1" selected="0">
            <x v="219"/>
          </reference>
          <reference field="1" count="1" selected="0">
            <x v="164"/>
          </reference>
          <reference field="2" count="1">
            <x v="138"/>
          </reference>
        </references>
      </pivotArea>
    </format>
    <format dxfId="2070">
      <pivotArea dataOnly="0" labelOnly="1" fieldPosition="0">
        <references count="3">
          <reference field="0" count="1" selected="0">
            <x v="220"/>
          </reference>
          <reference field="1" count="1" selected="0">
            <x v="165"/>
          </reference>
          <reference field="2" count="1">
            <x v="142"/>
          </reference>
        </references>
      </pivotArea>
    </format>
    <format dxfId="2069">
      <pivotArea dataOnly="0" labelOnly="1" fieldPosition="0">
        <references count="3">
          <reference field="0" count="1" selected="0">
            <x v="221"/>
          </reference>
          <reference field="1" count="1" selected="0">
            <x v="166"/>
          </reference>
          <reference field="2" count="1">
            <x v="143"/>
          </reference>
        </references>
      </pivotArea>
    </format>
    <format dxfId="2068">
      <pivotArea dataOnly="0" labelOnly="1" fieldPosition="0">
        <references count="3">
          <reference field="0" count="1" selected="0">
            <x v="223"/>
          </reference>
          <reference field="1" count="1" selected="0">
            <x v="168"/>
          </reference>
          <reference field="2" count="1">
            <x v="71"/>
          </reference>
        </references>
      </pivotArea>
    </format>
    <format dxfId="2067">
      <pivotArea dataOnly="0" labelOnly="1" fieldPosition="0">
        <references count="3">
          <reference field="0" count="1" selected="0">
            <x v="224"/>
          </reference>
          <reference field="1" count="1" selected="0">
            <x v="169"/>
          </reference>
          <reference field="2" count="1">
            <x v="121"/>
          </reference>
        </references>
      </pivotArea>
    </format>
    <format dxfId="2066">
      <pivotArea dataOnly="0" labelOnly="1" fieldPosition="0">
        <references count="3">
          <reference field="0" count="1" selected="0">
            <x v="225"/>
          </reference>
          <reference field="1" count="1" selected="0">
            <x v="170"/>
          </reference>
          <reference field="2" count="1">
            <x v="120"/>
          </reference>
        </references>
      </pivotArea>
    </format>
    <format dxfId="2065">
      <pivotArea dataOnly="0" labelOnly="1" fieldPosition="0">
        <references count="3">
          <reference field="0" count="1" selected="0">
            <x v="226"/>
          </reference>
          <reference field="1" count="1" selected="0">
            <x v="171"/>
          </reference>
          <reference field="2" count="1">
            <x v="41"/>
          </reference>
        </references>
      </pivotArea>
    </format>
    <format dxfId="2064">
      <pivotArea dataOnly="0" labelOnly="1" fieldPosition="0">
        <references count="3">
          <reference field="0" count="1" selected="0">
            <x v="227"/>
          </reference>
          <reference field="1" count="1" selected="0">
            <x v="172"/>
          </reference>
          <reference field="2" count="1">
            <x v="42"/>
          </reference>
        </references>
      </pivotArea>
    </format>
    <format dxfId="2063">
      <pivotArea dataOnly="0" labelOnly="1" fieldPosition="0">
        <references count="3">
          <reference field="0" count="1" selected="0">
            <x v="228"/>
          </reference>
          <reference field="1" count="1" selected="0">
            <x v="173"/>
          </reference>
          <reference field="2" count="1">
            <x v="145"/>
          </reference>
        </references>
      </pivotArea>
    </format>
    <format dxfId="2062">
      <pivotArea dataOnly="0" labelOnly="1" fieldPosition="0">
        <references count="3">
          <reference field="0" count="1" selected="0">
            <x v="229"/>
          </reference>
          <reference field="1" count="1" selected="0">
            <x v="174"/>
          </reference>
          <reference field="2" count="1">
            <x v="91"/>
          </reference>
        </references>
      </pivotArea>
    </format>
    <format dxfId="2061">
      <pivotArea dataOnly="0" labelOnly="1" fieldPosition="0">
        <references count="3">
          <reference field="0" count="1" selected="0">
            <x v="230"/>
          </reference>
          <reference field="1" count="1" selected="0">
            <x v="175"/>
          </reference>
          <reference field="2" count="1">
            <x v="160"/>
          </reference>
        </references>
      </pivotArea>
    </format>
    <format dxfId="2060">
      <pivotArea dataOnly="0" labelOnly="1" fieldPosition="0">
        <references count="3">
          <reference field="0" count="1" selected="0">
            <x v="231"/>
          </reference>
          <reference field="1" count="1" selected="0">
            <x v="176"/>
          </reference>
          <reference field="2" count="1">
            <x v="42"/>
          </reference>
        </references>
      </pivotArea>
    </format>
    <format dxfId="2059">
      <pivotArea dataOnly="0" labelOnly="1" fieldPosition="0">
        <references count="3">
          <reference field="0" count="1" selected="0">
            <x v="232"/>
          </reference>
          <reference field="1" count="1" selected="0">
            <x v="177"/>
          </reference>
          <reference field="2" count="1">
            <x v="47"/>
          </reference>
        </references>
      </pivotArea>
    </format>
    <format dxfId="2058">
      <pivotArea dataOnly="0" labelOnly="1" fieldPosition="0">
        <references count="3">
          <reference field="0" count="1" selected="0">
            <x v="233"/>
          </reference>
          <reference field="1" count="1" selected="0">
            <x v="178"/>
          </reference>
          <reference field="2" count="1">
            <x v="32"/>
          </reference>
        </references>
      </pivotArea>
    </format>
    <format dxfId="2057">
      <pivotArea dataOnly="0" labelOnly="1" fieldPosition="0">
        <references count="3">
          <reference field="0" count="1" selected="0">
            <x v="234"/>
          </reference>
          <reference field="1" count="1" selected="0">
            <x v="179"/>
          </reference>
          <reference field="2" count="1">
            <x v="163"/>
          </reference>
        </references>
      </pivotArea>
    </format>
    <format dxfId="2056">
      <pivotArea dataOnly="0" labelOnly="1" fieldPosition="0">
        <references count="3">
          <reference field="0" count="1" selected="0">
            <x v="235"/>
          </reference>
          <reference field="1" count="1" selected="0">
            <x v="191"/>
          </reference>
          <reference field="2" count="1">
            <x v="155"/>
          </reference>
        </references>
      </pivotArea>
    </format>
    <format dxfId="2055">
      <pivotArea dataOnly="0" labelOnly="1" fieldPosition="0">
        <references count="3">
          <reference field="0" count="1" selected="0">
            <x v="236"/>
          </reference>
          <reference field="1" count="1" selected="0">
            <x v="192"/>
          </reference>
          <reference field="2" count="1">
            <x v="27"/>
          </reference>
        </references>
      </pivotArea>
    </format>
    <format dxfId="2054">
      <pivotArea dataOnly="0" labelOnly="1" fieldPosition="0">
        <references count="3">
          <reference field="0" count="1" selected="0">
            <x v="237"/>
          </reference>
          <reference field="1" count="1" selected="0">
            <x v="193"/>
          </reference>
          <reference field="2" count="1">
            <x v="89"/>
          </reference>
        </references>
      </pivotArea>
    </format>
    <format dxfId="2053">
      <pivotArea dataOnly="0" labelOnly="1" fieldPosition="0">
        <references count="3">
          <reference field="0" count="1" selected="0">
            <x v="238"/>
          </reference>
          <reference field="1" count="1" selected="0">
            <x v="194"/>
          </reference>
          <reference field="2" count="1">
            <x v="25"/>
          </reference>
        </references>
      </pivotArea>
    </format>
    <format dxfId="2052">
      <pivotArea dataOnly="0" labelOnly="1" fieldPosition="0">
        <references count="3">
          <reference field="0" count="1" selected="0">
            <x v="239"/>
          </reference>
          <reference field="1" count="1" selected="0">
            <x v="195"/>
          </reference>
          <reference field="2" count="1">
            <x v="28"/>
          </reference>
        </references>
      </pivotArea>
    </format>
    <format dxfId="2051">
      <pivotArea dataOnly="0" labelOnly="1" fieldPosition="0">
        <references count="3">
          <reference field="0" count="1" selected="0">
            <x v="240"/>
          </reference>
          <reference field="1" count="1" selected="0">
            <x v="196"/>
          </reference>
          <reference field="2" count="1">
            <x v="40"/>
          </reference>
        </references>
      </pivotArea>
    </format>
    <format dxfId="2050">
      <pivotArea dataOnly="0" labelOnly="1" fieldPosition="0">
        <references count="3">
          <reference field="0" count="1" selected="0">
            <x v="241"/>
          </reference>
          <reference field="1" count="1" selected="0">
            <x v="197"/>
          </reference>
          <reference field="2" count="1">
            <x v="195"/>
          </reference>
        </references>
      </pivotArea>
    </format>
    <format dxfId="2049">
      <pivotArea dataOnly="0" labelOnly="1" fieldPosition="0">
        <references count="3">
          <reference field="0" count="1" selected="0">
            <x v="242"/>
          </reference>
          <reference field="1" count="1" selected="0">
            <x v="198"/>
          </reference>
          <reference field="2" count="1">
            <x v="132"/>
          </reference>
        </references>
      </pivotArea>
    </format>
    <format dxfId="2048">
      <pivotArea dataOnly="0" labelOnly="1" fieldPosition="0">
        <references count="4">
          <reference field="0" count="1" selected="0">
            <x v="0"/>
          </reference>
          <reference field="1" count="1" selected="0">
            <x v="228"/>
          </reference>
          <reference field="2" count="1" selected="0">
            <x v="153"/>
          </reference>
          <reference field="3" count="1">
            <x v="0"/>
          </reference>
        </references>
      </pivotArea>
    </format>
    <format dxfId="2047">
      <pivotArea dataOnly="0" labelOnly="1" fieldPosition="0">
        <references count="4">
          <reference field="0" count="1" selected="0">
            <x v="2"/>
          </reference>
          <reference field="1" count="1" selected="0">
            <x v="230"/>
          </reference>
          <reference field="2" count="1" selected="0">
            <x v="225"/>
          </reference>
          <reference field="3" count="1">
            <x v="0"/>
          </reference>
        </references>
      </pivotArea>
    </format>
    <format dxfId="2046">
      <pivotArea dataOnly="0" labelOnly="1" fieldPosition="0">
        <references count="4">
          <reference field="0" count="1" selected="0">
            <x v="3"/>
          </reference>
          <reference field="1" count="1" selected="0">
            <x v="231"/>
          </reference>
          <reference field="2" count="1" selected="0">
            <x v="88"/>
          </reference>
          <reference field="3" count="1">
            <x v="0"/>
          </reference>
        </references>
      </pivotArea>
    </format>
    <format dxfId="2045">
      <pivotArea dataOnly="0" labelOnly="1" fieldPosition="0">
        <references count="4">
          <reference field="0" count="1" selected="0">
            <x v="4"/>
          </reference>
          <reference field="1" count="1" selected="0">
            <x v="232"/>
          </reference>
          <reference field="2" count="1" selected="0">
            <x v="90"/>
          </reference>
          <reference field="3" count="1">
            <x v="0"/>
          </reference>
        </references>
      </pivotArea>
    </format>
    <format dxfId="2044">
      <pivotArea dataOnly="0" labelOnly="1" fieldPosition="0">
        <references count="4">
          <reference field="0" count="1" selected="0">
            <x v="5"/>
          </reference>
          <reference field="1" count="1" selected="0">
            <x v="233"/>
          </reference>
          <reference field="2" count="1" selected="0">
            <x v="224"/>
          </reference>
          <reference field="3" count="1">
            <x v="0"/>
          </reference>
        </references>
      </pivotArea>
    </format>
    <format dxfId="2043">
      <pivotArea dataOnly="0" labelOnly="1" fieldPosition="0">
        <references count="4">
          <reference field="0" count="1" selected="0">
            <x v="7"/>
          </reference>
          <reference field="1" count="1" selected="0">
            <x v="118"/>
          </reference>
          <reference field="2" count="1" selected="0">
            <x v="171"/>
          </reference>
          <reference field="3" count="1">
            <x v="0"/>
          </reference>
        </references>
      </pivotArea>
    </format>
    <format dxfId="2042">
      <pivotArea dataOnly="0" labelOnly="1" fieldPosition="0">
        <references count="4">
          <reference field="0" count="1" selected="0">
            <x v="9"/>
          </reference>
          <reference field="1" count="1" selected="0">
            <x v="120"/>
          </reference>
          <reference field="2" count="1" selected="0">
            <x v="168"/>
          </reference>
          <reference field="3" count="1">
            <x v="0"/>
          </reference>
        </references>
      </pivotArea>
    </format>
    <format dxfId="2041">
      <pivotArea dataOnly="0" labelOnly="1" fieldPosition="0">
        <references count="4">
          <reference field="0" count="1" selected="0">
            <x v="10"/>
          </reference>
          <reference field="1" count="1" selected="0">
            <x v="121"/>
          </reference>
          <reference field="2" count="1" selected="0">
            <x v="82"/>
          </reference>
          <reference field="3" count="1">
            <x v="0"/>
          </reference>
        </references>
      </pivotArea>
    </format>
    <format dxfId="2040">
      <pivotArea dataOnly="0" labelOnly="1" fieldPosition="0">
        <references count="4">
          <reference field="0" count="1" selected="0">
            <x v="11"/>
          </reference>
          <reference field="1" count="1" selected="0">
            <x v="122"/>
          </reference>
          <reference field="2" count="1" selected="0">
            <x v="26"/>
          </reference>
          <reference field="3" count="1">
            <x v="0"/>
          </reference>
        </references>
      </pivotArea>
    </format>
    <format dxfId="2039">
      <pivotArea dataOnly="0" labelOnly="1" fieldPosition="0">
        <references count="4">
          <reference field="0" count="1" selected="0">
            <x v="12"/>
          </reference>
          <reference field="1" count="1" selected="0">
            <x v="123"/>
          </reference>
          <reference field="2" count="1" selected="0">
            <x v="150"/>
          </reference>
          <reference field="3" count="1">
            <x v="0"/>
          </reference>
        </references>
      </pivotArea>
    </format>
    <format dxfId="2038">
      <pivotArea dataOnly="0" labelOnly="1" fieldPosition="0">
        <references count="4">
          <reference field="0" count="1" selected="0">
            <x v="16"/>
          </reference>
          <reference field="1" count="1" selected="0">
            <x v="64"/>
          </reference>
          <reference field="2" count="1" selected="0">
            <x v="157"/>
          </reference>
          <reference field="3" count="1">
            <x v="0"/>
          </reference>
        </references>
      </pivotArea>
    </format>
    <format dxfId="2037">
      <pivotArea dataOnly="0" labelOnly="1" fieldPosition="0">
        <references count="4">
          <reference field="0" count="1" selected="0">
            <x v="18"/>
          </reference>
          <reference field="1" count="1" selected="0">
            <x v="66"/>
          </reference>
          <reference field="2" count="1" selected="0">
            <x v="189"/>
          </reference>
          <reference field="3" count="1">
            <x v="0"/>
          </reference>
        </references>
      </pivotArea>
    </format>
    <format dxfId="2036">
      <pivotArea dataOnly="0" labelOnly="1" fieldPosition="0">
        <references count="4">
          <reference field="0" count="1" selected="0">
            <x v="22"/>
          </reference>
          <reference field="1" count="1" selected="0">
            <x v="19"/>
          </reference>
          <reference field="2" count="1" selected="0">
            <x v="39"/>
          </reference>
          <reference field="3" count="1">
            <x v="0"/>
          </reference>
        </references>
      </pivotArea>
    </format>
    <format dxfId="2035">
      <pivotArea dataOnly="0" labelOnly="1" fieldPosition="0">
        <references count="4">
          <reference field="0" count="1" selected="0">
            <x v="25"/>
          </reference>
          <reference field="1" count="1" selected="0">
            <x v="22"/>
          </reference>
          <reference field="2" count="1" selected="0">
            <x v="84"/>
          </reference>
          <reference field="3" count="1">
            <x v="0"/>
          </reference>
        </references>
      </pivotArea>
    </format>
    <format dxfId="2034">
      <pivotArea dataOnly="0" labelOnly="1" fieldPosition="0">
        <references count="4">
          <reference field="0" count="1" selected="0">
            <x v="26"/>
          </reference>
          <reference field="1" count="1" selected="0">
            <x v="23"/>
          </reference>
          <reference field="2" count="1" selected="0">
            <x v="217"/>
          </reference>
          <reference field="3" count="1">
            <x v="0"/>
          </reference>
        </references>
      </pivotArea>
    </format>
    <format dxfId="2033">
      <pivotArea dataOnly="0" labelOnly="1" fieldPosition="0">
        <references count="4">
          <reference field="0" count="1" selected="0">
            <x v="28"/>
          </reference>
          <reference field="1" count="1" selected="0">
            <x v="25"/>
          </reference>
          <reference field="2" count="1" selected="0">
            <x v="52"/>
          </reference>
          <reference field="3" count="1">
            <x v="0"/>
          </reference>
        </references>
      </pivotArea>
    </format>
    <format dxfId="2032">
      <pivotArea dataOnly="0" labelOnly="1" fieldPosition="0">
        <references count="4">
          <reference field="0" count="1" selected="0">
            <x v="29"/>
          </reference>
          <reference field="1" count="1" selected="0">
            <x v="26"/>
          </reference>
          <reference field="2" count="1" selected="0">
            <x v="62"/>
          </reference>
          <reference field="3" count="1">
            <x v="0"/>
          </reference>
        </references>
      </pivotArea>
    </format>
    <format dxfId="2031">
      <pivotArea dataOnly="0" labelOnly="1" fieldPosition="0">
        <references count="4">
          <reference field="0" count="1" selected="0">
            <x v="30"/>
          </reference>
          <reference field="1" count="1" selected="0">
            <x v="27"/>
          </reference>
          <reference field="2" count="1" selected="0">
            <x v="7"/>
          </reference>
          <reference field="3" count="1">
            <x v="0"/>
          </reference>
        </references>
      </pivotArea>
    </format>
    <format dxfId="2030">
      <pivotArea dataOnly="0" labelOnly="1" fieldPosition="0">
        <references count="4">
          <reference field="0" count="1" selected="0">
            <x v="31"/>
          </reference>
          <reference field="1" count="1" selected="0">
            <x v="28"/>
          </reference>
          <reference field="2" count="1" selected="0">
            <x v="53"/>
          </reference>
          <reference field="3" count="1">
            <x v="0"/>
          </reference>
        </references>
      </pivotArea>
    </format>
    <format dxfId="2029">
      <pivotArea dataOnly="0" labelOnly="1" fieldPosition="0">
        <references count="4">
          <reference field="0" count="1" selected="0">
            <x v="35"/>
          </reference>
          <reference field="1" count="1" selected="0">
            <x v="32"/>
          </reference>
          <reference field="2" count="1" selected="0">
            <x v="51"/>
          </reference>
          <reference field="3" count="1">
            <x v="0"/>
          </reference>
        </references>
      </pivotArea>
    </format>
    <format dxfId="2028">
      <pivotArea dataOnly="0" labelOnly="1" fieldPosition="0">
        <references count="4">
          <reference field="0" count="1" selected="0">
            <x v="36"/>
          </reference>
          <reference field="1" count="1" selected="0">
            <x v="33"/>
          </reference>
          <reference field="2" count="1" selected="0">
            <x v="130"/>
          </reference>
          <reference field="3" count="1">
            <x v="0"/>
          </reference>
        </references>
      </pivotArea>
    </format>
    <format dxfId="2027">
      <pivotArea dataOnly="0" labelOnly="1" fieldPosition="0">
        <references count="4">
          <reference field="0" count="1" selected="0">
            <x v="37"/>
          </reference>
          <reference field="1" count="1" selected="0">
            <x v="34"/>
          </reference>
          <reference field="2" count="1" selected="0">
            <x v="70"/>
          </reference>
          <reference field="3" count="1">
            <x v="0"/>
          </reference>
        </references>
      </pivotArea>
    </format>
    <format dxfId="2026">
      <pivotArea dataOnly="0" labelOnly="1" fieldPosition="0">
        <references count="4">
          <reference field="0" count="1" selected="0">
            <x v="38"/>
          </reference>
          <reference field="1" count="1" selected="0">
            <x v="0"/>
          </reference>
          <reference field="2" count="1" selected="0">
            <x v="45"/>
          </reference>
          <reference field="3" count="1">
            <x v="0"/>
          </reference>
        </references>
      </pivotArea>
    </format>
    <format dxfId="2025">
      <pivotArea dataOnly="0" labelOnly="1" fieldPosition="0">
        <references count="4">
          <reference field="0" count="1" selected="0">
            <x v="39"/>
          </reference>
          <reference field="1" count="1" selected="0">
            <x v="1"/>
          </reference>
          <reference field="2" count="1" selected="0">
            <x v="46"/>
          </reference>
          <reference field="3" count="1">
            <x v="0"/>
          </reference>
        </references>
      </pivotArea>
    </format>
    <format dxfId="2024">
      <pivotArea dataOnly="0" labelOnly="1" fieldPosition="0">
        <references count="4">
          <reference field="0" count="1" selected="0">
            <x v="42"/>
          </reference>
          <reference field="1" count="1" selected="0">
            <x v="4"/>
          </reference>
          <reference field="2" count="1" selected="0">
            <x v="64"/>
          </reference>
          <reference field="3" count="1">
            <x v="0"/>
          </reference>
        </references>
      </pivotArea>
    </format>
    <format dxfId="2023">
      <pivotArea dataOnly="0" labelOnly="1" fieldPosition="0">
        <references count="4">
          <reference field="0" count="1" selected="0">
            <x v="43"/>
          </reference>
          <reference field="1" count="1" selected="0">
            <x v="5"/>
          </reference>
          <reference field="2" count="1" selected="0">
            <x v="19"/>
          </reference>
          <reference field="3" count="1">
            <x v="0"/>
          </reference>
        </references>
      </pivotArea>
    </format>
    <format dxfId="2022">
      <pivotArea dataOnly="0" labelOnly="1" fieldPosition="0">
        <references count="4">
          <reference field="0" count="1" selected="0">
            <x v="44"/>
          </reference>
          <reference field="1" count="1" selected="0">
            <x v="6"/>
          </reference>
          <reference field="2" count="1" selected="0">
            <x v="23"/>
          </reference>
          <reference field="3" count="1">
            <x v="0"/>
          </reference>
        </references>
      </pivotArea>
    </format>
    <format dxfId="2021">
      <pivotArea dataOnly="0" labelOnly="1" fieldPosition="0">
        <references count="4">
          <reference field="0" count="1" selected="0">
            <x v="45"/>
          </reference>
          <reference field="1" count="1" selected="0">
            <x v="7"/>
          </reference>
          <reference field="2" count="1" selected="0">
            <x v="22"/>
          </reference>
          <reference field="3" count="1">
            <x v="0"/>
          </reference>
        </references>
      </pivotArea>
    </format>
    <format dxfId="2020">
      <pivotArea dataOnly="0" labelOnly="1" fieldPosition="0">
        <references count="4">
          <reference field="0" count="1" selected="0">
            <x v="46"/>
          </reference>
          <reference field="1" count="1" selected="0">
            <x v="8"/>
          </reference>
          <reference field="2" count="1" selected="0">
            <x v="135"/>
          </reference>
          <reference field="3" count="1">
            <x v="0"/>
          </reference>
        </references>
      </pivotArea>
    </format>
    <format dxfId="2019">
      <pivotArea dataOnly="0" labelOnly="1" fieldPosition="0">
        <references count="4">
          <reference field="0" count="1" selected="0">
            <x v="47"/>
          </reference>
          <reference field="1" count="1" selected="0">
            <x v="9"/>
          </reference>
          <reference field="2" count="1" selected="0">
            <x v="141"/>
          </reference>
          <reference field="3" count="1">
            <x v="0"/>
          </reference>
        </references>
      </pivotArea>
    </format>
    <format dxfId="2018">
      <pivotArea dataOnly="0" labelOnly="1" fieldPosition="0">
        <references count="4">
          <reference field="0" count="1" selected="0">
            <x v="49"/>
          </reference>
          <reference field="1" count="1" selected="0">
            <x v="11"/>
          </reference>
          <reference field="2" count="1" selected="0">
            <x v="127"/>
          </reference>
          <reference field="3" count="1">
            <x v="0"/>
          </reference>
        </references>
      </pivotArea>
    </format>
    <format dxfId="2017">
      <pivotArea dataOnly="0" labelOnly="1" fieldPosition="0">
        <references count="4">
          <reference field="0" count="1" selected="0">
            <x v="55"/>
          </reference>
          <reference field="1" count="1" selected="0">
            <x v="35"/>
          </reference>
          <reference field="2" count="1" selected="0">
            <x v="65"/>
          </reference>
          <reference field="3" count="1">
            <x v="0"/>
          </reference>
        </references>
      </pivotArea>
    </format>
    <format dxfId="2016">
      <pivotArea dataOnly="0" labelOnly="1" fieldPosition="0">
        <references count="4">
          <reference field="0" count="1" selected="0">
            <x v="56"/>
          </reference>
          <reference field="1" count="1" selected="0">
            <x v="36"/>
          </reference>
          <reference field="2" count="1" selected="0">
            <x v="183"/>
          </reference>
          <reference field="3" count="1">
            <x v="0"/>
          </reference>
        </references>
      </pivotArea>
    </format>
    <format dxfId="2015">
      <pivotArea dataOnly="0" labelOnly="1" fieldPosition="0">
        <references count="4">
          <reference field="0" count="1" selected="0">
            <x v="62"/>
          </reference>
          <reference field="1" count="1" selected="0">
            <x v="42"/>
          </reference>
          <reference field="2" count="1" selected="0">
            <x v="15"/>
          </reference>
          <reference field="3" count="1">
            <x v="0"/>
          </reference>
        </references>
      </pivotArea>
    </format>
    <format dxfId="2014">
      <pivotArea dataOnly="0" labelOnly="1" fieldPosition="0">
        <references count="4">
          <reference field="0" count="1" selected="0">
            <x v="63"/>
          </reference>
          <reference field="1" count="1" selected="0">
            <x v="43"/>
          </reference>
          <reference field="2" count="1" selected="0">
            <x v="152"/>
          </reference>
          <reference field="3" count="1">
            <x v="0"/>
          </reference>
        </references>
      </pivotArea>
    </format>
    <format dxfId="2013">
      <pivotArea dataOnly="0" labelOnly="1" fieldPosition="0">
        <references count="4">
          <reference field="0" count="1" selected="0">
            <x v="64"/>
          </reference>
          <reference field="1" count="1" selected="0">
            <x v="44"/>
          </reference>
          <reference field="2" count="1" selected="0">
            <x v="146"/>
          </reference>
          <reference field="3" count="1">
            <x v="0"/>
          </reference>
        </references>
      </pivotArea>
    </format>
    <format dxfId="2012">
      <pivotArea dataOnly="0" labelOnly="1" fieldPosition="0">
        <references count="4">
          <reference field="0" count="1" selected="0">
            <x v="65"/>
          </reference>
          <reference field="1" count="1" selected="0">
            <x v="45"/>
          </reference>
          <reference field="2" count="1" selected="0">
            <x v="204"/>
          </reference>
          <reference field="3" count="1">
            <x v="0"/>
          </reference>
        </references>
      </pivotArea>
    </format>
    <format dxfId="2011">
      <pivotArea dataOnly="0" labelOnly="1" fieldPosition="0">
        <references count="4">
          <reference field="0" count="1" selected="0">
            <x v="66"/>
          </reference>
          <reference field="1" count="1" selected="0">
            <x v="46"/>
          </reference>
          <reference field="2" count="1" selected="0">
            <x v="92"/>
          </reference>
          <reference field="3" count="1">
            <x v="0"/>
          </reference>
        </references>
      </pivotArea>
    </format>
    <format dxfId="2010">
      <pivotArea dataOnly="0" labelOnly="1" fieldPosition="0">
        <references count="4">
          <reference field="0" count="1" selected="0">
            <x v="67"/>
          </reference>
          <reference field="1" count="1" selected="0">
            <x v="47"/>
          </reference>
          <reference field="2" count="1" selected="0">
            <x v="181"/>
          </reference>
          <reference field="3" count="1">
            <x v="0"/>
          </reference>
        </references>
      </pivotArea>
    </format>
    <format dxfId="2009">
      <pivotArea dataOnly="0" labelOnly="1" fieldPosition="0">
        <references count="4">
          <reference field="0" count="1" selected="0">
            <x v="68"/>
          </reference>
          <reference field="1" count="1" selected="0">
            <x v="48"/>
          </reference>
          <reference field="2" count="1" selected="0">
            <x v="231"/>
          </reference>
          <reference field="3" count="1">
            <x v="0"/>
          </reference>
        </references>
      </pivotArea>
    </format>
    <format dxfId="2008">
      <pivotArea dataOnly="0" labelOnly="1" fieldPosition="0">
        <references count="4">
          <reference field="0" count="1" selected="0">
            <x v="79"/>
          </reference>
          <reference field="1" count="1" selected="0">
            <x v="59"/>
          </reference>
          <reference field="2" count="1" selected="0">
            <x v="21"/>
          </reference>
          <reference field="3" count="1">
            <x v="0"/>
          </reference>
        </references>
      </pivotArea>
    </format>
    <format dxfId="2007">
      <pivotArea dataOnly="0" labelOnly="1" fieldPosition="0">
        <references count="4">
          <reference field="0" count="1" selected="0">
            <x v="81"/>
          </reference>
          <reference field="1" count="1" selected="0">
            <x v="68"/>
          </reference>
          <reference field="2" count="1" selected="0">
            <x v="112"/>
          </reference>
          <reference field="3" count="1">
            <x v="0"/>
          </reference>
        </references>
      </pivotArea>
    </format>
    <format dxfId="2006">
      <pivotArea dataOnly="0" labelOnly="1" fieldPosition="0">
        <references count="4">
          <reference field="0" count="1" selected="0">
            <x v="82"/>
          </reference>
          <reference field="1" count="1" selected="0">
            <x v="69"/>
          </reference>
          <reference field="2" count="1" selected="0">
            <x v="226"/>
          </reference>
          <reference field="3" count="1">
            <x v="0"/>
          </reference>
        </references>
      </pivotArea>
    </format>
    <format dxfId="2005">
      <pivotArea dataOnly="0" labelOnly="1" fieldPosition="0">
        <references count="4">
          <reference field="0" count="1" selected="0">
            <x v="83"/>
          </reference>
          <reference field="1" count="1" selected="0">
            <x v="70"/>
          </reference>
          <reference field="2" count="1" selected="0">
            <x v="193"/>
          </reference>
          <reference field="3" count="1">
            <x v="0"/>
          </reference>
        </references>
      </pivotArea>
    </format>
    <format dxfId="2004">
      <pivotArea dataOnly="0" labelOnly="1" fieldPosition="0">
        <references count="4">
          <reference field="0" count="1" selected="0">
            <x v="84"/>
          </reference>
          <reference field="1" count="1" selected="0">
            <x v="71"/>
          </reference>
          <reference field="2" count="1" selected="0">
            <x v="192"/>
          </reference>
          <reference field="3" count="1">
            <x v="0"/>
          </reference>
        </references>
      </pivotArea>
    </format>
    <format dxfId="2003">
      <pivotArea dataOnly="0" labelOnly="1" fieldPosition="0">
        <references count="4">
          <reference field="0" count="1" selected="0">
            <x v="85"/>
          </reference>
          <reference field="1" count="1" selected="0">
            <x v="72"/>
          </reference>
          <reference field="2" count="1" selected="0">
            <x v="87"/>
          </reference>
          <reference field="3" count="1">
            <x v="0"/>
          </reference>
        </references>
      </pivotArea>
    </format>
    <format dxfId="2002">
      <pivotArea dataOnly="0" labelOnly="1" fieldPosition="0">
        <references count="4">
          <reference field="0" count="1" selected="0">
            <x v="86"/>
          </reference>
          <reference field="1" count="1" selected="0">
            <x v="73"/>
          </reference>
          <reference field="2" count="1" selected="0">
            <x v="154"/>
          </reference>
          <reference field="3" count="1">
            <x v="0"/>
          </reference>
        </references>
      </pivotArea>
    </format>
    <format dxfId="2001">
      <pivotArea dataOnly="0" labelOnly="1" fieldPosition="0">
        <references count="4">
          <reference field="0" count="1" selected="0">
            <x v="87"/>
          </reference>
          <reference field="1" count="1" selected="0">
            <x v="74"/>
          </reference>
          <reference field="2" count="1" selected="0">
            <x v="208"/>
          </reference>
          <reference field="3" count="1">
            <x v="0"/>
          </reference>
        </references>
      </pivotArea>
    </format>
    <format dxfId="2000">
      <pivotArea dataOnly="0" labelOnly="1" fieldPosition="0">
        <references count="4">
          <reference field="0" count="1" selected="0">
            <x v="88"/>
          </reference>
          <reference field="1" count="1" selected="0">
            <x v="75"/>
          </reference>
          <reference field="2" count="1" selected="0">
            <x v="38"/>
          </reference>
          <reference field="3" count="1">
            <x v="0"/>
          </reference>
        </references>
      </pivotArea>
    </format>
    <format dxfId="1999">
      <pivotArea dataOnly="0" labelOnly="1" fieldPosition="0">
        <references count="4">
          <reference field="0" count="1" selected="0">
            <x v="89"/>
          </reference>
          <reference field="1" count="1" selected="0">
            <x v="76"/>
          </reference>
          <reference field="2" count="1" selected="0">
            <x v="232"/>
          </reference>
          <reference field="3" count="1">
            <x v="0"/>
          </reference>
        </references>
      </pivotArea>
    </format>
    <format dxfId="1998">
      <pivotArea dataOnly="0" labelOnly="1" fieldPosition="0">
        <references count="4">
          <reference field="0" count="1" selected="0">
            <x v="90"/>
          </reference>
          <reference field="1" count="1" selected="0">
            <x v="77"/>
          </reference>
          <reference field="2" count="1" selected="0">
            <x v="43"/>
          </reference>
          <reference field="3" count="1">
            <x v="0"/>
          </reference>
        </references>
      </pivotArea>
    </format>
    <format dxfId="1997">
      <pivotArea dataOnly="0" labelOnly="1" fieldPosition="0">
        <references count="4">
          <reference field="0" count="1" selected="0">
            <x v="91"/>
          </reference>
          <reference field="1" count="1" selected="0">
            <x v="78"/>
          </reference>
          <reference field="2" count="1" selected="0">
            <x v="12"/>
          </reference>
          <reference field="3" count="1">
            <x v="0"/>
          </reference>
        </references>
      </pivotArea>
    </format>
    <format dxfId="1996">
      <pivotArea dataOnly="0" labelOnly="1" fieldPosition="0">
        <references count="4">
          <reference field="0" count="1" selected="0">
            <x v="93"/>
          </reference>
          <reference field="1" count="1" selected="0">
            <x v="80"/>
          </reference>
          <reference field="2" count="1" selected="0">
            <x v="180"/>
          </reference>
          <reference field="3" count="1">
            <x v="0"/>
          </reference>
        </references>
      </pivotArea>
    </format>
    <format dxfId="1995">
      <pivotArea dataOnly="0" labelOnly="1" fieldPosition="0">
        <references count="4">
          <reference field="0" count="1" selected="0">
            <x v="94"/>
          </reference>
          <reference field="1" count="1" selected="0">
            <x v="81"/>
          </reference>
          <reference field="2" count="1" selected="0">
            <x v="60"/>
          </reference>
          <reference field="3" count="1">
            <x v="0"/>
          </reference>
        </references>
      </pivotArea>
    </format>
    <format dxfId="1994">
      <pivotArea dataOnly="0" labelOnly="1" fieldPosition="0">
        <references count="4">
          <reference field="0" count="1" selected="0">
            <x v="95"/>
          </reference>
          <reference field="1" count="1" selected="0">
            <x v="82"/>
          </reference>
          <reference field="2" count="1" selected="0">
            <x v="5"/>
          </reference>
          <reference field="3" count="1">
            <x v="0"/>
          </reference>
        </references>
      </pivotArea>
    </format>
    <format dxfId="1993">
      <pivotArea dataOnly="0" labelOnly="1" fieldPosition="0">
        <references count="4">
          <reference field="0" count="1" selected="0">
            <x v="96"/>
          </reference>
          <reference field="1" count="1" selected="0">
            <x v="83"/>
          </reference>
          <reference field="2" count="1" selected="0">
            <x v="173"/>
          </reference>
          <reference field="3" count="1">
            <x v="0"/>
          </reference>
        </references>
      </pivotArea>
    </format>
    <format dxfId="1992">
      <pivotArea dataOnly="0" labelOnly="1" fieldPosition="0">
        <references count="4">
          <reference field="0" count="1" selected="0">
            <x v="97"/>
          </reference>
          <reference field="1" count="1" selected="0">
            <x v="84"/>
          </reference>
          <reference field="2" count="1" selected="0">
            <x v="6"/>
          </reference>
          <reference field="3" count="1">
            <x v="0"/>
          </reference>
        </references>
      </pivotArea>
    </format>
    <format dxfId="1991">
      <pivotArea dataOnly="0" labelOnly="1" fieldPosition="0">
        <references count="4">
          <reference field="0" count="1" selected="0">
            <x v="98"/>
          </reference>
          <reference field="1" count="1" selected="0">
            <x v="85"/>
          </reference>
          <reference field="2" count="1" selected="0">
            <x v="214"/>
          </reference>
          <reference field="3" count="1">
            <x v="0"/>
          </reference>
        </references>
      </pivotArea>
    </format>
    <format dxfId="1990">
      <pivotArea dataOnly="0" labelOnly="1" fieldPosition="0">
        <references count="4">
          <reference field="0" count="1" selected="0">
            <x v="99"/>
          </reference>
          <reference field="1" count="1" selected="0">
            <x v="86"/>
          </reference>
          <reference field="2" count="1" selected="0">
            <x v="66"/>
          </reference>
          <reference field="3" count="1">
            <x v="0"/>
          </reference>
        </references>
      </pivotArea>
    </format>
    <format dxfId="1989">
      <pivotArea dataOnly="0" labelOnly="1" fieldPosition="0">
        <references count="4">
          <reference field="0" count="1" selected="0">
            <x v="100"/>
          </reference>
          <reference field="1" count="1" selected="0">
            <x v="87"/>
          </reference>
          <reference field="2" count="1" selected="0">
            <x v="75"/>
          </reference>
          <reference field="3" count="1">
            <x v="0"/>
          </reference>
        </references>
      </pivotArea>
    </format>
    <format dxfId="1988">
      <pivotArea dataOnly="0" labelOnly="1" fieldPosition="0">
        <references count="4">
          <reference field="0" count="1" selected="0">
            <x v="101"/>
          </reference>
          <reference field="1" count="1" selected="0">
            <x v="88"/>
          </reference>
          <reference field="2" count="1" selected="0">
            <x v="29"/>
          </reference>
          <reference field="3" count="1">
            <x v="0"/>
          </reference>
        </references>
      </pivotArea>
    </format>
    <format dxfId="1987">
      <pivotArea dataOnly="0" labelOnly="1" fieldPosition="0">
        <references count="4">
          <reference field="0" count="1" selected="0">
            <x v="102"/>
          </reference>
          <reference field="1" count="1" selected="0">
            <x v="89"/>
          </reference>
          <reference field="2" count="1" selected="0">
            <x v="14"/>
          </reference>
          <reference field="3" count="1">
            <x v="0"/>
          </reference>
        </references>
      </pivotArea>
    </format>
    <format dxfId="1986">
      <pivotArea dataOnly="0" labelOnly="1" fieldPosition="0">
        <references count="4">
          <reference field="0" count="1" selected="0">
            <x v="103"/>
          </reference>
          <reference field="1" count="1" selected="0">
            <x v="90"/>
          </reference>
          <reference field="2" count="1" selected="0">
            <x v="73"/>
          </reference>
          <reference field="3" count="1">
            <x v="0"/>
          </reference>
        </references>
      </pivotArea>
    </format>
    <format dxfId="1985">
      <pivotArea dataOnly="0" labelOnly="1" fieldPosition="0">
        <references count="4">
          <reference field="0" count="1" selected="0">
            <x v="104"/>
          </reference>
          <reference field="1" count="1" selected="0">
            <x v="91"/>
          </reference>
          <reference field="2" count="1" selected="0">
            <x v="68"/>
          </reference>
          <reference field="3" count="1">
            <x v="0"/>
          </reference>
        </references>
      </pivotArea>
    </format>
    <format dxfId="1984">
      <pivotArea dataOnly="0" labelOnly="1" fieldPosition="0">
        <references count="4">
          <reference field="0" count="1" selected="0">
            <x v="105"/>
          </reference>
          <reference field="1" count="1" selected="0">
            <x v="92"/>
          </reference>
          <reference field="2" count="1" selected="0">
            <x v="134"/>
          </reference>
          <reference field="3" count="1">
            <x v="0"/>
          </reference>
        </references>
      </pivotArea>
    </format>
    <format dxfId="1983">
      <pivotArea dataOnly="0" labelOnly="1" fieldPosition="0">
        <references count="4">
          <reference field="0" count="1" selected="0">
            <x v="106"/>
          </reference>
          <reference field="1" count="1" selected="0">
            <x v="93"/>
          </reference>
          <reference field="2" count="1" selected="0">
            <x v="76"/>
          </reference>
          <reference field="3" count="1">
            <x v="0"/>
          </reference>
        </references>
      </pivotArea>
    </format>
    <format dxfId="1982">
      <pivotArea dataOnly="0" labelOnly="1" fieldPosition="0">
        <references count="4">
          <reference field="0" count="1" selected="0">
            <x v="107"/>
          </reference>
          <reference field="1" count="1" selected="0">
            <x v="94"/>
          </reference>
          <reference field="2" count="1" selected="0">
            <x v="190"/>
          </reference>
          <reference field="3" count="1">
            <x v="0"/>
          </reference>
        </references>
      </pivotArea>
    </format>
    <format dxfId="1981">
      <pivotArea dataOnly="0" labelOnly="1" fieldPosition="0">
        <references count="4">
          <reference field="0" count="1" selected="0">
            <x v="108"/>
          </reference>
          <reference field="1" count="1" selected="0">
            <x v="95"/>
          </reference>
          <reference field="2" count="1" selected="0">
            <x v="236"/>
          </reference>
          <reference field="3" count="1">
            <x v="0"/>
          </reference>
        </references>
      </pivotArea>
    </format>
    <format dxfId="1980">
      <pivotArea dataOnly="0" labelOnly="1" fieldPosition="0">
        <references count="4">
          <reference field="0" count="1" selected="0">
            <x v="110"/>
          </reference>
          <reference field="1" count="1" selected="0">
            <x v="97"/>
          </reference>
          <reference field="2" count="1" selected="0">
            <x v="123"/>
          </reference>
          <reference field="3" count="1">
            <x v="0"/>
          </reference>
        </references>
      </pivotArea>
    </format>
    <format dxfId="1979">
      <pivotArea dataOnly="0" labelOnly="1" fieldPosition="0">
        <references count="4">
          <reference field="0" count="1" selected="0">
            <x v="111"/>
          </reference>
          <reference field="1" count="1" selected="0">
            <x v="98"/>
          </reference>
          <reference field="2" count="1" selected="0">
            <x v="83"/>
          </reference>
          <reference field="3" count="1">
            <x v="0"/>
          </reference>
        </references>
      </pivotArea>
    </format>
    <format dxfId="1978">
      <pivotArea dataOnly="0" labelOnly="1" fieldPosition="0">
        <references count="4">
          <reference field="0" count="1" selected="0">
            <x v="113"/>
          </reference>
          <reference field="1" count="1" selected="0">
            <x v="100"/>
          </reference>
          <reference field="2" count="1" selected="0">
            <x v="124"/>
          </reference>
          <reference field="3" count="1">
            <x v="0"/>
          </reference>
        </references>
      </pivotArea>
    </format>
    <format dxfId="1977">
      <pivotArea dataOnly="0" labelOnly="1" fieldPosition="0">
        <references count="4">
          <reference field="0" count="1" selected="0">
            <x v="121"/>
          </reference>
          <reference field="1" count="1" selected="0">
            <x v="108"/>
          </reference>
          <reference field="2" count="1" selected="0">
            <x v="207"/>
          </reference>
          <reference field="3" count="1">
            <x v="0"/>
          </reference>
        </references>
      </pivotArea>
    </format>
    <format dxfId="1976">
      <pivotArea dataOnly="0" labelOnly="1" fieldPosition="0">
        <references count="4">
          <reference field="0" count="1" selected="0">
            <x v="122"/>
          </reference>
          <reference field="1" count="1" selected="0">
            <x v="109"/>
          </reference>
          <reference field="2" count="1" selected="0">
            <x v="35"/>
          </reference>
          <reference field="3" count="1">
            <x v="0"/>
          </reference>
        </references>
      </pivotArea>
    </format>
    <format dxfId="1975">
      <pivotArea dataOnly="0" labelOnly="1" fieldPosition="0">
        <references count="4">
          <reference field="0" count="1" selected="0">
            <x v="123"/>
          </reference>
          <reference field="1" count="1" selected="0">
            <x v="110"/>
          </reference>
          <reference field="2" count="1" selected="0">
            <x v="176"/>
          </reference>
          <reference field="3" count="1">
            <x v="0"/>
          </reference>
        </references>
      </pivotArea>
    </format>
    <format dxfId="1974">
      <pivotArea dataOnly="0" labelOnly="1" fieldPosition="0">
        <references count="4">
          <reference field="0" count="1" selected="0">
            <x v="124"/>
          </reference>
          <reference field="1" count="1" selected="0">
            <x v="111"/>
          </reference>
          <reference field="2" count="1" selected="0">
            <x v="218"/>
          </reference>
          <reference field="3" count="1">
            <x v="0"/>
          </reference>
        </references>
      </pivotArea>
    </format>
    <format dxfId="1973">
      <pivotArea dataOnly="0" labelOnly="1" fieldPosition="0">
        <references count="4">
          <reference field="0" count="1" selected="0">
            <x v="125"/>
          </reference>
          <reference field="1" count="1" selected="0">
            <x v="112"/>
          </reference>
          <reference field="2" count="1" selected="0">
            <x v="197"/>
          </reference>
          <reference field="3" count="1">
            <x v="0"/>
          </reference>
        </references>
      </pivotArea>
    </format>
    <format dxfId="1972">
      <pivotArea dataOnly="0" labelOnly="1" fieldPosition="0">
        <references count="4">
          <reference field="0" count="1" selected="0">
            <x v="126"/>
          </reference>
          <reference field="1" count="1" selected="0">
            <x v="113"/>
          </reference>
          <reference field="2" count="1" selected="0">
            <x v="191"/>
          </reference>
          <reference field="3" count="1">
            <x v="0"/>
          </reference>
        </references>
      </pivotArea>
    </format>
    <format dxfId="1971">
      <pivotArea dataOnly="0" labelOnly="1" fieldPosition="0">
        <references count="4">
          <reference field="0" count="1" selected="0">
            <x v="127"/>
          </reference>
          <reference field="1" count="1" selected="0">
            <x v="114"/>
          </reference>
          <reference field="2" count="1" selected="0">
            <x v="174"/>
          </reference>
          <reference field="3" count="1">
            <x v="0"/>
          </reference>
        </references>
      </pivotArea>
    </format>
    <format dxfId="1970">
      <pivotArea dataOnly="0" labelOnly="1" fieldPosition="0">
        <references count="4">
          <reference field="0" count="1" selected="0">
            <x v="128"/>
          </reference>
          <reference field="1" count="1" selected="0">
            <x v="115"/>
          </reference>
          <reference field="2" count="1" selected="0">
            <x v="59"/>
          </reference>
          <reference field="3" count="1">
            <x v="0"/>
          </reference>
        </references>
      </pivotArea>
    </format>
    <format dxfId="1969">
      <pivotArea dataOnly="0" labelOnly="1" fieldPosition="0">
        <references count="4">
          <reference field="0" count="1" selected="0">
            <x v="129"/>
          </reference>
          <reference field="1" count="1" selected="0">
            <x v="116"/>
          </reference>
          <reference field="2" count="1" selected="0">
            <x v="212"/>
          </reference>
          <reference field="3" count="1">
            <x v="0"/>
          </reference>
        </references>
      </pivotArea>
    </format>
    <format dxfId="1968">
      <pivotArea dataOnly="0" labelOnly="1" fieldPosition="0">
        <references count="4">
          <reference field="0" count="1" selected="0">
            <x v="130"/>
          </reference>
          <reference field="1" count="1" selected="0">
            <x v="117"/>
          </reference>
          <reference field="2" count="1" selected="0">
            <x v="118"/>
          </reference>
          <reference field="3" count="1">
            <x v="0"/>
          </reference>
        </references>
      </pivotArea>
    </format>
    <format dxfId="1967">
      <pivotArea dataOnly="0" labelOnly="1" fieldPosition="0">
        <references count="4">
          <reference field="0" count="1" selected="0">
            <x v="134"/>
          </reference>
          <reference field="1" count="1" selected="0">
            <x v="127"/>
          </reference>
          <reference field="2" count="1" selected="0">
            <x v="2"/>
          </reference>
          <reference field="3" count="1">
            <x v="0"/>
          </reference>
        </references>
      </pivotArea>
    </format>
    <format dxfId="1966">
      <pivotArea dataOnly="0" labelOnly="1" fieldPosition="0">
        <references count="4">
          <reference field="0" count="1" selected="0">
            <x v="135"/>
          </reference>
          <reference field="1" count="1" selected="0">
            <x v="128"/>
          </reference>
          <reference field="2" count="1" selected="0">
            <x v="151"/>
          </reference>
          <reference field="3" count="1">
            <x v="0"/>
          </reference>
        </references>
      </pivotArea>
    </format>
    <format dxfId="1965">
      <pivotArea dataOnly="0" labelOnly="1" fieldPosition="0">
        <references count="4">
          <reference field="0" count="1" selected="0">
            <x v="136"/>
          </reference>
          <reference field="1" count="1" selected="0">
            <x v="129"/>
          </reference>
          <reference field="2" count="1" selected="0">
            <x v="219"/>
          </reference>
          <reference field="3" count="1">
            <x v="0"/>
          </reference>
        </references>
      </pivotArea>
    </format>
    <format dxfId="1964">
      <pivotArea dataOnly="0" labelOnly="1" fieldPosition="0">
        <references count="4">
          <reference field="0" count="1" selected="0">
            <x v="144"/>
          </reference>
          <reference field="1" count="1" selected="0">
            <x v="137"/>
          </reference>
          <reference field="2" count="1" selected="0">
            <x v="79"/>
          </reference>
          <reference field="3" count="1">
            <x v="0"/>
          </reference>
        </references>
      </pivotArea>
    </format>
    <format dxfId="1963">
      <pivotArea dataOnly="0" labelOnly="1" fieldPosition="0">
        <references count="4">
          <reference field="0" count="1" selected="0">
            <x v="146"/>
          </reference>
          <reference field="1" count="1" selected="0">
            <x v="139"/>
          </reference>
          <reference field="2" count="1" selected="0">
            <x v="30"/>
          </reference>
          <reference field="3" count="1">
            <x v="0"/>
          </reference>
        </references>
      </pivotArea>
    </format>
    <format dxfId="1962">
      <pivotArea dataOnly="0" labelOnly="1" fieldPosition="0">
        <references count="4">
          <reference field="0" count="1" selected="0">
            <x v="147"/>
          </reference>
          <reference field="1" count="1" selected="0">
            <x v="140"/>
          </reference>
          <reference field="2" count="1" selected="0">
            <x v="211"/>
          </reference>
          <reference field="3" count="1">
            <x v="0"/>
          </reference>
        </references>
      </pivotArea>
    </format>
    <format dxfId="1961">
      <pivotArea dataOnly="0" labelOnly="1" fieldPosition="0">
        <references count="4">
          <reference field="0" count="1" selected="0">
            <x v="148"/>
          </reference>
          <reference field="1" count="1" selected="0">
            <x v="141"/>
          </reference>
          <reference field="2" count="1" selected="0">
            <x v="95"/>
          </reference>
          <reference field="3" count="1">
            <x v="0"/>
          </reference>
        </references>
      </pivotArea>
    </format>
    <format dxfId="1960">
      <pivotArea dataOnly="0" labelOnly="1" fieldPosition="0">
        <references count="4">
          <reference field="0" count="1" selected="0">
            <x v="149"/>
          </reference>
          <reference field="1" count="1" selected="0">
            <x v="142"/>
          </reference>
          <reference field="2" count="1" selected="0">
            <x v="165"/>
          </reference>
          <reference field="3" count="1">
            <x v="0"/>
          </reference>
        </references>
      </pivotArea>
    </format>
    <format dxfId="1959">
      <pivotArea dataOnly="0" labelOnly="1" fieldPosition="0">
        <references count="4">
          <reference field="0" count="1" selected="0">
            <x v="150"/>
          </reference>
          <reference field="1" count="1" selected="0">
            <x v="143"/>
          </reference>
          <reference field="2" count="1" selected="0">
            <x v="166"/>
          </reference>
          <reference field="3" count="1">
            <x v="0"/>
          </reference>
        </references>
      </pivotArea>
    </format>
    <format dxfId="1958">
      <pivotArea dataOnly="0" labelOnly="1" fieldPosition="0">
        <references count="4">
          <reference field="0" count="1" selected="0">
            <x v="151"/>
          </reference>
          <reference field="1" count="1" selected="0">
            <x v="144"/>
          </reference>
          <reference field="2" count="1" selected="0">
            <x v="85"/>
          </reference>
          <reference field="3" count="1">
            <x v="0"/>
          </reference>
        </references>
      </pivotArea>
    </format>
    <format dxfId="1957">
      <pivotArea dataOnly="0" labelOnly="1" fieldPosition="0">
        <references count="4">
          <reference field="0" count="1" selected="0">
            <x v="152"/>
          </reference>
          <reference field="1" count="1" selected="0">
            <x v="145"/>
          </reference>
          <reference field="2" count="1" selected="0">
            <x v="86"/>
          </reference>
          <reference field="3" count="1">
            <x v="0"/>
          </reference>
        </references>
      </pivotArea>
    </format>
    <format dxfId="1956">
      <pivotArea dataOnly="0" labelOnly="1" fieldPosition="0">
        <references count="4">
          <reference field="0" count="1" selected="0">
            <x v="153"/>
          </reference>
          <reference field="1" count="1" selected="0">
            <x v="146"/>
          </reference>
          <reference field="2" count="1" selected="0">
            <x v="54"/>
          </reference>
          <reference field="3" count="1">
            <x v="0"/>
          </reference>
        </references>
      </pivotArea>
    </format>
    <format dxfId="1955">
      <pivotArea dataOnly="0" labelOnly="1" fieldPosition="0">
        <references count="4">
          <reference field="0" count="1" selected="0">
            <x v="154"/>
          </reference>
          <reference field="1" count="1" selected="0">
            <x v="147"/>
          </reference>
          <reference field="2" count="1" selected="0">
            <x v="109"/>
          </reference>
          <reference field="3" count="1">
            <x v="0"/>
          </reference>
        </references>
      </pivotArea>
    </format>
    <format dxfId="1954">
      <pivotArea dataOnly="0" labelOnly="1" fieldPosition="0">
        <references count="4">
          <reference field="0" count="1" selected="0">
            <x v="155"/>
          </reference>
          <reference field="1" count="1" selected="0">
            <x v="148"/>
          </reference>
          <reference field="2" count="1" selected="0">
            <x v="3"/>
          </reference>
          <reference field="3" count="1">
            <x v="0"/>
          </reference>
        </references>
      </pivotArea>
    </format>
    <format dxfId="1953">
      <pivotArea dataOnly="0" labelOnly="1" fieldPosition="0">
        <references count="4">
          <reference field="0" count="1" selected="0">
            <x v="159"/>
          </reference>
          <reference field="1" count="1" selected="0">
            <x v="183"/>
          </reference>
          <reference field="2" count="1" selected="0">
            <x v="122"/>
          </reference>
          <reference field="3" count="1">
            <x v="0"/>
          </reference>
        </references>
      </pivotArea>
    </format>
    <format dxfId="1952">
      <pivotArea dataOnly="0" labelOnly="1" fieldPosition="0">
        <references count="4">
          <reference field="0" count="1" selected="0">
            <x v="160"/>
          </reference>
          <reference field="1" count="1" selected="0">
            <x v="184"/>
          </reference>
          <reference field="2" count="1" selected="0">
            <x v="187"/>
          </reference>
          <reference field="3" count="1">
            <x v="0"/>
          </reference>
        </references>
      </pivotArea>
    </format>
    <format dxfId="1951">
      <pivotArea dataOnly="0" labelOnly="1" fieldPosition="0">
        <references count="4">
          <reference field="0" count="1" selected="0">
            <x v="161"/>
          </reference>
          <reference field="1" count="1" selected="0">
            <x v="185"/>
          </reference>
          <reference field="2" count="1" selected="0">
            <x v="186"/>
          </reference>
          <reference field="3" count="1">
            <x v="0"/>
          </reference>
        </references>
      </pivotArea>
    </format>
    <format dxfId="1950">
      <pivotArea dataOnly="0" labelOnly="1" fieldPosition="0">
        <references count="4">
          <reference field="0" count="1" selected="0">
            <x v="162"/>
          </reference>
          <reference field="1" count="1" selected="0">
            <x v="186"/>
          </reference>
          <reference field="2" count="1" selected="0">
            <x v="125"/>
          </reference>
          <reference field="3" count="1">
            <x v="0"/>
          </reference>
        </references>
      </pivotArea>
    </format>
    <format dxfId="1949">
      <pivotArea dataOnly="0" labelOnly="1" fieldPosition="0">
        <references count="4">
          <reference field="0" count="1" selected="0">
            <x v="164"/>
          </reference>
          <reference field="1" count="1" selected="0">
            <x v="188"/>
          </reference>
          <reference field="2" count="1" selected="0">
            <x v="119"/>
          </reference>
          <reference field="3" count="1">
            <x v="0"/>
          </reference>
        </references>
      </pivotArea>
    </format>
    <format dxfId="1948">
      <pivotArea dataOnly="0" labelOnly="1" fieldPosition="0">
        <references count="4">
          <reference field="0" count="1" selected="0">
            <x v="165"/>
          </reference>
          <reference field="1" count="1" selected="0">
            <x v="189"/>
          </reference>
          <reference field="2" count="1" selected="0">
            <x v="156"/>
          </reference>
          <reference field="3" count="1">
            <x v="0"/>
          </reference>
        </references>
      </pivotArea>
    </format>
    <format dxfId="1947">
      <pivotArea dataOnly="0" labelOnly="1" fieldPosition="0">
        <references count="4">
          <reference field="0" count="1" selected="0">
            <x v="166"/>
          </reference>
          <reference field="1" count="1" selected="0">
            <x v="190"/>
          </reference>
          <reference field="2" count="1" selected="0">
            <x v="213"/>
          </reference>
          <reference field="3" count="1">
            <x v="0"/>
          </reference>
        </references>
      </pivotArea>
    </format>
    <format dxfId="1946">
      <pivotArea dataOnly="0" labelOnly="1" fieldPosition="0">
        <references count="4">
          <reference field="0" count="1" selected="0">
            <x v="167"/>
          </reference>
          <reference field="1" count="1" selected="0">
            <x v="199"/>
          </reference>
          <reference field="2" count="1" selected="0">
            <x v="56"/>
          </reference>
          <reference field="3" count="1">
            <x v="0"/>
          </reference>
        </references>
      </pivotArea>
    </format>
    <format dxfId="1945">
      <pivotArea dataOnly="0" labelOnly="1" fieldPosition="0">
        <references count="4">
          <reference field="0" count="1" selected="0">
            <x v="168"/>
          </reference>
          <reference field="1" count="1" selected="0">
            <x v="200"/>
          </reference>
          <reference field="2" count="1" selected="0">
            <x v="9"/>
          </reference>
          <reference field="3" count="1">
            <x v="0"/>
          </reference>
        </references>
      </pivotArea>
    </format>
    <format dxfId="1944">
      <pivotArea dataOnly="0" labelOnly="1" fieldPosition="0">
        <references count="4">
          <reference field="0" count="1" selected="0">
            <x v="171"/>
          </reference>
          <reference field="1" count="1" selected="0">
            <x v="203"/>
          </reference>
          <reference field="2" count="1" selected="0">
            <x v="10"/>
          </reference>
          <reference field="3" count="1">
            <x v="0"/>
          </reference>
        </references>
      </pivotArea>
    </format>
    <format dxfId="1943">
      <pivotArea dataOnly="0" labelOnly="1" fieldPosition="0">
        <references count="4">
          <reference field="0" count="1" selected="0">
            <x v="172"/>
          </reference>
          <reference field="1" count="1" selected="0">
            <x v="204"/>
          </reference>
          <reference field="2" count="1" selected="0">
            <x v="216"/>
          </reference>
          <reference field="3" count="1">
            <x v="0"/>
          </reference>
        </references>
      </pivotArea>
    </format>
    <format dxfId="1942">
      <pivotArea dataOnly="0" labelOnly="1" fieldPosition="0">
        <references count="4">
          <reference field="0" count="1" selected="0">
            <x v="173"/>
          </reference>
          <reference field="1" count="1" selected="0">
            <x v="205"/>
          </reference>
          <reference field="2" count="1" selected="0">
            <x v="94"/>
          </reference>
          <reference field="3" count="1">
            <x v="0"/>
          </reference>
        </references>
      </pivotArea>
    </format>
    <format dxfId="1941">
      <pivotArea dataOnly="0" labelOnly="1" fieldPosition="0">
        <references count="4">
          <reference field="0" count="1" selected="0">
            <x v="175"/>
          </reference>
          <reference field="1" count="1" selected="0">
            <x v="207"/>
          </reference>
          <reference field="2" count="1" selected="0">
            <x v="172"/>
          </reference>
          <reference field="3" count="1">
            <x v="0"/>
          </reference>
        </references>
      </pivotArea>
    </format>
    <format dxfId="1940">
      <pivotArea dataOnly="0" labelOnly="1" fieldPosition="0">
        <references count="4">
          <reference field="0" count="1" selected="0">
            <x v="176"/>
          </reference>
          <reference field="1" count="1" selected="0">
            <x v="208"/>
          </reference>
          <reference field="2" count="1" selected="0">
            <x v="215"/>
          </reference>
          <reference field="3" count="1">
            <x v="0"/>
          </reference>
        </references>
      </pivotArea>
    </format>
    <format dxfId="1939">
      <pivotArea dataOnly="0" labelOnly="1" fieldPosition="0">
        <references count="4">
          <reference field="0" count="1" selected="0">
            <x v="177"/>
          </reference>
          <reference field="1" count="1" selected="0">
            <x v="209"/>
          </reference>
          <reference field="2" count="1" selected="0">
            <x v="114"/>
          </reference>
          <reference field="3" count="1">
            <x v="0"/>
          </reference>
        </references>
      </pivotArea>
    </format>
    <format dxfId="1938">
      <pivotArea dataOnly="0" labelOnly="1" fieldPosition="0">
        <references count="4">
          <reference field="0" count="1" selected="0">
            <x v="178"/>
          </reference>
          <reference field="1" count="1" selected="0">
            <x v="210"/>
          </reference>
          <reference field="2" count="1" selected="0">
            <x v="11"/>
          </reference>
          <reference field="3" count="1">
            <x v="0"/>
          </reference>
        </references>
      </pivotArea>
    </format>
    <format dxfId="1937">
      <pivotArea dataOnly="0" labelOnly="1" fieldPosition="0">
        <references count="4">
          <reference field="0" count="1" selected="0">
            <x v="179"/>
          </reference>
          <reference field="1" count="1" selected="0">
            <x v="211"/>
          </reference>
          <reference field="2" count="1" selected="0">
            <x v="96"/>
          </reference>
          <reference field="3" count="1">
            <x v="0"/>
          </reference>
        </references>
      </pivotArea>
    </format>
    <format dxfId="1936">
      <pivotArea dataOnly="0" labelOnly="1" fieldPosition="0">
        <references count="4">
          <reference field="0" count="1" selected="0">
            <x v="180"/>
          </reference>
          <reference field="1" count="1" selected="0">
            <x v="212"/>
          </reference>
          <reference field="2" count="1" selected="0">
            <x v="97"/>
          </reference>
          <reference field="3" count="1">
            <x v="0"/>
          </reference>
        </references>
      </pivotArea>
    </format>
    <format dxfId="1935">
      <pivotArea dataOnly="0" labelOnly="1" fieldPosition="0">
        <references count="4">
          <reference field="0" count="1" selected="0">
            <x v="181"/>
          </reference>
          <reference field="1" count="1" selected="0">
            <x v="213"/>
          </reference>
          <reference field="2" count="1" selected="0">
            <x v="234"/>
          </reference>
          <reference field="3" count="1">
            <x v="0"/>
          </reference>
        </references>
      </pivotArea>
    </format>
    <format dxfId="1934">
      <pivotArea dataOnly="0" labelOnly="1" fieldPosition="0">
        <references count="4">
          <reference field="0" count="1" selected="0">
            <x v="182"/>
          </reference>
          <reference field="1" count="1" selected="0">
            <x v="214"/>
          </reference>
          <reference field="2" count="1" selected="0">
            <x v="235"/>
          </reference>
          <reference field="3" count="1">
            <x v="0"/>
          </reference>
        </references>
      </pivotArea>
    </format>
    <format dxfId="1933">
      <pivotArea dataOnly="0" labelOnly="1" fieldPosition="0">
        <references count="4">
          <reference field="0" count="1" selected="0">
            <x v="183"/>
          </reference>
          <reference field="1" count="1" selected="0">
            <x v="215"/>
          </reference>
          <reference field="2" count="1" selected="0">
            <x v="206"/>
          </reference>
          <reference field="3" count="1">
            <x v="0"/>
          </reference>
        </references>
      </pivotArea>
    </format>
    <format dxfId="1932">
      <pivotArea dataOnly="0" labelOnly="1" fieldPosition="0">
        <references count="4">
          <reference field="0" count="1" selected="0">
            <x v="184"/>
          </reference>
          <reference field="1" count="1" selected="0">
            <x v="216"/>
          </reference>
          <reference field="2" count="1" selected="0">
            <x v="111"/>
          </reference>
          <reference field="3" count="1">
            <x v="0"/>
          </reference>
        </references>
      </pivotArea>
    </format>
    <format dxfId="1931">
      <pivotArea dataOnly="0" labelOnly="1" fieldPosition="0">
        <references count="4">
          <reference field="0" count="1" selected="0">
            <x v="185"/>
          </reference>
          <reference field="1" count="1" selected="0">
            <x v="217"/>
          </reference>
          <reference field="2" count="1" selected="0">
            <x v="113"/>
          </reference>
          <reference field="3" count="1">
            <x v="0"/>
          </reference>
        </references>
      </pivotArea>
    </format>
    <format dxfId="1930">
      <pivotArea dataOnly="0" labelOnly="1" fieldPosition="0">
        <references count="4">
          <reference field="0" count="1" selected="0">
            <x v="186"/>
          </reference>
          <reference field="1" count="1" selected="0">
            <x v="218"/>
          </reference>
          <reference field="2" count="1" selected="0">
            <x v="93"/>
          </reference>
          <reference field="3" count="1">
            <x v="0"/>
          </reference>
        </references>
      </pivotArea>
    </format>
    <format dxfId="1929">
      <pivotArea dataOnly="0" labelOnly="1" fieldPosition="0">
        <references count="4">
          <reference field="0" count="1" selected="0">
            <x v="187"/>
          </reference>
          <reference field="1" count="1" selected="0">
            <x v="219"/>
          </reference>
          <reference field="2" count="1" selected="0">
            <x v="104"/>
          </reference>
          <reference field="3" count="1">
            <x v="0"/>
          </reference>
        </references>
      </pivotArea>
    </format>
    <format dxfId="1928">
      <pivotArea dataOnly="0" labelOnly="1" fieldPosition="0">
        <references count="4">
          <reference field="0" count="1" selected="0">
            <x v="188"/>
          </reference>
          <reference field="1" count="1" selected="0">
            <x v="220"/>
          </reference>
          <reference field="2" count="1" selected="0">
            <x v="196"/>
          </reference>
          <reference field="3" count="1">
            <x v="0"/>
          </reference>
        </references>
      </pivotArea>
    </format>
    <format dxfId="1927">
      <pivotArea dataOnly="0" labelOnly="1" fieldPosition="0">
        <references count="4">
          <reference field="0" count="1" selected="0">
            <x v="189"/>
          </reference>
          <reference field="1" count="1" selected="0">
            <x v="221"/>
          </reference>
          <reference field="2" count="1" selected="0">
            <x v="182"/>
          </reference>
          <reference field="3" count="1">
            <x v="0"/>
          </reference>
        </references>
      </pivotArea>
    </format>
    <format dxfId="1926">
      <pivotArea dataOnly="0" labelOnly="1" fieldPosition="0">
        <references count="4">
          <reference field="0" count="1" selected="0">
            <x v="192"/>
          </reference>
          <reference field="1" count="1" selected="0">
            <x v="224"/>
          </reference>
          <reference field="2" count="1" selected="0">
            <x v="80"/>
          </reference>
          <reference field="3" count="1">
            <x v="0"/>
          </reference>
        </references>
      </pivotArea>
    </format>
    <format dxfId="1925">
      <pivotArea dataOnly="0" labelOnly="1" fieldPosition="0">
        <references count="4">
          <reference field="0" count="1" selected="0">
            <x v="193"/>
          </reference>
          <reference field="1" count="1" selected="0">
            <x v="225"/>
          </reference>
          <reference field="2" count="1" selected="0">
            <x v="238"/>
          </reference>
          <reference field="3" count="1">
            <x v="0"/>
          </reference>
        </references>
      </pivotArea>
    </format>
    <format dxfId="1924">
      <pivotArea dataOnly="0" labelOnly="1" fieldPosition="0">
        <references count="4">
          <reference field="0" count="1" selected="0">
            <x v="197"/>
          </reference>
          <reference field="1" count="1" selected="0">
            <x v="236"/>
          </reference>
          <reference field="2" count="1" selected="0">
            <x v="102"/>
          </reference>
          <reference field="3" count="1">
            <x v="0"/>
          </reference>
        </references>
      </pivotArea>
    </format>
    <format dxfId="1923">
      <pivotArea dataOnly="0" labelOnly="1" fieldPosition="0">
        <references count="4">
          <reference field="0" count="1" selected="0">
            <x v="199"/>
          </reference>
          <reference field="1" count="1" selected="0">
            <x v="238"/>
          </reference>
          <reference field="2" count="1" selected="0">
            <x v="33"/>
          </reference>
          <reference field="3" count="1">
            <x v="0"/>
          </reference>
        </references>
      </pivotArea>
    </format>
    <format dxfId="1922">
      <pivotArea dataOnly="0" labelOnly="1" fieldPosition="0">
        <references count="4">
          <reference field="0" count="1" selected="0">
            <x v="200"/>
          </reference>
          <reference field="1" count="1" selected="0">
            <x v="239"/>
          </reference>
          <reference field="2" count="1" selected="0">
            <x v="34"/>
          </reference>
          <reference field="3" count="1">
            <x v="0"/>
          </reference>
        </references>
      </pivotArea>
    </format>
    <format dxfId="1921">
      <pivotArea dataOnly="0" labelOnly="1" fieldPosition="0">
        <references count="4">
          <reference field="0" count="1" selected="0">
            <x v="201"/>
          </reference>
          <reference field="1" count="1" selected="0">
            <x v="240"/>
          </reference>
          <reference field="2" count="1" selected="0">
            <x v="37"/>
          </reference>
          <reference field="3" count="1">
            <x v="0"/>
          </reference>
        </references>
      </pivotArea>
    </format>
    <format dxfId="1920">
      <pivotArea dataOnly="0" labelOnly="1" fieldPosition="0">
        <references count="4">
          <reference field="0" count="1" selected="0">
            <x v="204"/>
          </reference>
          <reference field="1" count="1" selected="0">
            <x v="149"/>
          </reference>
          <reference field="2" count="1" selected="0">
            <x v="117"/>
          </reference>
          <reference field="3" count="1">
            <x v="0"/>
          </reference>
        </references>
      </pivotArea>
    </format>
    <format dxfId="1919">
      <pivotArea dataOnly="0" labelOnly="1" fieldPosition="0">
        <references count="4">
          <reference field="0" count="1" selected="0">
            <x v="206"/>
          </reference>
          <reference field="1" count="1" selected="0">
            <x v="151"/>
          </reference>
          <reference field="2" count="1" selected="0">
            <x v="159"/>
          </reference>
          <reference field="3" count="1">
            <x v="0"/>
          </reference>
        </references>
      </pivotArea>
    </format>
    <format dxfId="1918">
      <pivotArea dataOnly="0" labelOnly="1" fieldPosition="0">
        <references count="4">
          <reference field="0" count="1" selected="0">
            <x v="207"/>
          </reference>
          <reference field="1" count="1" selected="0">
            <x v="152"/>
          </reference>
          <reference field="2" count="1" selected="0">
            <x v="81"/>
          </reference>
          <reference field="3" count="1">
            <x v="0"/>
          </reference>
        </references>
      </pivotArea>
    </format>
    <format dxfId="1917">
      <pivotArea dataOnly="0" labelOnly="1" fieldPosition="0">
        <references count="4">
          <reference field="0" count="1" selected="0">
            <x v="208"/>
          </reference>
          <reference field="1" count="1" selected="0">
            <x v="153"/>
          </reference>
          <reference field="2" count="1" selected="0">
            <x v="103"/>
          </reference>
          <reference field="3" count="1">
            <x v="0"/>
          </reference>
        </references>
      </pivotArea>
    </format>
    <format dxfId="1916">
      <pivotArea dataOnly="0" labelOnly="1" fieldPosition="0">
        <references count="4">
          <reference field="0" count="1" selected="0">
            <x v="209"/>
          </reference>
          <reference field="1" count="1" selected="0">
            <x v="154"/>
          </reference>
          <reference field="2" count="1" selected="0">
            <x v="98"/>
          </reference>
          <reference field="3" count="1">
            <x v="0"/>
          </reference>
        </references>
      </pivotArea>
    </format>
    <format dxfId="1915">
      <pivotArea dataOnly="0" labelOnly="1" fieldPosition="0">
        <references count="4">
          <reference field="0" count="1" selected="0">
            <x v="210"/>
          </reference>
          <reference field="1" count="1" selected="0">
            <x v="155"/>
          </reference>
          <reference field="2" count="1" selected="0">
            <x v="162"/>
          </reference>
          <reference field="3" count="1">
            <x v="0"/>
          </reference>
        </references>
      </pivotArea>
    </format>
    <format dxfId="1914">
      <pivotArea dataOnly="0" labelOnly="1" fieldPosition="0">
        <references count="4">
          <reference field="0" count="1" selected="0">
            <x v="211"/>
          </reference>
          <reference field="1" count="1" selected="0">
            <x v="156"/>
          </reference>
          <reference field="2" count="1" selected="0">
            <x v="164"/>
          </reference>
          <reference field="3" count="1">
            <x v="0"/>
          </reference>
        </references>
      </pivotArea>
    </format>
    <format dxfId="1913">
      <pivotArea dataOnly="0" labelOnly="1" fieldPosition="0">
        <references count="4">
          <reference field="0" count="1" selected="0">
            <x v="212"/>
          </reference>
          <reference field="1" count="1" selected="0">
            <x v="157"/>
          </reference>
          <reference field="2" count="1" selected="0">
            <x v="170"/>
          </reference>
          <reference field="3" count="1">
            <x v="0"/>
          </reference>
        </references>
      </pivotArea>
    </format>
    <format dxfId="1912">
      <pivotArea dataOnly="0" labelOnly="1" fieldPosition="0">
        <references count="4">
          <reference field="0" count="1" selected="0">
            <x v="214"/>
          </reference>
          <reference field="1" count="1" selected="0">
            <x v="159"/>
          </reference>
          <reference field="2" count="1" selected="0">
            <x v="139"/>
          </reference>
          <reference field="3" count="1">
            <x v="0"/>
          </reference>
        </references>
      </pivotArea>
    </format>
    <format dxfId="1911">
      <pivotArea dataOnly="0" labelOnly="1" fieldPosition="0">
        <references count="4">
          <reference field="0" count="1" selected="0">
            <x v="215"/>
          </reference>
          <reference field="1" count="1" selected="0">
            <x v="160"/>
          </reference>
          <reference field="2" count="1" selected="0">
            <x v="137"/>
          </reference>
          <reference field="3" count="1">
            <x v="0"/>
          </reference>
        </references>
      </pivotArea>
    </format>
    <format dxfId="1910">
      <pivotArea dataOnly="0" labelOnly="1" fieldPosition="0">
        <references count="4">
          <reference field="0" count="1" selected="0">
            <x v="216"/>
          </reference>
          <reference field="1" count="1" selected="0">
            <x v="161"/>
          </reference>
          <reference field="2" count="1" selected="0">
            <x v="136"/>
          </reference>
          <reference field="3" count="1">
            <x v="0"/>
          </reference>
        </references>
      </pivotArea>
    </format>
    <format dxfId="1909">
      <pivotArea dataOnly="0" labelOnly="1" fieldPosition="0">
        <references count="4">
          <reference field="0" count="1" selected="0">
            <x v="217"/>
          </reference>
          <reference field="1" count="1" selected="0">
            <x v="162"/>
          </reference>
          <reference field="2" count="1" selected="0">
            <x v="13"/>
          </reference>
          <reference field="3" count="1">
            <x v="0"/>
          </reference>
        </references>
      </pivotArea>
    </format>
    <format dxfId="1908">
      <pivotArea dataOnly="0" labelOnly="1" fieldPosition="0">
        <references count="4">
          <reference field="0" count="1" selected="0">
            <x v="218"/>
          </reference>
          <reference field="1" count="1" selected="0">
            <x v="163"/>
          </reference>
          <reference field="2" count="1" selected="0">
            <x v="179"/>
          </reference>
          <reference field="3" count="1">
            <x v="0"/>
          </reference>
        </references>
      </pivotArea>
    </format>
    <format dxfId="1907">
      <pivotArea dataOnly="0" labelOnly="1" fieldPosition="0">
        <references count="4">
          <reference field="0" count="1" selected="0">
            <x v="219"/>
          </reference>
          <reference field="1" count="1" selected="0">
            <x v="164"/>
          </reference>
          <reference field="2" count="1" selected="0">
            <x v="138"/>
          </reference>
          <reference field="3" count="1">
            <x v="0"/>
          </reference>
        </references>
      </pivotArea>
    </format>
    <format dxfId="1906">
      <pivotArea dataOnly="0" labelOnly="1" fieldPosition="0">
        <references count="4">
          <reference field="0" count="1" selected="0">
            <x v="220"/>
          </reference>
          <reference field="1" count="1" selected="0">
            <x v="165"/>
          </reference>
          <reference field="2" count="1" selected="0">
            <x v="142"/>
          </reference>
          <reference field="3" count="1">
            <x v="0"/>
          </reference>
        </references>
      </pivotArea>
    </format>
    <format dxfId="1905">
      <pivotArea dataOnly="0" labelOnly="1" fieldPosition="0">
        <references count="4">
          <reference field="0" count="1" selected="0">
            <x v="221"/>
          </reference>
          <reference field="1" count="1" selected="0">
            <x v="166"/>
          </reference>
          <reference field="2" count="1" selected="0">
            <x v="143"/>
          </reference>
          <reference field="3" count="1">
            <x v="0"/>
          </reference>
        </references>
      </pivotArea>
    </format>
    <format dxfId="1904">
      <pivotArea dataOnly="0" labelOnly="1" fieldPosition="0">
        <references count="4">
          <reference field="0" count="1" selected="0">
            <x v="223"/>
          </reference>
          <reference field="1" count="1" selected="0">
            <x v="168"/>
          </reference>
          <reference field="2" count="1" selected="0">
            <x v="71"/>
          </reference>
          <reference field="3" count="1">
            <x v="0"/>
          </reference>
        </references>
      </pivotArea>
    </format>
    <format dxfId="1903">
      <pivotArea dataOnly="0" labelOnly="1" fieldPosition="0">
        <references count="4">
          <reference field="0" count="1" selected="0">
            <x v="224"/>
          </reference>
          <reference field="1" count="1" selected="0">
            <x v="169"/>
          </reference>
          <reference field="2" count="1" selected="0">
            <x v="121"/>
          </reference>
          <reference field="3" count="1">
            <x v="0"/>
          </reference>
        </references>
      </pivotArea>
    </format>
    <format dxfId="1902">
      <pivotArea dataOnly="0" labelOnly="1" fieldPosition="0">
        <references count="4">
          <reference field="0" count="1" selected="0">
            <x v="225"/>
          </reference>
          <reference field="1" count="1" selected="0">
            <x v="170"/>
          </reference>
          <reference field="2" count="1" selected="0">
            <x v="120"/>
          </reference>
          <reference field="3" count="1">
            <x v="0"/>
          </reference>
        </references>
      </pivotArea>
    </format>
    <format dxfId="1901">
      <pivotArea dataOnly="0" labelOnly="1" fieldPosition="0">
        <references count="4">
          <reference field="0" count="1" selected="0">
            <x v="226"/>
          </reference>
          <reference field="1" count="1" selected="0">
            <x v="171"/>
          </reference>
          <reference field="2" count="1" selected="0">
            <x v="41"/>
          </reference>
          <reference field="3" count="1">
            <x v="0"/>
          </reference>
        </references>
      </pivotArea>
    </format>
    <format dxfId="1900">
      <pivotArea dataOnly="0" labelOnly="1" fieldPosition="0">
        <references count="4">
          <reference field="0" count="1" selected="0">
            <x v="227"/>
          </reference>
          <reference field="1" count="1" selected="0">
            <x v="172"/>
          </reference>
          <reference field="2" count="1" selected="0">
            <x v="42"/>
          </reference>
          <reference field="3" count="1">
            <x v="0"/>
          </reference>
        </references>
      </pivotArea>
    </format>
    <format dxfId="1899">
      <pivotArea dataOnly="0" labelOnly="1" fieldPosition="0">
        <references count="4">
          <reference field="0" count="1" selected="0">
            <x v="228"/>
          </reference>
          <reference field="1" count="1" selected="0">
            <x v="173"/>
          </reference>
          <reference field="2" count="1" selected="0">
            <x v="145"/>
          </reference>
          <reference field="3" count="1">
            <x v="0"/>
          </reference>
        </references>
      </pivotArea>
    </format>
    <format dxfId="1898">
      <pivotArea dataOnly="0" labelOnly="1" fieldPosition="0">
        <references count="4">
          <reference field="0" count="1" selected="0">
            <x v="229"/>
          </reference>
          <reference field="1" count="1" selected="0">
            <x v="174"/>
          </reference>
          <reference field="2" count="1" selected="0">
            <x v="91"/>
          </reference>
          <reference field="3" count="1">
            <x v="0"/>
          </reference>
        </references>
      </pivotArea>
    </format>
    <format dxfId="1897">
      <pivotArea dataOnly="0" labelOnly="1" fieldPosition="0">
        <references count="4">
          <reference field="0" count="1" selected="0">
            <x v="230"/>
          </reference>
          <reference field="1" count="1" selected="0">
            <x v="175"/>
          </reference>
          <reference field="2" count="1" selected="0">
            <x v="160"/>
          </reference>
          <reference field="3" count="1">
            <x v="0"/>
          </reference>
        </references>
      </pivotArea>
    </format>
    <format dxfId="1896">
      <pivotArea dataOnly="0" labelOnly="1" fieldPosition="0">
        <references count="4">
          <reference field="0" count="1" selected="0">
            <x v="231"/>
          </reference>
          <reference field="1" count="1" selected="0">
            <x v="176"/>
          </reference>
          <reference field="2" count="1" selected="0">
            <x v="42"/>
          </reference>
          <reference field="3" count="1">
            <x v="0"/>
          </reference>
        </references>
      </pivotArea>
    </format>
    <format dxfId="1895">
      <pivotArea dataOnly="0" labelOnly="1" fieldPosition="0">
        <references count="4">
          <reference field="0" count="1" selected="0">
            <x v="232"/>
          </reference>
          <reference field="1" count="1" selected="0">
            <x v="177"/>
          </reference>
          <reference field="2" count="1" selected="0">
            <x v="47"/>
          </reference>
          <reference field="3" count="1">
            <x v="0"/>
          </reference>
        </references>
      </pivotArea>
    </format>
    <format dxfId="1894">
      <pivotArea dataOnly="0" labelOnly="1" fieldPosition="0">
        <references count="4">
          <reference field="0" count="1" selected="0">
            <x v="233"/>
          </reference>
          <reference field="1" count="1" selected="0">
            <x v="178"/>
          </reference>
          <reference field="2" count="1" selected="0">
            <x v="32"/>
          </reference>
          <reference field="3" count="1">
            <x v="0"/>
          </reference>
        </references>
      </pivotArea>
    </format>
    <format dxfId="1893">
      <pivotArea dataOnly="0" labelOnly="1" fieldPosition="0">
        <references count="4">
          <reference field="0" count="1" selected="0">
            <x v="234"/>
          </reference>
          <reference field="1" count="1" selected="0">
            <x v="179"/>
          </reference>
          <reference field="2" count="1" selected="0">
            <x v="163"/>
          </reference>
          <reference field="3" count="1">
            <x v="0"/>
          </reference>
        </references>
      </pivotArea>
    </format>
    <format dxfId="1892">
      <pivotArea dataOnly="0" labelOnly="1" fieldPosition="0">
        <references count="4">
          <reference field="0" count="1" selected="0">
            <x v="235"/>
          </reference>
          <reference field="1" count="1" selected="0">
            <x v="191"/>
          </reference>
          <reference field="2" count="1" selected="0">
            <x v="155"/>
          </reference>
          <reference field="3" count="1">
            <x v="0"/>
          </reference>
        </references>
      </pivotArea>
    </format>
    <format dxfId="1891">
      <pivotArea dataOnly="0" labelOnly="1" fieldPosition="0">
        <references count="4">
          <reference field="0" count="1" selected="0">
            <x v="236"/>
          </reference>
          <reference field="1" count="1" selected="0">
            <x v="192"/>
          </reference>
          <reference field="2" count="1" selected="0">
            <x v="27"/>
          </reference>
          <reference field="3" count="1">
            <x v="0"/>
          </reference>
        </references>
      </pivotArea>
    </format>
    <format dxfId="1890">
      <pivotArea dataOnly="0" labelOnly="1" fieldPosition="0">
        <references count="4">
          <reference field="0" count="1" selected="0">
            <x v="237"/>
          </reference>
          <reference field="1" count="1" selected="0">
            <x v="193"/>
          </reference>
          <reference field="2" count="1" selected="0">
            <x v="89"/>
          </reference>
          <reference field="3" count="1">
            <x v="0"/>
          </reference>
        </references>
      </pivotArea>
    </format>
    <format dxfId="1889">
      <pivotArea dataOnly="0" labelOnly="1" fieldPosition="0">
        <references count="4">
          <reference field="0" count="1" selected="0">
            <x v="238"/>
          </reference>
          <reference field="1" count="1" selected="0">
            <x v="194"/>
          </reference>
          <reference field="2" count="1" selected="0">
            <x v="25"/>
          </reference>
          <reference field="3" count="1">
            <x v="0"/>
          </reference>
        </references>
      </pivotArea>
    </format>
    <format dxfId="1888">
      <pivotArea dataOnly="0" labelOnly="1" fieldPosition="0">
        <references count="4">
          <reference field="0" count="1" selected="0">
            <x v="239"/>
          </reference>
          <reference field="1" count="1" selected="0">
            <x v="195"/>
          </reference>
          <reference field="2" count="1" selected="0">
            <x v="28"/>
          </reference>
          <reference field="3" count="1">
            <x v="0"/>
          </reference>
        </references>
      </pivotArea>
    </format>
    <format dxfId="1887">
      <pivotArea dataOnly="0" labelOnly="1" fieldPosition="0">
        <references count="4">
          <reference field="0" count="1" selected="0">
            <x v="240"/>
          </reference>
          <reference field="1" count="1" selected="0">
            <x v="196"/>
          </reference>
          <reference field="2" count="1" selected="0">
            <x v="40"/>
          </reference>
          <reference field="3" count="1">
            <x v="0"/>
          </reference>
        </references>
      </pivotArea>
    </format>
    <format dxfId="1886">
      <pivotArea dataOnly="0" labelOnly="1" fieldPosition="0">
        <references count="4">
          <reference field="0" count="1" selected="0">
            <x v="241"/>
          </reference>
          <reference field="1" count="1" selected="0">
            <x v="197"/>
          </reference>
          <reference field="2" count="1" selected="0">
            <x v="195"/>
          </reference>
          <reference field="3" count="1">
            <x v="0"/>
          </reference>
        </references>
      </pivotArea>
    </format>
    <format dxfId="1885">
      <pivotArea dataOnly="0" labelOnly="1" fieldPosition="0">
        <references count="4">
          <reference field="0" count="1" selected="0">
            <x v="242"/>
          </reference>
          <reference field="1" count="1" selected="0">
            <x v="198"/>
          </reference>
          <reference field="2" count="1" selected="0">
            <x v="132"/>
          </reference>
          <reference field="3" count="1">
            <x v="0"/>
          </reference>
        </references>
      </pivotArea>
    </format>
    <format dxfId="1884">
      <pivotArea dataOnly="0" labelOnly="1" fieldPosition="0">
        <references count="5">
          <reference field="0" count="1" selected="0">
            <x v="0"/>
          </reference>
          <reference field="1" count="1" selected="0">
            <x v="228"/>
          </reference>
          <reference field="2" count="1" selected="0">
            <x v="153"/>
          </reference>
          <reference field="3" count="1" selected="0">
            <x v="0"/>
          </reference>
          <reference field="12" count="1">
            <x v="7"/>
          </reference>
        </references>
      </pivotArea>
    </format>
    <format dxfId="1883">
      <pivotArea dataOnly="0" labelOnly="1" fieldPosition="0">
        <references count="5">
          <reference field="0" count="1" selected="0">
            <x v="2"/>
          </reference>
          <reference field="1" count="1" selected="0">
            <x v="230"/>
          </reference>
          <reference field="2" count="1" selected="0">
            <x v="225"/>
          </reference>
          <reference field="3" count="1" selected="0">
            <x v="0"/>
          </reference>
          <reference field="12" count="1">
            <x v="7"/>
          </reference>
        </references>
      </pivotArea>
    </format>
    <format dxfId="1882">
      <pivotArea dataOnly="0" labelOnly="1" fieldPosition="0">
        <references count="5">
          <reference field="0" count="1" selected="0">
            <x v="3"/>
          </reference>
          <reference field="1" count="1" selected="0">
            <x v="231"/>
          </reference>
          <reference field="2" count="1" selected="0">
            <x v="88"/>
          </reference>
          <reference field="3" count="1" selected="0">
            <x v="0"/>
          </reference>
          <reference field="12" count="1">
            <x v="3"/>
          </reference>
        </references>
      </pivotArea>
    </format>
    <format dxfId="1881">
      <pivotArea dataOnly="0" labelOnly="1" fieldPosition="0">
        <references count="5">
          <reference field="0" count="1" selected="0">
            <x v="4"/>
          </reference>
          <reference field="1" count="1" selected="0">
            <x v="232"/>
          </reference>
          <reference field="2" count="1" selected="0">
            <x v="90"/>
          </reference>
          <reference field="3" count="1" selected="0">
            <x v="0"/>
          </reference>
          <reference field="12" count="1">
            <x v="3"/>
          </reference>
        </references>
      </pivotArea>
    </format>
    <format dxfId="1880">
      <pivotArea dataOnly="0" labelOnly="1" fieldPosition="0">
        <references count="5">
          <reference field="0" count="1" selected="0">
            <x v="5"/>
          </reference>
          <reference field="1" count="1" selected="0">
            <x v="233"/>
          </reference>
          <reference field="2" count="1" selected="0">
            <x v="224"/>
          </reference>
          <reference field="3" count="1" selected="0">
            <x v="0"/>
          </reference>
          <reference field="12" count="1">
            <x v="7"/>
          </reference>
        </references>
      </pivotArea>
    </format>
    <format dxfId="1879">
      <pivotArea dataOnly="0" labelOnly="1" fieldPosition="0">
        <references count="5">
          <reference field="0" count="1" selected="0">
            <x v="7"/>
          </reference>
          <reference field="1" count="1" selected="0">
            <x v="118"/>
          </reference>
          <reference field="2" count="1" selected="0">
            <x v="171"/>
          </reference>
          <reference field="3" count="1" selected="0">
            <x v="0"/>
          </reference>
          <reference field="12" count="1">
            <x v="0"/>
          </reference>
        </references>
      </pivotArea>
    </format>
    <format dxfId="1878">
      <pivotArea dataOnly="0" labelOnly="1" fieldPosition="0">
        <references count="5">
          <reference field="0" count="1" selected="0">
            <x v="9"/>
          </reference>
          <reference field="1" count="1" selected="0">
            <x v="120"/>
          </reference>
          <reference field="2" count="1" selected="0">
            <x v="168"/>
          </reference>
          <reference field="3" count="1" selected="0">
            <x v="0"/>
          </reference>
          <reference field="12" count="1">
            <x v="0"/>
          </reference>
        </references>
      </pivotArea>
    </format>
    <format dxfId="1877">
      <pivotArea dataOnly="0" labelOnly="1" fieldPosition="0">
        <references count="5">
          <reference field="0" count="1" selected="0">
            <x v="10"/>
          </reference>
          <reference field="1" count="1" selected="0">
            <x v="121"/>
          </reference>
          <reference field="2" count="1" selected="0">
            <x v="82"/>
          </reference>
          <reference field="3" count="1" selected="0">
            <x v="0"/>
          </reference>
          <reference field="12" count="1">
            <x v="0"/>
          </reference>
        </references>
      </pivotArea>
    </format>
    <format dxfId="1876">
      <pivotArea dataOnly="0" labelOnly="1" fieldPosition="0">
        <references count="5">
          <reference field="0" count="1" selected="0">
            <x v="11"/>
          </reference>
          <reference field="1" count="1" selected="0">
            <x v="122"/>
          </reference>
          <reference field="2" count="1" selected="0">
            <x v="26"/>
          </reference>
          <reference field="3" count="1" selected="0">
            <x v="0"/>
          </reference>
          <reference field="12" count="1">
            <x v="0"/>
          </reference>
        </references>
      </pivotArea>
    </format>
    <format dxfId="1875">
      <pivotArea dataOnly="0" labelOnly="1" fieldPosition="0">
        <references count="5">
          <reference field="0" count="1" selected="0">
            <x v="12"/>
          </reference>
          <reference field="1" count="1" selected="0">
            <x v="123"/>
          </reference>
          <reference field="2" count="1" selected="0">
            <x v="150"/>
          </reference>
          <reference field="3" count="1" selected="0">
            <x v="0"/>
          </reference>
          <reference field="12" count="1">
            <x v="0"/>
          </reference>
        </references>
      </pivotArea>
    </format>
    <format dxfId="1874">
      <pivotArea dataOnly="0" labelOnly="1" fieldPosition="0">
        <references count="5">
          <reference field="0" count="1" selected="0">
            <x v="16"/>
          </reference>
          <reference field="1" count="1" selected="0">
            <x v="64"/>
          </reference>
          <reference field="2" count="1" selected="0">
            <x v="157"/>
          </reference>
          <reference field="3" count="1" selected="0">
            <x v="0"/>
          </reference>
          <reference field="12" count="1">
            <x v="7"/>
          </reference>
        </references>
      </pivotArea>
    </format>
    <format dxfId="1873">
      <pivotArea dataOnly="0" labelOnly="1" fieldPosition="0">
        <references count="5">
          <reference field="0" count="1" selected="0">
            <x v="18"/>
          </reference>
          <reference field="1" count="1" selected="0">
            <x v="66"/>
          </reference>
          <reference field="2" count="1" selected="0">
            <x v="189"/>
          </reference>
          <reference field="3" count="1" selected="0">
            <x v="0"/>
          </reference>
          <reference field="12" count="1">
            <x v="7"/>
          </reference>
        </references>
      </pivotArea>
    </format>
    <format dxfId="1872">
      <pivotArea dataOnly="0" labelOnly="1" fieldPosition="0">
        <references count="5">
          <reference field="0" count="1" selected="0">
            <x v="22"/>
          </reference>
          <reference field="1" count="1" selected="0">
            <x v="19"/>
          </reference>
          <reference field="2" count="1" selected="0">
            <x v="39"/>
          </reference>
          <reference field="3" count="1" selected="0">
            <x v="0"/>
          </reference>
          <reference field="12" count="1">
            <x v="9"/>
          </reference>
        </references>
      </pivotArea>
    </format>
    <format dxfId="1871">
      <pivotArea dataOnly="0" labelOnly="1" fieldPosition="0">
        <references count="5">
          <reference field="0" count="1" selected="0">
            <x v="25"/>
          </reference>
          <reference field="1" count="1" selected="0">
            <x v="22"/>
          </reference>
          <reference field="2" count="1" selected="0">
            <x v="84"/>
          </reference>
          <reference field="3" count="1" selected="0">
            <x v="0"/>
          </reference>
          <reference field="12" count="1">
            <x v="9"/>
          </reference>
        </references>
      </pivotArea>
    </format>
    <format dxfId="1870">
      <pivotArea dataOnly="0" labelOnly="1" fieldPosition="0">
        <references count="5">
          <reference field="0" count="1" selected="0">
            <x v="26"/>
          </reference>
          <reference field="1" count="1" selected="0">
            <x v="23"/>
          </reference>
          <reference field="2" count="1" selected="0">
            <x v="217"/>
          </reference>
          <reference field="3" count="1" selected="0">
            <x v="0"/>
          </reference>
          <reference field="12" count="1">
            <x v="5"/>
          </reference>
        </references>
      </pivotArea>
    </format>
    <format dxfId="1869">
      <pivotArea dataOnly="0" labelOnly="1" fieldPosition="0">
        <references count="5">
          <reference field="0" count="1" selected="0">
            <x v="28"/>
          </reference>
          <reference field="1" count="1" selected="0">
            <x v="25"/>
          </reference>
          <reference field="2" count="1" selected="0">
            <x v="52"/>
          </reference>
          <reference field="3" count="1" selected="0">
            <x v="0"/>
          </reference>
          <reference field="12" count="1">
            <x v="0"/>
          </reference>
        </references>
      </pivotArea>
    </format>
    <format dxfId="1868">
      <pivotArea dataOnly="0" labelOnly="1" fieldPosition="0">
        <references count="5">
          <reference field="0" count="1" selected="0">
            <x v="29"/>
          </reference>
          <reference field="1" count="1" selected="0">
            <x v="26"/>
          </reference>
          <reference field="2" count="1" selected="0">
            <x v="62"/>
          </reference>
          <reference field="3" count="1" selected="0">
            <x v="0"/>
          </reference>
          <reference field="12" count="1">
            <x v="15"/>
          </reference>
        </references>
      </pivotArea>
    </format>
    <format dxfId="1867">
      <pivotArea dataOnly="0" labelOnly="1" fieldPosition="0">
        <references count="5">
          <reference field="0" count="1" selected="0">
            <x v="30"/>
          </reference>
          <reference field="1" count="1" selected="0">
            <x v="27"/>
          </reference>
          <reference field="2" count="1" selected="0">
            <x v="7"/>
          </reference>
          <reference field="3" count="1" selected="0">
            <x v="0"/>
          </reference>
          <reference field="12" count="1">
            <x v="15"/>
          </reference>
        </references>
      </pivotArea>
    </format>
    <format dxfId="1866">
      <pivotArea dataOnly="0" labelOnly="1" fieldPosition="0">
        <references count="5">
          <reference field="0" count="1" selected="0">
            <x v="31"/>
          </reference>
          <reference field="1" count="1" selected="0">
            <x v="28"/>
          </reference>
          <reference field="2" count="1" selected="0">
            <x v="53"/>
          </reference>
          <reference field="3" count="1" selected="0">
            <x v="0"/>
          </reference>
          <reference field="12" count="1">
            <x v="7"/>
          </reference>
        </references>
      </pivotArea>
    </format>
    <format dxfId="1865">
      <pivotArea dataOnly="0" labelOnly="1" fieldPosition="0">
        <references count="5">
          <reference field="0" count="1" selected="0">
            <x v="35"/>
          </reference>
          <reference field="1" count="1" selected="0">
            <x v="32"/>
          </reference>
          <reference field="2" count="1" selected="0">
            <x v="51"/>
          </reference>
          <reference field="3" count="1" selected="0">
            <x v="0"/>
          </reference>
          <reference field="12" count="1">
            <x v="9"/>
          </reference>
        </references>
      </pivotArea>
    </format>
    <format dxfId="1864">
      <pivotArea dataOnly="0" labelOnly="1" fieldPosition="0">
        <references count="5">
          <reference field="0" count="1" selected="0">
            <x v="36"/>
          </reference>
          <reference field="1" count="1" selected="0">
            <x v="33"/>
          </reference>
          <reference field="2" count="1" selected="0">
            <x v="130"/>
          </reference>
          <reference field="3" count="1" selected="0">
            <x v="0"/>
          </reference>
          <reference field="12" count="1">
            <x v="22"/>
          </reference>
        </references>
      </pivotArea>
    </format>
    <format dxfId="1863">
      <pivotArea dataOnly="0" labelOnly="1" fieldPosition="0">
        <references count="5">
          <reference field="0" count="1" selected="0">
            <x v="37"/>
          </reference>
          <reference field="1" count="1" selected="0">
            <x v="34"/>
          </reference>
          <reference field="2" count="1" selected="0">
            <x v="70"/>
          </reference>
          <reference field="3" count="1" selected="0">
            <x v="0"/>
          </reference>
          <reference field="12" count="1">
            <x v="10"/>
          </reference>
        </references>
      </pivotArea>
    </format>
    <format dxfId="1862">
      <pivotArea dataOnly="0" labelOnly="1" fieldPosition="0">
        <references count="5">
          <reference field="0" count="1" selected="0">
            <x v="38"/>
          </reference>
          <reference field="1" count="1" selected="0">
            <x v="0"/>
          </reference>
          <reference field="2" count="1" selected="0">
            <x v="45"/>
          </reference>
          <reference field="3" count="1" selected="0">
            <x v="0"/>
          </reference>
          <reference field="12" count="1">
            <x v="10"/>
          </reference>
        </references>
      </pivotArea>
    </format>
    <format dxfId="1861">
      <pivotArea dataOnly="0" labelOnly="1" fieldPosition="0">
        <references count="5">
          <reference field="0" count="1" selected="0">
            <x v="39"/>
          </reference>
          <reference field="1" count="1" selected="0">
            <x v="1"/>
          </reference>
          <reference field="2" count="1" selected="0">
            <x v="46"/>
          </reference>
          <reference field="3" count="1" selected="0">
            <x v="0"/>
          </reference>
          <reference field="12" count="1">
            <x v="10"/>
          </reference>
        </references>
      </pivotArea>
    </format>
    <format dxfId="1860">
      <pivotArea dataOnly="0" labelOnly="1" fieldPosition="0">
        <references count="5">
          <reference field="0" count="1" selected="0">
            <x v="42"/>
          </reference>
          <reference field="1" count="1" selected="0">
            <x v="4"/>
          </reference>
          <reference field="2" count="1" selected="0">
            <x v="64"/>
          </reference>
          <reference field="3" count="1" selected="0">
            <x v="0"/>
          </reference>
          <reference field="12" count="1">
            <x v="10"/>
          </reference>
        </references>
      </pivotArea>
    </format>
    <format dxfId="1859">
      <pivotArea dataOnly="0" labelOnly="1" fieldPosition="0">
        <references count="5">
          <reference field="0" count="1" selected="0">
            <x v="43"/>
          </reference>
          <reference field="1" count="1" selected="0">
            <x v="5"/>
          </reference>
          <reference field="2" count="1" selected="0">
            <x v="19"/>
          </reference>
          <reference field="3" count="1" selected="0">
            <x v="0"/>
          </reference>
          <reference field="12" count="1">
            <x v="10"/>
          </reference>
        </references>
      </pivotArea>
    </format>
    <format dxfId="1858">
      <pivotArea dataOnly="0" labelOnly="1" fieldPosition="0">
        <references count="5">
          <reference field="0" count="1" selected="0">
            <x v="44"/>
          </reference>
          <reference field="1" count="1" selected="0">
            <x v="6"/>
          </reference>
          <reference field="2" count="1" selected="0">
            <x v="23"/>
          </reference>
          <reference field="3" count="1" selected="0">
            <x v="0"/>
          </reference>
          <reference field="12" count="1">
            <x v="10"/>
          </reference>
        </references>
      </pivotArea>
    </format>
    <format dxfId="1857">
      <pivotArea dataOnly="0" labelOnly="1" fieldPosition="0">
        <references count="5">
          <reference field="0" count="1" selected="0">
            <x v="45"/>
          </reference>
          <reference field="1" count="1" selected="0">
            <x v="7"/>
          </reference>
          <reference field="2" count="1" selected="0">
            <x v="22"/>
          </reference>
          <reference field="3" count="1" selected="0">
            <x v="0"/>
          </reference>
          <reference field="12" count="1">
            <x v="10"/>
          </reference>
        </references>
      </pivotArea>
    </format>
    <format dxfId="1856">
      <pivotArea dataOnly="0" labelOnly="1" fieldPosition="0">
        <references count="5">
          <reference field="0" count="1" selected="0">
            <x v="46"/>
          </reference>
          <reference field="1" count="1" selected="0">
            <x v="8"/>
          </reference>
          <reference field="2" count="1" selected="0">
            <x v="135"/>
          </reference>
          <reference field="3" count="1" selected="0">
            <x v="0"/>
          </reference>
          <reference field="12" count="1">
            <x v="10"/>
          </reference>
        </references>
      </pivotArea>
    </format>
    <format dxfId="1855">
      <pivotArea dataOnly="0" labelOnly="1" fieldPosition="0">
        <references count="5">
          <reference field="0" count="1" selected="0">
            <x v="47"/>
          </reference>
          <reference field="1" count="1" selected="0">
            <x v="9"/>
          </reference>
          <reference field="2" count="1" selected="0">
            <x v="141"/>
          </reference>
          <reference field="3" count="1" selected="0">
            <x v="0"/>
          </reference>
          <reference field="12" count="1">
            <x v="10"/>
          </reference>
        </references>
      </pivotArea>
    </format>
    <format dxfId="1854">
      <pivotArea dataOnly="0" labelOnly="1" fieldPosition="0">
        <references count="5">
          <reference field="0" count="1" selected="0">
            <x v="49"/>
          </reference>
          <reference field="1" count="1" selected="0">
            <x v="11"/>
          </reference>
          <reference field="2" count="1" selected="0">
            <x v="127"/>
          </reference>
          <reference field="3" count="1" selected="0">
            <x v="0"/>
          </reference>
          <reference field="12" count="1">
            <x v="10"/>
          </reference>
        </references>
      </pivotArea>
    </format>
    <format dxfId="1853">
      <pivotArea dataOnly="0" labelOnly="1" fieldPosition="0">
        <references count="5">
          <reference field="0" count="1" selected="0">
            <x v="55"/>
          </reference>
          <reference field="1" count="1" selected="0">
            <x v="35"/>
          </reference>
          <reference field="2" count="1" selected="0">
            <x v="65"/>
          </reference>
          <reference field="3" count="1" selected="0">
            <x v="0"/>
          </reference>
          <reference field="12" count="1">
            <x v="3"/>
          </reference>
        </references>
      </pivotArea>
    </format>
    <format dxfId="1852">
      <pivotArea dataOnly="0" labelOnly="1" fieldPosition="0">
        <references count="5">
          <reference field="0" count="1" selected="0">
            <x v="56"/>
          </reference>
          <reference field="1" count="1" selected="0">
            <x v="36"/>
          </reference>
          <reference field="2" count="1" selected="0">
            <x v="183"/>
          </reference>
          <reference field="3" count="1" selected="0">
            <x v="0"/>
          </reference>
          <reference field="12" count="1">
            <x v="3"/>
          </reference>
        </references>
      </pivotArea>
    </format>
    <format dxfId="1851">
      <pivotArea dataOnly="0" labelOnly="1" fieldPosition="0">
        <references count="5">
          <reference field="0" count="1" selected="0">
            <x v="62"/>
          </reference>
          <reference field="1" count="1" selected="0">
            <x v="42"/>
          </reference>
          <reference field="2" count="1" selected="0">
            <x v="15"/>
          </reference>
          <reference field="3" count="1" selected="0">
            <x v="0"/>
          </reference>
          <reference field="12" count="1">
            <x v="3"/>
          </reference>
        </references>
      </pivotArea>
    </format>
    <format dxfId="1850">
      <pivotArea dataOnly="0" labelOnly="1" fieldPosition="0">
        <references count="5">
          <reference field="0" count="1" selected="0">
            <x v="63"/>
          </reference>
          <reference field="1" count="1" selected="0">
            <x v="43"/>
          </reference>
          <reference field="2" count="1" selected="0">
            <x v="152"/>
          </reference>
          <reference field="3" count="1" selected="0">
            <x v="0"/>
          </reference>
          <reference field="12" count="1">
            <x v="3"/>
          </reference>
        </references>
      </pivotArea>
    </format>
    <format dxfId="1849">
      <pivotArea dataOnly="0" labelOnly="1" fieldPosition="0">
        <references count="5">
          <reference field="0" count="1" selected="0">
            <x v="64"/>
          </reference>
          <reference field="1" count="1" selected="0">
            <x v="44"/>
          </reference>
          <reference field="2" count="1" selected="0">
            <x v="146"/>
          </reference>
          <reference field="3" count="1" selected="0">
            <x v="0"/>
          </reference>
          <reference field="12" count="1">
            <x v="3"/>
          </reference>
        </references>
      </pivotArea>
    </format>
    <format dxfId="1848">
      <pivotArea dataOnly="0" labelOnly="1" fieldPosition="0">
        <references count="5">
          <reference field="0" count="1" selected="0">
            <x v="65"/>
          </reference>
          <reference field="1" count="1" selected="0">
            <x v="45"/>
          </reference>
          <reference field="2" count="1" selected="0">
            <x v="204"/>
          </reference>
          <reference field="3" count="1" selected="0">
            <x v="0"/>
          </reference>
          <reference field="12" count="1">
            <x v="3"/>
          </reference>
        </references>
      </pivotArea>
    </format>
    <format dxfId="1847">
      <pivotArea dataOnly="0" labelOnly="1" fieldPosition="0">
        <references count="5">
          <reference field="0" count="1" selected="0">
            <x v="66"/>
          </reference>
          <reference field="1" count="1" selected="0">
            <x v="46"/>
          </reference>
          <reference field="2" count="1" selected="0">
            <x v="92"/>
          </reference>
          <reference field="3" count="1" selected="0">
            <x v="0"/>
          </reference>
          <reference field="12" count="1">
            <x v="3"/>
          </reference>
        </references>
      </pivotArea>
    </format>
    <format dxfId="1846">
      <pivotArea dataOnly="0" labelOnly="1" fieldPosition="0">
        <references count="5">
          <reference field="0" count="1" selected="0">
            <x v="67"/>
          </reference>
          <reference field="1" count="1" selected="0">
            <x v="47"/>
          </reference>
          <reference field="2" count="1" selected="0">
            <x v="181"/>
          </reference>
          <reference field="3" count="1" selected="0">
            <x v="0"/>
          </reference>
          <reference field="12" count="1">
            <x v="3"/>
          </reference>
        </references>
      </pivotArea>
    </format>
    <format dxfId="1845">
      <pivotArea dataOnly="0" labelOnly="1" fieldPosition="0">
        <references count="5">
          <reference field="0" count="1" selected="0">
            <x v="68"/>
          </reference>
          <reference field="1" count="1" selected="0">
            <x v="48"/>
          </reference>
          <reference field="2" count="1" selected="0">
            <x v="231"/>
          </reference>
          <reference field="3" count="1" selected="0">
            <x v="0"/>
          </reference>
          <reference field="12" count="1">
            <x v="3"/>
          </reference>
        </references>
      </pivotArea>
    </format>
    <format dxfId="1844">
      <pivotArea dataOnly="0" labelOnly="1" fieldPosition="0">
        <references count="5">
          <reference field="0" count="1" selected="0">
            <x v="79"/>
          </reference>
          <reference field="1" count="1" selected="0">
            <x v="59"/>
          </reference>
          <reference field="2" count="1" selected="0">
            <x v="21"/>
          </reference>
          <reference field="3" count="1" selected="0">
            <x v="0"/>
          </reference>
          <reference field="12" count="1">
            <x v="3"/>
          </reference>
        </references>
      </pivotArea>
    </format>
    <format dxfId="1843">
      <pivotArea dataOnly="0" labelOnly="1" fieldPosition="0">
        <references count="5">
          <reference field="0" count="1" selected="0">
            <x v="81"/>
          </reference>
          <reference field="1" count="1" selected="0">
            <x v="68"/>
          </reference>
          <reference field="2" count="1" selected="0">
            <x v="112"/>
          </reference>
          <reference field="3" count="1" selected="0">
            <x v="0"/>
          </reference>
          <reference field="12" count="1">
            <x v="0"/>
          </reference>
        </references>
      </pivotArea>
    </format>
    <format dxfId="1842">
      <pivotArea dataOnly="0" labelOnly="1" fieldPosition="0">
        <references count="5">
          <reference field="0" count="1" selected="0">
            <x v="82"/>
          </reference>
          <reference field="1" count="1" selected="0">
            <x v="69"/>
          </reference>
          <reference field="2" count="1" selected="0">
            <x v="226"/>
          </reference>
          <reference field="3" count="1" selected="0">
            <x v="0"/>
          </reference>
          <reference field="12" count="1">
            <x v="5"/>
          </reference>
        </references>
      </pivotArea>
    </format>
    <format dxfId="1841">
      <pivotArea dataOnly="0" labelOnly="1" fieldPosition="0">
        <references count="5">
          <reference field="0" count="1" selected="0">
            <x v="83"/>
          </reference>
          <reference field="1" count="1" selected="0">
            <x v="70"/>
          </reference>
          <reference field="2" count="1" selected="0">
            <x v="193"/>
          </reference>
          <reference field="3" count="1" selected="0">
            <x v="0"/>
          </reference>
          <reference field="12" count="1">
            <x v="5"/>
          </reference>
        </references>
      </pivotArea>
    </format>
    <format dxfId="1840">
      <pivotArea dataOnly="0" labelOnly="1" fieldPosition="0">
        <references count="5">
          <reference field="0" count="1" selected="0">
            <x v="84"/>
          </reference>
          <reference field="1" count="1" selected="0">
            <x v="71"/>
          </reference>
          <reference field="2" count="1" selected="0">
            <x v="192"/>
          </reference>
          <reference field="3" count="1" selected="0">
            <x v="0"/>
          </reference>
          <reference field="12" count="1">
            <x v="7"/>
          </reference>
        </references>
      </pivotArea>
    </format>
    <format dxfId="1839">
      <pivotArea dataOnly="0" labelOnly="1" fieldPosition="0">
        <references count="5">
          <reference field="0" count="1" selected="0">
            <x v="85"/>
          </reference>
          <reference field="1" count="1" selected="0">
            <x v="72"/>
          </reference>
          <reference field="2" count="1" selected="0">
            <x v="87"/>
          </reference>
          <reference field="3" count="1" selected="0">
            <x v="0"/>
          </reference>
          <reference field="12" count="1">
            <x v="7"/>
          </reference>
        </references>
      </pivotArea>
    </format>
    <format dxfId="1838">
      <pivotArea dataOnly="0" labelOnly="1" fieldPosition="0">
        <references count="5">
          <reference field="0" count="1" selected="0">
            <x v="86"/>
          </reference>
          <reference field="1" count="1" selected="0">
            <x v="73"/>
          </reference>
          <reference field="2" count="1" selected="0">
            <x v="154"/>
          </reference>
          <reference field="3" count="1" selected="0">
            <x v="0"/>
          </reference>
          <reference field="12" count="1">
            <x v="7"/>
          </reference>
        </references>
      </pivotArea>
    </format>
    <format dxfId="1837">
      <pivotArea dataOnly="0" labelOnly="1" fieldPosition="0">
        <references count="5">
          <reference field="0" count="1" selected="0">
            <x v="87"/>
          </reference>
          <reference field="1" count="1" selected="0">
            <x v="74"/>
          </reference>
          <reference field="2" count="1" selected="0">
            <x v="208"/>
          </reference>
          <reference field="3" count="1" selected="0">
            <x v="0"/>
          </reference>
          <reference field="12" count="1">
            <x v="7"/>
          </reference>
        </references>
      </pivotArea>
    </format>
    <format dxfId="1836">
      <pivotArea dataOnly="0" labelOnly="1" fieldPosition="0">
        <references count="5">
          <reference field="0" count="1" selected="0">
            <x v="88"/>
          </reference>
          <reference field="1" count="1" selected="0">
            <x v="75"/>
          </reference>
          <reference field="2" count="1" selected="0">
            <x v="38"/>
          </reference>
          <reference field="3" count="1" selected="0">
            <x v="0"/>
          </reference>
          <reference field="12" count="1">
            <x v="2"/>
          </reference>
        </references>
      </pivotArea>
    </format>
    <format dxfId="1835">
      <pivotArea dataOnly="0" labelOnly="1" fieldPosition="0">
        <references count="5">
          <reference field="0" count="1" selected="0">
            <x v="89"/>
          </reference>
          <reference field="1" count="1" selected="0">
            <x v="76"/>
          </reference>
          <reference field="2" count="1" selected="0">
            <x v="232"/>
          </reference>
          <reference field="3" count="1" selected="0">
            <x v="0"/>
          </reference>
          <reference field="12" count="1">
            <x v="7"/>
          </reference>
        </references>
      </pivotArea>
    </format>
    <format dxfId="1834">
      <pivotArea dataOnly="0" labelOnly="1" fieldPosition="0">
        <references count="5">
          <reference field="0" count="1" selected="0">
            <x v="90"/>
          </reference>
          <reference field="1" count="1" selected="0">
            <x v="77"/>
          </reference>
          <reference field="2" count="1" selected="0">
            <x v="43"/>
          </reference>
          <reference field="3" count="1" selected="0">
            <x v="0"/>
          </reference>
          <reference field="12" count="1">
            <x v="7"/>
          </reference>
        </references>
      </pivotArea>
    </format>
    <format dxfId="1833">
      <pivotArea dataOnly="0" labelOnly="1" fieldPosition="0">
        <references count="5">
          <reference field="0" count="1" selected="0">
            <x v="91"/>
          </reference>
          <reference field="1" count="1" selected="0">
            <x v="78"/>
          </reference>
          <reference field="2" count="1" selected="0">
            <x v="12"/>
          </reference>
          <reference field="3" count="1" selected="0">
            <x v="0"/>
          </reference>
          <reference field="12" count="1">
            <x v="7"/>
          </reference>
        </references>
      </pivotArea>
    </format>
    <format dxfId="1832">
      <pivotArea dataOnly="0" labelOnly="1" fieldPosition="0">
        <references count="5">
          <reference field="0" count="1" selected="0">
            <x v="93"/>
          </reference>
          <reference field="1" count="1" selected="0">
            <x v="80"/>
          </reference>
          <reference field="2" count="1" selected="0">
            <x v="180"/>
          </reference>
          <reference field="3" count="1" selected="0">
            <x v="0"/>
          </reference>
          <reference field="12" count="1">
            <x v="7"/>
          </reference>
        </references>
      </pivotArea>
    </format>
    <format dxfId="1831">
      <pivotArea dataOnly="0" labelOnly="1" fieldPosition="0">
        <references count="5">
          <reference field="0" count="1" selected="0">
            <x v="94"/>
          </reference>
          <reference field="1" count="1" selected="0">
            <x v="81"/>
          </reference>
          <reference field="2" count="1" selected="0">
            <x v="60"/>
          </reference>
          <reference field="3" count="1" selected="0">
            <x v="0"/>
          </reference>
          <reference field="12" count="1">
            <x v="7"/>
          </reference>
        </references>
      </pivotArea>
    </format>
    <format dxfId="1830">
      <pivotArea dataOnly="0" labelOnly="1" fieldPosition="0">
        <references count="5">
          <reference field="0" count="1" selected="0">
            <x v="95"/>
          </reference>
          <reference field="1" count="1" selected="0">
            <x v="82"/>
          </reference>
          <reference field="2" count="1" selected="0">
            <x v="5"/>
          </reference>
          <reference field="3" count="1" selected="0">
            <x v="0"/>
          </reference>
          <reference field="12" count="1">
            <x v="1"/>
          </reference>
        </references>
      </pivotArea>
    </format>
    <format dxfId="1829">
      <pivotArea dataOnly="0" labelOnly="1" fieldPosition="0">
        <references count="5">
          <reference field="0" count="1" selected="0">
            <x v="96"/>
          </reference>
          <reference field="1" count="1" selected="0">
            <x v="83"/>
          </reference>
          <reference field="2" count="1" selected="0">
            <x v="173"/>
          </reference>
          <reference field="3" count="1" selected="0">
            <x v="0"/>
          </reference>
          <reference field="12" count="1">
            <x v="3"/>
          </reference>
        </references>
      </pivotArea>
    </format>
    <format dxfId="1828">
      <pivotArea dataOnly="0" labelOnly="1" fieldPosition="0">
        <references count="5">
          <reference field="0" count="1" selected="0">
            <x v="97"/>
          </reference>
          <reference field="1" count="1" selected="0">
            <x v="84"/>
          </reference>
          <reference field="2" count="1" selected="0">
            <x v="6"/>
          </reference>
          <reference field="3" count="1" selected="0">
            <x v="0"/>
          </reference>
          <reference field="12" count="1">
            <x v="3"/>
          </reference>
        </references>
      </pivotArea>
    </format>
    <format dxfId="1827">
      <pivotArea dataOnly="0" labelOnly="1" fieldPosition="0">
        <references count="5">
          <reference field="0" count="1" selected="0">
            <x v="98"/>
          </reference>
          <reference field="1" count="1" selected="0">
            <x v="85"/>
          </reference>
          <reference field="2" count="1" selected="0">
            <x v="214"/>
          </reference>
          <reference field="3" count="1" selected="0">
            <x v="0"/>
          </reference>
          <reference field="12" count="1">
            <x v="3"/>
          </reference>
        </references>
      </pivotArea>
    </format>
    <format dxfId="1826">
      <pivotArea dataOnly="0" labelOnly="1" fieldPosition="0">
        <references count="5">
          <reference field="0" count="1" selected="0">
            <x v="99"/>
          </reference>
          <reference field="1" count="1" selected="0">
            <x v="86"/>
          </reference>
          <reference field="2" count="1" selected="0">
            <x v="66"/>
          </reference>
          <reference field="3" count="1" selected="0">
            <x v="0"/>
          </reference>
          <reference field="12" count="1">
            <x v="3"/>
          </reference>
        </references>
      </pivotArea>
    </format>
    <format dxfId="1825">
      <pivotArea dataOnly="0" labelOnly="1" fieldPosition="0">
        <references count="5">
          <reference field="0" count="1" selected="0">
            <x v="100"/>
          </reference>
          <reference field="1" count="1" selected="0">
            <x v="87"/>
          </reference>
          <reference field="2" count="1" selected="0">
            <x v="75"/>
          </reference>
          <reference field="3" count="1" selected="0">
            <x v="0"/>
          </reference>
          <reference field="12" count="1">
            <x v="3"/>
          </reference>
        </references>
      </pivotArea>
    </format>
    <format dxfId="1824">
      <pivotArea dataOnly="0" labelOnly="1" fieldPosition="0">
        <references count="5">
          <reference field="0" count="1" selected="0">
            <x v="101"/>
          </reference>
          <reference field="1" count="1" selected="0">
            <x v="88"/>
          </reference>
          <reference field="2" count="1" selected="0">
            <x v="29"/>
          </reference>
          <reference field="3" count="1" selected="0">
            <x v="0"/>
          </reference>
          <reference field="12" count="1">
            <x v="3"/>
          </reference>
        </references>
      </pivotArea>
    </format>
    <format dxfId="1823">
      <pivotArea dataOnly="0" labelOnly="1" fieldPosition="0">
        <references count="5">
          <reference field="0" count="1" selected="0">
            <x v="102"/>
          </reference>
          <reference field="1" count="1" selected="0">
            <x v="89"/>
          </reference>
          <reference field="2" count="1" selected="0">
            <x v="14"/>
          </reference>
          <reference field="3" count="1" selected="0">
            <x v="0"/>
          </reference>
          <reference field="12" count="1">
            <x v="3"/>
          </reference>
        </references>
      </pivotArea>
    </format>
    <format dxfId="1822">
      <pivotArea dataOnly="0" labelOnly="1" fieldPosition="0">
        <references count="5">
          <reference field="0" count="1" selected="0">
            <x v="103"/>
          </reference>
          <reference field="1" count="1" selected="0">
            <x v="90"/>
          </reference>
          <reference field="2" count="1" selected="0">
            <x v="73"/>
          </reference>
          <reference field="3" count="1" selected="0">
            <x v="0"/>
          </reference>
          <reference field="12" count="1">
            <x v="3"/>
          </reference>
        </references>
      </pivotArea>
    </format>
    <format dxfId="1821">
      <pivotArea dataOnly="0" labelOnly="1" fieldPosition="0">
        <references count="5">
          <reference field="0" count="1" selected="0">
            <x v="104"/>
          </reference>
          <reference field="1" count="1" selected="0">
            <x v="91"/>
          </reference>
          <reference field="2" count="1" selected="0">
            <x v="68"/>
          </reference>
          <reference field="3" count="1" selected="0">
            <x v="0"/>
          </reference>
          <reference field="12" count="1">
            <x v="3"/>
          </reference>
        </references>
      </pivotArea>
    </format>
    <format dxfId="1820">
      <pivotArea dataOnly="0" labelOnly="1" fieldPosition="0">
        <references count="5">
          <reference field="0" count="1" selected="0">
            <x v="105"/>
          </reference>
          <reference field="1" count="1" selected="0">
            <x v="92"/>
          </reference>
          <reference field="2" count="1" selected="0">
            <x v="134"/>
          </reference>
          <reference field="3" count="1" selected="0">
            <x v="0"/>
          </reference>
          <reference field="12" count="1">
            <x v="7"/>
          </reference>
        </references>
      </pivotArea>
    </format>
    <format dxfId="1819">
      <pivotArea dataOnly="0" labelOnly="1" fieldPosition="0">
        <references count="5">
          <reference field="0" count="1" selected="0">
            <x v="106"/>
          </reference>
          <reference field="1" count="1" selected="0">
            <x v="93"/>
          </reference>
          <reference field="2" count="1" selected="0">
            <x v="76"/>
          </reference>
          <reference field="3" count="1" selected="0">
            <x v="0"/>
          </reference>
          <reference field="12" count="1">
            <x v="7"/>
          </reference>
        </references>
      </pivotArea>
    </format>
    <format dxfId="1818">
      <pivotArea dataOnly="0" labelOnly="1" fieldPosition="0">
        <references count="5">
          <reference field="0" count="1" selected="0">
            <x v="107"/>
          </reference>
          <reference field="1" count="1" selected="0">
            <x v="94"/>
          </reference>
          <reference field="2" count="1" selected="0">
            <x v="190"/>
          </reference>
          <reference field="3" count="1" selected="0">
            <x v="0"/>
          </reference>
          <reference field="12" count="1">
            <x v="7"/>
          </reference>
        </references>
      </pivotArea>
    </format>
    <format dxfId="1817">
      <pivotArea dataOnly="0" labelOnly="1" fieldPosition="0">
        <references count="5">
          <reference field="0" count="1" selected="0">
            <x v="108"/>
          </reference>
          <reference field="1" count="1" selected="0">
            <x v="95"/>
          </reference>
          <reference field="2" count="1" selected="0">
            <x v="236"/>
          </reference>
          <reference field="3" count="1" selected="0">
            <x v="0"/>
          </reference>
          <reference field="12" count="1">
            <x v="7"/>
          </reference>
        </references>
      </pivotArea>
    </format>
    <format dxfId="1816">
      <pivotArea dataOnly="0" labelOnly="1" fieldPosition="0">
        <references count="5">
          <reference field="0" count="1" selected="0">
            <x v="110"/>
          </reference>
          <reference field="1" count="1" selected="0">
            <x v="97"/>
          </reference>
          <reference field="2" count="1" selected="0">
            <x v="123"/>
          </reference>
          <reference field="3" count="1" selected="0">
            <x v="0"/>
          </reference>
          <reference field="12" count="1">
            <x v="7"/>
          </reference>
        </references>
      </pivotArea>
    </format>
    <format dxfId="1815">
      <pivotArea dataOnly="0" labelOnly="1" fieldPosition="0">
        <references count="5">
          <reference field="0" count="1" selected="0">
            <x v="111"/>
          </reference>
          <reference field="1" count="1" selected="0">
            <x v="98"/>
          </reference>
          <reference field="2" count="1" selected="0">
            <x v="83"/>
          </reference>
          <reference field="3" count="1" selected="0">
            <x v="0"/>
          </reference>
          <reference field="12" count="1">
            <x v="7"/>
          </reference>
        </references>
      </pivotArea>
    </format>
    <format dxfId="1814">
      <pivotArea dataOnly="0" labelOnly="1" fieldPosition="0">
        <references count="5">
          <reference field="0" count="1" selected="0">
            <x v="113"/>
          </reference>
          <reference field="1" count="1" selected="0">
            <x v="100"/>
          </reference>
          <reference field="2" count="1" selected="0">
            <x v="124"/>
          </reference>
          <reference field="3" count="1" selected="0">
            <x v="0"/>
          </reference>
          <reference field="12" count="1">
            <x v="7"/>
          </reference>
        </references>
      </pivotArea>
    </format>
    <format dxfId="1813">
      <pivotArea dataOnly="0" labelOnly="1" fieldPosition="0">
        <references count="5">
          <reference field="0" count="1" selected="0">
            <x v="121"/>
          </reference>
          <reference field="1" count="1" selected="0">
            <x v="108"/>
          </reference>
          <reference field="2" count="1" selected="0">
            <x v="207"/>
          </reference>
          <reference field="3" count="1" selected="0">
            <x v="0"/>
          </reference>
          <reference field="12" count="1">
            <x v="5"/>
          </reference>
        </references>
      </pivotArea>
    </format>
    <format dxfId="1812">
      <pivotArea dataOnly="0" labelOnly="1" fieldPosition="0">
        <references count="5">
          <reference field="0" count="1" selected="0">
            <x v="122"/>
          </reference>
          <reference field="1" count="1" selected="0">
            <x v="109"/>
          </reference>
          <reference field="2" count="1" selected="0">
            <x v="35"/>
          </reference>
          <reference field="3" count="1" selected="0">
            <x v="0"/>
          </reference>
          <reference field="12" count="1">
            <x v="3"/>
          </reference>
        </references>
      </pivotArea>
    </format>
    <format dxfId="1811">
      <pivotArea dataOnly="0" labelOnly="1" fieldPosition="0">
        <references count="5">
          <reference field="0" count="1" selected="0">
            <x v="123"/>
          </reference>
          <reference field="1" count="1" selected="0">
            <x v="110"/>
          </reference>
          <reference field="2" count="1" selected="0">
            <x v="176"/>
          </reference>
          <reference field="3" count="1" selected="0">
            <x v="0"/>
          </reference>
          <reference field="12" count="1">
            <x v="5"/>
          </reference>
        </references>
      </pivotArea>
    </format>
    <format dxfId="1810">
      <pivotArea dataOnly="0" labelOnly="1" fieldPosition="0">
        <references count="5">
          <reference field="0" count="1" selected="0">
            <x v="124"/>
          </reference>
          <reference field="1" count="1" selected="0">
            <x v="111"/>
          </reference>
          <reference field="2" count="1" selected="0">
            <x v="218"/>
          </reference>
          <reference field="3" count="1" selected="0">
            <x v="0"/>
          </reference>
          <reference field="12" count="1">
            <x v="0"/>
          </reference>
        </references>
      </pivotArea>
    </format>
    <format dxfId="1809">
      <pivotArea dataOnly="0" labelOnly="1" fieldPosition="0">
        <references count="5">
          <reference field="0" count="1" selected="0">
            <x v="125"/>
          </reference>
          <reference field="1" count="1" selected="0">
            <x v="112"/>
          </reference>
          <reference field="2" count="1" selected="0">
            <x v="197"/>
          </reference>
          <reference field="3" count="1" selected="0">
            <x v="0"/>
          </reference>
          <reference field="12" count="1">
            <x v="3"/>
          </reference>
        </references>
      </pivotArea>
    </format>
    <format dxfId="1808">
      <pivotArea dataOnly="0" labelOnly="1" fieldPosition="0">
        <references count="5">
          <reference field="0" count="1" selected="0">
            <x v="126"/>
          </reference>
          <reference field="1" count="1" selected="0">
            <x v="113"/>
          </reference>
          <reference field="2" count="1" selected="0">
            <x v="191"/>
          </reference>
          <reference field="3" count="1" selected="0">
            <x v="0"/>
          </reference>
          <reference field="12" count="1">
            <x v="0"/>
          </reference>
        </references>
      </pivotArea>
    </format>
    <format dxfId="1807">
      <pivotArea dataOnly="0" labelOnly="1" fieldPosition="0">
        <references count="5">
          <reference field="0" count="1" selected="0">
            <x v="127"/>
          </reference>
          <reference field="1" count="1" selected="0">
            <x v="114"/>
          </reference>
          <reference field="2" count="1" selected="0">
            <x v="174"/>
          </reference>
          <reference field="3" count="1" selected="0">
            <x v="0"/>
          </reference>
          <reference field="12" count="1">
            <x v="0"/>
          </reference>
        </references>
      </pivotArea>
    </format>
    <format dxfId="1806">
      <pivotArea dataOnly="0" labelOnly="1" fieldPosition="0">
        <references count="5">
          <reference field="0" count="1" selected="0">
            <x v="128"/>
          </reference>
          <reference field="1" count="1" selected="0">
            <x v="115"/>
          </reference>
          <reference field="2" count="1" selected="0">
            <x v="59"/>
          </reference>
          <reference field="3" count="1" selected="0">
            <x v="0"/>
          </reference>
          <reference field="12" count="1">
            <x v="0"/>
          </reference>
        </references>
      </pivotArea>
    </format>
    <format dxfId="1805">
      <pivotArea dataOnly="0" labelOnly="1" fieldPosition="0">
        <references count="5">
          <reference field="0" count="1" selected="0">
            <x v="129"/>
          </reference>
          <reference field="1" count="1" selected="0">
            <x v="116"/>
          </reference>
          <reference field="2" count="1" selected="0">
            <x v="212"/>
          </reference>
          <reference field="3" count="1" selected="0">
            <x v="0"/>
          </reference>
          <reference field="12" count="1">
            <x v="3"/>
          </reference>
        </references>
      </pivotArea>
    </format>
    <format dxfId="1804">
      <pivotArea dataOnly="0" labelOnly="1" fieldPosition="0">
        <references count="5">
          <reference field="0" count="1" selected="0">
            <x v="130"/>
          </reference>
          <reference field="1" count="1" selected="0">
            <x v="117"/>
          </reference>
          <reference field="2" count="1" selected="0">
            <x v="118"/>
          </reference>
          <reference field="3" count="1" selected="0">
            <x v="0"/>
          </reference>
          <reference field="12" count="1">
            <x v="7"/>
          </reference>
        </references>
      </pivotArea>
    </format>
    <format dxfId="1803">
      <pivotArea dataOnly="0" labelOnly="1" fieldPosition="0">
        <references count="5">
          <reference field="0" count="1" selected="0">
            <x v="134"/>
          </reference>
          <reference field="1" count="1" selected="0">
            <x v="127"/>
          </reference>
          <reference field="2" count="1" selected="0">
            <x v="2"/>
          </reference>
          <reference field="3" count="1" selected="0">
            <x v="0"/>
          </reference>
          <reference field="12" count="1">
            <x v="4"/>
          </reference>
        </references>
      </pivotArea>
    </format>
    <format dxfId="1802">
      <pivotArea dataOnly="0" labelOnly="1" fieldPosition="0">
        <references count="5">
          <reference field="0" count="1" selected="0">
            <x v="135"/>
          </reference>
          <reference field="1" count="1" selected="0">
            <x v="128"/>
          </reference>
          <reference field="2" count="1" selected="0">
            <x v="151"/>
          </reference>
          <reference field="3" count="1" selected="0">
            <x v="0"/>
          </reference>
          <reference field="12" count="1">
            <x v="3"/>
          </reference>
        </references>
      </pivotArea>
    </format>
    <format dxfId="1801">
      <pivotArea dataOnly="0" labelOnly="1" fieldPosition="0">
        <references count="5">
          <reference field="0" count="1" selected="0">
            <x v="136"/>
          </reference>
          <reference field="1" count="1" selected="0">
            <x v="129"/>
          </reference>
          <reference field="2" count="1" selected="0">
            <x v="219"/>
          </reference>
          <reference field="3" count="1" selected="0">
            <x v="0"/>
          </reference>
          <reference field="12" count="1">
            <x v="3"/>
          </reference>
        </references>
      </pivotArea>
    </format>
    <format dxfId="1800">
      <pivotArea dataOnly="0" labelOnly="1" fieldPosition="0">
        <references count="5">
          <reference field="0" count="1" selected="0">
            <x v="144"/>
          </reference>
          <reference field="1" count="1" selected="0">
            <x v="137"/>
          </reference>
          <reference field="2" count="1" selected="0">
            <x v="79"/>
          </reference>
          <reference field="3" count="1" selected="0">
            <x v="0"/>
          </reference>
          <reference field="12" count="1">
            <x v="0"/>
          </reference>
        </references>
      </pivotArea>
    </format>
    <format dxfId="1799">
      <pivotArea dataOnly="0" labelOnly="1" fieldPosition="0">
        <references count="5">
          <reference field="0" count="1" selected="0">
            <x v="146"/>
          </reference>
          <reference field="1" count="1" selected="0">
            <x v="139"/>
          </reference>
          <reference field="2" count="1" selected="0">
            <x v="30"/>
          </reference>
          <reference field="3" count="1" selected="0">
            <x v="0"/>
          </reference>
          <reference field="12" count="1">
            <x v="26"/>
          </reference>
        </references>
      </pivotArea>
    </format>
    <format dxfId="1798">
      <pivotArea dataOnly="0" labelOnly="1" fieldPosition="0">
        <references count="5">
          <reference field="0" count="1" selected="0">
            <x v="147"/>
          </reference>
          <reference field="1" count="1" selected="0">
            <x v="140"/>
          </reference>
          <reference field="2" count="1" selected="0">
            <x v="211"/>
          </reference>
          <reference field="3" count="1" selected="0">
            <x v="0"/>
          </reference>
          <reference field="12" count="1">
            <x v="26"/>
          </reference>
        </references>
      </pivotArea>
    </format>
    <format dxfId="1797">
      <pivotArea dataOnly="0" labelOnly="1" fieldPosition="0">
        <references count="5">
          <reference field="0" count="1" selected="0">
            <x v="148"/>
          </reference>
          <reference field="1" count="1" selected="0">
            <x v="141"/>
          </reference>
          <reference field="2" count="1" selected="0">
            <x v="95"/>
          </reference>
          <reference field="3" count="1" selected="0">
            <x v="0"/>
          </reference>
          <reference field="12" count="1">
            <x v="26"/>
          </reference>
        </references>
      </pivotArea>
    </format>
    <format dxfId="1796">
      <pivotArea dataOnly="0" labelOnly="1" fieldPosition="0">
        <references count="5">
          <reference field="0" count="1" selected="0">
            <x v="149"/>
          </reference>
          <reference field="1" count="1" selected="0">
            <x v="142"/>
          </reference>
          <reference field="2" count="1" selected="0">
            <x v="165"/>
          </reference>
          <reference field="3" count="1" selected="0">
            <x v="0"/>
          </reference>
          <reference field="12" count="1">
            <x v="14"/>
          </reference>
        </references>
      </pivotArea>
    </format>
    <format dxfId="1795">
      <pivotArea dataOnly="0" labelOnly="1" fieldPosition="0">
        <references count="5">
          <reference field="0" count="1" selected="0">
            <x v="150"/>
          </reference>
          <reference field="1" count="1" selected="0">
            <x v="143"/>
          </reference>
          <reference field="2" count="1" selected="0">
            <x v="166"/>
          </reference>
          <reference field="3" count="1" selected="0">
            <x v="0"/>
          </reference>
          <reference field="12" count="1">
            <x v="14"/>
          </reference>
        </references>
      </pivotArea>
    </format>
    <format dxfId="1794">
      <pivotArea dataOnly="0" labelOnly="1" fieldPosition="0">
        <references count="5">
          <reference field="0" count="1" selected="0">
            <x v="151"/>
          </reference>
          <reference field="1" count="1" selected="0">
            <x v="144"/>
          </reference>
          <reference field="2" count="1" selected="0">
            <x v="85"/>
          </reference>
          <reference field="3" count="1" selected="0">
            <x v="0"/>
          </reference>
          <reference field="12" count="1">
            <x v="14"/>
          </reference>
        </references>
      </pivotArea>
    </format>
    <format dxfId="1793">
      <pivotArea dataOnly="0" labelOnly="1" fieldPosition="0">
        <references count="5">
          <reference field="0" count="1" selected="0">
            <x v="152"/>
          </reference>
          <reference field="1" count="1" selected="0">
            <x v="145"/>
          </reference>
          <reference field="2" count="1" selected="0">
            <x v="86"/>
          </reference>
          <reference field="3" count="1" selected="0">
            <x v="0"/>
          </reference>
          <reference field="12" count="1">
            <x v="14"/>
          </reference>
        </references>
      </pivotArea>
    </format>
    <format dxfId="1792">
      <pivotArea dataOnly="0" labelOnly="1" fieldPosition="0">
        <references count="5">
          <reference field="0" count="1" selected="0">
            <x v="153"/>
          </reference>
          <reference field="1" count="1" selected="0">
            <x v="146"/>
          </reference>
          <reference field="2" count="1" selected="0">
            <x v="54"/>
          </reference>
          <reference field="3" count="1" selected="0">
            <x v="0"/>
          </reference>
          <reference field="12" count="1">
            <x v="14"/>
          </reference>
        </references>
      </pivotArea>
    </format>
    <format dxfId="1791">
      <pivotArea dataOnly="0" labelOnly="1" fieldPosition="0">
        <references count="5">
          <reference field="0" count="1" selected="0">
            <x v="154"/>
          </reference>
          <reference field="1" count="1" selected="0">
            <x v="147"/>
          </reference>
          <reference field="2" count="1" selected="0">
            <x v="109"/>
          </reference>
          <reference field="3" count="1" selected="0">
            <x v="0"/>
          </reference>
          <reference field="12" count="1">
            <x v="14"/>
          </reference>
        </references>
      </pivotArea>
    </format>
    <format dxfId="1790">
      <pivotArea dataOnly="0" labelOnly="1" fieldPosition="0">
        <references count="5">
          <reference field="0" count="1" selected="0">
            <x v="155"/>
          </reference>
          <reference field="1" count="1" selected="0">
            <x v="148"/>
          </reference>
          <reference field="2" count="1" selected="0">
            <x v="3"/>
          </reference>
          <reference field="3" count="1" selected="0">
            <x v="0"/>
          </reference>
          <reference field="12" count="1">
            <x v="23"/>
          </reference>
        </references>
      </pivotArea>
    </format>
    <format dxfId="1789">
      <pivotArea dataOnly="0" labelOnly="1" fieldPosition="0">
        <references count="5">
          <reference field="0" count="1" selected="0">
            <x v="159"/>
          </reference>
          <reference field="1" count="1" selected="0">
            <x v="183"/>
          </reference>
          <reference field="2" count="1" selected="0">
            <x v="122"/>
          </reference>
          <reference field="3" count="1" selected="0">
            <x v="0"/>
          </reference>
          <reference field="12" count="1">
            <x v="8"/>
          </reference>
        </references>
      </pivotArea>
    </format>
    <format dxfId="1788">
      <pivotArea dataOnly="0" labelOnly="1" fieldPosition="0">
        <references count="5">
          <reference field="0" count="1" selected="0">
            <x v="160"/>
          </reference>
          <reference field="1" count="1" selected="0">
            <x v="184"/>
          </reference>
          <reference field="2" count="1" selected="0">
            <x v="187"/>
          </reference>
          <reference field="3" count="1" selected="0">
            <x v="0"/>
          </reference>
          <reference field="12" count="1">
            <x v="7"/>
          </reference>
        </references>
      </pivotArea>
    </format>
    <format dxfId="1787">
      <pivotArea dataOnly="0" labelOnly="1" fieldPosition="0">
        <references count="5">
          <reference field="0" count="1" selected="0">
            <x v="161"/>
          </reference>
          <reference field="1" count="1" selected="0">
            <x v="185"/>
          </reference>
          <reference field="2" count="1" selected="0">
            <x v="186"/>
          </reference>
          <reference field="3" count="1" selected="0">
            <x v="0"/>
          </reference>
          <reference field="12" count="1">
            <x v="9"/>
          </reference>
        </references>
      </pivotArea>
    </format>
    <format dxfId="1786">
      <pivotArea dataOnly="0" labelOnly="1" fieldPosition="0">
        <references count="5">
          <reference field="0" count="1" selected="0">
            <x v="162"/>
          </reference>
          <reference field="1" count="1" selected="0">
            <x v="186"/>
          </reference>
          <reference field="2" count="1" selected="0">
            <x v="125"/>
          </reference>
          <reference field="3" count="1" selected="0">
            <x v="0"/>
          </reference>
          <reference field="12" count="1">
            <x v="10"/>
          </reference>
        </references>
      </pivotArea>
    </format>
    <format dxfId="1785">
      <pivotArea dataOnly="0" labelOnly="1" fieldPosition="0">
        <references count="5">
          <reference field="0" count="1" selected="0">
            <x v="164"/>
          </reference>
          <reference field="1" count="1" selected="0">
            <x v="188"/>
          </reference>
          <reference field="2" count="1" selected="0">
            <x v="119"/>
          </reference>
          <reference field="3" count="1" selected="0">
            <x v="0"/>
          </reference>
          <reference field="12" count="1">
            <x v="13"/>
          </reference>
        </references>
      </pivotArea>
    </format>
    <format dxfId="1784">
      <pivotArea dataOnly="0" labelOnly="1" fieldPosition="0">
        <references count="5">
          <reference field="0" count="1" selected="0">
            <x v="165"/>
          </reference>
          <reference field="1" count="1" selected="0">
            <x v="189"/>
          </reference>
          <reference field="2" count="1" selected="0">
            <x v="156"/>
          </reference>
          <reference field="3" count="1" selected="0">
            <x v="0"/>
          </reference>
          <reference field="12" count="1">
            <x v="13"/>
          </reference>
        </references>
      </pivotArea>
    </format>
    <format dxfId="1783">
      <pivotArea dataOnly="0" labelOnly="1" fieldPosition="0">
        <references count="5">
          <reference field="0" count="1" selected="0">
            <x v="166"/>
          </reference>
          <reference field="1" count="1" selected="0">
            <x v="190"/>
          </reference>
          <reference field="2" count="1" selected="0">
            <x v="213"/>
          </reference>
          <reference field="3" count="1" selected="0">
            <x v="0"/>
          </reference>
          <reference field="12" count="1">
            <x v="13"/>
          </reference>
        </references>
      </pivotArea>
    </format>
    <format dxfId="1782">
      <pivotArea dataOnly="0" labelOnly="1" fieldPosition="0">
        <references count="5">
          <reference field="0" count="1" selected="0">
            <x v="167"/>
          </reference>
          <reference field="1" count="1" selected="0">
            <x v="199"/>
          </reference>
          <reference field="2" count="1" selected="0">
            <x v="56"/>
          </reference>
          <reference field="3" count="1" selected="0">
            <x v="0"/>
          </reference>
          <reference field="12" count="1">
            <x v="18"/>
          </reference>
        </references>
      </pivotArea>
    </format>
    <format dxfId="1781">
      <pivotArea dataOnly="0" labelOnly="1" fieldPosition="0">
        <references count="5">
          <reference field="0" count="1" selected="0">
            <x v="168"/>
          </reference>
          <reference field="1" count="1" selected="0">
            <x v="200"/>
          </reference>
          <reference field="2" count="1" selected="0">
            <x v="9"/>
          </reference>
          <reference field="3" count="1" selected="0">
            <x v="0"/>
          </reference>
          <reference field="12" count="1">
            <x v="7"/>
          </reference>
        </references>
      </pivotArea>
    </format>
    <format dxfId="1780">
      <pivotArea dataOnly="0" labelOnly="1" fieldPosition="0">
        <references count="5">
          <reference field="0" count="1" selected="0">
            <x v="171"/>
          </reference>
          <reference field="1" count="1" selected="0">
            <x v="203"/>
          </reference>
          <reference field="2" count="1" selected="0">
            <x v="10"/>
          </reference>
          <reference field="3" count="1" selected="0">
            <x v="0"/>
          </reference>
          <reference field="12" count="1">
            <x v="9"/>
          </reference>
        </references>
      </pivotArea>
    </format>
    <format dxfId="1779">
      <pivotArea dataOnly="0" labelOnly="1" fieldPosition="0">
        <references count="5">
          <reference field="0" count="1" selected="0">
            <x v="172"/>
          </reference>
          <reference field="1" count="1" selected="0">
            <x v="204"/>
          </reference>
          <reference field="2" count="1" selected="0">
            <x v="216"/>
          </reference>
          <reference field="3" count="1" selected="0">
            <x v="0"/>
          </reference>
          <reference field="12" count="1">
            <x v="2"/>
          </reference>
        </references>
      </pivotArea>
    </format>
    <format dxfId="1778">
      <pivotArea dataOnly="0" labelOnly="1" fieldPosition="0">
        <references count="5">
          <reference field="0" count="1" selected="0">
            <x v="173"/>
          </reference>
          <reference field="1" count="1" selected="0">
            <x v="205"/>
          </reference>
          <reference field="2" count="1" selected="0">
            <x v="94"/>
          </reference>
          <reference field="3" count="1" selected="0">
            <x v="0"/>
          </reference>
          <reference field="12" count="1">
            <x v="20"/>
          </reference>
        </references>
      </pivotArea>
    </format>
    <format dxfId="1777">
      <pivotArea dataOnly="0" labelOnly="1" fieldPosition="0">
        <references count="5">
          <reference field="0" count="1" selected="0">
            <x v="175"/>
          </reference>
          <reference field="1" count="1" selected="0">
            <x v="207"/>
          </reference>
          <reference field="2" count="1" selected="0">
            <x v="172"/>
          </reference>
          <reference field="3" count="1" selected="0">
            <x v="0"/>
          </reference>
          <reference field="12" count="1">
            <x v="21"/>
          </reference>
        </references>
      </pivotArea>
    </format>
    <format dxfId="1776">
      <pivotArea dataOnly="0" labelOnly="1" fieldPosition="0">
        <references count="5">
          <reference field="0" count="1" selected="0">
            <x v="176"/>
          </reference>
          <reference field="1" count="1" selected="0">
            <x v="208"/>
          </reference>
          <reference field="2" count="1" selected="0">
            <x v="215"/>
          </reference>
          <reference field="3" count="1" selected="0">
            <x v="0"/>
          </reference>
          <reference field="12" count="1">
            <x v="20"/>
          </reference>
        </references>
      </pivotArea>
    </format>
    <format dxfId="1775">
      <pivotArea dataOnly="0" labelOnly="1" fieldPosition="0">
        <references count="5">
          <reference field="0" count="1" selected="0">
            <x v="177"/>
          </reference>
          <reference field="1" count="1" selected="0">
            <x v="209"/>
          </reference>
          <reference field="2" count="1" selected="0">
            <x v="114"/>
          </reference>
          <reference field="3" count="1" selected="0">
            <x v="0"/>
          </reference>
          <reference field="12" count="1">
            <x v="20"/>
          </reference>
        </references>
      </pivotArea>
    </format>
    <format dxfId="1774">
      <pivotArea dataOnly="0" labelOnly="1" fieldPosition="0">
        <references count="5">
          <reference field="0" count="1" selected="0">
            <x v="178"/>
          </reference>
          <reference field="1" count="1" selected="0">
            <x v="210"/>
          </reference>
          <reference field="2" count="1" selected="0">
            <x v="11"/>
          </reference>
          <reference field="3" count="1" selected="0">
            <x v="0"/>
          </reference>
          <reference field="12" count="1">
            <x v="20"/>
          </reference>
        </references>
      </pivotArea>
    </format>
    <format dxfId="1773">
      <pivotArea dataOnly="0" labelOnly="1" fieldPosition="0">
        <references count="5">
          <reference field="0" count="1" selected="0">
            <x v="179"/>
          </reference>
          <reference field="1" count="1" selected="0">
            <x v="211"/>
          </reference>
          <reference field="2" count="1" selected="0">
            <x v="96"/>
          </reference>
          <reference field="3" count="1" selected="0">
            <x v="0"/>
          </reference>
          <reference field="12" count="1">
            <x v="20"/>
          </reference>
        </references>
      </pivotArea>
    </format>
    <format dxfId="1772">
      <pivotArea dataOnly="0" labelOnly="1" fieldPosition="0">
        <references count="5">
          <reference field="0" count="1" selected="0">
            <x v="180"/>
          </reference>
          <reference field="1" count="1" selected="0">
            <x v="212"/>
          </reference>
          <reference field="2" count="1" selected="0">
            <x v="97"/>
          </reference>
          <reference field="3" count="1" selected="0">
            <x v="0"/>
          </reference>
          <reference field="12" count="1">
            <x v="14"/>
          </reference>
        </references>
      </pivotArea>
    </format>
    <format dxfId="1771">
      <pivotArea dataOnly="0" labelOnly="1" fieldPosition="0">
        <references count="5">
          <reference field="0" count="1" selected="0">
            <x v="181"/>
          </reference>
          <reference field="1" count="1" selected="0">
            <x v="213"/>
          </reference>
          <reference field="2" count="1" selected="0">
            <x v="234"/>
          </reference>
          <reference field="3" count="1" selected="0">
            <x v="0"/>
          </reference>
          <reference field="12" count="1">
            <x v="14"/>
          </reference>
        </references>
      </pivotArea>
    </format>
    <format dxfId="1770">
      <pivotArea dataOnly="0" labelOnly="1" fieldPosition="0">
        <references count="5">
          <reference field="0" count="1" selected="0">
            <x v="182"/>
          </reference>
          <reference field="1" count="1" selected="0">
            <x v="214"/>
          </reference>
          <reference field="2" count="1" selected="0">
            <x v="235"/>
          </reference>
          <reference field="3" count="1" selected="0">
            <x v="0"/>
          </reference>
          <reference field="12" count="1">
            <x v="7"/>
          </reference>
        </references>
      </pivotArea>
    </format>
    <format dxfId="1769">
      <pivotArea dataOnly="0" labelOnly="1" fieldPosition="0">
        <references count="5">
          <reference field="0" count="1" selected="0">
            <x v="183"/>
          </reference>
          <reference field="1" count="1" selected="0">
            <x v="215"/>
          </reference>
          <reference field="2" count="1" selected="0">
            <x v="206"/>
          </reference>
          <reference field="3" count="1" selected="0">
            <x v="0"/>
          </reference>
          <reference field="12" count="1">
            <x v="14"/>
          </reference>
        </references>
      </pivotArea>
    </format>
    <format dxfId="1768">
      <pivotArea dataOnly="0" labelOnly="1" fieldPosition="0">
        <references count="5">
          <reference field="0" count="1" selected="0">
            <x v="184"/>
          </reference>
          <reference field="1" count="1" selected="0">
            <x v="216"/>
          </reference>
          <reference field="2" count="1" selected="0">
            <x v="111"/>
          </reference>
          <reference field="3" count="1" selected="0">
            <x v="0"/>
          </reference>
          <reference field="12" count="1">
            <x v="22"/>
          </reference>
        </references>
      </pivotArea>
    </format>
    <format dxfId="1767">
      <pivotArea dataOnly="0" labelOnly="1" fieldPosition="0">
        <references count="5">
          <reference field="0" count="1" selected="0">
            <x v="185"/>
          </reference>
          <reference field="1" count="1" selected="0">
            <x v="217"/>
          </reference>
          <reference field="2" count="1" selected="0">
            <x v="113"/>
          </reference>
          <reference field="3" count="1" selected="0">
            <x v="0"/>
          </reference>
          <reference field="12" count="1">
            <x v="12"/>
          </reference>
        </references>
      </pivotArea>
    </format>
    <format dxfId="1766">
      <pivotArea dataOnly="0" labelOnly="1" fieldPosition="0">
        <references count="5">
          <reference field="0" count="1" selected="0">
            <x v="186"/>
          </reference>
          <reference field="1" count="1" selected="0">
            <x v="218"/>
          </reference>
          <reference field="2" count="1" selected="0">
            <x v="93"/>
          </reference>
          <reference field="3" count="1" selected="0">
            <x v="0"/>
          </reference>
          <reference field="12" count="1">
            <x v="12"/>
          </reference>
        </references>
      </pivotArea>
    </format>
    <format dxfId="1765">
      <pivotArea dataOnly="0" labelOnly="1" fieldPosition="0">
        <references count="5">
          <reference field="0" count="1" selected="0">
            <x v="187"/>
          </reference>
          <reference field="1" count="1" selected="0">
            <x v="219"/>
          </reference>
          <reference field="2" count="1" selected="0">
            <x v="104"/>
          </reference>
          <reference field="3" count="1" selected="0">
            <x v="0"/>
          </reference>
          <reference field="12" count="1">
            <x v="12"/>
          </reference>
        </references>
      </pivotArea>
    </format>
    <format dxfId="1764">
      <pivotArea dataOnly="0" labelOnly="1" fieldPosition="0">
        <references count="5">
          <reference field="0" count="1" selected="0">
            <x v="188"/>
          </reference>
          <reference field="1" count="1" selected="0">
            <x v="220"/>
          </reference>
          <reference field="2" count="1" selected="0">
            <x v="196"/>
          </reference>
          <reference field="3" count="1" selected="0">
            <x v="0"/>
          </reference>
          <reference field="12" count="1">
            <x v="12"/>
          </reference>
        </references>
      </pivotArea>
    </format>
    <format dxfId="1763">
      <pivotArea dataOnly="0" labelOnly="1" fieldPosition="0">
        <references count="5">
          <reference field="0" count="1" selected="0">
            <x v="189"/>
          </reference>
          <reference field="1" count="1" selected="0">
            <x v="221"/>
          </reference>
          <reference field="2" count="1" selected="0">
            <x v="182"/>
          </reference>
          <reference field="3" count="1" selected="0">
            <x v="0"/>
          </reference>
          <reference field="12" count="1">
            <x v="12"/>
          </reference>
        </references>
      </pivotArea>
    </format>
    <format dxfId="1762">
      <pivotArea dataOnly="0" labelOnly="1" fieldPosition="0">
        <references count="5">
          <reference field="0" count="1" selected="0">
            <x v="192"/>
          </reference>
          <reference field="1" count="1" selected="0">
            <x v="224"/>
          </reference>
          <reference field="2" count="1" selected="0">
            <x v="80"/>
          </reference>
          <reference field="3" count="1" selected="0">
            <x v="0"/>
          </reference>
          <reference field="12" count="1">
            <x v="7"/>
          </reference>
        </references>
      </pivotArea>
    </format>
    <format dxfId="1761">
      <pivotArea dataOnly="0" labelOnly="1" fieldPosition="0">
        <references count="5">
          <reference field="0" count="1" selected="0">
            <x v="193"/>
          </reference>
          <reference field="1" count="1" selected="0">
            <x v="225"/>
          </reference>
          <reference field="2" count="1" selected="0">
            <x v="238"/>
          </reference>
          <reference field="3" count="1" selected="0">
            <x v="0"/>
          </reference>
          <reference field="12" count="1">
            <x v="7"/>
          </reference>
        </references>
      </pivotArea>
    </format>
    <format dxfId="1760">
      <pivotArea dataOnly="0" labelOnly="1" fieldPosition="0">
        <references count="5">
          <reference field="0" count="1" selected="0">
            <x v="197"/>
          </reference>
          <reference field="1" count="1" selected="0">
            <x v="236"/>
          </reference>
          <reference field="2" count="1" selected="0">
            <x v="102"/>
          </reference>
          <reference field="3" count="1" selected="0">
            <x v="0"/>
          </reference>
          <reference field="12" count="1">
            <x v="18"/>
          </reference>
        </references>
      </pivotArea>
    </format>
    <format dxfId="1759">
      <pivotArea dataOnly="0" labelOnly="1" fieldPosition="0">
        <references count="5">
          <reference field="0" count="1" selected="0">
            <x v="199"/>
          </reference>
          <reference field="1" count="1" selected="0">
            <x v="238"/>
          </reference>
          <reference field="2" count="1" selected="0">
            <x v="33"/>
          </reference>
          <reference field="3" count="1" selected="0">
            <x v="0"/>
          </reference>
          <reference field="12" count="1">
            <x v="20"/>
          </reference>
        </references>
      </pivotArea>
    </format>
    <format dxfId="1758">
      <pivotArea dataOnly="0" labelOnly="1" fieldPosition="0">
        <references count="5">
          <reference field="0" count="1" selected="0">
            <x v="200"/>
          </reference>
          <reference field="1" count="1" selected="0">
            <x v="239"/>
          </reference>
          <reference field="2" count="1" selected="0">
            <x v="34"/>
          </reference>
          <reference field="3" count="1" selected="0">
            <x v="0"/>
          </reference>
          <reference field="12" count="1">
            <x v="20"/>
          </reference>
        </references>
      </pivotArea>
    </format>
    <format dxfId="1757">
      <pivotArea dataOnly="0" labelOnly="1" fieldPosition="0">
        <references count="5">
          <reference field="0" count="1" selected="0">
            <x v="201"/>
          </reference>
          <reference field="1" count="1" selected="0">
            <x v="240"/>
          </reference>
          <reference field="2" count="1" selected="0">
            <x v="37"/>
          </reference>
          <reference field="3" count="1" selected="0">
            <x v="0"/>
          </reference>
          <reference field="12" count="1">
            <x v="20"/>
          </reference>
        </references>
      </pivotArea>
    </format>
    <format dxfId="1756">
      <pivotArea dataOnly="0" labelOnly="1" fieldPosition="0">
        <references count="5">
          <reference field="0" count="1" selected="0">
            <x v="204"/>
          </reference>
          <reference field="1" count="1" selected="0">
            <x v="149"/>
          </reference>
          <reference field="2" count="1" selected="0">
            <x v="117"/>
          </reference>
          <reference field="3" count="1" selected="0">
            <x v="0"/>
          </reference>
          <reference field="12" count="1">
            <x v="12"/>
          </reference>
        </references>
      </pivotArea>
    </format>
    <format dxfId="1755">
      <pivotArea dataOnly="0" labelOnly="1" fieldPosition="0">
        <references count="5">
          <reference field="0" count="1" selected="0">
            <x v="206"/>
          </reference>
          <reference field="1" count="1" selected="0">
            <x v="151"/>
          </reference>
          <reference field="2" count="1" selected="0">
            <x v="159"/>
          </reference>
          <reference field="3" count="1" selected="0">
            <x v="0"/>
          </reference>
          <reference field="12" count="1">
            <x v="12"/>
          </reference>
        </references>
      </pivotArea>
    </format>
    <format dxfId="1754">
      <pivotArea dataOnly="0" labelOnly="1" fieldPosition="0">
        <references count="5">
          <reference field="0" count="1" selected="0">
            <x v="207"/>
          </reference>
          <reference field="1" count="1" selected="0">
            <x v="152"/>
          </reference>
          <reference field="2" count="1" selected="0">
            <x v="81"/>
          </reference>
          <reference field="3" count="1" selected="0">
            <x v="0"/>
          </reference>
          <reference field="12" count="1">
            <x v="7"/>
          </reference>
        </references>
      </pivotArea>
    </format>
    <format dxfId="1753">
      <pivotArea dataOnly="0" labelOnly="1" fieldPosition="0">
        <references count="5">
          <reference field="0" count="1" selected="0">
            <x v="208"/>
          </reference>
          <reference field="1" count="1" selected="0">
            <x v="153"/>
          </reference>
          <reference field="2" count="1" selected="0">
            <x v="103"/>
          </reference>
          <reference field="3" count="1" selected="0">
            <x v="0"/>
          </reference>
          <reference field="12" count="1">
            <x v="14"/>
          </reference>
        </references>
      </pivotArea>
    </format>
    <format dxfId="1752">
      <pivotArea dataOnly="0" labelOnly="1" fieldPosition="0">
        <references count="5">
          <reference field="0" count="1" selected="0">
            <x v="209"/>
          </reference>
          <reference field="1" count="1" selected="0">
            <x v="154"/>
          </reference>
          <reference field="2" count="1" selected="0">
            <x v="98"/>
          </reference>
          <reference field="3" count="1" selected="0">
            <x v="0"/>
          </reference>
          <reference field="12" count="1">
            <x v="14"/>
          </reference>
        </references>
      </pivotArea>
    </format>
    <format dxfId="1751">
      <pivotArea dataOnly="0" labelOnly="1" fieldPosition="0">
        <references count="5">
          <reference field="0" count="1" selected="0">
            <x v="210"/>
          </reference>
          <reference field="1" count="1" selected="0">
            <x v="155"/>
          </reference>
          <reference field="2" count="1" selected="0">
            <x v="162"/>
          </reference>
          <reference field="3" count="1" selected="0">
            <x v="0"/>
          </reference>
          <reference field="12" count="1">
            <x v="7"/>
          </reference>
        </references>
      </pivotArea>
    </format>
    <format dxfId="1750">
      <pivotArea dataOnly="0" labelOnly="1" fieldPosition="0">
        <references count="5">
          <reference field="0" count="1" selected="0">
            <x v="211"/>
          </reference>
          <reference field="1" count="1" selected="0">
            <x v="156"/>
          </reference>
          <reference field="2" count="1" selected="0">
            <x v="164"/>
          </reference>
          <reference field="3" count="1" selected="0">
            <x v="0"/>
          </reference>
          <reference field="12" count="1">
            <x v="20"/>
          </reference>
        </references>
      </pivotArea>
    </format>
    <format dxfId="1749">
      <pivotArea dataOnly="0" labelOnly="1" fieldPosition="0">
        <references count="5">
          <reference field="0" count="1" selected="0">
            <x v="212"/>
          </reference>
          <reference field="1" count="1" selected="0">
            <x v="157"/>
          </reference>
          <reference field="2" count="1" selected="0">
            <x v="170"/>
          </reference>
          <reference field="3" count="1" selected="0">
            <x v="0"/>
          </reference>
          <reference field="12" count="1">
            <x v="20"/>
          </reference>
        </references>
      </pivotArea>
    </format>
    <format dxfId="1748">
      <pivotArea dataOnly="0" labelOnly="1" fieldPosition="0">
        <references count="5">
          <reference field="0" count="1" selected="0">
            <x v="214"/>
          </reference>
          <reference field="1" count="1" selected="0">
            <x v="159"/>
          </reference>
          <reference field="2" count="1" selected="0">
            <x v="139"/>
          </reference>
          <reference field="3" count="1" selected="0">
            <x v="0"/>
          </reference>
          <reference field="12" count="1">
            <x v="10"/>
          </reference>
        </references>
      </pivotArea>
    </format>
    <format dxfId="1747">
      <pivotArea dataOnly="0" labelOnly="1" fieldPosition="0">
        <references count="5">
          <reference field="0" count="1" selected="0">
            <x v="215"/>
          </reference>
          <reference field="1" count="1" selected="0">
            <x v="160"/>
          </reference>
          <reference field="2" count="1" selected="0">
            <x v="137"/>
          </reference>
          <reference field="3" count="1" selected="0">
            <x v="0"/>
          </reference>
          <reference field="12" count="1">
            <x v="10"/>
          </reference>
        </references>
      </pivotArea>
    </format>
    <format dxfId="1746">
      <pivotArea dataOnly="0" labelOnly="1" fieldPosition="0">
        <references count="5">
          <reference field="0" count="1" selected="0">
            <x v="216"/>
          </reference>
          <reference field="1" count="1" selected="0">
            <x v="161"/>
          </reference>
          <reference field="2" count="1" selected="0">
            <x v="136"/>
          </reference>
          <reference field="3" count="1" selected="0">
            <x v="0"/>
          </reference>
          <reference field="12" count="1">
            <x v="10"/>
          </reference>
        </references>
      </pivotArea>
    </format>
    <format dxfId="1745">
      <pivotArea dataOnly="0" labelOnly="1" fieldPosition="0">
        <references count="5">
          <reference field="0" count="1" selected="0">
            <x v="217"/>
          </reference>
          <reference field="1" count="1" selected="0">
            <x v="162"/>
          </reference>
          <reference field="2" count="1" selected="0">
            <x v="13"/>
          </reference>
          <reference field="3" count="1" selected="0">
            <x v="0"/>
          </reference>
          <reference field="12" count="1">
            <x v="10"/>
          </reference>
        </references>
      </pivotArea>
    </format>
    <format dxfId="1744">
      <pivotArea dataOnly="0" labelOnly="1" fieldPosition="0">
        <references count="5">
          <reference field="0" count="1" selected="0">
            <x v="218"/>
          </reference>
          <reference field="1" count="1" selected="0">
            <x v="163"/>
          </reference>
          <reference field="2" count="1" selected="0">
            <x v="179"/>
          </reference>
          <reference field="3" count="1" selected="0">
            <x v="0"/>
          </reference>
          <reference field="12" count="1">
            <x v="10"/>
          </reference>
        </references>
      </pivotArea>
    </format>
    <format dxfId="1743">
      <pivotArea dataOnly="0" labelOnly="1" fieldPosition="0">
        <references count="5">
          <reference field="0" count="1" selected="0">
            <x v="219"/>
          </reference>
          <reference field="1" count="1" selected="0">
            <x v="164"/>
          </reference>
          <reference field="2" count="1" selected="0">
            <x v="138"/>
          </reference>
          <reference field="3" count="1" selected="0">
            <x v="0"/>
          </reference>
          <reference field="12" count="1">
            <x v="10"/>
          </reference>
        </references>
      </pivotArea>
    </format>
    <format dxfId="1742">
      <pivotArea dataOnly="0" labelOnly="1" fieldPosition="0">
        <references count="5">
          <reference field="0" count="1" selected="0">
            <x v="220"/>
          </reference>
          <reference field="1" count="1" selected="0">
            <x v="165"/>
          </reference>
          <reference field="2" count="1" selected="0">
            <x v="142"/>
          </reference>
          <reference field="3" count="1" selected="0">
            <x v="0"/>
          </reference>
          <reference field="12" count="1">
            <x v="11"/>
          </reference>
        </references>
      </pivotArea>
    </format>
    <format dxfId="1741">
      <pivotArea dataOnly="0" labelOnly="1" fieldPosition="0">
        <references count="5">
          <reference field="0" count="1" selected="0">
            <x v="221"/>
          </reference>
          <reference field="1" count="1" selected="0">
            <x v="166"/>
          </reference>
          <reference field="2" count="1" selected="0">
            <x v="143"/>
          </reference>
          <reference field="3" count="1" selected="0">
            <x v="0"/>
          </reference>
          <reference field="12" count="1">
            <x v="10"/>
          </reference>
        </references>
      </pivotArea>
    </format>
    <format dxfId="1740">
      <pivotArea dataOnly="0" labelOnly="1" fieldPosition="0">
        <references count="5">
          <reference field="0" count="1" selected="0">
            <x v="223"/>
          </reference>
          <reference field="1" count="1" selected="0">
            <x v="168"/>
          </reference>
          <reference field="2" count="1" selected="0">
            <x v="71"/>
          </reference>
          <reference field="3" count="1" selected="0">
            <x v="0"/>
          </reference>
          <reference field="12" count="1">
            <x v="24"/>
          </reference>
        </references>
      </pivotArea>
    </format>
    <format dxfId="1739">
      <pivotArea dataOnly="0" labelOnly="1" fieldPosition="0">
        <references count="5">
          <reference field="0" count="1" selected="0">
            <x v="224"/>
          </reference>
          <reference field="1" count="1" selected="0">
            <x v="169"/>
          </reference>
          <reference field="2" count="1" selected="0">
            <x v="121"/>
          </reference>
          <reference field="3" count="1" selected="0">
            <x v="0"/>
          </reference>
          <reference field="12" count="1">
            <x v="23"/>
          </reference>
        </references>
      </pivotArea>
    </format>
    <format dxfId="1738">
      <pivotArea dataOnly="0" labelOnly="1" fieldPosition="0">
        <references count="5">
          <reference field="0" count="1" selected="0">
            <x v="225"/>
          </reference>
          <reference field="1" count="1" selected="0">
            <x v="170"/>
          </reference>
          <reference field="2" count="1" selected="0">
            <x v="120"/>
          </reference>
          <reference field="3" count="1" selected="0">
            <x v="0"/>
          </reference>
          <reference field="12" count="1">
            <x v="23"/>
          </reference>
        </references>
      </pivotArea>
    </format>
    <format dxfId="1737">
      <pivotArea dataOnly="0" labelOnly="1" fieldPosition="0">
        <references count="5">
          <reference field="0" count="1" selected="0">
            <x v="226"/>
          </reference>
          <reference field="1" count="1" selected="0">
            <x v="171"/>
          </reference>
          <reference field="2" count="1" selected="0">
            <x v="41"/>
          </reference>
          <reference field="3" count="1" selected="0">
            <x v="0"/>
          </reference>
          <reference field="12" count="1">
            <x v="23"/>
          </reference>
        </references>
      </pivotArea>
    </format>
    <format dxfId="1736">
      <pivotArea dataOnly="0" labelOnly="1" fieldPosition="0">
        <references count="5">
          <reference field="0" count="1" selected="0">
            <x v="227"/>
          </reference>
          <reference field="1" count="1" selected="0">
            <x v="172"/>
          </reference>
          <reference field="2" count="1" selected="0">
            <x v="42"/>
          </reference>
          <reference field="3" count="1" selected="0">
            <x v="0"/>
          </reference>
          <reference field="12" count="1">
            <x v="23"/>
          </reference>
        </references>
      </pivotArea>
    </format>
    <format dxfId="1735">
      <pivotArea dataOnly="0" labelOnly="1" fieldPosition="0">
        <references count="5">
          <reference field="0" count="1" selected="0">
            <x v="228"/>
          </reference>
          <reference field="1" count="1" selected="0">
            <x v="173"/>
          </reference>
          <reference field="2" count="1" selected="0">
            <x v="145"/>
          </reference>
          <reference field="3" count="1" selected="0">
            <x v="0"/>
          </reference>
          <reference field="12" count="1">
            <x v="3"/>
          </reference>
        </references>
      </pivotArea>
    </format>
    <format dxfId="1734">
      <pivotArea dataOnly="0" labelOnly="1" fieldPosition="0">
        <references count="5">
          <reference field="0" count="1" selected="0">
            <x v="229"/>
          </reference>
          <reference field="1" count="1" selected="0">
            <x v="174"/>
          </reference>
          <reference field="2" count="1" selected="0">
            <x v="91"/>
          </reference>
          <reference field="3" count="1" selected="0">
            <x v="0"/>
          </reference>
          <reference field="12" count="1">
            <x v="3"/>
          </reference>
        </references>
      </pivotArea>
    </format>
    <format dxfId="1733">
      <pivotArea dataOnly="0" labelOnly="1" fieldPosition="0">
        <references count="5">
          <reference field="0" count="1" selected="0">
            <x v="230"/>
          </reference>
          <reference field="1" count="1" selected="0">
            <x v="175"/>
          </reference>
          <reference field="2" count="1" selected="0">
            <x v="160"/>
          </reference>
          <reference field="3" count="1" selected="0">
            <x v="0"/>
          </reference>
          <reference field="12" count="1">
            <x v="3"/>
          </reference>
        </references>
      </pivotArea>
    </format>
    <format dxfId="1732">
      <pivotArea dataOnly="0" labelOnly="1" fieldPosition="0">
        <references count="5">
          <reference field="0" count="1" selected="0">
            <x v="231"/>
          </reference>
          <reference field="1" count="1" selected="0">
            <x v="176"/>
          </reference>
          <reference field="2" count="1" selected="0">
            <x v="42"/>
          </reference>
          <reference field="3" count="1" selected="0">
            <x v="0"/>
          </reference>
          <reference field="12" count="1">
            <x v="3"/>
          </reference>
        </references>
      </pivotArea>
    </format>
    <format dxfId="1731">
      <pivotArea dataOnly="0" labelOnly="1" fieldPosition="0">
        <references count="5">
          <reference field="0" count="1" selected="0">
            <x v="232"/>
          </reference>
          <reference field="1" count="1" selected="0">
            <x v="177"/>
          </reference>
          <reference field="2" count="1" selected="0">
            <x v="47"/>
          </reference>
          <reference field="3" count="1" selected="0">
            <x v="0"/>
          </reference>
          <reference field="12" count="1">
            <x v="3"/>
          </reference>
        </references>
      </pivotArea>
    </format>
    <format dxfId="1730">
      <pivotArea dataOnly="0" labelOnly="1" fieldPosition="0">
        <references count="5">
          <reference field="0" count="1" selected="0">
            <x v="233"/>
          </reference>
          <reference field="1" count="1" selected="0">
            <x v="178"/>
          </reference>
          <reference field="2" count="1" selected="0">
            <x v="32"/>
          </reference>
          <reference field="3" count="1" selected="0">
            <x v="0"/>
          </reference>
          <reference field="12" count="1">
            <x v="3"/>
          </reference>
        </references>
      </pivotArea>
    </format>
    <format dxfId="1729">
      <pivotArea dataOnly="0" labelOnly="1" fieldPosition="0">
        <references count="5">
          <reference field="0" count="1" selected="0">
            <x v="234"/>
          </reference>
          <reference field="1" count="1" selected="0">
            <x v="179"/>
          </reference>
          <reference field="2" count="1" selected="0">
            <x v="163"/>
          </reference>
          <reference field="3" count="1" selected="0">
            <x v="0"/>
          </reference>
          <reference field="12" count="1">
            <x v="28"/>
          </reference>
        </references>
      </pivotArea>
    </format>
    <format dxfId="1728">
      <pivotArea dataOnly="0" labelOnly="1" fieldPosition="0">
        <references count="5">
          <reference field="0" count="1" selected="0">
            <x v="235"/>
          </reference>
          <reference field="1" count="1" selected="0">
            <x v="191"/>
          </reference>
          <reference field="2" count="1" selected="0">
            <x v="155"/>
          </reference>
          <reference field="3" count="1" selected="0">
            <x v="0"/>
          </reference>
          <reference field="12" count="1">
            <x v="3"/>
          </reference>
        </references>
      </pivotArea>
    </format>
    <format dxfId="1727">
      <pivotArea dataOnly="0" labelOnly="1" fieldPosition="0">
        <references count="5">
          <reference field="0" count="1" selected="0">
            <x v="236"/>
          </reference>
          <reference field="1" count="1" selected="0">
            <x v="192"/>
          </reference>
          <reference field="2" count="1" selected="0">
            <x v="27"/>
          </reference>
          <reference field="3" count="1" selected="0">
            <x v="0"/>
          </reference>
          <reference field="12" count="1">
            <x v="3"/>
          </reference>
        </references>
      </pivotArea>
    </format>
    <format dxfId="1726">
      <pivotArea dataOnly="0" labelOnly="1" fieldPosition="0">
        <references count="5">
          <reference field="0" count="1" selected="0">
            <x v="237"/>
          </reference>
          <reference field="1" count="1" selected="0">
            <x v="193"/>
          </reference>
          <reference field="2" count="1" selected="0">
            <x v="89"/>
          </reference>
          <reference field="3" count="1" selected="0">
            <x v="0"/>
          </reference>
          <reference field="12" count="1">
            <x v="3"/>
          </reference>
        </references>
      </pivotArea>
    </format>
    <format dxfId="1725">
      <pivotArea dataOnly="0" labelOnly="1" fieldPosition="0">
        <references count="5">
          <reference field="0" count="1" selected="0">
            <x v="238"/>
          </reference>
          <reference field="1" count="1" selected="0">
            <x v="194"/>
          </reference>
          <reference field="2" count="1" selected="0">
            <x v="25"/>
          </reference>
          <reference field="3" count="1" selected="0">
            <x v="0"/>
          </reference>
          <reference field="12" count="1">
            <x v="0"/>
          </reference>
        </references>
      </pivotArea>
    </format>
    <format dxfId="1724">
      <pivotArea dataOnly="0" labelOnly="1" fieldPosition="0">
        <references count="5">
          <reference field="0" count="1" selected="0">
            <x v="239"/>
          </reference>
          <reference field="1" count="1" selected="0">
            <x v="195"/>
          </reference>
          <reference field="2" count="1" selected="0">
            <x v="28"/>
          </reference>
          <reference field="3" count="1" selected="0">
            <x v="0"/>
          </reference>
          <reference field="12" count="1">
            <x v="0"/>
          </reference>
        </references>
      </pivotArea>
    </format>
    <format dxfId="1723">
      <pivotArea dataOnly="0" labelOnly="1" fieldPosition="0">
        <references count="5">
          <reference field="0" count="1" selected="0">
            <x v="240"/>
          </reference>
          <reference field="1" count="1" selected="0">
            <x v="196"/>
          </reference>
          <reference field="2" count="1" selected="0">
            <x v="40"/>
          </reference>
          <reference field="3" count="1" selected="0">
            <x v="0"/>
          </reference>
          <reference field="12" count="1">
            <x v="3"/>
          </reference>
        </references>
      </pivotArea>
    </format>
    <format dxfId="1722">
      <pivotArea dataOnly="0" labelOnly="1" fieldPosition="0">
        <references count="5">
          <reference field="0" count="1" selected="0">
            <x v="241"/>
          </reference>
          <reference field="1" count="1" selected="0">
            <x v="197"/>
          </reference>
          <reference field="2" count="1" selected="0">
            <x v="195"/>
          </reference>
          <reference field="3" count="1" selected="0">
            <x v="0"/>
          </reference>
          <reference field="12" count="1">
            <x v="0"/>
          </reference>
        </references>
      </pivotArea>
    </format>
    <format dxfId="1721">
      <pivotArea dataOnly="0" labelOnly="1" fieldPosition="0">
        <references count="5">
          <reference field="0" count="1" selected="0">
            <x v="242"/>
          </reference>
          <reference field="1" count="1" selected="0">
            <x v="198"/>
          </reference>
          <reference field="2" count="1" selected="0">
            <x v="132"/>
          </reference>
          <reference field="3" count="1" selected="0">
            <x v="0"/>
          </reference>
          <reference field="12" count="1">
            <x v="6"/>
          </reference>
        </references>
      </pivotArea>
    </format>
    <format dxfId="1720">
      <pivotArea dataOnly="0" labelOnly="1" fieldPosition="0">
        <references count="6">
          <reference field="0" count="1" selected="0">
            <x v="0"/>
          </reference>
          <reference field="1" count="1" selected="0">
            <x v="228"/>
          </reference>
          <reference field="2" count="1" selected="0">
            <x v="153"/>
          </reference>
          <reference field="3" count="1" selected="0">
            <x v="0"/>
          </reference>
          <reference field="12" count="1" selected="0">
            <x v="7"/>
          </reference>
          <reference field="13" count="1">
            <x v="24"/>
          </reference>
        </references>
      </pivotArea>
    </format>
    <format dxfId="1719">
      <pivotArea dataOnly="0" labelOnly="1" fieldPosition="0">
        <references count="6">
          <reference field="0" count="1" selected="0">
            <x v="2"/>
          </reference>
          <reference field="1" count="1" selected="0">
            <x v="230"/>
          </reference>
          <reference field="2" count="1" selected="0">
            <x v="225"/>
          </reference>
          <reference field="3" count="1" selected="0">
            <x v="0"/>
          </reference>
          <reference field="12" count="1" selected="0">
            <x v="7"/>
          </reference>
          <reference field="13" count="1">
            <x v="0"/>
          </reference>
        </references>
      </pivotArea>
    </format>
    <format dxfId="1718">
      <pivotArea dataOnly="0" labelOnly="1" fieldPosition="0">
        <references count="6">
          <reference field="0" count="1" selected="0">
            <x v="3"/>
          </reference>
          <reference field="1" count="1" selected="0">
            <x v="231"/>
          </reference>
          <reference field="2" count="1" selected="0">
            <x v="88"/>
          </reference>
          <reference field="3" count="1" selected="0">
            <x v="0"/>
          </reference>
          <reference field="12" count="1" selected="0">
            <x v="3"/>
          </reference>
          <reference field="13" count="1">
            <x v="0"/>
          </reference>
        </references>
      </pivotArea>
    </format>
    <format dxfId="1717">
      <pivotArea dataOnly="0" labelOnly="1" fieldPosition="0">
        <references count="6">
          <reference field="0" count="1" selected="0">
            <x v="4"/>
          </reference>
          <reference field="1" count="1" selected="0">
            <x v="232"/>
          </reference>
          <reference field="2" count="1" selected="0">
            <x v="90"/>
          </reference>
          <reference field="3" count="1" selected="0">
            <x v="0"/>
          </reference>
          <reference field="12" count="1" selected="0">
            <x v="3"/>
          </reference>
          <reference field="13" count="1">
            <x v="0"/>
          </reference>
        </references>
      </pivotArea>
    </format>
    <format dxfId="1716">
      <pivotArea dataOnly="0" labelOnly="1" fieldPosition="0">
        <references count="6">
          <reference field="0" count="1" selected="0">
            <x v="5"/>
          </reference>
          <reference field="1" count="1" selected="0">
            <x v="233"/>
          </reference>
          <reference field="2" count="1" selected="0">
            <x v="224"/>
          </reference>
          <reference field="3" count="1" selected="0">
            <x v="0"/>
          </reference>
          <reference field="12" count="1" selected="0">
            <x v="7"/>
          </reference>
          <reference field="13" count="1">
            <x v="0"/>
          </reference>
        </references>
      </pivotArea>
    </format>
    <format dxfId="1715">
      <pivotArea dataOnly="0" labelOnly="1" fieldPosition="0">
        <references count="6">
          <reference field="0" count="1" selected="0">
            <x v="7"/>
          </reference>
          <reference field="1" count="1" selected="0">
            <x v="118"/>
          </reference>
          <reference field="2" count="1" selected="0">
            <x v="171"/>
          </reference>
          <reference field="3" count="1" selected="0">
            <x v="0"/>
          </reference>
          <reference field="12" count="1" selected="0">
            <x v="0"/>
          </reference>
          <reference field="13" count="1">
            <x v="0"/>
          </reference>
        </references>
      </pivotArea>
    </format>
    <format dxfId="1714">
      <pivotArea dataOnly="0" labelOnly="1" fieldPosition="0">
        <references count="6">
          <reference field="0" count="1" selected="0">
            <x v="9"/>
          </reference>
          <reference field="1" count="1" selected="0">
            <x v="120"/>
          </reference>
          <reference field="2" count="1" selected="0">
            <x v="168"/>
          </reference>
          <reference field="3" count="1" selected="0">
            <x v="0"/>
          </reference>
          <reference field="12" count="1" selected="0">
            <x v="0"/>
          </reference>
          <reference field="13" count="1">
            <x v="0"/>
          </reference>
        </references>
      </pivotArea>
    </format>
    <format dxfId="1713">
      <pivotArea dataOnly="0" labelOnly="1" fieldPosition="0">
        <references count="6">
          <reference field="0" count="1" selected="0">
            <x v="10"/>
          </reference>
          <reference field="1" count="1" selected="0">
            <x v="121"/>
          </reference>
          <reference field="2" count="1" selected="0">
            <x v="82"/>
          </reference>
          <reference field="3" count="1" selected="0">
            <x v="0"/>
          </reference>
          <reference field="12" count="1" selected="0">
            <x v="0"/>
          </reference>
          <reference field="13" count="1">
            <x v="0"/>
          </reference>
        </references>
      </pivotArea>
    </format>
    <format dxfId="1712">
      <pivotArea dataOnly="0" labelOnly="1" fieldPosition="0">
        <references count="6">
          <reference field="0" count="1" selected="0">
            <x v="11"/>
          </reference>
          <reference field="1" count="1" selected="0">
            <x v="122"/>
          </reference>
          <reference field="2" count="1" selected="0">
            <x v="26"/>
          </reference>
          <reference field="3" count="1" selected="0">
            <x v="0"/>
          </reference>
          <reference field="12" count="1" selected="0">
            <x v="0"/>
          </reference>
          <reference field="13" count="1">
            <x v="0"/>
          </reference>
        </references>
      </pivotArea>
    </format>
    <format dxfId="1711">
      <pivotArea dataOnly="0" labelOnly="1" fieldPosition="0">
        <references count="6">
          <reference field="0" count="1" selected="0">
            <x v="12"/>
          </reference>
          <reference field="1" count="1" selected="0">
            <x v="123"/>
          </reference>
          <reference field="2" count="1" selected="0">
            <x v="150"/>
          </reference>
          <reference field="3" count="1" selected="0">
            <x v="0"/>
          </reference>
          <reference field="12" count="1" selected="0">
            <x v="0"/>
          </reference>
          <reference field="13" count="1">
            <x v="2"/>
          </reference>
        </references>
      </pivotArea>
    </format>
    <format dxfId="1710">
      <pivotArea dataOnly="0" labelOnly="1" fieldPosition="0">
        <references count="6">
          <reference field="0" count="1" selected="0">
            <x v="16"/>
          </reference>
          <reference field="1" count="1" selected="0">
            <x v="64"/>
          </reference>
          <reference field="2" count="1" selected="0">
            <x v="157"/>
          </reference>
          <reference field="3" count="1" selected="0">
            <x v="0"/>
          </reference>
          <reference field="12" count="1" selected="0">
            <x v="7"/>
          </reference>
          <reference field="13" count="1">
            <x v="0"/>
          </reference>
        </references>
      </pivotArea>
    </format>
    <format dxfId="1709">
      <pivotArea dataOnly="0" labelOnly="1" fieldPosition="0">
        <references count="6">
          <reference field="0" count="1" selected="0">
            <x v="18"/>
          </reference>
          <reference field="1" count="1" selected="0">
            <x v="66"/>
          </reference>
          <reference field="2" count="1" selected="0">
            <x v="189"/>
          </reference>
          <reference field="3" count="1" selected="0">
            <x v="0"/>
          </reference>
          <reference field="12" count="1" selected="0">
            <x v="7"/>
          </reference>
          <reference field="13" count="1">
            <x v="0"/>
          </reference>
        </references>
      </pivotArea>
    </format>
    <format dxfId="1708">
      <pivotArea dataOnly="0" labelOnly="1" fieldPosition="0">
        <references count="6">
          <reference field="0" count="1" selected="0">
            <x v="22"/>
          </reference>
          <reference field="1" count="1" selected="0">
            <x v="19"/>
          </reference>
          <reference field="2" count="1" selected="0">
            <x v="39"/>
          </reference>
          <reference field="3" count="1" selected="0">
            <x v="0"/>
          </reference>
          <reference field="12" count="1" selected="0">
            <x v="9"/>
          </reference>
          <reference field="13" count="1">
            <x v="0"/>
          </reference>
        </references>
      </pivotArea>
    </format>
    <format dxfId="1707">
      <pivotArea dataOnly="0" labelOnly="1" fieldPosition="0">
        <references count="6">
          <reference field="0" count="1" selected="0">
            <x v="25"/>
          </reference>
          <reference field="1" count="1" selected="0">
            <x v="22"/>
          </reference>
          <reference field="2" count="1" selected="0">
            <x v="84"/>
          </reference>
          <reference field="3" count="1" selected="0">
            <x v="0"/>
          </reference>
          <reference field="12" count="1" selected="0">
            <x v="9"/>
          </reference>
          <reference field="13" count="1">
            <x v="0"/>
          </reference>
        </references>
      </pivotArea>
    </format>
    <format dxfId="1706">
      <pivotArea dataOnly="0" labelOnly="1" fieldPosition="0">
        <references count="6">
          <reference field="0" count="1" selected="0">
            <x v="26"/>
          </reference>
          <reference field="1" count="1" selected="0">
            <x v="23"/>
          </reference>
          <reference field="2" count="1" selected="0">
            <x v="217"/>
          </reference>
          <reference field="3" count="1" selected="0">
            <x v="0"/>
          </reference>
          <reference field="12" count="1" selected="0">
            <x v="5"/>
          </reference>
          <reference field="13" count="1">
            <x v="0"/>
          </reference>
        </references>
      </pivotArea>
    </format>
    <format dxfId="1705">
      <pivotArea dataOnly="0" labelOnly="1" fieldPosition="0">
        <references count="6">
          <reference field="0" count="1" selected="0">
            <x v="28"/>
          </reference>
          <reference field="1" count="1" selected="0">
            <x v="25"/>
          </reference>
          <reference field="2" count="1" selected="0">
            <x v="52"/>
          </reference>
          <reference field="3" count="1" selected="0">
            <x v="0"/>
          </reference>
          <reference field="12" count="1" selected="0">
            <x v="0"/>
          </reference>
          <reference field="13" count="1">
            <x v="0"/>
          </reference>
        </references>
      </pivotArea>
    </format>
    <format dxfId="1704">
      <pivotArea dataOnly="0" labelOnly="1" fieldPosition="0">
        <references count="6">
          <reference field="0" count="1" selected="0">
            <x v="29"/>
          </reference>
          <reference field="1" count="1" selected="0">
            <x v="26"/>
          </reference>
          <reference field="2" count="1" selected="0">
            <x v="62"/>
          </reference>
          <reference field="3" count="1" selected="0">
            <x v="0"/>
          </reference>
          <reference field="12" count="1" selected="0">
            <x v="15"/>
          </reference>
          <reference field="13" count="1">
            <x v="0"/>
          </reference>
        </references>
      </pivotArea>
    </format>
    <format dxfId="1703">
      <pivotArea dataOnly="0" labelOnly="1" fieldPosition="0">
        <references count="6">
          <reference field="0" count="1" selected="0">
            <x v="30"/>
          </reference>
          <reference field="1" count="1" selected="0">
            <x v="27"/>
          </reference>
          <reference field="2" count="1" selected="0">
            <x v="7"/>
          </reference>
          <reference field="3" count="1" selected="0">
            <x v="0"/>
          </reference>
          <reference field="12" count="1" selected="0">
            <x v="15"/>
          </reference>
          <reference field="13" count="1">
            <x v="0"/>
          </reference>
        </references>
      </pivotArea>
    </format>
    <format dxfId="1702">
      <pivotArea dataOnly="0" labelOnly="1" fieldPosition="0">
        <references count="6">
          <reference field="0" count="1" selected="0">
            <x v="31"/>
          </reference>
          <reference field="1" count="1" selected="0">
            <x v="28"/>
          </reference>
          <reference field="2" count="1" selected="0">
            <x v="53"/>
          </reference>
          <reference field="3" count="1" selected="0">
            <x v="0"/>
          </reference>
          <reference field="12" count="1" selected="0">
            <x v="7"/>
          </reference>
          <reference field="13" count="1">
            <x v="0"/>
          </reference>
        </references>
      </pivotArea>
    </format>
    <format dxfId="1701">
      <pivotArea dataOnly="0" labelOnly="1" fieldPosition="0">
        <references count="6">
          <reference field="0" count="1" selected="0">
            <x v="35"/>
          </reference>
          <reference field="1" count="1" selected="0">
            <x v="32"/>
          </reference>
          <reference field="2" count="1" selected="0">
            <x v="51"/>
          </reference>
          <reference field="3" count="1" selected="0">
            <x v="0"/>
          </reference>
          <reference field="12" count="1" selected="0">
            <x v="9"/>
          </reference>
          <reference field="13" count="1">
            <x v="0"/>
          </reference>
        </references>
      </pivotArea>
    </format>
    <format dxfId="1700">
      <pivotArea dataOnly="0" labelOnly="1" fieldPosition="0">
        <references count="6">
          <reference field="0" count="1" selected="0">
            <x v="36"/>
          </reference>
          <reference field="1" count="1" selected="0">
            <x v="33"/>
          </reference>
          <reference field="2" count="1" selected="0">
            <x v="130"/>
          </reference>
          <reference field="3" count="1" selected="0">
            <x v="0"/>
          </reference>
          <reference field="12" count="1" selected="0">
            <x v="22"/>
          </reference>
          <reference field="13" count="1">
            <x v="0"/>
          </reference>
        </references>
      </pivotArea>
    </format>
    <format dxfId="1699">
      <pivotArea dataOnly="0" labelOnly="1" fieldPosition="0">
        <references count="6">
          <reference field="0" count="1" selected="0">
            <x v="37"/>
          </reference>
          <reference field="1" count="1" selected="0">
            <x v="34"/>
          </reference>
          <reference field="2" count="1" selected="0">
            <x v="70"/>
          </reference>
          <reference field="3" count="1" selected="0">
            <x v="0"/>
          </reference>
          <reference field="12" count="1" selected="0">
            <x v="10"/>
          </reference>
          <reference field="13" count="1">
            <x v="0"/>
          </reference>
        </references>
      </pivotArea>
    </format>
    <format dxfId="1698">
      <pivotArea dataOnly="0" labelOnly="1" fieldPosition="0">
        <references count="6">
          <reference field="0" count="1" selected="0">
            <x v="38"/>
          </reference>
          <reference field="1" count="1" selected="0">
            <x v="0"/>
          </reference>
          <reference field="2" count="1" selected="0">
            <x v="45"/>
          </reference>
          <reference field="3" count="1" selected="0">
            <x v="0"/>
          </reference>
          <reference field="12" count="1" selected="0">
            <x v="10"/>
          </reference>
          <reference field="13" count="1">
            <x v="0"/>
          </reference>
        </references>
      </pivotArea>
    </format>
    <format dxfId="1697">
      <pivotArea dataOnly="0" labelOnly="1" fieldPosition="0">
        <references count="6">
          <reference field="0" count="1" selected="0">
            <x v="39"/>
          </reference>
          <reference field="1" count="1" selected="0">
            <x v="1"/>
          </reference>
          <reference field="2" count="1" selected="0">
            <x v="46"/>
          </reference>
          <reference field="3" count="1" selected="0">
            <x v="0"/>
          </reference>
          <reference field="12" count="1" selected="0">
            <x v="10"/>
          </reference>
          <reference field="13" count="1">
            <x v="0"/>
          </reference>
        </references>
      </pivotArea>
    </format>
    <format dxfId="1696">
      <pivotArea dataOnly="0" labelOnly="1" fieldPosition="0">
        <references count="6">
          <reference field="0" count="1" selected="0">
            <x v="42"/>
          </reference>
          <reference field="1" count="1" selected="0">
            <x v="4"/>
          </reference>
          <reference field="2" count="1" selected="0">
            <x v="64"/>
          </reference>
          <reference field="3" count="1" selected="0">
            <x v="0"/>
          </reference>
          <reference field="12" count="1" selected="0">
            <x v="10"/>
          </reference>
          <reference field="13" count="1">
            <x v="0"/>
          </reference>
        </references>
      </pivotArea>
    </format>
    <format dxfId="1695">
      <pivotArea dataOnly="0" labelOnly="1" fieldPosition="0">
        <references count="6">
          <reference field="0" count="1" selected="0">
            <x v="43"/>
          </reference>
          <reference field="1" count="1" selected="0">
            <x v="5"/>
          </reference>
          <reference field="2" count="1" selected="0">
            <x v="19"/>
          </reference>
          <reference field="3" count="1" selected="0">
            <x v="0"/>
          </reference>
          <reference field="12" count="1" selected="0">
            <x v="10"/>
          </reference>
          <reference field="13" count="1">
            <x v="0"/>
          </reference>
        </references>
      </pivotArea>
    </format>
    <format dxfId="1694">
      <pivotArea dataOnly="0" labelOnly="1" fieldPosition="0">
        <references count="6">
          <reference field="0" count="1" selected="0">
            <x v="44"/>
          </reference>
          <reference field="1" count="1" selected="0">
            <x v="6"/>
          </reference>
          <reference field="2" count="1" selected="0">
            <x v="23"/>
          </reference>
          <reference field="3" count="1" selected="0">
            <x v="0"/>
          </reference>
          <reference field="12" count="1" selected="0">
            <x v="10"/>
          </reference>
          <reference field="13" count="1">
            <x v="0"/>
          </reference>
        </references>
      </pivotArea>
    </format>
    <format dxfId="1693">
      <pivotArea dataOnly="0" labelOnly="1" fieldPosition="0">
        <references count="6">
          <reference field="0" count="1" selected="0">
            <x v="45"/>
          </reference>
          <reference field="1" count="1" selected="0">
            <x v="7"/>
          </reference>
          <reference field="2" count="1" selected="0">
            <x v="22"/>
          </reference>
          <reference field="3" count="1" selected="0">
            <x v="0"/>
          </reference>
          <reference field="12" count="1" selected="0">
            <x v="10"/>
          </reference>
          <reference field="13" count="1">
            <x v="0"/>
          </reference>
        </references>
      </pivotArea>
    </format>
    <format dxfId="1692">
      <pivotArea dataOnly="0" labelOnly="1" fieldPosition="0">
        <references count="6">
          <reference field="0" count="1" selected="0">
            <x v="46"/>
          </reference>
          <reference field="1" count="1" selected="0">
            <x v="8"/>
          </reference>
          <reference field="2" count="1" selected="0">
            <x v="135"/>
          </reference>
          <reference field="3" count="1" selected="0">
            <x v="0"/>
          </reference>
          <reference field="12" count="1" selected="0">
            <x v="10"/>
          </reference>
          <reference field="13" count="1">
            <x v="0"/>
          </reference>
        </references>
      </pivotArea>
    </format>
    <format dxfId="1691">
      <pivotArea dataOnly="0" labelOnly="1" fieldPosition="0">
        <references count="6">
          <reference field="0" count="1" selected="0">
            <x v="47"/>
          </reference>
          <reference field="1" count="1" selected="0">
            <x v="9"/>
          </reference>
          <reference field="2" count="1" selected="0">
            <x v="141"/>
          </reference>
          <reference field="3" count="1" selected="0">
            <x v="0"/>
          </reference>
          <reference field="12" count="1" selected="0">
            <x v="10"/>
          </reference>
          <reference field="13" count="1">
            <x v="0"/>
          </reference>
        </references>
      </pivotArea>
    </format>
    <format dxfId="1690">
      <pivotArea dataOnly="0" labelOnly="1" fieldPosition="0">
        <references count="6">
          <reference field="0" count="1" selected="0">
            <x v="49"/>
          </reference>
          <reference field="1" count="1" selected="0">
            <x v="11"/>
          </reference>
          <reference field="2" count="1" selected="0">
            <x v="127"/>
          </reference>
          <reference field="3" count="1" selected="0">
            <x v="0"/>
          </reference>
          <reference field="12" count="1" selected="0">
            <x v="10"/>
          </reference>
          <reference field="13" count="1">
            <x v="0"/>
          </reference>
        </references>
      </pivotArea>
    </format>
    <format dxfId="1689">
      <pivotArea dataOnly="0" labelOnly="1" fieldPosition="0">
        <references count="6">
          <reference field="0" count="1" selected="0">
            <x v="55"/>
          </reference>
          <reference field="1" count="1" selected="0">
            <x v="35"/>
          </reference>
          <reference field="2" count="1" selected="0">
            <x v="65"/>
          </reference>
          <reference field="3" count="1" selected="0">
            <x v="0"/>
          </reference>
          <reference field="12" count="1" selected="0">
            <x v="3"/>
          </reference>
          <reference field="13" count="1">
            <x v="0"/>
          </reference>
        </references>
      </pivotArea>
    </format>
    <format dxfId="1688">
      <pivotArea dataOnly="0" labelOnly="1" fieldPosition="0">
        <references count="6">
          <reference field="0" count="1" selected="0">
            <x v="56"/>
          </reference>
          <reference field="1" count="1" selected="0">
            <x v="36"/>
          </reference>
          <reference field="2" count="1" selected="0">
            <x v="183"/>
          </reference>
          <reference field="3" count="1" selected="0">
            <x v="0"/>
          </reference>
          <reference field="12" count="1" selected="0">
            <x v="3"/>
          </reference>
          <reference field="13" count="1">
            <x v="0"/>
          </reference>
        </references>
      </pivotArea>
    </format>
    <format dxfId="1687">
      <pivotArea dataOnly="0" labelOnly="1" fieldPosition="0">
        <references count="6">
          <reference field="0" count="1" selected="0">
            <x v="62"/>
          </reference>
          <reference field="1" count="1" selected="0">
            <x v="42"/>
          </reference>
          <reference field="2" count="1" selected="0">
            <x v="15"/>
          </reference>
          <reference field="3" count="1" selected="0">
            <x v="0"/>
          </reference>
          <reference field="12" count="1" selected="0">
            <x v="3"/>
          </reference>
          <reference field="13" count="1">
            <x v="0"/>
          </reference>
        </references>
      </pivotArea>
    </format>
    <format dxfId="1686">
      <pivotArea dataOnly="0" labelOnly="1" fieldPosition="0">
        <references count="6">
          <reference field="0" count="1" selected="0">
            <x v="63"/>
          </reference>
          <reference field="1" count="1" selected="0">
            <x v="43"/>
          </reference>
          <reference field="2" count="1" selected="0">
            <x v="152"/>
          </reference>
          <reference field="3" count="1" selected="0">
            <x v="0"/>
          </reference>
          <reference field="12" count="1" selected="0">
            <x v="3"/>
          </reference>
          <reference field="13" count="1">
            <x v="0"/>
          </reference>
        </references>
      </pivotArea>
    </format>
    <format dxfId="1685">
      <pivotArea dataOnly="0" labelOnly="1" fieldPosition="0">
        <references count="6">
          <reference field="0" count="1" selected="0">
            <x v="64"/>
          </reference>
          <reference field="1" count="1" selected="0">
            <x v="44"/>
          </reference>
          <reference field="2" count="1" selected="0">
            <x v="146"/>
          </reference>
          <reference field="3" count="1" selected="0">
            <x v="0"/>
          </reference>
          <reference field="12" count="1" selected="0">
            <x v="3"/>
          </reference>
          <reference field="13" count="1">
            <x v="0"/>
          </reference>
        </references>
      </pivotArea>
    </format>
    <format dxfId="1684">
      <pivotArea dataOnly="0" labelOnly="1" fieldPosition="0">
        <references count="6">
          <reference field="0" count="1" selected="0">
            <x v="65"/>
          </reference>
          <reference field="1" count="1" selected="0">
            <x v="45"/>
          </reference>
          <reference field="2" count="1" selected="0">
            <x v="204"/>
          </reference>
          <reference field="3" count="1" selected="0">
            <x v="0"/>
          </reference>
          <reference field="12" count="1" selected="0">
            <x v="3"/>
          </reference>
          <reference field="13" count="1">
            <x v="0"/>
          </reference>
        </references>
      </pivotArea>
    </format>
    <format dxfId="1683">
      <pivotArea dataOnly="0" labelOnly="1" fieldPosition="0">
        <references count="6">
          <reference field="0" count="1" selected="0">
            <x v="66"/>
          </reference>
          <reference field="1" count="1" selected="0">
            <x v="46"/>
          </reference>
          <reference field="2" count="1" selected="0">
            <x v="92"/>
          </reference>
          <reference field="3" count="1" selected="0">
            <x v="0"/>
          </reference>
          <reference field="12" count="1" selected="0">
            <x v="3"/>
          </reference>
          <reference field="13" count="1">
            <x v="0"/>
          </reference>
        </references>
      </pivotArea>
    </format>
    <format dxfId="1682">
      <pivotArea dataOnly="0" labelOnly="1" fieldPosition="0">
        <references count="6">
          <reference field="0" count="1" selected="0">
            <x v="67"/>
          </reference>
          <reference field="1" count="1" selected="0">
            <x v="47"/>
          </reference>
          <reference field="2" count="1" selected="0">
            <x v="181"/>
          </reference>
          <reference field="3" count="1" selected="0">
            <x v="0"/>
          </reference>
          <reference field="12" count="1" selected="0">
            <x v="3"/>
          </reference>
          <reference field="13" count="1">
            <x v="0"/>
          </reference>
        </references>
      </pivotArea>
    </format>
    <format dxfId="1681">
      <pivotArea dataOnly="0" labelOnly="1" fieldPosition="0">
        <references count="6">
          <reference field="0" count="1" selected="0">
            <x v="68"/>
          </reference>
          <reference field="1" count="1" selected="0">
            <x v="48"/>
          </reference>
          <reference field="2" count="1" selected="0">
            <x v="231"/>
          </reference>
          <reference field="3" count="1" selected="0">
            <x v="0"/>
          </reference>
          <reference field="12" count="1" selected="0">
            <x v="3"/>
          </reference>
          <reference field="13" count="1">
            <x v="0"/>
          </reference>
        </references>
      </pivotArea>
    </format>
    <format dxfId="1680">
      <pivotArea dataOnly="0" labelOnly="1" fieldPosition="0">
        <references count="6">
          <reference field="0" count="1" selected="0">
            <x v="79"/>
          </reference>
          <reference field="1" count="1" selected="0">
            <x v="59"/>
          </reference>
          <reference field="2" count="1" selected="0">
            <x v="21"/>
          </reference>
          <reference field="3" count="1" selected="0">
            <x v="0"/>
          </reference>
          <reference field="12" count="1" selected="0">
            <x v="3"/>
          </reference>
          <reference field="13" count="1">
            <x v="0"/>
          </reference>
        </references>
      </pivotArea>
    </format>
    <format dxfId="1679">
      <pivotArea dataOnly="0" labelOnly="1" fieldPosition="0">
        <references count="6">
          <reference field="0" count="1" selected="0">
            <x v="81"/>
          </reference>
          <reference field="1" count="1" selected="0">
            <x v="68"/>
          </reference>
          <reference field="2" count="1" selected="0">
            <x v="112"/>
          </reference>
          <reference field="3" count="1" selected="0">
            <x v="0"/>
          </reference>
          <reference field="12" count="1" selected="0">
            <x v="0"/>
          </reference>
          <reference field="13" count="1">
            <x v="0"/>
          </reference>
        </references>
      </pivotArea>
    </format>
    <format dxfId="1678">
      <pivotArea dataOnly="0" labelOnly="1" fieldPosition="0">
        <references count="6">
          <reference field="0" count="1" selected="0">
            <x v="82"/>
          </reference>
          <reference field="1" count="1" selected="0">
            <x v="69"/>
          </reference>
          <reference field="2" count="1" selected="0">
            <x v="226"/>
          </reference>
          <reference field="3" count="1" selected="0">
            <x v="0"/>
          </reference>
          <reference field="12" count="1" selected="0">
            <x v="5"/>
          </reference>
          <reference field="13" count="1">
            <x v="0"/>
          </reference>
        </references>
      </pivotArea>
    </format>
    <format dxfId="1677">
      <pivotArea dataOnly="0" labelOnly="1" fieldPosition="0">
        <references count="6">
          <reference field="0" count="1" selected="0">
            <x v="83"/>
          </reference>
          <reference field="1" count="1" selected="0">
            <x v="70"/>
          </reference>
          <reference field="2" count="1" selected="0">
            <x v="193"/>
          </reference>
          <reference field="3" count="1" selected="0">
            <x v="0"/>
          </reference>
          <reference field="12" count="1" selected="0">
            <x v="5"/>
          </reference>
          <reference field="13" count="1">
            <x v="0"/>
          </reference>
        </references>
      </pivotArea>
    </format>
    <format dxfId="1676">
      <pivotArea dataOnly="0" labelOnly="1" fieldPosition="0">
        <references count="6">
          <reference field="0" count="1" selected="0">
            <x v="84"/>
          </reference>
          <reference field="1" count="1" selected="0">
            <x v="71"/>
          </reference>
          <reference field="2" count="1" selected="0">
            <x v="192"/>
          </reference>
          <reference field="3" count="1" selected="0">
            <x v="0"/>
          </reference>
          <reference field="12" count="1" selected="0">
            <x v="7"/>
          </reference>
          <reference field="13" count="1">
            <x v="0"/>
          </reference>
        </references>
      </pivotArea>
    </format>
    <format dxfId="1675">
      <pivotArea dataOnly="0" labelOnly="1" fieldPosition="0">
        <references count="6">
          <reference field="0" count="1" selected="0">
            <x v="85"/>
          </reference>
          <reference field="1" count="1" selected="0">
            <x v="72"/>
          </reference>
          <reference field="2" count="1" selected="0">
            <x v="87"/>
          </reference>
          <reference field="3" count="1" selected="0">
            <x v="0"/>
          </reference>
          <reference field="12" count="1" selected="0">
            <x v="7"/>
          </reference>
          <reference field="13" count="1">
            <x v="0"/>
          </reference>
        </references>
      </pivotArea>
    </format>
    <format dxfId="1674">
      <pivotArea dataOnly="0" labelOnly="1" fieldPosition="0">
        <references count="6">
          <reference field="0" count="1" selected="0">
            <x v="86"/>
          </reference>
          <reference field="1" count="1" selected="0">
            <x v="73"/>
          </reference>
          <reference field="2" count="1" selected="0">
            <x v="154"/>
          </reference>
          <reference field="3" count="1" selected="0">
            <x v="0"/>
          </reference>
          <reference field="12" count="1" selected="0">
            <x v="7"/>
          </reference>
          <reference field="13" count="1">
            <x v="0"/>
          </reference>
        </references>
      </pivotArea>
    </format>
    <format dxfId="1673">
      <pivotArea dataOnly="0" labelOnly="1" fieldPosition="0">
        <references count="6">
          <reference field="0" count="1" selected="0">
            <x v="87"/>
          </reference>
          <reference field="1" count="1" selected="0">
            <x v="74"/>
          </reference>
          <reference field="2" count="1" selected="0">
            <x v="208"/>
          </reference>
          <reference field="3" count="1" selected="0">
            <x v="0"/>
          </reference>
          <reference field="12" count="1" selected="0">
            <x v="7"/>
          </reference>
          <reference field="13" count="1">
            <x v="0"/>
          </reference>
        </references>
      </pivotArea>
    </format>
    <format dxfId="1672">
      <pivotArea dataOnly="0" labelOnly="1" fieldPosition="0">
        <references count="6">
          <reference field="0" count="1" selected="0">
            <x v="88"/>
          </reference>
          <reference field="1" count="1" selected="0">
            <x v="75"/>
          </reference>
          <reference field="2" count="1" selected="0">
            <x v="38"/>
          </reference>
          <reference field="3" count="1" selected="0">
            <x v="0"/>
          </reference>
          <reference field="12" count="1" selected="0">
            <x v="2"/>
          </reference>
          <reference field="13" count="1">
            <x v="0"/>
          </reference>
        </references>
      </pivotArea>
    </format>
    <format dxfId="1671">
      <pivotArea dataOnly="0" labelOnly="1" fieldPosition="0">
        <references count="6">
          <reference field="0" count="1" selected="0">
            <x v="89"/>
          </reference>
          <reference field="1" count="1" selected="0">
            <x v="76"/>
          </reference>
          <reference field="2" count="1" selected="0">
            <x v="232"/>
          </reference>
          <reference field="3" count="1" selected="0">
            <x v="0"/>
          </reference>
          <reference field="12" count="1" selected="0">
            <x v="7"/>
          </reference>
          <reference field="13" count="1">
            <x v="0"/>
          </reference>
        </references>
      </pivotArea>
    </format>
    <format dxfId="1670">
      <pivotArea dataOnly="0" labelOnly="1" fieldPosition="0">
        <references count="6">
          <reference field="0" count="1" selected="0">
            <x v="90"/>
          </reference>
          <reference field="1" count="1" selected="0">
            <x v="77"/>
          </reference>
          <reference field="2" count="1" selected="0">
            <x v="43"/>
          </reference>
          <reference field="3" count="1" selected="0">
            <x v="0"/>
          </reference>
          <reference field="12" count="1" selected="0">
            <x v="7"/>
          </reference>
          <reference field="13" count="1">
            <x v="0"/>
          </reference>
        </references>
      </pivotArea>
    </format>
    <format dxfId="1669">
      <pivotArea dataOnly="0" labelOnly="1" fieldPosition="0">
        <references count="6">
          <reference field="0" count="1" selected="0">
            <x v="91"/>
          </reference>
          <reference field="1" count="1" selected="0">
            <x v="78"/>
          </reference>
          <reference field="2" count="1" selected="0">
            <x v="12"/>
          </reference>
          <reference field="3" count="1" selected="0">
            <x v="0"/>
          </reference>
          <reference field="12" count="1" selected="0">
            <x v="7"/>
          </reference>
          <reference field="13" count="1">
            <x v="0"/>
          </reference>
        </references>
      </pivotArea>
    </format>
    <format dxfId="1668">
      <pivotArea dataOnly="0" labelOnly="1" fieldPosition="0">
        <references count="6">
          <reference field="0" count="1" selected="0">
            <x v="93"/>
          </reference>
          <reference field="1" count="1" selected="0">
            <x v="80"/>
          </reference>
          <reference field="2" count="1" selected="0">
            <x v="180"/>
          </reference>
          <reference field="3" count="1" selected="0">
            <x v="0"/>
          </reference>
          <reference field="12" count="1" selected="0">
            <x v="7"/>
          </reference>
          <reference field="13" count="1">
            <x v="0"/>
          </reference>
        </references>
      </pivotArea>
    </format>
    <format dxfId="1667">
      <pivotArea dataOnly="0" labelOnly="1" fieldPosition="0">
        <references count="6">
          <reference field="0" count="1" selected="0">
            <x v="94"/>
          </reference>
          <reference field="1" count="1" selected="0">
            <x v="81"/>
          </reference>
          <reference field="2" count="1" selected="0">
            <x v="60"/>
          </reference>
          <reference field="3" count="1" selected="0">
            <x v="0"/>
          </reference>
          <reference field="12" count="1" selected="0">
            <x v="7"/>
          </reference>
          <reference field="13" count="1">
            <x v="0"/>
          </reference>
        </references>
      </pivotArea>
    </format>
    <format dxfId="1666">
      <pivotArea dataOnly="0" labelOnly="1" fieldPosition="0">
        <references count="6">
          <reference field="0" count="1" selected="0">
            <x v="95"/>
          </reference>
          <reference field="1" count="1" selected="0">
            <x v="82"/>
          </reference>
          <reference field="2" count="1" selected="0">
            <x v="5"/>
          </reference>
          <reference field="3" count="1" selected="0">
            <x v="0"/>
          </reference>
          <reference field="12" count="1" selected="0">
            <x v="1"/>
          </reference>
          <reference field="13" count="1">
            <x v="0"/>
          </reference>
        </references>
      </pivotArea>
    </format>
    <format dxfId="1665">
      <pivotArea dataOnly="0" labelOnly="1" fieldPosition="0">
        <references count="6">
          <reference field="0" count="1" selected="0">
            <x v="96"/>
          </reference>
          <reference field="1" count="1" selected="0">
            <x v="83"/>
          </reference>
          <reference field="2" count="1" selected="0">
            <x v="173"/>
          </reference>
          <reference field="3" count="1" selected="0">
            <x v="0"/>
          </reference>
          <reference field="12" count="1" selected="0">
            <x v="3"/>
          </reference>
          <reference field="13" count="1">
            <x v="0"/>
          </reference>
        </references>
      </pivotArea>
    </format>
    <format dxfId="1664">
      <pivotArea dataOnly="0" labelOnly="1" fieldPosition="0">
        <references count="6">
          <reference field="0" count="1" selected="0">
            <x v="97"/>
          </reference>
          <reference field="1" count="1" selected="0">
            <x v="84"/>
          </reference>
          <reference field="2" count="1" selected="0">
            <x v="6"/>
          </reference>
          <reference field="3" count="1" selected="0">
            <x v="0"/>
          </reference>
          <reference field="12" count="1" selected="0">
            <x v="3"/>
          </reference>
          <reference field="13" count="1">
            <x v="0"/>
          </reference>
        </references>
      </pivotArea>
    </format>
    <format dxfId="1663">
      <pivotArea dataOnly="0" labelOnly="1" fieldPosition="0">
        <references count="6">
          <reference field="0" count="1" selected="0">
            <x v="98"/>
          </reference>
          <reference field="1" count="1" selected="0">
            <x v="85"/>
          </reference>
          <reference field="2" count="1" selected="0">
            <x v="214"/>
          </reference>
          <reference field="3" count="1" selected="0">
            <x v="0"/>
          </reference>
          <reference field="12" count="1" selected="0">
            <x v="3"/>
          </reference>
          <reference field="13" count="1">
            <x v="0"/>
          </reference>
        </references>
      </pivotArea>
    </format>
    <format dxfId="1662">
      <pivotArea dataOnly="0" labelOnly="1" fieldPosition="0">
        <references count="6">
          <reference field="0" count="1" selected="0">
            <x v="99"/>
          </reference>
          <reference field="1" count="1" selected="0">
            <x v="86"/>
          </reference>
          <reference field="2" count="1" selected="0">
            <x v="66"/>
          </reference>
          <reference field="3" count="1" selected="0">
            <x v="0"/>
          </reference>
          <reference field="12" count="1" selected="0">
            <x v="3"/>
          </reference>
          <reference field="13" count="1">
            <x v="0"/>
          </reference>
        </references>
      </pivotArea>
    </format>
    <format dxfId="1661">
      <pivotArea dataOnly="0" labelOnly="1" fieldPosition="0">
        <references count="6">
          <reference field="0" count="1" selected="0">
            <x v="100"/>
          </reference>
          <reference field="1" count="1" selected="0">
            <x v="87"/>
          </reference>
          <reference field="2" count="1" selected="0">
            <x v="75"/>
          </reference>
          <reference field="3" count="1" selected="0">
            <x v="0"/>
          </reference>
          <reference field="12" count="1" selected="0">
            <x v="3"/>
          </reference>
          <reference field="13" count="1">
            <x v="0"/>
          </reference>
        </references>
      </pivotArea>
    </format>
    <format dxfId="1660">
      <pivotArea dataOnly="0" labelOnly="1" fieldPosition="0">
        <references count="6">
          <reference field="0" count="1" selected="0">
            <x v="101"/>
          </reference>
          <reference field="1" count="1" selected="0">
            <x v="88"/>
          </reference>
          <reference field="2" count="1" selected="0">
            <x v="29"/>
          </reference>
          <reference field="3" count="1" selected="0">
            <x v="0"/>
          </reference>
          <reference field="12" count="1" selected="0">
            <x v="3"/>
          </reference>
          <reference field="13" count="1">
            <x v="0"/>
          </reference>
        </references>
      </pivotArea>
    </format>
    <format dxfId="1659">
      <pivotArea dataOnly="0" labelOnly="1" fieldPosition="0">
        <references count="6">
          <reference field="0" count="1" selected="0">
            <x v="102"/>
          </reference>
          <reference field="1" count="1" selected="0">
            <x v="89"/>
          </reference>
          <reference field="2" count="1" selected="0">
            <x v="14"/>
          </reference>
          <reference field="3" count="1" selected="0">
            <x v="0"/>
          </reference>
          <reference field="12" count="1" selected="0">
            <x v="3"/>
          </reference>
          <reference field="13" count="1">
            <x v="0"/>
          </reference>
        </references>
      </pivotArea>
    </format>
    <format dxfId="1658">
      <pivotArea dataOnly="0" labelOnly="1" fieldPosition="0">
        <references count="6">
          <reference field="0" count="1" selected="0">
            <x v="103"/>
          </reference>
          <reference field="1" count="1" selected="0">
            <x v="90"/>
          </reference>
          <reference field="2" count="1" selected="0">
            <x v="73"/>
          </reference>
          <reference field="3" count="1" selected="0">
            <x v="0"/>
          </reference>
          <reference field="12" count="1" selected="0">
            <x v="3"/>
          </reference>
          <reference field="13" count="1">
            <x v="0"/>
          </reference>
        </references>
      </pivotArea>
    </format>
    <format dxfId="1657">
      <pivotArea dataOnly="0" labelOnly="1" fieldPosition="0">
        <references count="6">
          <reference field="0" count="1" selected="0">
            <x v="104"/>
          </reference>
          <reference field="1" count="1" selected="0">
            <x v="91"/>
          </reference>
          <reference field="2" count="1" selected="0">
            <x v="68"/>
          </reference>
          <reference field="3" count="1" selected="0">
            <x v="0"/>
          </reference>
          <reference field="12" count="1" selected="0">
            <x v="3"/>
          </reference>
          <reference field="13" count="1">
            <x v="0"/>
          </reference>
        </references>
      </pivotArea>
    </format>
    <format dxfId="1656">
      <pivotArea dataOnly="0" labelOnly="1" fieldPosition="0">
        <references count="6">
          <reference field="0" count="1" selected="0">
            <x v="105"/>
          </reference>
          <reference field="1" count="1" selected="0">
            <x v="92"/>
          </reference>
          <reference field="2" count="1" selected="0">
            <x v="134"/>
          </reference>
          <reference field="3" count="1" selected="0">
            <x v="0"/>
          </reference>
          <reference field="12" count="1" selected="0">
            <x v="7"/>
          </reference>
          <reference field="13" count="1">
            <x v="0"/>
          </reference>
        </references>
      </pivotArea>
    </format>
    <format dxfId="1655">
      <pivotArea dataOnly="0" labelOnly="1" fieldPosition="0">
        <references count="6">
          <reference field="0" count="1" selected="0">
            <x v="106"/>
          </reference>
          <reference field="1" count="1" selected="0">
            <x v="93"/>
          </reference>
          <reference field="2" count="1" selected="0">
            <x v="76"/>
          </reference>
          <reference field="3" count="1" selected="0">
            <x v="0"/>
          </reference>
          <reference field="12" count="1" selected="0">
            <x v="7"/>
          </reference>
          <reference field="13" count="1">
            <x v="0"/>
          </reference>
        </references>
      </pivotArea>
    </format>
    <format dxfId="1654">
      <pivotArea dataOnly="0" labelOnly="1" fieldPosition="0">
        <references count="6">
          <reference field="0" count="1" selected="0">
            <x v="107"/>
          </reference>
          <reference field="1" count="1" selected="0">
            <x v="94"/>
          </reference>
          <reference field="2" count="1" selected="0">
            <x v="190"/>
          </reference>
          <reference field="3" count="1" selected="0">
            <x v="0"/>
          </reference>
          <reference field="12" count="1" selected="0">
            <x v="7"/>
          </reference>
          <reference field="13" count="1">
            <x v="0"/>
          </reference>
        </references>
      </pivotArea>
    </format>
    <format dxfId="1653">
      <pivotArea dataOnly="0" labelOnly="1" fieldPosition="0">
        <references count="6">
          <reference field="0" count="1" selected="0">
            <x v="108"/>
          </reference>
          <reference field="1" count="1" selected="0">
            <x v="95"/>
          </reference>
          <reference field="2" count="1" selected="0">
            <x v="236"/>
          </reference>
          <reference field="3" count="1" selected="0">
            <x v="0"/>
          </reference>
          <reference field="12" count="1" selected="0">
            <x v="7"/>
          </reference>
          <reference field="13" count="1">
            <x v="0"/>
          </reference>
        </references>
      </pivotArea>
    </format>
    <format dxfId="1652">
      <pivotArea dataOnly="0" labelOnly="1" fieldPosition="0">
        <references count="6">
          <reference field="0" count="1" selected="0">
            <x v="110"/>
          </reference>
          <reference field="1" count="1" selected="0">
            <x v="97"/>
          </reference>
          <reference field="2" count="1" selected="0">
            <x v="123"/>
          </reference>
          <reference field="3" count="1" selected="0">
            <x v="0"/>
          </reference>
          <reference field="12" count="1" selected="0">
            <x v="7"/>
          </reference>
          <reference field="13" count="1">
            <x v="0"/>
          </reference>
        </references>
      </pivotArea>
    </format>
    <format dxfId="1651">
      <pivotArea dataOnly="0" labelOnly="1" fieldPosition="0">
        <references count="6">
          <reference field="0" count="1" selected="0">
            <x v="111"/>
          </reference>
          <reference field="1" count="1" selected="0">
            <x v="98"/>
          </reference>
          <reference field="2" count="1" selected="0">
            <x v="83"/>
          </reference>
          <reference field="3" count="1" selected="0">
            <x v="0"/>
          </reference>
          <reference field="12" count="1" selected="0">
            <x v="7"/>
          </reference>
          <reference field="13" count="1">
            <x v="0"/>
          </reference>
        </references>
      </pivotArea>
    </format>
    <format dxfId="1650">
      <pivotArea dataOnly="0" labelOnly="1" fieldPosition="0">
        <references count="6">
          <reference field="0" count="1" selected="0">
            <x v="113"/>
          </reference>
          <reference field="1" count="1" selected="0">
            <x v="100"/>
          </reference>
          <reference field="2" count="1" selected="0">
            <x v="124"/>
          </reference>
          <reference field="3" count="1" selected="0">
            <x v="0"/>
          </reference>
          <reference field="12" count="1" selected="0">
            <x v="7"/>
          </reference>
          <reference field="13" count="1">
            <x v="0"/>
          </reference>
        </references>
      </pivotArea>
    </format>
    <format dxfId="1649">
      <pivotArea dataOnly="0" labelOnly="1" fieldPosition="0">
        <references count="6">
          <reference field="0" count="1" selected="0">
            <x v="121"/>
          </reference>
          <reference field="1" count="1" selected="0">
            <x v="108"/>
          </reference>
          <reference field="2" count="1" selected="0">
            <x v="207"/>
          </reference>
          <reference field="3" count="1" selected="0">
            <x v="0"/>
          </reference>
          <reference field="12" count="1" selected="0">
            <x v="5"/>
          </reference>
          <reference field="13" count="1">
            <x v="0"/>
          </reference>
        </references>
      </pivotArea>
    </format>
    <format dxfId="1648">
      <pivotArea dataOnly="0" labelOnly="1" fieldPosition="0">
        <references count="6">
          <reference field="0" count="1" selected="0">
            <x v="122"/>
          </reference>
          <reference field="1" count="1" selected="0">
            <x v="109"/>
          </reference>
          <reference field="2" count="1" selected="0">
            <x v="35"/>
          </reference>
          <reference field="3" count="1" selected="0">
            <x v="0"/>
          </reference>
          <reference field="12" count="1" selected="0">
            <x v="3"/>
          </reference>
          <reference field="13" count="1">
            <x v="0"/>
          </reference>
        </references>
      </pivotArea>
    </format>
    <format dxfId="1647">
      <pivotArea dataOnly="0" labelOnly="1" fieldPosition="0">
        <references count="6">
          <reference field="0" count="1" selected="0">
            <x v="123"/>
          </reference>
          <reference field="1" count="1" selected="0">
            <x v="110"/>
          </reference>
          <reference field="2" count="1" selected="0">
            <x v="176"/>
          </reference>
          <reference field="3" count="1" selected="0">
            <x v="0"/>
          </reference>
          <reference field="12" count="1" selected="0">
            <x v="5"/>
          </reference>
          <reference field="13" count="1">
            <x v="0"/>
          </reference>
        </references>
      </pivotArea>
    </format>
    <format dxfId="1646">
      <pivotArea dataOnly="0" labelOnly="1" fieldPosition="0">
        <references count="6">
          <reference field="0" count="1" selected="0">
            <x v="124"/>
          </reference>
          <reference field="1" count="1" selected="0">
            <x v="111"/>
          </reference>
          <reference field="2" count="1" selected="0">
            <x v="218"/>
          </reference>
          <reference field="3" count="1" selected="0">
            <x v="0"/>
          </reference>
          <reference field="12" count="1" selected="0">
            <x v="0"/>
          </reference>
          <reference field="13" count="1">
            <x v="0"/>
          </reference>
        </references>
      </pivotArea>
    </format>
    <format dxfId="1645">
      <pivotArea dataOnly="0" labelOnly="1" fieldPosition="0">
        <references count="6">
          <reference field="0" count="1" selected="0">
            <x v="125"/>
          </reference>
          <reference field="1" count="1" selected="0">
            <x v="112"/>
          </reference>
          <reference field="2" count="1" selected="0">
            <x v="197"/>
          </reference>
          <reference field="3" count="1" selected="0">
            <x v="0"/>
          </reference>
          <reference field="12" count="1" selected="0">
            <x v="3"/>
          </reference>
          <reference field="13" count="1">
            <x v="0"/>
          </reference>
        </references>
      </pivotArea>
    </format>
    <format dxfId="1644">
      <pivotArea dataOnly="0" labelOnly="1" fieldPosition="0">
        <references count="6">
          <reference field="0" count="1" selected="0">
            <x v="126"/>
          </reference>
          <reference field="1" count="1" selected="0">
            <x v="113"/>
          </reference>
          <reference field="2" count="1" selected="0">
            <x v="191"/>
          </reference>
          <reference field="3" count="1" selected="0">
            <x v="0"/>
          </reference>
          <reference field="12" count="1" selected="0">
            <x v="0"/>
          </reference>
          <reference field="13" count="1">
            <x v="0"/>
          </reference>
        </references>
      </pivotArea>
    </format>
    <format dxfId="1643">
      <pivotArea dataOnly="0" labelOnly="1" fieldPosition="0">
        <references count="6">
          <reference field="0" count="1" selected="0">
            <x v="127"/>
          </reference>
          <reference field="1" count="1" selected="0">
            <x v="114"/>
          </reference>
          <reference field="2" count="1" selected="0">
            <x v="174"/>
          </reference>
          <reference field="3" count="1" selected="0">
            <x v="0"/>
          </reference>
          <reference field="12" count="1" selected="0">
            <x v="0"/>
          </reference>
          <reference field="13" count="1">
            <x v="0"/>
          </reference>
        </references>
      </pivotArea>
    </format>
    <format dxfId="1642">
      <pivotArea dataOnly="0" labelOnly="1" fieldPosition="0">
        <references count="6">
          <reference field="0" count="1" selected="0">
            <x v="128"/>
          </reference>
          <reference field="1" count="1" selected="0">
            <x v="115"/>
          </reference>
          <reference field="2" count="1" selected="0">
            <x v="59"/>
          </reference>
          <reference field="3" count="1" selected="0">
            <x v="0"/>
          </reference>
          <reference field="12" count="1" selected="0">
            <x v="0"/>
          </reference>
          <reference field="13" count="1">
            <x v="0"/>
          </reference>
        </references>
      </pivotArea>
    </format>
    <format dxfId="1641">
      <pivotArea dataOnly="0" labelOnly="1" fieldPosition="0">
        <references count="6">
          <reference field="0" count="1" selected="0">
            <x v="129"/>
          </reference>
          <reference field="1" count="1" selected="0">
            <x v="116"/>
          </reference>
          <reference field="2" count="1" selected="0">
            <x v="212"/>
          </reference>
          <reference field="3" count="1" selected="0">
            <x v="0"/>
          </reference>
          <reference field="12" count="1" selected="0">
            <x v="3"/>
          </reference>
          <reference field="13" count="1">
            <x v="0"/>
          </reference>
        </references>
      </pivotArea>
    </format>
    <format dxfId="1640">
      <pivotArea dataOnly="0" labelOnly="1" fieldPosition="0">
        <references count="6">
          <reference field="0" count="1" selected="0">
            <x v="130"/>
          </reference>
          <reference field="1" count="1" selected="0">
            <x v="117"/>
          </reference>
          <reference field="2" count="1" selected="0">
            <x v="118"/>
          </reference>
          <reference field="3" count="1" selected="0">
            <x v="0"/>
          </reference>
          <reference field="12" count="1" selected="0">
            <x v="7"/>
          </reference>
          <reference field="13" count="1">
            <x v="0"/>
          </reference>
        </references>
      </pivotArea>
    </format>
    <format dxfId="1639">
      <pivotArea dataOnly="0" labelOnly="1" fieldPosition="0">
        <references count="6">
          <reference field="0" count="1" selected="0">
            <x v="134"/>
          </reference>
          <reference field="1" count="1" selected="0">
            <x v="127"/>
          </reference>
          <reference field="2" count="1" selected="0">
            <x v="2"/>
          </reference>
          <reference field="3" count="1" selected="0">
            <x v="0"/>
          </reference>
          <reference field="12" count="1" selected="0">
            <x v="4"/>
          </reference>
          <reference field="13" count="1">
            <x v="0"/>
          </reference>
        </references>
      </pivotArea>
    </format>
    <format dxfId="1638">
      <pivotArea dataOnly="0" labelOnly="1" fieldPosition="0">
        <references count="6">
          <reference field="0" count="1" selected="0">
            <x v="135"/>
          </reference>
          <reference field="1" count="1" selected="0">
            <x v="128"/>
          </reference>
          <reference field="2" count="1" selected="0">
            <x v="151"/>
          </reference>
          <reference field="3" count="1" selected="0">
            <x v="0"/>
          </reference>
          <reference field="12" count="1" selected="0">
            <x v="3"/>
          </reference>
          <reference field="13" count="1">
            <x v="0"/>
          </reference>
        </references>
      </pivotArea>
    </format>
    <format dxfId="1637">
      <pivotArea dataOnly="0" labelOnly="1" fieldPosition="0">
        <references count="6">
          <reference field="0" count="1" selected="0">
            <x v="136"/>
          </reference>
          <reference field="1" count="1" selected="0">
            <x v="129"/>
          </reference>
          <reference field="2" count="1" selected="0">
            <x v="219"/>
          </reference>
          <reference field="3" count="1" selected="0">
            <x v="0"/>
          </reference>
          <reference field="12" count="1" selected="0">
            <x v="3"/>
          </reference>
          <reference field="13" count="1">
            <x v="0"/>
          </reference>
        </references>
      </pivotArea>
    </format>
    <format dxfId="1636">
      <pivotArea dataOnly="0" labelOnly="1" fieldPosition="0">
        <references count="6">
          <reference field="0" count="1" selected="0">
            <x v="144"/>
          </reference>
          <reference field="1" count="1" selected="0">
            <x v="137"/>
          </reference>
          <reference field="2" count="1" selected="0">
            <x v="79"/>
          </reference>
          <reference field="3" count="1" selected="0">
            <x v="0"/>
          </reference>
          <reference field="12" count="1" selected="0">
            <x v="0"/>
          </reference>
          <reference field="13" count="1">
            <x v="0"/>
          </reference>
        </references>
      </pivotArea>
    </format>
    <format dxfId="1635">
      <pivotArea dataOnly="0" labelOnly="1" fieldPosition="0">
        <references count="6">
          <reference field="0" count="1" selected="0">
            <x v="146"/>
          </reference>
          <reference field="1" count="1" selected="0">
            <x v="139"/>
          </reference>
          <reference field="2" count="1" selected="0">
            <x v="30"/>
          </reference>
          <reference field="3" count="1" selected="0">
            <x v="0"/>
          </reference>
          <reference field="12" count="1" selected="0">
            <x v="26"/>
          </reference>
          <reference field="13" count="1">
            <x v="0"/>
          </reference>
        </references>
      </pivotArea>
    </format>
    <format dxfId="1634">
      <pivotArea dataOnly="0" labelOnly="1" fieldPosition="0">
        <references count="6">
          <reference field="0" count="1" selected="0">
            <x v="147"/>
          </reference>
          <reference field="1" count="1" selected="0">
            <x v="140"/>
          </reference>
          <reference field="2" count="1" selected="0">
            <x v="211"/>
          </reference>
          <reference field="3" count="1" selected="0">
            <x v="0"/>
          </reference>
          <reference field="12" count="1" selected="0">
            <x v="26"/>
          </reference>
          <reference field="13" count="1">
            <x v="0"/>
          </reference>
        </references>
      </pivotArea>
    </format>
    <format dxfId="1633">
      <pivotArea dataOnly="0" labelOnly="1" fieldPosition="0">
        <references count="6">
          <reference field="0" count="1" selected="0">
            <x v="148"/>
          </reference>
          <reference field="1" count="1" selected="0">
            <x v="141"/>
          </reference>
          <reference field="2" count="1" selected="0">
            <x v="95"/>
          </reference>
          <reference field="3" count="1" selected="0">
            <x v="0"/>
          </reference>
          <reference field="12" count="1" selected="0">
            <x v="26"/>
          </reference>
          <reference field="13" count="1">
            <x v="0"/>
          </reference>
        </references>
      </pivotArea>
    </format>
    <format dxfId="1632">
      <pivotArea dataOnly="0" labelOnly="1" fieldPosition="0">
        <references count="6">
          <reference field="0" count="1" selected="0">
            <x v="149"/>
          </reference>
          <reference field="1" count="1" selected="0">
            <x v="142"/>
          </reference>
          <reference field="2" count="1" selected="0">
            <x v="165"/>
          </reference>
          <reference field="3" count="1" selected="0">
            <x v="0"/>
          </reference>
          <reference field="12" count="1" selected="0">
            <x v="14"/>
          </reference>
          <reference field="13" count="1">
            <x v="0"/>
          </reference>
        </references>
      </pivotArea>
    </format>
    <format dxfId="1631">
      <pivotArea dataOnly="0" labelOnly="1" fieldPosition="0">
        <references count="6">
          <reference field="0" count="1" selected="0">
            <x v="150"/>
          </reference>
          <reference field="1" count="1" selected="0">
            <x v="143"/>
          </reference>
          <reference field="2" count="1" selected="0">
            <x v="166"/>
          </reference>
          <reference field="3" count="1" selected="0">
            <x v="0"/>
          </reference>
          <reference field="12" count="1" selected="0">
            <x v="14"/>
          </reference>
          <reference field="13" count="1">
            <x v="0"/>
          </reference>
        </references>
      </pivotArea>
    </format>
    <format dxfId="1630">
      <pivotArea dataOnly="0" labelOnly="1" fieldPosition="0">
        <references count="6">
          <reference field="0" count="1" selected="0">
            <x v="151"/>
          </reference>
          <reference field="1" count="1" selected="0">
            <x v="144"/>
          </reference>
          <reference field="2" count="1" selected="0">
            <x v="85"/>
          </reference>
          <reference field="3" count="1" selected="0">
            <x v="0"/>
          </reference>
          <reference field="12" count="1" selected="0">
            <x v="14"/>
          </reference>
          <reference field="13" count="1">
            <x v="0"/>
          </reference>
        </references>
      </pivotArea>
    </format>
    <format dxfId="1629">
      <pivotArea dataOnly="0" labelOnly="1" fieldPosition="0">
        <references count="6">
          <reference field="0" count="1" selected="0">
            <x v="152"/>
          </reference>
          <reference field="1" count="1" selected="0">
            <x v="145"/>
          </reference>
          <reference field="2" count="1" selected="0">
            <x v="86"/>
          </reference>
          <reference field="3" count="1" selected="0">
            <x v="0"/>
          </reference>
          <reference field="12" count="1" selected="0">
            <x v="14"/>
          </reference>
          <reference field="13" count="1">
            <x v="0"/>
          </reference>
        </references>
      </pivotArea>
    </format>
    <format dxfId="1628">
      <pivotArea dataOnly="0" labelOnly="1" fieldPosition="0">
        <references count="6">
          <reference field="0" count="1" selected="0">
            <x v="153"/>
          </reference>
          <reference field="1" count="1" selected="0">
            <x v="146"/>
          </reference>
          <reference field="2" count="1" selected="0">
            <x v="54"/>
          </reference>
          <reference field="3" count="1" selected="0">
            <x v="0"/>
          </reference>
          <reference field="12" count="1" selected="0">
            <x v="14"/>
          </reference>
          <reference field="13" count="1">
            <x v="0"/>
          </reference>
        </references>
      </pivotArea>
    </format>
    <format dxfId="1627">
      <pivotArea dataOnly="0" labelOnly="1" fieldPosition="0">
        <references count="6">
          <reference field="0" count="1" selected="0">
            <x v="154"/>
          </reference>
          <reference field="1" count="1" selected="0">
            <x v="147"/>
          </reference>
          <reference field="2" count="1" selected="0">
            <x v="109"/>
          </reference>
          <reference field="3" count="1" selected="0">
            <x v="0"/>
          </reference>
          <reference field="12" count="1" selected="0">
            <x v="14"/>
          </reference>
          <reference field="13" count="1">
            <x v="0"/>
          </reference>
        </references>
      </pivotArea>
    </format>
    <format dxfId="1626">
      <pivotArea dataOnly="0" labelOnly="1" fieldPosition="0">
        <references count="6">
          <reference field="0" count="1" selected="0">
            <x v="155"/>
          </reference>
          <reference field="1" count="1" selected="0">
            <x v="148"/>
          </reference>
          <reference field="2" count="1" selected="0">
            <x v="3"/>
          </reference>
          <reference field="3" count="1" selected="0">
            <x v="0"/>
          </reference>
          <reference field="12" count="1" selected="0">
            <x v="23"/>
          </reference>
          <reference field="13" count="1">
            <x v="0"/>
          </reference>
        </references>
      </pivotArea>
    </format>
    <format dxfId="1625">
      <pivotArea dataOnly="0" labelOnly="1" fieldPosition="0">
        <references count="6">
          <reference field="0" count="1" selected="0">
            <x v="159"/>
          </reference>
          <reference field="1" count="1" selected="0">
            <x v="183"/>
          </reference>
          <reference field="2" count="1" selected="0">
            <x v="122"/>
          </reference>
          <reference field="3" count="1" selected="0">
            <x v="0"/>
          </reference>
          <reference field="12" count="1" selected="0">
            <x v="8"/>
          </reference>
          <reference field="13" count="1">
            <x v="0"/>
          </reference>
        </references>
      </pivotArea>
    </format>
    <format dxfId="1624">
      <pivotArea dataOnly="0" labelOnly="1" fieldPosition="0">
        <references count="6">
          <reference field="0" count="1" selected="0">
            <x v="160"/>
          </reference>
          <reference field="1" count="1" selected="0">
            <x v="184"/>
          </reference>
          <reference field="2" count="1" selected="0">
            <x v="187"/>
          </reference>
          <reference field="3" count="1" selected="0">
            <x v="0"/>
          </reference>
          <reference field="12" count="1" selected="0">
            <x v="7"/>
          </reference>
          <reference field="13" count="1">
            <x v="0"/>
          </reference>
        </references>
      </pivotArea>
    </format>
    <format dxfId="1623">
      <pivotArea dataOnly="0" labelOnly="1" fieldPosition="0">
        <references count="6">
          <reference field="0" count="1" selected="0">
            <x v="161"/>
          </reference>
          <reference field="1" count="1" selected="0">
            <x v="185"/>
          </reference>
          <reference field="2" count="1" selected="0">
            <x v="186"/>
          </reference>
          <reference field="3" count="1" selected="0">
            <x v="0"/>
          </reference>
          <reference field="12" count="1" selected="0">
            <x v="9"/>
          </reference>
          <reference field="13" count="1">
            <x v="0"/>
          </reference>
        </references>
      </pivotArea>
    </format>
    <format dxfId="1622">
      <pivotArea dataOnly="0" labelOnly="1" fieldPosition="0">
        <references count="6">
          <reference field="0" count="1" selected="0">
            <x v="162"/>
          </reference>
          <reference field="1" count="1" selected="0">
            <x v="186"/>
          </reference>
          <reference field="2" count="1" selected="0">
            <x v="125"/>
          </reference>
          <reference field="3" count="1" selected="0">
            <x v="0"/>
          </reference>
          <reference field="12" count="1" selected="0">
            <x v="10"/>
          </reference>
          <reference field="13" count="1">
            <x v="0"/>
          </reference>
        </references>
      </pivotArea>
    </format>
    <format dxfId="1621">
      <pivotArea dataOnly="0" labelOnly="1" fieldPosition="0">
        <references count="6">
          <reference field="0" count="1" selected="0">
            <x v="164"/>
          </reference>
          <reference field="1" count="1" selected="0">
            <x v="188"/>
          </reference>
          <reference field="2" count="1" selected="0">
            <x v="119"/>
          </reference>
          <reference field="3" count="1" selected="0">
            <x v="0"/>
          </reference>
          <reference field="12" count="1" selected="0">
            <x v="13"/>
          </reference>
          <reference field="13" count="1">
            <x v="0"/>
          </reference>
        </references>
      </pivotArea>
    </format>
    <format dxfId="1620">
      <pivotArea dataOnly="0" labelOnly="1" fieldPosition="0">
        <references count="6">
          <reference field="0" count="1" selected="0">
            <x v="165"/>
          </reference>
          <reference field="1" count="1" selected="0">
            <x v="189"/>
          </reference>
          <reference field="2" count="1" selected="0">
            <x v="156"/>
          </reference>
          <reference field="3" count="1" selected="0">
            <x v="0"/>
          </reference>
          <reference field="12" count="1" selected="0">
            <x v="13"/>
          </reference>
          <reference field="13" count="1">
            <x v="0"/>
          </reference>
        </references>
      </pivotArea>
    </format>
    <format dxfId="1619">
      <pivotArea dataOnly="0" labelOnly="1" fieldPosition="0">
        <references count="6">
          <reference field="0" count="1" selected="0">
            <x v="166"/>
          </reference>
          <reference field="1" count="1" selected="0">
            <x v="190"/>
          </reference>
          <reference field="2" count="1" selected="0">
            <x v="213"/>
          </reference>
          <reference field="3" count="1" selected="0">
            <x v="0"/>
          </reference>
          <reference field="12" count="1" selected="0">
            <x v="13"/>
          </reference>
          <reference field="13" count="1">
            <x v="0"/>
          </reference>
        </references>
      </pivotArea>
    </format>
    <format dxfId="1618">
      <pivotArea dataOnly="0" labelOnly="1" fieldPosition="0">
        <references count="6">
          <reference field="0" count="1" selected="0">
            <x v="167"/>
          </reference>
          <reference field="1" count="1" selected="0">
            <x v="199"/>
          </reference>
          <reference field="2" count="1" selected="0">
            <x v="56"/>
          </reference>
          <reference field="3" count="1" selected="0">
            <x v="0"/>
          </reference>
          <reference field="12" count="1" selected="0">
            <x v="18"/>
          </reference>
          <reference field="13" count="1">
            <x v="0"/>
          </reference>
        </references>
      </pivotArea>
    </format>
    <format dxfId="1617">
      <pivotArea dataOnly="0" labelOnly="1" fieldPosition="0">
        <references count="6">
          <reference field="0" count="1" selected="0">
            <x v="168"/>
          </reference>
          <reference field="1" count="1" selected="0">
            <x v="200"/>
          </reference>
          <reference field="2" count="1" selected="0">
            <x v="9"/>
          </reference>
          <reference field="3" count="1" selected="0">
            <x v="0"/>
          </reference>
          <reference field="12" count="1" selected="0">
            <x v="7"/>
          </reference>
          <reference field="13" count="1">
            <x v="0"/>
          </reference>
        </references>
      </pivotArea>
    </format>
    <format dxfId="1616">
      <pivotArea dataOnly="0" labelOnly="1" fieldPosition="0">
        <references count="6">
          <reference field="0" count="1" selected="0">
            <x v="171"/>
          </reference>
          <reference field="1" count="1" selected="0">
            <x v="203"/>
          </reference>
          <reference field="2" count="1" selected="0">
            <x v="10"/>
          </reference>
          <reference field="3" count="1" selected="0">
            <x v="0"/>
          </reference>
          <reference field="12" count="1" selected="0">
            <x v="9"/>
          </reference>
          <reference field="13" count="1">
            <x v="0"/>
          </reference>
        </references>
      </pivotArea>
    </format>
    <format dxfId="1615">
      <pivotArea dataOnly="0" labelOnly="1" fieldPosition="0">
        <references count="6">
          <reference field="0" count="1" selected="0">
            <x v="172"/>
          </reference>
          <reference field="1" count="1" selected="0">
            <x v="204"/>
          </reference>
          <reference field="2" count="1" selected="0">
            <x v="216"/>
          </reference>
          <reference field="3" count="1" selected="0">
            <x v="0"/>
          </reference>
          <reference field="12" count="1" selected="0">
            <x v="2"/>
          </reference>
          <reference field="13" count="1">
            <x v="0"/>
          </reference>
        </references>
      </pivotArea>
    </format>
    <format dxfId="1614">
      <pivotArea dataOnly="0" labelOnly="1" fieldPosition="0">
        <references count="6">
          <reference field="0" count="1" selected="0">
            <x v="173"/>
          </reference>
          <reference field="1" count="1" selected="0">
            <x v="205"/>
          </reference>
          <reference field="2" count="1" selected="0">
            <x v="94"/>
          </reference>
          <reference field="3" count="1" selected="0">
            <x v="0"/>
          </reference>
          <reference field="12" count="1" selected="0">
            <x v="20"/>
          </reference>
          <reference field="13" count="1">
            <x v="0"/>
          </reference>
        </references>
      </pivotArea>
    </format>
    <format dxfId="1613">
      <pivotArea dataOnly="0" labelOnly="1" fieldPosition="0">
        <references count="6">
          <reference field="0" count="1" selected="0">
            <x v="175"/>
          </reference>
          <reference field="1" count="1" selected="0">
            <x v="207"/>
          </reference>
          <reference field="2" count="1" selected="0">
            <x v="172"/>
          </reference>
          <reference field="3" count="1" selected="0">
            <x v="0"/>
          </reference>
          <reference field="12" count="1" selected="0">
            <x v="21"/>
          </reference>
          <reference field="13" count="1">
            <x v="0"/>
          </reference>
        </references>
      </pivotArea>
    </format>
    <format dxfId="1612">
      <pivotArea dataOnly="0" labelOnly="1" fieldPosition="0">
        <references count="6">
          <reference field="0" count="1" selected="0">
            <x v="176"/>
          </reference>
          <reference field="1" count="1" selected="0">
            <x v="208"/>
          </reference>
          <reference field="2" count="1" selected="0">
            <x v="215"/>
          </reference>
          <reference field="3" count="1" selected="0">
            <x v="0"/>
          </reference>
          <reference field="12" count="1" selected="0">
            <x v="20"/>
          </reference>
          <reference field="13" count="1">
            <x v="0"/>
          </reference>
        </references>
      </pivotArea>
    </format>
    <format dxfId="1611">
      <pivotArea dataOnly="0" labelOnly="1" fieldPosition="0">
        <references count="6">
          <reference field="0" count="1" selected="0">
            <x v="177"/>
          </reference>
          <reference field="1" count="1" selected="0">
            <x v="209"/>
          </reference>
          <reference field="2" count="1" selected="0">
            <x v="114"/>
          </reference>
          <reference field="3" count="1" selected="0">
            <x v="0"/>
          </reference>
          <reference field="12" count="1" selected="0">
            <x v="20"/>
          </reference>
          <reference field="13" count="1">
            <x v="0"/>
          </reference>
        </references>
      </pivotArea>
    </format>
    <format dxfId="1610">
      <pivotArea dataOnly="0" labelOnly="1" fieldPosition="0">
        <references count="6">
          <reference field="0" count="1" selected="0">
            <x v="178"/>
          </reference>
          <reference field="1" count="1" selected="0">
            <x v="210"/>
          </reference>
          <reference field="2" count="1" selected="0">
            <x v="11"/>
          </reference>
          <reference field="3" count="1" selected="0">
            <x v="0"/>
          </reference>
          <reference field="12" count="1" selected="0">
            <x v="20"/>
          </reference>
          <reference field="13" count="1">
            <x v="0"/>
          </reference>
        </references>
      </pivotArea>
    </format>
    <format dxfId="1609">
      <pivotArea dataOnly="0" labelOnly="1" fieldPosition="0">
        <references count="6">
          <reference field="0" count="1" selected="0">
            <x v="179"/>
          </reference>
          <reference field="1" count="1" selected="0">
            <x v="211"/>
          </reference>
          <reference field="2" count="1" selected="0">
            <x v="96"/>
          </reference>
          <reference field="3" count="1" selected="0">
            <x v="0"/>
          </reference>
          <reference field="12" count="1" selected="0">
            <x v="20"/>
          </reference>
          <reference field="13" count="1">
            <x v="0"/>
          </reference>
        </references>
      </pivotArea>
    </format>
    <format dxfId="1608">
      <pivotArea dataOnly="0" labelOnly="1" fieldPosition="0">
        <references count="6">
          <reference field="0" count="1" selected="0">
            <x v="180"/>
          </reference>
          <reference field="1" count="1" selected="0">
            <x v="212"/>
          </reference>
          <reference field="2" count="1" selected="0">
            <x v="97"/>
          </reference>
          <reference field="3" count="1" selected="0">
            <x v="0"/>
          </reference>
          <reference field="12" count="1" selected="0">
            <x v="14"/>
          </reference>
          <reference field="13" count="1">
            <x v="0"/>
          </reference>
        </references>
      </pivotArea>
    </format>
    <format dxfId="1607">
      <pivotArea dataOnly="0" labelOnly="1" fieldPosition="0">
        <references count="6">
          <reference field="0" count="1" selected="0">
            <x v="181"/>
          </reference>
          <reference field="1" count="1" selected="0">
            <x v="213"/>
          </reference>
          <reference field="2" count="1" selected="0">
            <x v="234"/>
          </reference>
          <reference field="3" count="1" selected="0">
            <x v="0"/>
          </reference>
          <reference field="12" count="1" selected="0">
            <x v="14"/>
          </reference>
          <reference field="13" count="1">
            <x v="0"/>
          </reference>
        </references>
      </pivotArea>
    </format>
    <format dxfId="1606">
      <pivotArea dataOnly="0" labelOnly="1" fieldPosition="0">
        <references count="6">
          <reference field="0" count="1" selected="0">
            <x v="182"/>
          </reference>
          <reference field="1" count="1" selected="0">
            <x v="214"/>
          </reference>
          <reference field="2" count="1" selected="0">
            <x v="235"/>
          </reference>
          <reference field="3" count="1" selected="0">
            <x v="0"/>
          </reference>
          <reference field="12" count="1" selected="0">
            <x v="7"/>
          </reference>
          <reference field="13" count="1">
            <x v="0"/>
          </reference>
        </references>
      </pivotArea>
    </format>
    <format dxfId="1605">
      <pivotArea dataOnly="0" labelOnly="1" fieldPosition="0">
        <references count="6">
          <reference field="0" count="1" selected="0">
            <x v="183"/>
          </reference>
          <reference field="1" count="1" selected="0">
            <x v="215"/>
          </reference>
          <reference field="2" count="1" selected="0">
            <x v="206"/>
          </reference>
          <reference field="3" count="1" selected="0">
            <x v="0"/>
          </reference>
          <reference field="12" count="1" selected="0">
            <x v="14"/>
          </reference>
          <reference field="13" count="1">
            <x v="0"/>
          </reference>
        </references>
      </pivotArea>
    </format>
    <format dxfId="1604">
      <pivotArea dataOnly="0" labelOnly="1" fieldPosition="0">
        <references count="6">
          <reference field="0" count="1" selected="0">
            <x v="184"/>
          </reference>
          <reference field="1" count="1" selected="0">
            <x v="216"/>
          </reference>
          <reference field="2" count="1" selected="0">
            <x v="111"/>
          </reference>
          <reference field="3" count="1" selected="0">
            <x v="0"/>
          </reference>
          <reference field="12" count="1" selected="0">
            <x v="22"/>
          </reference>
          <reference field="13" count="1">
            <x v="0"/>
          </reference>
        </references>
      </pivotArea>
    </format>
    <format dxfId="1603">
      <pivotArea dataOnly="0" labelOnly="1" fieldPosition="0">
        <references count="6">
          <reference field="0" count="1" selected="0">
            <x v="185"/>
          </reference>
          <reference field="1" count="1" selected="0">
            <x v="217"/>
          </reference>
          <reference field="2" count="1" selected="0">
            <x v="113"/>
          </reference>
          <reference field="3" count="1" selected="0">
            <x v="0"/>
          </reference>
          <reference field="12" count="1" selected="0">
            <x v="12"/>
          </reference>
          <reference field="13" count="1">
            <x v="0"/>
          </reference>
        </references>
      </pivotArea>
    </format>
    <format dxfId="1602">
      <pivotArea dataOnly="0" labelOnly="1" fieldPosition="0">
        <references count="6">
          <reference field="0" count="1" selected="0">
            <x v="186"/>
          </reference>
          <reference field="1" count="1" selected="0">
            <x v="218"/>
          </reference>
          <reference field="2" count="1" selected="0">
            <x v="93"/>
          </reference>
          <reference field="3" count="1" selected="0">
            <x v="0"/>
          </reference>
          <reference field="12" count="1" selected="0">
            <x v="12"/>
          </reference>
          <reference field="13" count="1">
            <x v="2"/>
          </reference>
        </references>
      </pivotArea>
    </format>
    <format dxfId="1601">
      <pivotArea dataOnly="0" labelOnly="1" fieldPosition="0">
        <references count="6">
          <reference field="0" count="1" selected="0">
            <x v="187"/>
          </reference>
          <reference field="1" count="1" selected="0">
            <x v="219"/>
          </reference>
          <reference field="2" count="1" selected="0">
            <x v="104"/>
          </reference>
          <reference field="3" count="1" selected="0">
            <x v="0"/>
          </reference>
          <reference field="12" count="1" selected="0">
            <x v="12"/>
          </reference>
          <reference field="13" count="1">
            <x v="14"/>
          </reference>
        </references>
      </pivotArea>
    </format>
    <format dxfId="1600">
      <pivotArea dataOnly="0" labelOnly="1" fieldPosition="0">
        <references count="6">
          <reference field="0" count="1" selected="0">
            <x v="188"/>
          </reference>
          <reference field="1" count="1" selected="0">
            <x v="220"/>
          </reference>
          <reference field="2" count="1" selected="0">
            <x v="196"/>
          </reference>
          <reference field="3" count="1" selected="0">
            <x v="0"/>
          </reference>
          <reference field="12" count="1" selected="0">
            <x v="12"/>
          </reference>
          <reference field="13" count="1">
            <x v="14"/>
          </reference>
        </references>
      </pivotArea>
    </format>
    <format dxfId="1599">
      <pivotArea dataOnly="0" labelOnly="1" fieldPosition="0">
        <references count="6">
          <reference field="0" count="1" selected="0">
            <x v="189"/>
          </reference>
          <reference field="1" count="1" selected="0">
            <x v="221"/>
          </reference>
          <reference field="2" count="1" selected="0">
            <x v="182"/>
          </reference>
          <reference field="3" count="1" selected="0">
            <x v="0"/>
          </reference>
          <reference field="12" count="1" selected="0">
            <x v="12"/>
          </reference>
          <reference field="13" count="1">
            <x v="0"/>
          </reference>
        </references>
      </pivotArea>
    </format>
    <format dxfId="1598">
      <pivotArea dataOnly="0" labelOnly="1" fieldPosition="0">
        <references count="6">
          <reference field="0" count="1" selected="0">
            <x v="192"/>
          </reference>
          <reference field="1" count="1" selected="0">
            <x v="224"/>
          </reference>
          <reference field="2" count="1" selected="0">
            <x v="80"/>
          </reference>
          <reference field="3" count="1" selected="0">
            <x v="0"/>
          </reference>
          <reference field="12" count="1" selected="0">
            <x v="7"/>
          </reference>
          <reference field="13" count="1">
            <x v="0"/>
          </reference>
        </references>
      </pivotArea>
    </format>
    <format dxfId="1597">
      <pivotArea dataOnly="0" labelOnly="1" fieldPosition="0">
        <references count="6">
          <reference field="0" count="1" selected="0">
            <x v="193"/>
          </reference>
          <reference field="1" count="1" selected="0">
            <x v="225"/>
          </reference>
          <reference field="2" count="1" selected="0">
            <x v="238"/>
          </reference>
          <reference field="3" count="1" selected="0">
            <x v="0"/>
          </reference>
          <reference field="12" count="1" selected="0">
            <x v="7"/>
          </reference>
          <reference field="13" count="1">
            <x v="0"/>
          </reference>
        </references>
      </pivotArea>
    </format>
    <format dxfId="1596">
      <pivotArea dataOnly="0" labelOnly="1" fieldPosition="0">
        <references count="6">
          <reference field="0" count="1" selected="0">
            <x v="197"/>
          </reference>
          <reference field="1" count="1" selected="0">
            <x v="236"/>
          </reference>
          <reference field="2" count="1" selected="0">
            <x v="102"/>
          </reference>
          <reference field="3" count="1" selected="0">
            <x v="0"/>
          </reference>
          <reference field="12" count="1" selected="0">
            <x v="18"/>
          </reference>
          <reference field="13" count="1">
            <x v="0"/>
          </reference>
        </references>
      </pivotArea>
    </format>
    <format dxfId="1595">
      <pivotArea dataOnly="0" labelOnly="1" fieldPosition="0">
        <references count="6">
          <reference field="0" count="1" selected="0">
            <x v="199"/>
          </reference>
          <reference field="1" count="1" selected="0">
            <x v="238"/>
          </reference>
          <reference field="2" count="1" selected="0">
            <x v="33"/>
          </reference>
          <reference field="3" count="1" selected="0">
            <x v="0"/>
          </reference>
          <reference field="12" count="1" selected="0">
            <x v="20"/>
          </reference>
          <reference field="13" count="1">
            <x v="0"/>
          </reference>
        </references>
      </pivotArea>
    </format>
    <format dxfId="1594">
      <pivotArea dataOnly="0" labelOnly="1" fieldPosition="0">
        <references count="6">
          <reference field="0" count="1" selected="0">
            <x v="200"/>
          </reference>
          <reference field="1" count="1" selected="0">
            <x v="239"/>
          </reference>
          <reference field="2" count="1" selected="0">
            <x v="34"/>
          </reference>
          <reference field="3" count="1" selected="0">
            <x v="0"/>
          </reference>
          <reference field="12" count="1" selected="0">
            <x v="20"/>
          </reference>
          <reference field="13" count="1">
            <x v="0"/>
          </reference>
        </references>
      </pivotArea>
    </format>
    <format dxfId="1593">
      <pivotArea dataOnly="0" labelOnly="1" fieldPosition="0">
        <references count="6">
          <reference field="0" count="1" selected="0">
            <x v="201"/>
          </reference>
          <reference field="1" count="1" selected="0">
            <x v="240"/>
          </reference>
          <reference field="2" count="1" selected="0">
            <x v="37"/>
          </reference>
          <reference field="3" count="1" selected="0">
            <x v="0"/>
          </reference>
          <reference field="12" count="1" selected="0">
            <x v="20"/>
          </reference>
          <reference field="13" count="1">
            <x v="0"/>
          </reference>
        </references>
      </pivotArea>
    </format>
    <format dxfId="1592">
      <pivotArea dataOnly="0" labelOnly="1" fieldPosition="0">
        <references count="6">
          <reference field="0" count="1" selected="0">
            <x v="204"/>
          </reference>
          <reference field="1" count="1" selected="0">
            <x v="149"/>
          </reference>
          <reference field="2" count="1" selected="0">
            <x v="117"/>
          </reference>
          <reference field="3" count="1" selected="0">
            <x v="0"/>
          </reference>
          <reference field="12" count="1" selected="0">
            <x v="12"/>
          </reference>
          <reference field="13" count="1">
            <x v="14"/>
          </reference>
        </references>
      </pivotArea>
    </format>
    <format dxfId="1591">
      <pivotArea dataOnly="0" labelOnly="1" fieldPosition="0">
        <references count="6">
          <reference field="0" count="1" selected="0">
            <x v="206"/>
          </reference>
          <reference field="1" count="1" selected="0">
            <x v="151"/>
          </reference>
          <reference field="2" count="1" selected="0">
            <x v="159"/>
          </reference>
          <reference field="3" count="1" selected="0">
            <x v="0"/>
          </reference>
          <reference field="12" count="1" selected="0">
            <x v="12"/>
          </reference>
          <reference field="13" count="1">
            <x v="5"/>
          </reference>
        </references>
      </pivotArea>
    </format>
    <format dxfId="1590">
      <pivotArea dataOnly="0" labelOnly="1" fieldPosition="0">
        <references count="6">
          <reference field="0" count="1" selected="0">
            <x v="207"/>
          </reference>
          <reference field="1" count="1" selected="0">
            <x v="152"/>
          </reference>
          <reference field="2" count="1" selected="0">
            <x v="81"/>
          </reference>
          <reference field="3" count="1" selected="0">
            <x v="0"/>
          </reference>
          <reference field="12" count="1" selected="0">
            <x v="7"/>
          </reference>
          <reference field="13" count="1">
            <x v="0"/>
          </reference>
        </references>
      </pivotArea>
    </format>
    <format dxfId="1589">
      <pivotArea dataOnly="0" labelOnly="1" fieldPosition="0">
        <references count="6">
          <reference field="0" count="1" selected="0">
            <x v="208"/>
          </reference>
          <reference field="1" count="1" selected="0">
            <x v="153"/>
          </reference>
          <reference field="2" count="1" selected="0">
            <x v="103"/>
          </reference>
          <reference field="3" count="1" selected="0">
            <x v="0"/>
          </reference>
          <reference field="12" count="1" selected="0">
            <x v="14"/>
          </reference>
          <reference field="13" count="1">
            <x v="16"/>
          </reference>
        </references>
      </pivotArea>
    </format>
    <format dxfId="1588">
      <pivotArea dataOnly="0" labelOnly="1" fieldPosition="0">
        <references count="6">
          <reference field="0" count="1" selected="0">
            <x v="209"/>
          </reference>
          <reference field="1" count="1" selected="0">
            <x v="154"/>
          </reference>
          <reference field="2" count="1" selected="0">
            <x v="98"/>
          </reference>
          <reference field="3" count="1" selected="0">
            <x v="0"/>
          </reference>
          <reference field="12" count="1" selected="0">
            <x v="14"/>
          </reference>
          <reference field="13" count="1">
            <x v="17"/>
          </reference>
        </references>
      </pivotArea>
    </format>
    <format dxfId="1587">
      <pivotArea dataOnly="0" labelOnly="1" fieldPosition="0">
        <references count="6">
          <reference field="0" count="1" selected="0">
            <x v="210"/>
          </reference>
          <reference field="1" count="1" selected="0">
            <x v="155"/>
          </reference>
          <reference field="2" count="1" selected="0">
            <x v="162"/>
          </reference>
          <reference field="3" count="1" selected="0">
            <x v="0"/>
          </reference>
          <reference field="12" count="1" selected="0">
            <x v="7"/>
          </reference>
          <reference field="13" count="1">
            <x v="2"/>
          </reference>
        </references>
      </pivotArea>
    </format>
    <format dxfId="1586">
      <pivotArea dataOnly="0" labelOnly="1" fieldPosition="0">
        <references count="6">
          <reference field="0" count="1" selected="0">
            <x v="211"/>
          </reference>
          <reference field="1" count="1" selected="0">
            <x v="156"/>
          </reference>
          <reference field="2" count="1" selected="0">
            <x v="164"/>
          </reference>
          <reference field="3" count="1" selected="0">
            <x v="0"/>
          </reference>
          <reference field="12" count="1" selected="0">
            <x v="20"/>
          </reference>
          <reference field="13" count="1">
            <x v="3"/>
          </reference>
        </references>
      </pivotArea>
    </format>
    <format dxfId="1585">
      <pivotArea dataOnly="0" labelOnly="1" fieldPosition="0">
        <references count="6">
          <reference field="0" count="1" selected="0">
            <x v="212"/>
          </reference>
          <reference field="1" count="1" selected="0">
            <x v="157"/>
          </reference>
          <reference field="2" count="1" selected="0">
            <x v="170"/>
          </reference>
          <reference field="3" count="1" selected="0">
            <x v="0"/>
          </reference>
          <reference field="12" count="1" selected="0">
            <x v="20"/>
          </reference>
          <reference field="13" count="1">
            <x v="4"/>
          </reference>
        </references>
      </pivotArea>
    </format>
    <format dxfId="1584">
      <pivotArea dataOnly="0" labelOnly="1" fieldPosition="0">
        <references count="6">
          <reference field="0" count="1" selected="0">
            <x v="214"/>
          </reference>
          <reference field="1" count="1" selected="0">
            <x v="159"/>
          </reference>
          <reference field="2" count="1" selected="0">
            <x v="139"/>
          </reference>
          <reference field="3" count="1" selected="0">
            <x v="0"/>
          </reference>
          <reference field="12" count="1" selected="0">
            <x v="10"/>
          </reference>
          <reference field="13" count="1">
            <x v="15"/>
          </reference>
        </references>
      </pivotArea>
    </format>
    <format dxfId="1583">
      <pivotArea dataOnly="0" labelOnly="1" fieldPosition="0">
        <references count="6">
          <reference field="0" count="1" selected="0">
            <x v="215"/>
          </reference>
          <reference field="1" count="1" selected="0">
            <x v="160"/>
          </reference>
          <reference field="2" count="1" selected="0">
            <x v="137"/>
          </reference>
          <reference field="3" count="1" selected="0">
            <x v="0"/>
          </reference>
          <reference field="12" count="1" selected="0">
            <x v="10"/>
          </reference>
          <reference field="13" count="1">
            <x v="11"/>
          </reference>
        </references>
      </pivotArea>
    </format>
    <format dxfId="1582">
      <pivotArea dataOnly="0" labelOnly="1" fieldPosition="0">
        <references count="6">
          <reference field="0" count="1" selected="0">
            <x v="216"/>
          </reference>
          <reference field="1" count="1" selected="0">
            <x v="161"/>
          </reference>
          <reference field="2" count="1" selected="0">
            <x v="136"/>
          </reference>
          <reference field="3" count="1" selected="0">
            <x v="0"/>
          </reference>
          <reference field="12" count="1" selected="0">
            <x v="10"/>
          </reference>
          <reference field="13" count="1">
            <x v="13"/>
          </reference>
        </references>
      </pivotArea>
    </format>
    <format dxfId="1581">
      <pivotArea dataOnly="0" labelOnly="1" fieldPosition="0">
        <references count="6">
          <reference field="0" count="1" selected="0">
            <x v="217"/>
          </reference>
          <reference field="1" count="1" selected="0">
            <x v="162"/>
          </reference>
          <reference field="2" count="1" selected="0">
            <x v="13"/>
          </reference>
          <reference field="3" count="1" selected="0">
            <x v="0"/>
          </reference>
          <reference field="12" count="1" selected="0">
            <x v="10"/>
          </reference>
          <reference field="13" count="1">
            <x v="10"/>
          </reference>
        </references>
      </pivotArea>
    </format>
    <format dxfId="1580">
      <pivotArea dataOnly="0" labelOnly="1" fieldPosition="0">
        <references count="6">
          <reference field="0" count="1" selected="0">
            <x v="218"/>
          </reference>
          <reference field="1" count="1" selected="0">
            <x v="163"/>
          </reference>
          <reference field="2" count="1" selected="0">
            <x v="179"/>
          </reference>
          <reference field="3" count="1" selected="0">
            <x v="0"/>
          </reference>
          <reference field="12" count="1" selected="0">
            <x v="10"/>
          </reference>
          <reference field="13" count="1">
            <x v="10"/>
          </reference>
        </references>
      </pivotArea>
    </format>
    <format dxfId="1579">
      <pivotArea dataOnly="0" labelOnly="1" fieldPosition="0">
        <references count="6">
          <reference field="0" count="1" selected="0">
            <x v="219"/>
          </reference>
          <reference field="1" count="1" selected="0">
            <x v="164"/>
          </reference>
          <reference field="2" count="1" selected="0">
            <x v="138"/>
          </reference>
          <reference field="3" count="1" selected="0">
            <x v="0"/>
          </reference>
          <reference field="12" count="1" selected="0">
            <x v="10"/>
          </reference>
          <reference field="13" count="1">
            <x v="8"/>
          </reference>
        </references>
      </pivotArea>
    </format>
    <format dxfId="1578">
      <pivotArea dataOnly="0" labelOnly="1" fieldPosition="0">
        <references count="6">
          <reference field="0" count="1" selected="0">
            <x v="220"/>
          </reference>
          <reference field="1" count="1" selected="0">
            <x v="165"/>
          </reference>
          <reference field="2" count="1" selected="0">
            <x v="142"/>
          </reference>
          <reference field="3" count="1" selected="0">
            <x v="0"/>
          </reference>
          <reference field="12" count="1" selected="0">
            <x v="11"/>
          </reference>
          <reference field="13" count="1">
            <x v="12"/>
          </reference>
        </references>
      </pivotArea>
    </format>
    <format dxfId="1577">
      <pivotArea dataOnly="0" labelOnly="1" fieldPosition="0">
        <references count="6">
          <reference field="0" count="1" selected="0">
            <x v="221"/>
          </reference>
          <reference field="1" count="1" selected="0">
            <x v="166"/>
          </reference>
          <reference field="2" count="1" selected="0">
            <x v="143"/>
          </reference>
          <reference field="3" count="1" selected="0">
            <x v="0"/>
          </reference>
          <reference field="12" count="1" selected="0">
            <x v="10"/>
          </reference>
          <reference field="13" count="1">
            <x v="9"/>
          </reference>
        </references>
      </pivotArea>
    </format>
    <format dxfId="1576">
      <pivotArea dataOnly="0" labelOnly="1" fieldPosition="0">
        <references count="6">
          <reference field="0" count="1" selected="0">
            <x v="223"/>
          </reference>
          <reference field="1" count="1" selected="0">
            <x v="168"/>
          </reference>
          <reference field="2" count="1" selected="0">
            <x v="71"/>
          </reference>
          <reference field="3" count="1" selected="0">
            <x v="0"/>
          </reference>
          <reference field="12" count="1" selected="0">
            <x v="24"/>
          </reference>
          <reference field="13" count="1">
            <x v="7"/>
          </reference>
        </references>
      </pivotArea>
    </format>
    <format dxfId="1575">
      <pivotArea dataOnly="0" labelOnly="1" fieldPosition="0">
        <references count="6">
          <reference field="0" count="1" selected="0">
            <x v="224"/>
          </reference>
          <reference field="1" count="1" selected="0">
            <x v="169"/>
          </reference>
          <reference field="2" count="1" selected="0">
            <x v="121"/>
          </reference>
          <reference field="3" count="1" selected="0">
            <x v="0"/>
          </reference>
          <reference field="12" count="1" selected="0">
            <x v="23"/>
          </reference>
          <reference field="13" count="1">
            <x v="1"/>
          </reference>
        </references>
      </pivotArea>
    </format>
    <format dxfId="1574">
      <pivotArea dataOnly="0" labelOnly="1" fieldPosition="0">
        <references count="6">
          <reference field="0" count="1" selected="0">
            <x v="225"/>
          </reference>
          <reference field="1" count="1" selected="0">
            <x v="170"/>
          </reference>
          <reference field="2" count="1" selected="0">
            <x v="120"/>
          </reference>
          <reference field="3" count="1" selected="0">
            <x v="0"/>
          </reference>
          <reference field="12" count="1" selected="0">
            <x v="23"/>
          </reference>
          <reference field="13" count="1">
            <x v="22"/>
          </reference>
        </references>
      </pivotArea>
    </format>
    <format dxfId="1573">
      <pivotArea dataOnly="0" labelOnly="1" fieldPosition="0">
        <references count="6">
          <reference field="0" count="1" selected="0">
            <x v="226"/>
          </reference>
          <reference field="1" count="1" selected="0">
            <x v="171"/>
          </reference>
          <reference field="2" count="1" selected="0">
            <x v="41"/>
          </reference>
          <reference field="3" count="1" selected="0">
            <x v="0"/>
          </reference>
          <reference field="12" count="1" selected="0">
            <x v="23"/>
          </reference>
          <reference field="13" count="1">
            <x v="22"/>
          </reference>
        </references>
      </pivotArea>
    </format>
    <format dxfId="1572">
      <pivotArea dataOnly="0" labelOnly="1" fieldPosition="0">
        <references count="6">
          <reference field="0" count="1" selected="0">
            <x v="227"/>
          </reference>
          <reference field="1" count="1" selected="0">
            <x v="172"/>
          </reference>
          <reference field="2" count="1" selected="0">
            <x v="42"/>
          </reference>
          <reference field="3" count="1" selected="0">
            <x v="0"/>
          </reference>
          <reference field="12" count="1" selected="0">
            <x v="23"/>
          </reference>
          <reference field="13" count="1">
            <x v="22"/>
          </reference>
        </references>
      </pivotArea>
    </format>
    <format dxfId="1571">
      <pivotArea dataOnly="0" labelOnly="1" fieldPosition="0">
        <references count="6">
          <reference field="0" count="1" selected="0">
            <x v="228"/>
          </reference>
          <reference field="1" count="1" selected="0">
            <x v="173"/>
          </reference>
          <reference field="2" count="1" selected="0">
            <x v="145"/>
          </reference>
          <reference field="3" count="1" selected="0">
            <x v="0"/>
          </reference>
          <reference field="12" count="1" selected="0">
            <x v="3"/>
          </reference>
          <reference field="13" count="1">
            <x v="21"/>
          </reference>
        </references>
      </pivotArea>
    </format>
    <format dxfId="1570">
      <pivotArea dataOnly="0" labelOnly="1" fieldPosition="0">
        <references count="6">
          <reference field="0" count="1" selected="0">
            <x v="229"/>
          </reference>
          <reference field="1" count="1" selected="0">
            <x v="174"/>
          </reference>
          <reference field="2" count="1" selected="0">
            <x v="91"/>
          </reference>
          <reference field="3" count="1" selected="0">
            <x v="0"/>
          </reference>
          <reference field="12" count="1" selected="0">
            <x v="3"/>
          </reference>
          <reference field="13" count="1">
            <x v="18"/>
          </reference>
        </references>
      </pivotArea>
    </format>
    <format dxfId="1569">
      <pivotArea dataOnly="0" labelOnly="1" fieldPosition="0">
        <references count="6">
          <reference field="0" count="1" selected="0">
            <x v="230"/>
          </reference>
          <reference field="1" count="1" selected="0">
            <x v="175"/>
          </reference>
          <reference field="2" count="1" selected="0">
            <x v="160"/>
          </reference>
          <reference field="3" count="1" selected="0">
            <x v="0"/>
          </reference>
          <reference field="12" count="1" selected="0">
            <x v="3"/>
          </reference>
          <reference field="13" count="1">
            <x v="18"/>
          </reference>
        </references>
      </pivotArea>
    </format>
    <format dxfId="1568">
      <pivotArea dataOnly="0" labelOnly="1" fieldPosition="0">
        <references count="6">
          <reference field="0" count="1" selected="0">
            <x v="231"/>
          </reference>
          <reference field="1" count="1" selected="0">
            <x v="176"/>
          </reference>
          <reference field="2" count="1" selected="0">
            <x v="42"/>
          </reference>
          <reference field="3" count="1" selected="0">
            <x v="0"/>
          </reference>
          <reference field="12" count="1" selected="0">
            <x v="3"/>
          </reference>
          <reference field="13" count="1">
            <x v="20"/>
          </reference>
        </references>
      </pivotArea>
    </format>
    <format dxfId="1567">
      <pivotArea dataOnly="0" labelOnly="1" fieldPosition="0">
        <references count="6">
          <reference field="0" count="1" selected="0">
            <x v="232"/>
          </reference>
          <reference field="1" count="1" selected="0">
            <x v="177"/>
          </reference>
          <reference field="2" count="1" selected="0">
            <x v="47"/>
          </reference>
          <reference field="3" count="1" selected="0">
            <x v="0"/>
          </reference>
          <reference field="12" count="1" selected="0">
            <x v="3"/>
          </reference>
          <reference field="13" count="1">
            <x v="19"/>
          </reference>
        </references>
      </pivotArea>
    </format>
    <format dxfId="1566">
      <pivotArea dataOnly="0" labelOnly="1" fieldPosition="0">
        <references count="6">
          <reference field="0" count="1" selected="0">
            <x v="233"/>
          </reference>
          <reference field="1" count="1" selected="0">
            <x v="178"/>
          </reference>
          <reference field="2" count="1" selected="0">
            <x v="32"/>
          </reference>
          <reference field="3" count="1" selected="0">
            <x v="0"/>
          </reference>
          <reference field="12" count="1" selected="0">
            <x v="3"/>
          </reference>
          <reference field="13" count="1">
            <x v="6"/>
          </reference>
        </references>
      </pivotArea>
    </format>
    <format dxfId="1565">
      <pivotArea dataOnly="0" labelOnly="1" fieldPosition="0">
        <references count="6">
          <reference field="0" count="1" selected="0">
            <x v="234"/>
          </reference>
          <reference field="1" count="1" selected="0">
            <x v="179"/>
          </reference>
          <reference field="2" count="1" selected="0">
            <x v="163"/>
          </reference>
          <reference field="3" count="1" selected="0">
            <x v="0"/>
          </reference>
          <reference field="12" count="1" selected="0">
            <x v="28"/>
          </reference>
          <reference field="13" count="1">
            <x v="25"/>
          </reference>
        </references>
      </pivotArea>
    </format>
    <format dxfId="1564">
      <pivotArea dataOnly="0" labelOnly="1" fieldPosition="0">
        <references count="6">
          <reference field="0" count="1" selected="0">
            <x v="235"/>
          </reference>
          <reference field="1" count="1" selected="0">
            <x v="191"/>
          </reference>
          <reference field="2" count="1" selected="0">
            <x v="155"/>
          </reference>
          <reference field="3" count="1" selected="0">
            <x v="0"/>
          </reference>
          <reference field="12" count="1" selected="0">
            <x v="3"/>
          </reference>
          <reference field="13" count="1">
            <x v="0"/>
          </reference>
        </references>
      </pivotArea>
    </format>
    <format dxfId="1563">
      <pivotArea dataOnly="0" labelOnly="1" fieldPosition="0">
        <references count="6">
          <reference field="0" count="1" selected="0">
            <x v="236"/>
          </reference>
          <reference field="1" count="1" selected="0">
            <x v="192"/>
          </reference>
          <reference field="2" count="1" selected="0">
            <x v="27"/>
          </reference>
          <reference field="3" count="1" selected="0">
            <x v="0"/>
          </reference>
          <reference field="12" count="1" selected="0">
            <x v="3"/>
          </reference>
          <reference field="13" count="1">
            <x v="0"/>
          </reference>
        </references>
      </pivotArea>
    </format>
    <format dxfId="1562">
      <pivotArea dataOnly="0" labelOnly="1" fieldPosition="0">
        <references count="6">
          <reference field="0" count="1" selected="0">
            <x v="237"/>
          </reference>
          <reference field="1" count="1" selected="0">
            <x v="193"/>
          </reference>
          <reference field="2" count="1" selected="0">
            <x v="89"/>
          </reference>
          <reference field="3" count="1" selected="0">
            <x v="0"/>
          </reference>
          <reference field="12" count="1" selected="0">
            <x v="3"/>
          </reference>
          <reference field="13" count="1">
            <x v="0"/>
          </reference>
        </references>
      </pivotArea>
    </format>
    <format dxfId="1561">
      <pivotArea dataOnly="0" labelOnly="1" fieldPosition="0">
        <references count="6">
          <reference field="0" count="1" selected="0">
            <x v="238"/>
          </reference>
          <reference field="1" count="1" selected="0">
            <x v="194"/>
          </reference>
          <reference field="2" count="1" selected="0">
            <x v="25"/>
          </reference>
          <reference field="3" count="1" selected="0">
            <x v="0"/>
          </reference>
          <reference field="12" count="1" selected="0">
            <x v="0"/>
          </reference>
          <reference field="13" count="1">
            <x v="0"/>
          </reference>
        </references>
      </pivotArea>
    </format>
    <format dxfId="1560">
      <pivotArea dataOnly="0" labelOnly="1" fieldPosition="0">
        <references count="6">
          <reference field="0" count="1" selected="0">
            <x v="239"/>
          </reference>
          <reference field="1" count="1" selected="0">
            <x v="195"/>
          </reference>
          <reference field="2" count="1" selected="0">
            <x v="28"/>
          </reference>
          <reference field="3" count="1" selected="0">
            <x v="0"/>
          </reference>
          <reference field="12" count="1" selected="0">
            <x v="0"/>
          </reference>
          <reference field="13" count="1">
            <x v="0"/>
          </reference>
        </references>
      </pivotArea>
    </format>
    <format dxfId="1559">
      <pivotArea dataOnly="0" labelOnly="1" fieldPosition="0">
        <references count="6">
          <reference field="0" count="1" selected="0">
            <x v="240"/>
          </reference>
          <reference field="1" count="1" selected="0">
            <x v="196"/>
          </reference>
          <reference field="2" count="1" selected="0">
            <x v="40"/>
          </reference>
          <reference field="3" count="1" selected="0">
            <x v="0"/>
          </reference>
          <reference field="12" count="1" selected="0">
            <x v="3"/>
          </reference>
          <reference field="13" count="1">
            <x v="0"/>
          </reference>
        </references>
      </pivotArea>
    </format>
    <format dxfId="1558">
      <pivotArea dataOnly="0" labelOnly="1" fieldPosition="0">
        <references count="6">
          <reference field="0" count="1" selected="0">
            <x v="241"/>
          </reference>
          <reference field="1" count="1" selected="0">
            <x v="197"/>
          </reference>
          <reference field="2" count="1" selected="0">
            <x v="195"/>
          </reference>
          <reference field="3" count="1" selected="0">
            <x v="0"/>
          </reference>
          <reference field="12" count="1" selected="0">
            <x v="0"/>
          </reference>
          <reference field="13" count="1">
            <x v="0"/>
          </reference>
        </references>
      </pivotArea>
    </format>
    <format dxfId="1557">
      <pivotArea dataOnly="0" labelOnly="1" fieldPosition="0">
        <references count="6">
          <reference field="0" count="1" selected="0">
            <x v="242"/>
          </reference>
          <reference field="1" count="1" selected="0">
            <x v="198"/>
          </reference>
          <reference field="2" count="1" selected="0">
            <x v="132"/>
          </reference>
          <reference field="3" count="1" selected="0">
            <x v="0"/>
          </reference>
          <reference field="12" count="1" selected="0">
            <x v="6"/>
          </reference>
          <reference field="13" count="1">
            <x v="0"/>
          </reference>
        </references>
      </pivotArea>
    </format>
    <format dxfId="1556">
      <pivotArea dataOnly="0" labelOnly="1" fieldPosition="0">
        <references count="7">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x v="38"/>
          </reference>
        </references>
      </pivotArea>
    </format>
    <format dxfId="1555">
      <pivotArea dataOnly="0" labelOnly="1" fieldPosition="0">
        <references count="7">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x v="0"/>
          </reference>
        </references>
      </pivotArea>
    </format>
    <format dxfId="1554">
      <pivotArea dataOnly="0" labelOnly="1" fieldPosition="0">
        <references count="7">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x v="35"/>
          </reference>
        </references>
      </pivotArea>
    </format>
    <format dxfId="1553">
      <pivotArea dataOnly="0" labelOnly="1" fieldPosition="0">
        <references count="7">
          <reference field="0" count="1" selected="0">
            <x v="4"/>
          </reference>
          <reference field="1" count="1" selected="0">
            <x v="232"/>
          </reference>
          <reference field="2" count="1" selected="0">
            <x v="90"/>
          </reference>
          <reference field="3" count="1" selected="0">
            <x v="0"/>
          </reference>
          <reference field="12" count="1" selected="0">
            <x v="3"/>
          </reference>
          <reference field="13" count="1" selected="0">
            <x v="0"/>
          </reference>
          <reference field="14" count="1">
            <x v="35"/>
          </reference>
        </references>
      </pivotArea>
    </format>
    <format dxfId="1552">
      <pivotArea dataOnly="0" labelOnly="1" fieldPosition="0">
        <references count="7">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x v="38"/>
          </reference>
        </references>
      </pivotArea>
    </format>
    <format dxfId="1551">
      <pivotArea dataOnly="0" labelOnly="1" fieldPosition="0">
        <references count="7">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x v="28"/>
          </reference>
        </references>
      </pivotArea>
    </format>
    <format dxfId="1550">
      <pivotArea dataOnly="0" labelOnly="1" fieldPosition="0">
        <references count="7">
          <reference field="0" count="1" selected="0">
            <x v="9"/>
          </reference>
          <reference field="1" count="1" selected="0">
            <x v="120"/>
          </reference>
          <reference field="2" count="1" selected="0">
            <x v="168"/>
          </reference>
          <reference field="3" count="1" selected="0">
            <x v="0"/>
          </reference>
          <reference field="12" count="1" selected="0">
            <x v="0"/>
          </reference>
          <reference field="13" count="1" selected="0">
            <x v="0"/>
          </reference>
          <reference field="14" count="1">
            <x v="28"/>
          </reference>
        </references>
      </pivotArea>
    </format>
    <format dxfId="1549">
      <pivotArea dataOnly="0" labelOnly="1" fieldPosition="0">
        <references count="7">
          <reference field="0" count="1" selected="0">
            <x v="10"/>
          </reference>
          <reference field="1" count="1" selected="0">
            <x v="121"/>
          </reference>
          <reference field="2" count="1" selected="0">
            <x v="82"/>
          </reference>
          <reference field="3" count="1" selected="0">
            <x v="0"/>
          </reference>
          <reference field="12" count="1" selected="0">
            <x v="0"/>
          </reference>
          <reference field="13" count="1" selected="0">
            <x v="0"/>
          </reference>
          <reference field="14" count="1">
            <x v="38"/>
          </reference>
        </references>
      </pivotArea>
    </format>
    <format dxfId="1548">
      <pivotArea dataOnly="0" labelOnly="1" fieldPosition="0">
        <references count="7">
          <reference field="0" count="1" selected="0">
            <x v="11"/>
          </reference>
          <reference field="1" count="1" selected="0">
            <x v="122"/>
          </reference>
          <reference field="2" count="1" selected="0">
            <x v="26"/>
          </reference>
          <reference field="3" count="1" selected="0">
            <x v="0"/>
          </reference>
          <reference field="12" count="1" selected="0">
            <x v="0"/>
          </reference>
          <reference field="13" count="1" selected="0">
            <x v="0"/>
          </reference>
          <reference field="14" count="1">
            <x v="38"/>
          </reference>
        </references>
      </pivotArea>
    </format>
    <format dxfId="1547">
      <pivotArea dataOnly="0" labelOnly="1" fieldPosition="0">
        <references count="7">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x v="40"/>
          </reference>
        </references>
      </pivotArea>
    </format>
    <format dxfId="1546">
      <pivotArea dataOnly="0" labelOnly="1" fieldPosition="0">
        <references count="7">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x v="38"/>
          </reference>
        </references>
      </pivotArea>
    </format>
    <format dxfId="1545">
      <pivotArea dataOnly="0" labelOnly="1" fieldPosition="0">
        <references count="7">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x v="1"/>
          </reference>
        </references>
      </pivotArea>
    </format>
    <format dxfId="1544">
      <pivotArea dataOnly="0" labelOnly="1" fieldPosition="0">
        <references count="7">
          <reference field="0" count="1" selected="0">
            <x v="26"/>
          </reference>
          <reference field="1" count="1" selected="0">
            <x v="23"/>
          </reference>
          <reference field="2" count="1" selected="0">
            <x v="217"/>
          </reference>
          <reference field="3" count="1" selected="0">
            <x v="0"/>
          </reference>
          <reference field="12" count="1" selected="0">
            <x v="5"/>
          </reference>
          <reference field="13" count="1" selected="0">
            <x v="0"/>
          </reference>
          <reference field="14" count="1">
            <x v="1"/>
          </reference>
        </references>
      </pivotArea>
    </format>
    <format dxfId="1543">
      <pivotArea dataOnly="0" labelOnly="1" fieldPosition="0">
        <references count="7">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x v="3"/>
          </reference>
        </references>
      </pivotArea>
    </format>
    <format dxfId="1542">
      <pivotArea dataOnly="0" labelOnly="1" fieldPosition="0">
        <references count="7">
          <reference field="0" count="1" selected="0">
            <x v="29"/>
          </reference>
          <reference field="1" count="1" selected="0">
            <x v="26"/>
          </reference>
          <reference field="2" count="1" selected="0">
            <x v="62"/>
          </reference>
          <reference field="3" count="1" selected="0">
            <x v="0"/>
          </reference>
          <reference field="12" count="1" selected="0">
            <x v="15"/>
          </reference>
          <reference field="13" count="1" selected="0">
            <x v="0"/>
          </reference>
          <reference field="14" count="1">
            <x v="19"/>
          </reference>
        </references>
      </pivotArea>
    </format>
    <format dxfId="1541">
      <pivotArea dataOnly="0" labelOnly="1" fieldPosition="0">
        <references count="7">
          <reference field="0" count="1" selected="0">
            <x v="30"/>
          </reference>
          <reference field="1" count="1" selected="0">
            <x v="27"/>
          </reference>
          <reference field="2" count="1" selected="0">
            <x v="7"/>
          </reference>
          <reference field="3" count="1" selected="0">
            <x v="0"/>
          </reference>
          <reference field="12" count="1" selected="0">
            <x v="15"/>
          </reference>
          <reference field="13" count="1" selected="0">
            <x v="0"/>
          </reference>
          <reference field="14" count="1">
            <x v="13"/>
          </reference>
        </references>
      </pivotArea>
    </format>
    <format dxfId="1540">
      <pivotArea dataOnly="0" labelOnly="1" fieldPosition="0">
        <references count="7">
          <reference field="0" count="1" selected="0">
            <x v="31"/>
          </reference>
          <reference field="1" count="1" selected="0">
            <x v="28"/>
          </reference>
          <reference field="2" count="1" selected="0">
            <x v="53"/>
          </reference>
          <reference field="3" count="1" selected="0">
            <x v="0"/>
          </reference>
          <reference field="12" count="1" selected="0">
            <x v="7"/>
          </reference>
          <reference field="13" count="1" selected="0">
            <x v="0"/>
          </reference>
          <reference field="14" count="1">
            <x v="15"/>
          </reference>
        </references>
      </pivotArea>
    </format>
    <format dxfId="1539">
      <pivotArea dataOnly="0" labelOnly="1" fieldPosition="0">
        <references count="7">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x v="61"/>
          </reference>
        </references>
      </pivotArea>
    </format>
    <format dxfId="1538">
      <pivotArea dataOnly="0" labelOnly="1" fieldPosition="0">
        <references count="7">
          <reference field="0" count="1" selected="0">
            <x v="36"/>
          </reference>
          <reference field="1" count="1" selected="0">
            <x v="33"/>
          </reference>
          <reference field="2" count="1" selected="0">
            <x v="130"/>
          </reference>
          <reference field="3" count="1" selected="0">
            <x v="0"/>
          </reference>
          <reference field="12" count="1" selected="0">
            <x v="22"/>
          </reference>
          <reference field="13" count="1" selected="0">
            <x v="0"/>
          </reference>
          <reference field="14" count="1">
            <x v="2"/>
          </reference>
        </references>
      </pivotArea>
    </format>
    <format dxfId="1537">
      <pivotArea dataOnly="0" labelOnly="1" fieldPosition="0">
        <references count="7">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x v="62"/>
          </reference>
        </references>
      </pivotArea>
    </format>
    <format dxfId="1536">
      <pivotArea dataOnly="0" labelOnly="1" fieldPosition="0">
        <references count="7">
          <reference field="0" count="1" selected="0">
            <x v="39"/>
          </reference>
          <reference field="1" count="1" selected="0">
            <x v="1"/>
          </reference>
          <reference field="2" count="1" selected="0">
            <x v="46"/>
          </reference>
          <reference field="3" count="1" selected="0">
            <x v="0"/>
          </reference>
          <reference field="12" count="1" selected="0">
            <x v="10"/>
          </reference>
          <reference field="13" count="1" selected="0">
            <x v="0"/>
          </reference>
          <reference field="14" count="1">
            <x v="62"/>
          </reference>
        </references>
      </pivotArea>
    </format>
    <format dxfId="1535">
      <pivotArea dataOnly="0" labelOnly="1" fieldPosition="0">
        <references count="7">
          <reference field="0" count="1" selected="0">
            <x v="42"/>
          </reference>
          <reference field="1" count="1" selected="0">
            <x v="4"/>
          </reference>
          <reference field="2" count="1" selected="0">
            <x v="64"/>
          </reference>
          <reference field="3" count="1" selected="0">
            <x v="0"/>
          </reference>
          <reference field="12" count="1" selected="0">
            <x v="10"/>
          </reference>
          <reference field="13" count="1" selected="0">
            <x v="0"/>
          </reference>
          <reference field="14" count="1">
            <x v="58"/>
          </reference>
        </references>
      </pivotArea>
    </format>
    <format dxfId="1534">
      <pivotArea dataOnly="0" labelOnly="1" fieldPosition="0">
        <references count="7">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x v="56"/>
          </reference>
        </references>
      </pivotArea>
    </format>
    <format dxfId="1533">
      <pivotArea dataOnly="0" labelOnly="1" fieldPosition="0">
        <references count="7">
          <reference field="0" count="1" selected="0">
            <x v="44"/>
          </reference>
          <reference field="1" count="1" selected="0">
            <x v="6"/>
          </reference>
          <reference field="2" count="1" selected="0">
            <x v="23"/>
          </reference>
          <reference field="3" count="1" selected="0">
            <x v="0"/>
          </reference>
          <reference field="12" count="1" selected="0">
            <x v="10"/>
          </reference>
          <reference field="13" count="1" selected="0">
            <x v="0"/>
          </reference>
          <reference field="14" count="1">
            <x v="56"/>
          </reference>
        </references>
      </pivotArea>
    </format>
    <format dxfId="1532">
      <pivotArea dataOnly="0" labelOnly="1" fieldPosition="0">
        <references count="7">
          <reference field="0" count="1" selected="0">
            <x v="45"/>
          </reference>
          <reference field="1" count="1" selected="0">
            <x v="7"/>
          </reference>
          <reference field="2" count="1" selected="0">
            <x v="22"/>
          </reference>
          <reference field="3" count="1" selected="0">
            <x v="0"/>
          </reference>
          <reference field="12" count="1" selected="0">
            <x v="10"/>
          </reference>
          <reference field="13" count="1" selected="0">
            <x v="0"/>
          </reference>
          <reference field="14" count="1">
            <x v="56"/>
          </reference>
        </references>
      </pivotArea>
    </format>
    <format dxfId="1531">
      <pivotArea dataOnly="0" labelOnly="1" fieldPosition="0">
        <references count="7">
          <reference field="0" count="1" selected="0">
            <x v="46"/>
          </reference>
          <reference field="1" count="1" selected="0">
            <x v="8"/>
          </reference>
          <reference field="2" count="1" selected="0">
            <x v="135"/>
          </reference>
          <reference field="3" count="1" selected="0">
            <x v="0"/>
          </reference>
          <reference field="12" count="1" selected="0">
            <x v="10"/>
          </reference>
          <reference field="13" count="1" selected="0">
            <x v="0"/>
          </reference>
          <reference field="14" count="1">
            <x v="56"/>
          </reference>
        </references>
      </pivotArea>
    </format>
    <format dxfId="1530">
      <pivotArea dataOnly="0" labelOnly="1" fieldPosition="0">
        <references count="7">
          <reference field="0" count="1" selected="0">
            <x v="47"/>
          </reference>
          <reference field="1" count="1" selected="0">
            <x v="9"/>
          </reference>
          <reference field="2" count="1" selected="0">
            <x v="141"/>
          </reference>
          <reference field="3" count="1" selected="0">
            <x v="0"/>
          </reference>
          <reference field="12" count="1" selected="0">
            <x v="10"/>
          </reference>
          <reference field="13" count="1" selected="0">
            <x v="0"/>
          </reference>
          <reference field="14" count="1">
            <x v="56"/>
          </reference>
        </references>
      </pivotArea>
    </format>
    <format dxfId="1529">
      <pivotArea dataOnly="0" labelOnly="1" fieldPosition="0">
        <references count="7">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x v="66"/>
          </reference>
        </references>
      </pivotArea>
    </format>
    <format dxfId="1528">
      <pivotArea dataOnly="0" labelOnly="1" fieldPosition="0">
        <references count="7">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x v="34"/>
          </reference>
        </references>
      </pivotArea>
    </format>
    <format dxfId="1527">
      <pivotArea dataOnly="0" labelOnly="1" fieldPosition="0">
        <references count="7">
          <reference field="0" count="1" selected="0">
            <x v="56"/>
          </reference>
          <reference field="1" count="1" selected="0">
            <x v="36"/>
          </reference>
          <reference field="2" count="1" selected="0">
            <x v="183"/>
          </reference>
          <reference field="3" count="1" selected="0">
            <x v="0"/>
          </reference>
          <reference field="12" count="1" selected="0">
            <x v="3"/>
          </reference>
          <reference field="13" count="1" selected="0">
            <x v="0"/>
          </reference>
          <reference field="14" count="1">
            <x v="34"/>
          </reference>
        </references>
      </pivotArea>
    </format>
    <format dxfId="1526">
      <pivotArea dataOnly="0" labelOnly="1" fieldPosition="0">
        <references count="7">
          <reference field="0" count="1" selected="0">
            <x v="62"/>
          </reference>
          <reference field="1" count="1" selected="0">
            <x v="42"/>
          </reference>
          <reference field="2" count="1" selected="0">
            <x v="15"/>
          </reference>
          <reference field="3" count="1" selected="0">
            <x v="0"/>
          </reference>
          <reference field="12" count="1" selected="0">
            <x v="3"/>
          </reference>
          <reference field="13" count="1" selected="0">
            <x v="0"/>
          </reference>
          <reference field="14" count="1">
            <x v="47"/>
          </reference>
        </references>
      </pivotArea>
    </format>
    <format dxfId="1525">
      <pivotArea dataOnly="0" labelOnly="1" fieldPosition="0">
        <references count="7">
          <reference field="0" count="1" selected="0">
            <x v="63"/>
          </reference>
          <reference field="1" count="1" selected="0">
            <x v="43"/>
          </reference>
          <reference field="2" count="1" selected="0">
            <x v="152"/>
          </reference>
          <reference field="3" count="1" selected="0">
            <x v="0"/>
          </reference>
          <reference field="12" count="1" selected="0">
            <x v="3"/>
          </reference>
          <reference field="13" count="1" selected="0">
            <x v="0"/>
          </reference>
          <reference field="14" count="1">
            <x v="37"/>
          </reference>
        </references>
      </pivotArea>
    </format>
    <format dxfId="1524">
      <pivotArea dataOnly="0" labelOnly="1" fieldPosition="0">
        <references count="7">
          <reference field="0" count="1" selected="0">
            <x v="64"/>
          </reference>
          <reference field="1" count="1" selected="0">
            <x v="44"/>
          </reference>
          <reference field="2" count="1" selected="0">
            <x v="146"/>
          </reference>
          <reference field="3" count="1" selected="0">
            <x v="0"/>
          </reference>
          <reference field="12" count="1" selected="0">
            <x v="3"/>
          </reference>
          <reference field="13" count="1" selected="0">
            <x v="0"/>
          </reference>
          <reference field="14" count="1">
            <x v="36"/>
          </reference>
        </references>
      </pivotArea>
    </format>
    <format dxfId="1523">
      <pivotArea dataOnly="0" labelOnly="1" fieldPosition="0">
        <references count="7">
          <reference field="0" count="1" selected="0">
            <x v="65"/>
          </reference>
          <reference field="1" count="1" selected="0">
            <x v="45"/>
          </reference>
          <reference field="2" count="1" selected="0">
            <x v="204"/>
          </reference>
          <reference field="3" count="1" selected="0">
            <x v="0"/>
          </reference>
          <reference field="12" count="1" selected="0">
            <x v="3"/>
          </reference>
          <reference field="13" count="1" selected="0">
            <x v="0"/>
          </reference>
          <reference field="14" count="1">
            <x v="0"/>
          </reference>
        </references>
      </pivotArea>
    </format>
    <format dxfId="1522">
      <pivotArea dataOnly="0" labelOnly="1" fieldPosition="0">
        <references count="7">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x v="14"/>
          </reference>
        </references>
      </pivotArea>
    </format>
    <format dxfId="1521">
      <pivotArea dataOnly="0" labelOnly="1" fieldPosition="0">
        <references count="7">
          <reference field="0" count="1" selected="0">
            <x v="67"/>
          </reference>
          <reference field="1" count="1" selected="0">
            <x v="47"/>
          </reference>
          <reference field="2" count="1" selected="0">
            <x v="181"/>
          </reference>
          <reference field="3" count="1" selected="0">
            <x v="0"/>
          </reference>
          <reference field="12" count="1" selected="0">
            <x v="3"/>
          </reference>
          <reference field="13" count="1" selected="0">
            <x v="0"/>
          </reference>
          <reference field="14" count="1">
            <x v="14"/>
          </reference>
        </references>
      </pivotArea>
    </format>
    <format dxfId="1520">
      <pivotArea dataOnly="0" labelOnly="1" fieldPosition="0">
        <references count="7">
          <reference field="0" count="1" selected="0">
            <x v="68"/>
          </reference>
          <reference field="1" count="1" selected="0">
            <x v="48"/>
          </reference>
          <reference field="2" count="1" selected="0">
            <x v="231"/>
          </reference>
          <reference field="3" count="1" selected="0">
            <x v="0"/>
          </reference>
          <reference field="12" count="1" selected="0">
            <x v="3"/>
          </reference>
          <reference field="13" count="1" selected="0">
            <x v="0"/>
          </reference>
          <reference field="14" count="1">
            <x v="14"/>
          </reference>
        </references>
      </pivotArea>
    </format>
    <format dxfId="1519">
      <pivotArea dataOnly="0" labelOnly="1" fieldPosition="0">
        <references count="7">
          <reference field="0" count="1" selected="0">
            <x v="79"/>
          </reference>
          <reference field="1" count="1" selected="0">
            <x v="59"/>
          </reference>
          <reference field="2" count="1" selected="0">
            <x v="21"/>
          </reference>
          <reference field="3" count="1" selected="0">
            <x v="0"/>
          </reference>
          <reference field="12" count="1" selected="0">
            <x v="3"/>
          </reference>
          <reference field="13" count="1" selected="0">
            <x v="0"/>
          </reference>
          <reference field="14" count="1">
            <x v="0"/>
          </reference>
        </references>
      </pivotArea>
    </format>
    <format dxfId="1518">
      <pivotArea dataOnly="0" labelOnly="1" fieldPosition="0">
        <references count="7">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x v="0"/>
          </reference>
        </references>
      </pivotArea>
    </format>
    <format dxfId="1517">
      <pivotArea dataOnly="0" labelOnly="1" fieldPosition="0">
        <references count="7">
          <reference field="0" count="1" selected="0">
            <x v="83"/>
          </reference>
          <reference field="1" count="1" selected="0">
            <x v="70"/>
          </reference>
          <reference field="2" count="1" selected="0">
            <x v="193"/>
          </reference>
          <reference field="3" count="1" selected="0">
            <x v="0"/>
          </reference>
          <reference field="12" count="1" selected="0">
            <x v="5"/>
          </reference>
          <reference field="13" count="1" selected="0">
            <x v="0"/>
          </reference>
          <reference field="14" count="1">
            <x v="0"/>
          </reference>
        </references>
      </pivotArea>
    </format>
    <format dxfId="1516">
      <pivotArea dataOnly="0" labelOnly="1" fieldPosition="0">
        <references count="7">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x v="4"/>
          </reference>
        </references>
      </pivotArea>
    </format>
    <format dxfId="1515">
      <pivotArea dataOnly="0" labelOnly="1" fieldPosition="0">
        <references count="7">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x v="53"/>
          </reference>
        </references>
      </pivotArea>
    </format>
    <format dxfId="1514">
      <pivotArea dataOnly="0" labelOnly="1" fieldPosition="0">
        <references count="7">
          <reference field="0" count="1" selected="0">
            <x v="86"/>
          </reference>
          <reference field="1" count="1" selected="0">
            <x v="73"/>
          </reference>
          <reference field="2" count="1" selected="0">
            <x v="154"/>
          </reference>
          <reference field="3" count="1" selected="0">
            <x v="0"/>
          </reference>
          <reference field="12" count="1" selected="0">
            <x v="7"/>
          </reference>
          <reference field="13" count="1" selected="0">
            <x v="0"/>
          </reference>
          <reference field="14" count="1">
            <x v="53"/>
          </reference>
        </references>
      </pivotArea>
    </format>
    <format dxfId="1513">
      <pivotArea dataOnly="0" labelOnly="1" fieldPosition="0">
        <references count="7">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x v="25"/>
          </reference>
        </references>
      </pivotArea>
    </format>
    <format dxfId="1512">
      <pivotArea dataOnly="0" labelOnly="1" fieldPosition="0">
        <references count="7">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x v="0"/>
          </reference>
        </references>
      </pivotArea>
    </format>
    <format dxfId="1511">
      <pivotArea dataOnly="0" labelOnly="1" fieldPosition="0">
        <references count="7">
          <reference field="0" count="1" selected="0">
            <x v="89"/>
          </reference>
          <reference field="1" count="1" selected="0">
            <x v="76"/>
          </reference>
          <reference field="2" count="1" selected="0">
            <x v="232"/>
          </reference>
          <reference field="3" count="1" selected="0">
            <x v="0"/>
          </reference>
          <reference field="12" count="1" selected="0">
            <x v="7"/>
          </reference>
          <reference field="13" count="1" selected="0">
            <x v="0"/>
          </reference>
          <reference field="14" count="1">
            <x v="50"/>
          </reference>
        </references>
      </pivotArea>
    </format>
    <format dxfId="1510">
      <pivotArea dataOnly="0" labelOnly="1" fieldPosition="0">
        <references count="7">
          <reference field="0" count="1" selected="0">
            <x v="90"/>
          </reference>
          <reference field="1" count="1" selected="0">
            <x v="77"/>
          </reference>
          <reference field="2" count="1" selected="0">
            <x v="43"/>
          </reference>
          <reference field="3" count="1" selected="0">
            <x v="0"/>
          </reference>
          <reference field="12" count="1" selected="0">
            <x v="7"/>
          </reference>
          <reference field="13" count="1" selected="0">
            <x v="0"/>
          </reference>
          <reference field="14" count="1">
            <x v="50"/>
          </reference>
        </references>
      </pivotArea>
    </format>
    <format dxfId="1509">
      <pivotArea dataOnly="0" labelOnly="1" fieldPosition="0">
        <references count="7">
          <reference field="0" count="1" selected="0">
            <x v="91"/>
          </reference>
          <reference field="1" count="1" selected="0">
            <x v="78"/>
          </reference>
          <reference field="2" count="1" selected="0">
            <x v="12"/>
          </reference>
          <reference field="3" count="1" selected="0">
            <x v="0"/>
          </reference>
          <reference field="12" count="1" selected="0">
            <x v="7"/>
          </reference>
          <reference field="13" count="1" selected="0">
            <x v="0"/>
          </reference>
          <reference field="14" count="1">
            <x v="50"/>
          </reference>
        </references>
      </pivotArea>
    </format>
    <format dxfId="1508">
      <pivotArea dataOnly="0" labelOnly="1" fieldPosition="0">
        <references count="7">
          <reference field="0" count="1" selected="0">
            <x v="93"/>
          </reference>
          <reference field="1" count="1" selected="0">
            <x v="80"/>
          </reference>
          <reference field="2" count="1" selected="0">
            <x v="180"/>
          </reference>
          <reference field="3" count="1" selected="0">
            <x v="0"/>
          </reference>
          <reference field="12" count="1" selected="0">
            <x v="7"/>
          </reference>
          <reference field="13" count="1" selected="0">
            <x v="0"/>
          </reference>
          <reference field="14" count="1">
            <x v="49"/>
          </reference>
        </references>
      </pivotArea>
    </format>
    <format dxfId="1507">
      <pivotArea dataOnly="0" labelOnly="1" fieldPosition="0">
        <references count="7">
          <reference field="0" count="1" selected="0">
            <x v="94"/>
          </reference>
          <reference field="1" count="1" selected="0">
            <x v="81"/>
          </reference>
          <reference field="2" count="1" selected="0">
            <x v="60"/>
          </reference>
          <reference field="3" count="1" selected="0">
            <x v="0"/>
          </reference>
          <reference field="12" count="1" selected="0">
            <x v="7"/>
          </reference>
          <reference field="13" count="1" selected="0">
            <x v="0"/>
          </reference>
          <reference field="14" count="1">
            <x v="49"/>
          </reference>
        </references>
      </pivotArea>
    </format>
    <format dxfId="1506">
      <pivotArea dataOnly="0" labelOnly="1" fieldPosition="0">
        <references count="7">
          <reference field="0" count="1" selected="0">
            <x v="95"/>
          </reference>
          <reference field="1" count="1" selected="0">
            <x v="82"/>
          </reference>
          <reference field="2" count="1" selected="0">
            <x v="5"/>
          </reference>
          <reference field="3" count="1" selected="0">
            <x v="0"/>
          </reference>
          <reference field="12" count="1" selected="0">
            <x v="1"/>
          </reference>
          <reference field="13" count="1" selected="0">
            <x v="0"/>
          </reference>
          <reference field="14" count="1">
            <x v="49"/>
          </reference>
        </references>
      </pivotArea>
    </format>
    <format dxfId="1505">
      <pivotArea dataOnly="0" labelOnly="1" fieldPosition="0">
        <references count="7">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x v="16"/>
          </reference>
        </references>
      </pivotArea>
    </format>
    <format dxfId="1504">
      <pivotArea dataOnly="0" labelOnly="1" fieldPosition="0">
        <references count="7">
          <reference field="0" count="1" selected="0">
            <x v="97"/>
          </reference>
          <reference field="1" count="1" selected="0">
            <x v="84"/>
          </reference>
          <reference field="2" count="1" selected="0">
            <x v="6"/>
          </reference>
          <reference field="3" count="1" selected="0">
            <x v="0"/>
          </reference>
          <reference field="12" count="1" selected="0">
            <x v="3"/>
          </reference>
          <reference field="13" count="1" selected="0">
            <x v="0"/>
          </reference>
          <reference field="14" count="1">
            <x v="16"/>
          </reference>
        </references>
      </pivotArea>
    </format>
    <format dxfId="1503">
      <pivotArea dataOnly="0" labelOnly="1" fieldPosition="0">
        <references count="7">
          <reference field="0" count="1" selected="0">
            <x v="98"/>
          </reference>
          <reference field="1" count="1" selected="0">
            <x v="85"/>
          </reference>
          <reference field="2" count="1" selected="0">
            <x v="214"/>
          </reference>
          <reference field="3" count="1" selected="0">
            <x v="0"/>
          </reference>
          <reference field="12" count="1" selected="0">
            <x v="3"/>
          </reference>
          <reference field="13" count="1" selected="0">
            <x v="0"/>
          </reference>
          <reference field="14" count="1">
            <x v="16"/>
          </reference>
        </references>
      </pivotArea>
    </format>
    <format dxfId="1502">
      <pivotArea dataOnly="0" labelOnly="1" fieldPosition="0">
        <references count="7">
          <reference field="0" count="1" selected="0">
            <x v="99"/>
          </reference>
          <reference field="1" count="1" selected="0">
            <x v="86"/>
          </reference>
          <reference field="2" count="1" selected="0">
            <x v="66"/>
          </reference>
          <reference field="3" count="1" selected="0">
            <x v="0"/>
          </reference>
          <reference field="12" count="1" selected="0">
            <x v="3"/>
          </reference>
          <reference field="13" count="1" selected="0">
            <x v="0"/>
          </reference>
          <reference field="14" count="1">
            <x v="16"/>
          </reference>
        </references>
      </pivotArea>
    </format>
    <format dxfId="1501">
      <pivotArea dataOnly="0" labelOnly="1" fieldPosition="0">
        <references count="7">
          <reference field="0" count="1" selected="0">
            <x v="100"/>
          </reference>
          <reference field="1" count="1" selected="0">
            <x v="87"/>
          </reference>
          <reference field="2" count="1" selected="0">
            <x v="75"/>
          </reference>
          <reference field="3" count="1" selected="0">
            <x v="0"/>
          </reference>
          <reference field="12" count="1" selected="0">
            <x v="3"/>
          </reference>
          <reference field="13" count="1" selected="0">
            <x v="0"/>
          </reference>
          <reference field="14" count="1">
            <x v="16"/>
          </reference>
        </references>
      </pivotArea>
    </format>
    <format dxfId="1500">
      <pivotArea dataOnly="0" labelOnly="1" fieldPosition="0">
        <references count="7">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x v="6"/>
          </reference>
        </references>
      </pivotArea>
    </format>
    <format dxfId="1499">
      <pivotArea dataOnly="0" labelOnly="1" fieldPosition="0">
        <references count="7">
          <reference field="0" count="1" selected="0">
            <x v="102"/>
          </reference>
          <reference field="1" count="1" selected="0">
            <x v="89"/>
          </reference>
          <reference field="2" count="1" selected="0">
            <x v="14"/>
          </reference>
          <reference field="3" count="1" selected="0">
            <x v="0"/>
          </reference>
          <reference field="12" count="1" selected="0">
            <x v="3"/>
          </reference>
          <reference field="13" count="1" selected="0">
            <x v="0"/>
          </reference>
          <reference field="14" count="1">
            <x v="16"/>
          </reference>
        </references>
      </pivotArea>
    </format>
    <format dxfId="1498">
      <pivotArea dataOnly="0" labelOnly="1" fieldPosition="0">
        <references count="7">
          <reference field="0" count="1" selected="0">
            <x v="103"/>
          </reference>
          <reference field="1" count="1" selected="0">
            <x v="90"/>
          </reference>
          <reference field="2" count="1" selected="0">
            <x v="73"/>
          </reference>
          <reference field="3" count="1" selected="0">
            <x v="0"/>
          </reference>
          <reference field="12" count="1" selected="0">
            <x v="3"/>
          </reference>
          <reference field="13" count="1" selected="0">
            <x v="0"/>
          </reference>
          <reference field="14" count="1">
            <x v="16"/>
          </reference>
        </references>
      </pivotArea>
    </format>
    <format dxfId="1497">
      <pivotArea dataOnly="0" labelOnly="1" fieldPosition="0">
        <references count="7">
          <reference field="0" count="1" selected="0">
            <x v="104"/>
          </reference>
          <reference field="1" count="1" selected="0">
            <x v="91"/>
          </reference>
          <reference field="2" count="1" selected="0">
            <x v="68"/>
          </reference>
          <reference field="3" count="1" selected="0">
            <x v="0"/>
          </reference>
          <reference field="12" count="1" selected="0">
            <x v="3"/>
          </reference>
          <reference field="13" count="1" selected="0">
            <x v="0"/>
          </reference>
          <reference field="14" count="1">
            <x v="16"/>
          </reference>
        </references>
      </pivotArea>
    </format>
    <format dxfId="1496">
      <pivotArea dataOnly="0" labelOnly="1" fieldPosition="0">
        <references count="7">
          <reference field="0" count="1" selected="0">
            <x v="105"/>
          </reference>
          <reference field="1" count="1" selected="0">
            <x v="92"/>
          </reference>
          <reference field="2" count="1" selected="0">
            <x v="134"/>
          </reference>
          <reference field="3" count="1" selected="0">
            <x v="0"/>
          </reference>
          <reference field="12" count="1" selected="0">
            <x v="7"/>
          </reference>
          <reference field="13" count="1" selected="0">
            <x v="0"/>
          </reference>
          <reference field="14" count="1">
            <x v="16"/>
          </reference>
        </references>
      </pivotArea>
    </format>
    <format dxfId="1495">
      <pivotArea dataOnly="0" labelOnly="1" fieldPosition="0">
        <references count="7">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x v="54"/>
          </reference>
        </references>
      </pivotArea>
    </format>
    <format dxfId="1494">
      <pivotArea dataOnly="0" labelOnly="1" fieldPosition="0">
        <references count="7">
          <reference field="0" count="1" selected="0">
            <x v="107"/>
          </reference>
          <reference field="1" count="1" selected="0">
            <x v="94"/>
          </reference>
          <reference field="2" count="1" selected="0">
            <x v="190"/>
          </reference>
          <reference field="3" count="1" selected="0">
            <x v="0"/>
          </reference>
          <reference field="12" count="1" selected="0">
            <x v="7"/>
          </reference>
          <reference field="13" count="1" selected="0">
            <x v="0"/>
          </reference>
          <reference field="14" count="1">
            <x v="55"/>
          </reference>
        </references>
      </pivotArea>
    </format>
    <format dxfId="1493">
      <pivotArea dataOnly="0" labelOnly="1" fieldPosition="0">
        <references count="7">
          <reference field="0" count="1" selected="0">
            <x v="108"/>
          </reference>
          <reference field="1" count="1" selected="0">
            <x v="95"/>
          </reference>
          <reference field="2" count="1" selected="0">
            <x v="236"/>
          </reference>
          <reference field="3" count="1" selected="0">
            <x v="0"/>
          </reference>
          <reference field="12" count="1" selected="0">
            <x v="7"/>
          </reference>
          <reference field="13" count="1" selected="0">
            <x v="0"/>
          </reference>
          <reference field="14" count="1">
            <x v="55"/>
          </reference>
        </references>
      </pivotArea>
    </format>
    <format dxfId="1492">
      <pivotArea dataOnly="0" labelOnly="1" fieldPosition="0">
        <references count="7">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x v="4"/>
          </reference>
        </references>
      </pivotArea>
    </format>
    <format dxfId="1491">
      <pivotArea dataOnly="0" labelOnly="1" fieldPosition="0">
        <references count="7">
          <reference field="0" count="1" selected="0">
            <x v="111"/>
          </reference>
          <reference field="1" count="1" selected="0">
            <x v="98"/>
          </reference>
          <reference field="2" count="1" selected="0">
            <x v="83"/>
          </reference>
          <reference field="3" count="1" selected="0">
            <x v="0"/>
          </reference>
          <reference field="12" count="1" selected="0">
            <x v="7"/>
          </reference>
          <reference field="13" count="1" selected="0">
            <x v="0"/>
          </reference>
          <reference field="14" count="1">
            <x v="4"/>
          </reference>
        </references>
      </pivotArea>
    </format>
    <format dxfId="1490">
      <pivotArea dataOnly="0" labelOnly="1" fieldPosition="0">
        <references count="7">
          <reference field="0" count="1" selected="0">
            <x v="113"/>
          </reference>
          <reference field="1" count="1" selected="0">
            <x v="100"/>
          </reference>
          <reference field="2" count="1" selected="0">
            <x v="124"/>
          </reference>
          <reference field="3" count="1" selected="0">
            <x v="0"/>
          </reference>
          <reference field="12" count="1" selected="0">
            <x v="7"/>
          </reference>
          <reference field="13" count="1" selected="0">
            <x v="0"/>
          </reference>
          <reference field="14" count="1">
            <x v="7"/>
          </reference>
        </references>
      </pivotArea>
    </format>
    <format dxfId="1489">
      <pivotArea dataOnly="0" labelOnly="1" fieldPosition="0">
        <references count="7">
          <reference field="0" count="1" selected="0">
            <x v="122"/>
          </reference>
          <reference field="1" count="1" selected="0">
            <x v="109"/>
          </reference>
          <reference field="2" count="1" selected="0">
            <x v="35"/>
          </reference>
          <reference field="3" count="1" selected="0">
            <x v="0"/>
          </reference>
          <reference field="12" count="1" selected="0">
            <x v="3"/>
          </reference>
          <reference field="13" count="1" selected="0">
            <x v="0"/>
          </reference>
          <reference field="14" count="1">
            <x v="11"/>
          </reference>
        </references>
      </pivotArea>
    </format>
    <format dxfId="1488">
      <pivotArea dataOnly="0" labelOnly="1" fieldPosition="0">
        <references count="7">
          <reference field="0" count="1" selected="0">
            <x v="123"/>
          </reference>
          <reference field="1" count="1" selected="0">
            <x v="110"/>
          </reference>
          <reference field="2" count="1" selected="0">
            <x v="176"/>
          </reference>
          <reference field="3" count="1" selected="0">
            <x v="0"/>
          </reference>
          <reference field="12" count="1" selected="0">
            <x v="5"/>
          </reference>
          <reference field="13" count="1" selected="0">
            <x v="0"/>
          </reference>
          <reference field="14" count="1">
            <x v="38"/>
          </reference>
        </references>
      </pivotArea>
    </format>
    <format dxfId="1487">
      <pivotArea dataOnly="0" labelOnly="1" fieldPosition="0">
        <references count="7">
          <reference field="0" count="1" selected="0">
            <x v="124"/>
          </reference>
          <reference field="1" count="1" selected="0">
            <x v="111"/>
          </reference>
          <reference field="2" count="1" selected="0">
            <x v="218"/>
          </reference>
          <reference field="3" count="1" selected="0">
            <x v="0"/>
          </reference>
          <reference field="12" count="1" selected="0">
            <x v="0"/>
          </reference>
          <reference field="13" count="1" selected="0">
            <x v="0"/>
          </reference>
          <reference field="14" count="1">
            <x v="34"/>
          </reference>
        </references>
      </pivotArea>
    </format>
    <format dxfId="1486">
      <pivotArea dataOnly="0" labelOnly="1" fieldPosition="0">
        <references count="7">
          <reference field="0" count="1" selected="0">
            <x v="125"/>
          </reference>
          <reference field="1" count="1" selected="0">
            <x v="112"/>
          </reference>
          <reference field="2" count="1" selected="0">
            <x v="197"/>
          </reference>
          <reference field="3" count="1" selected="0">
            <x v="0"/>
          </reference>
          <reference field="12" count="1" selected="0">
            <x v="3"/>
          </reference>
          <reference field="13" count="1" selected="0">
            <x v="0"/>
          </reference>
          <reference field="14" count="1">
            <x v="34"/>
          </reference>
        </references>
      </pivotArea>
    </format>
    <format dxfId="1485">
      <pivotArea dataOnly="0" labelOnly="1" fieldPosition="0">
        <references count="7">
          <reference field="0" count="1" selected="0">
            <x v="126"/>
          </reference>
          <reference field="1" count="1" selected="0">
            <x v="113"/>
          </reference>
          <reference field="2" count="1" selected="0">
            <x v="191"/>
          </reference>
          <reference field="3" count="1" selected="0">
            <x v="0"/>
          </reference>
          <reference field="12" count="1" selected="0">
            <x v="0"/>
          </reference>
          <reference field="13" count="1" selected="0">
            <x v="0"/>
          </reference>
          <reference field="14" count="1">
            <x v="37"/>
          </reference>
        </references>
      </pivotArea>
    </format>
    <format dxfId="1484">
      <pivotArea dataOnly="0" labelOnly="1" fieldPosition="0">
        <references count="7">
          <reference field="0" count="1" selected="0">
            <x v="127"/>
          </reference>
          <reference field="1" count="1" selected="0">
            <x v="114"/>
          </reference>
          <reference field="2" count="1" selected="0">
            <x v="174"/>
          </reference>
          <reference field="3" count="1" selected="0">
            <x v="0"/>
          </reference>
          <reference field="12" count="1" selected="0">
            <x v="0"/>
          </reference>
          <reference field="13" count="1" selected="0">
            <x v="0"/>
          </reference>
          <reference field="14" count="1">
            <x v="36"/>
          </reference>
        </references>
      </pivotArea>
    </format>
    <format dxfId="1483">
      <pivotArea dataOnly="0" labelOnly="1" fieldPosition="0">
        <references count="7">
          <reference field="0" count="1" selected="0">
            <x v="128"/>
          </reference>
          <reference field="1" count="1" selected="0">
            <x v="115"/>
          </reference>
          <reference field="2" count="1" selected="0">
            <x v="59"/>
          </reference>
          <reference field="3" count="1" selected="0">
            <x v="0"/>
          </reference>
          <reference field="12" count="1" selected="0">
            <x v="0"/>
          </reference>
          <reference field="13" count="1" selected="0">
            <x v="0"/>
          </reference>
          <reference field="14" count="1">
            <x v="37"/>
          </reference>
        </references>
      </pivotArea>
    </format>
    <format dxfId="1482">
      <pivotArea dataOnly="0" labelOnly="1" fieldPosition="0">
        <references count="7">
          <reference field="0" count="1" selected="0">
            <x v="129"/>
          </reference>
          <reference field="1" count="1" selected="0">
            <x v="116"/>
          </reference>
          <reference field="2" count="1" selected="0">
            <x v="212"/>
          </reference>
          <reference field="3" count="1" selected="0">
            <x v="0"/>
          </reference>
          <reference field="12" count="1" selected="0">
            <x v="3"/>
          </reference>
          <reference field="13" count="1" selected="0">
            <x v="0"/>
          </reference>
          <reference field="14" count="1">
            <x v="37"/>
          </reference>
        </references>
      </pivotArea>
    </format>
    <format dxfId="1481">
      <pivotArea dataOnly="0" labelOnly="1" fieldPosition="0">
        <references count="7">
          <reference field="0" count="1" selected="0">
            <x v="130"/>
          </reference>
          <reference field="1" count="1" selected="0">
            <x v="117"/>
          </reference>
          <reference field="2" count="1" selected="0">
            <x v="118"/>
          </reference>
          <reference field="3" count="1" selected="0">
            <x v="0"/>
          </reference>
          <reference field="12" count="1" selected="0">
            <x v="7"/>
          </reference>
          <reference field="13" count="1" selected="0">
            <x v="0"/>
          </reference>
          <reference field="14" count="1">
            <x v="37"/>
          </reference>
        </references>
      </pivotArea>
    </format>
    <format dxfId="1480">
      <pivotArea dataOnly="0" labelOnly="1" fieldPosition="0">
        <references count="7">
          <reference field="0" count="1" selected="0">
            <x v="134"/>
          </reference>
          <reference field="1" count="1" selected="0">
            <x v="127"/>
          </reference>
          <reference field="2" count="1" selected="0">
            <x v="2"/>
          </reference>
          <reference field="3" count="1" selected="0">
            <x v="0"/>
          </reference>
          <reference field="12" count="1" selected="0">
            <x v="4"/>
          </reference>
          <reference field="13" count="1" selected="0">
            <x v="0"/>
          </reference>
          <reference field="14" count="1">
            <x v="34"/>
          </reference>
        </references>
      </pivotArea>
    </format>
    <format dxfId="1479">
      <pivotArea dataOnly="0" labelOnly="1" fieldPosition="0">
        <references count="7">
          <reference field="0" count="1" selected="0">
            <x v="135"/>
          </reference>
          <reference field="1" count="1" selected="0">
            <x v="128"/>
          </reference>
          <reference field="2" count="1" selected="0">
            <x v="151"/>
          </reference>
          <reference field="3" count="1" selected="0">
            <x v="0"/>
          </reference>
          <reference field="12" count="1" selected="0">
            <x v="3"/>
          </reference>
          <reference field="13" count="1" selected="0">
            <x v="0"/>
          </reference>
          <reference field="14" count="1">
            <x v="37"/>
          </reference>
        </references>
      </pivotArea>
    </format>
    <format dxfId="1478">
      <pivotArea dataOnly="0" labelOnly="1" fieldPosition="0">
        <references count="7">
          <reference field="0" count="1" selected="0">
            <x v="136"/>
          </reference>
          <reference field="1" count="1" selected="0">
            <x v="129"/>
          </reference>
          <reference field="2" count="1" selected="0">
            <x v="219"/>
          </reference>
          <reference field="3" count="1" selected="0">
            <x v="0"/>
          </reference>
          <reference field="12" count="1" selected="0">
            <x v="3"/>
          </reference>
          <reference field="13" count="1" selected="0">
            <x v="0"/>
          </reference>
          <reference field="14" count="1">
            <x v="37"/>
          </reference>
        </references>
      </pivotArea>
    </format>
    <format dxfId="1477">
      <pivotArea dataOnly="0" labelOnly="1" fieldPosition="0">
        <references count="7">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x v="0"/>
          </reference>
        </references>
      </pivotArea>
    </format>
    <format dxfId="1476">
      <pivotArea dataOnly="0" labelOnly="1" fieldPosition="0">
        <references count="7">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x v="23"/>
          </reference>
        </references>
      </pivotArea>
    </format>
    <format dxfId="1475">
      <pivotArea dataOnly="0" labelOnly="1" fieldPosition="0">
        <references count="7">
          <reference field="0" count="1" selected="0">
            <x v="147"/>
          </reference>
          <reference field="1" count="1" selected="0">
            <x v="140"/>
          </reference>
          <reference field="2" count="1" selected="0">
            <x v="211"/>
          </reference>
          <reference field="3" count="1" selected="0">
            <x v="0"/>
          </reference>
          <reference field="12" count="1" selected="0">
            <x v="26"/>
          </reference>
          <reference field="13" count="1" selected="0">
            <x v="0"/>
          </reference>
          <reference field="14" count="1">
            <x v="22"/>
          </reference>
        </references>
      </pivotArea>
    </format>
    <format dxfId="1474">
      <pivotArea dataOnly="0" labelOnly="1" fieldPosition="0">
        <references count="7">
          <reference field="0" count="1" selected="0">
            <x v="148"/>
          </reference>
          <reference field="1" count="1" selected="0">
            <x v="141"/>
          </reference>
          <reference field="2" count="1" selected="0">
            <x v="95"/>
          </reference>
          <reference field="3" count="1" selected="0">
            <x v="0"/>
          </reference>
          <reference field="12" count="1" selected="0">
            <x v="26"/>
          </reference>
          <reference field="13" count="1" selected="0">
            <x v="0"/>
          </reference>
          <reference field="14" count="1">
            <x v="14"/>
          </reference>
        </references>
      </pivotArea>
    </format>
    <format dxfId="1473">
      <pivotArea dataOnly="0" labelOnly="1" fieldPosition="0">
        <references count="7">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x v="24"/>
          </reference>
        </references>
      </pivotArea>
    </format>
    <format dxfId="1472">
      <pivotArea dataOnly="0" labelOnly="1" fieldPosition="0">
        <references count="7">
          <reference field="0" count="1" selected="0">
            <x v="150"/>
          </reference>
          <reference field="1" count="1" selected="0">
            <x v="143"/>
          </reference>
          <reference field="2" count="1" selected="0">
            <x v="166"/>
          </reference>
          <reference field="3" count="1" selected="0">
            <x v="0"/>
          </reference>
          <reference field="12" count="1" selected="0">
            <x v="14"/>
          </reference>
          <reference field="13" count="1" selected="0">
            <x v="0"/>
          </reference>
          <reference field="14" count="1">
            <x v="24"/>
          </reference>
        </references>
      </pivotArea>
    </format>
    <format dxfId="1471">
      <pivotArea dataOnly="0" labelOnly="1" fieldPosition="0">
        <references count="7">
          <reference field="0" count="1" selected="0">
            <x v="151"/>
          </reference>
          <reference field="1" count="1" selected="0">
            <x v="144"/>
          </reference>
          <reference field="2" count="1" selected="0">
            <x v="85"/>
          </reference>
          <reference field="3" count="1" selected="0">
            <x v="0"/>
          </reference>
          <reference field="12" count="1" selected="0">
            <x v="14"/>
          </reference>
          <reference field="13" count="1" selected="0">
            <x v="0"/>
          </reference>
          <reference field="14" count="1">
            <x v="24"/>
          </reference>
        </references>
      </pivotArea>
    </format>
    <format dxfId="1470">
      <pivotArea dataOnly="0" labelOnly="1" fieldPosition="0">
        <references count="7">
          <reference field="0" count="1" selected="0">
            <x v="152"/>
          </reference>
          <reference field="1" count="1" selected="0">
            <x v="145"/>
          </reference>
          <reference field="2" count="1" selected="0">
            <x v="86"/>
          </reference>
          <reference field="3" count="1" selected="0">
            <x v="0"/>
          </reference>
          <reference field="12" count="1" selected="0">
            <x v="14"/>
          </reference>
          <reference field="13" count="1" selected="0">
            <x v="0"/>
          </reference>
          <reference field="14" count="1">
            <x v="24"/>
          </reference>
        </references>
      </pivotArea>
    </format>
    <format dxfId="1469">
      <pivotArea dataOnly="0" labelOnly="1" fieldPosition="0">
        <references count="7">
          <reference field="0" count="1" selected="0">
            <x v="153"/>
          </reference>
          <reference field="1" count="1" selected="0">
            <x v="146"/>
          </reference>
          <reference field="2" count="1" selected="0">
            <x v="54"/>
          </reference>
          <reference field="3" count="1" selected="0">
            <x v="0"/>
          </reference>
          <reference field="12" count="1" selected="0">
            <x v="14"/>
          </reference>
          <reference field="13" count="1" selected="0">
            <x v="0"/>
          </reference>
          <reference field="14" count="1">
            <x v="18"/>
          </reference>
        </references>
      </pivotArea>
    </format>
    <format dxfId="1468">
      <pivotArea dataOnly="0" labelOnly="1" fieldPosition="0">
        <references count="7">
          <reference field="0" count="1" selected="0">
            <x v="154"/>
          </reference>
          <reference field="1" count="1" selected="0">
            <x v="147"/>
          </reference>
          <reference field="2" count="1" selected="0">
            <x v="109"/>
          </reference>
          <reference field="3" count="1" selected="0">
            <x v="0"/>
          </reference>
          <reference field="12" count="1" selected="0">
            <x v="14"/>
          </reference>
          <reference field="13" count="1" selected="0">
            <x v="0"/>
          </reference>
          <reference field="14" count="1">
            <x v="18"/>
          </reference>
        </references>
      </pivotArea>
    </format>
    <format dxfId="1467">
      <pivotArea dataOnly="0" labelOnly="1" fieldPosition="0">
        <references count="7">
          <reference field="0" count="1" selected="0">
            <x v="155"/>
          </reference>
          <reference field="1" count="1" selected="0">
            <x v="148"/>
          </reference>
          <reference field="2" count="1" selected="0">
            <x v="3"/>
          </reference>
          <reference field="3" count="1" selected="0">
            <x v="0"/>
          </reference>
          <reference field="12" count="1" selected="0">
            <x v="23"/>
          </reference>
          <reference field="13" count="1" selected="0">
            <x v="0"/>
          </reference>
          <reference field="14" count="1">
            <x v="18"/>
          </reference>
        </references>
      </pivotArea>
    </format>
    <format dxfId="1466">
      <pivotArea dataOnly="0" labelOnly="1" fieldPosition="0">
        <references count="7">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x v="51"/>
          </reference>
        </references>
      </pivotArea>
    </format>
    <format dxfId="1465">
      <pivotArea dataOnly="0" labelOnly="1" fieldPosition="0">
        <references count="7">
          <reference field="0" count="1" selected="0">
            <x v="160"/>
          </reference>
          <reference field="1" count="1" selected="0">
            <x v="184"/>
          </reference>
          <reference field="2" count="1" selected="0">
            <x v="187"/>
          </reference>
          <reference field="3" count="1" selected="0">
            <x v="0"/>
          </reference>
          <reference field="12" count="1" selected="0">
            <x v="7"/>
          </reference>
          <reference field="13" count="1" selected="0">
            <x v="0"/>
          </reference>
          <reference field="14" count="1">
            <x v="52"/>
          </reference>
        </references>
      </pivotArea>
    </format>
    <format dxfId="1464">
      <pivotArea dataOnly="0" labelOnly="1" fieldPosition="0">
        <references count="7">
          <reference field="0" count="1" selected="0">
            <x v="161"/>
          </reference>
          <reference field="1" count="1" selected="0">
            <x v="185"/>
          </reference>
          <reference field="2" count="1" selected="0">
            <x v="186"/>
          </reference>
          <reference field="3" count="1" selected="0">
            <x v="0"/>
          </reference>
          <reference field="12" count="1" selected="0">
            <x v="9"/>
          </reference>
          <reference field="13" count="1" selected="0">
            <x v="0"/>
          </reference>
          <reference field="14" count="1">
            <x v="52"/>
          </reference>
        </references>
      </pivotArea>
    </format>
    <format dxfId="1463">
      <pivotArea dataOnly="0" labelOnly="1" fieldPosition="0">
        <references count="7">
          <reference field="0" count="1" selected="0">
            <x v="162"/>
          </reference>
          <reference field="1" count="1" selected="0">
            <x v="186"/>
          </reference>
          <reference field="2" count="1" selected="0">
            <x v="125"/>
          </reference>
          <reference field="3" count="1" selected="0">
            <x v="0"/>
          </reference>
          <reference field="12" count="1" selected="0">
            <x v="10"/>
          </reference>
          <reference field="13" count="1" selected="0">
            <x v="0"/>
          </reference>
          <reference field="14" count="1">
            <x v="65"/>
          </reference>
        </references>
      </pivotArea>
    </format>
    <format dxfId="1462">
      <pivotArea dataOnly="0" labelOnly="1" fieldPosition="0">
        <references count="7">
          <reference field="0" count="1" selected="0">
            <x v="164"/>
          </reference>
          <reference field="1" count="1" selected="0">
            <x v="188"/>
          </reference>
          <reference field="2" count="1" selected="0">
            <x v="119"/>
          </reference>
          <reference field="3" count="1" selected="0">
            <x v="0"/>
          </reference>
          <reference field="12" count="1" selected="0">
            <x v="13"/>
          </reference>
          <reference field="13" count="1" selected="0">
            <x v="0"/>
          </reference>
          <reference field="14" count="1">
            <x v="26"/>
          </reference>
        </references>
      </pivotArea>
    </format>
    <format dxfId="1461">
      <pivotArea dataOnly="0" labelOnly="1" fieldPosition="0">
        <references count="7">
          <reference field="0" count="1" selected="0">
            <x v="165"/>
          </reference>
          <reference field="1" count="1" selected="0">
            <x v="189"/>
          </reference>
          <reference field="2" count="1" selected="0">
            <x v="156"/>
          </reference>
          <reference field="3" count="1" selected="0">
            <x v="0"/>
          </reference>
          <reference field="12" count="1" selected="0">
            <x v="13"/>
          </reference>
          <reference field="13" count="1" selected="0">
            <x v="0"/>
          </reference>
          <reference field="14" count="1">
            <x v="21"/>
          </reference>
        </references>
      </pivotArea>
    </format>
    <format dxfId="1460">
      <pivotArea dataOnly="0" labelOnly="1" fieldPosition="0">
        <references count="7">
          <reference field="0" count="1" selected="0">
            <x v="166"/>
          </reference>
          <reference field="1" count="1" selected="0">
            <x v="190"/>
          </reference>
          <reference field="2" count="1" selected="0">
            <x v="213"/>
          </reference>
          <reference field="3" count="1" selected="0">
            <x v="0"/>
          </reference>
          <reference field="12" count="1" selected="0">
            <x v="13"/>
          </reference>
          <reference field="13" count="1" selected="0">
            <x v="0"/>
          </reference>
          <reference field="14" count="1">
            <x v="21"/>
          </reference>
        </references>
      </pivotArea>
    </format>
    <format dxfId="1459">
      <pivotArea dataOnly="0" labelOnly="1" fieldPosition="0">
        <references count="7">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x v="7"/>
          </reference>
        </references>
      </pivotArea>
    </format>
    <format dxfId="1458">
      <pivotArea dataOnly="0" labelOnly="1" fieldPosition="0">
        <references count="7">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x v="52"/>
          </reference>
        </references>
      </pivotArea>
    </format>
    <format dxfId="1457">
      <pivotArea dataOnly="0" labelOnly="1" fieldPosition="0">
        <references count="7">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x v="8"/>
          </reference>
        </references>
      </pivotArea>
    </format>
    <format dxfId="1456">
      <pivotArea dataOnly="0" labelOnly="1" fieldPosition="0">
        <references count="7">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x v="20"/>
          </reference>
        </references>
      </pivotArea>
    </format>
    <format dxfId="1455">
      <pivotArea dataOnly="0" labelOnly="1" fieldPosition="0">
        <references count="7">
          <reference field="0" count="1" selected="0">
            <x v="175"/>
          </reference>
          <reference field="1" count="1" selected="0">
            <x v="207"/>
          </reference>
          <reference field="2" count="1" selected="0">
            <x v="172"/>
          </reference>
          <reference field="3" count="1" selected="0">
            <x v="0"/>
          </reference>
          <reference field="12" count="1" selected="0">
            <x v="21"/>
          </reference>
          <reference field="13" count="1" selected="0">
            <x v="0"/>
          </reference>
          <reference field="14" count="1">
            <x v="26"/>
          </reference>
        </references>
      </pivotArea>
    </format>
    <format dxfId="1454">
      <pivotArea dataOnly="0" labelOnly="1" fieldPosition="0">
        <references count="7">
          <reference field="0" count="1" selected="0">
            <x v="176"/>
          </reference>
          <reference field="1" count="1" selected="0">
            <x v="208"/>
          </reference>
          <reference field="2" count="1" selected="0">
            <x v="215"/>
          </reference>
          <reference field="3" count="1" selected="0">
            <x v="0"/>
          </reference>
          <reference field="12" count="1" selected="0">
            <x v="20"/>
          </reference>
          <reference field="13" count="1" selected="0">
            <x v="0"/>
          </reference>
          <reference field="14" count="1">
            <x v="26"/>
          </reference>
        </references>
      </pivotArea>
    </format>
    <format dxfId="1453">
      <pivotArea dataOnly="0" labelOnly="1" fieldPosition="0">
        <references count="7">
          <reference field="0" count="1" selected="0">
            <x v="177"/>
          </reference>
          <reference field="1" count="1" selected="0">
            <x v="209"/>
          </reference>
          <reference field="2" count="1" selected="0">
            <x v="114"/>
          </reference>
          <reference field="3" count="1" selected="0">
            <x v="0"/>
          </reference>
          <reference field="12" count="1" selected="0">
            <x v="20"/>
          </reference>
          <reference field="13" count="1" selected="0">
            <x v="0"/>
          </reference>
          <reference field="14" count="1">
            <x v="27"/>
          </reference>
        </references>
      </pivotArea>
    </format>
    <format dxfId="1452">
      <pivotArea dataOnly="0" labelOnly="1" fieldPosition="0">
        <references count="7">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x v="26"/>
          </reference>
        </references>
      </pivotArea>
    </format>
    <format dxfId="1451">
      <pivotArea dataOnly="0" labelOnly="1" fieldPosition="0">
        <references count="7">
          <reference field="0" count="1" selected="0">
            <x v="179"/>
          </reference>
          <reference field="1" count="1" selected="0">
            <x v="211"/>
          </reference>
          <reference field="2" count="1" selected="0">
            <x v="96"/>
          </reference>
          <reference field="3" count="1" selected="0">
            <x v="0"/>
          </reference>
          <reference field="12" count="1" selected="0">
            <x v="20"/>
          </reference>
          <reference field="13" count="1" selected="0">
            <x v="0"/>
          </reference>
          <reference field="14" count="1">
            <x v="26"/>
          </reference>
        </references>
      </pivotArea>
    </format>
    <format dxfId="1450">
      <pivotArea dataOnly="0" labelOnly="1" fieldPosition="0">
        <references count="7">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x v="32"/>
          </reference>
        </references>
      </pivotArea>
    </format>
    <format dxfId="1449">
      <pivotArea dataOnly="0" labelOnly="1" fieldPosition="0">
        <references count="7">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x v="38"/>
          </reference>
        </references>
      </pivotArea>
    </format>
    <format dxfId="1448">
      <pivotArea dataOnly="0" labelOnly="1" fieldPosition="0">
        <references count="7">
          <reference field="0" count="1" selected="0">
            <x v="182"/>
          </reference>
          <reference field="1" count="1" selected="0">
            <x v="214"/>
          </reference>
          <reference field="2" count="1" selected="0">
            <x v="235"/>
          </reference>
          <reference field="3" count="1" selected="0">
            <x v="0"/>
          </reference>
          <reference field="12" count="1" selected="0">
            <x v="7"/>
          </reference>
          <reference field="13" count="1" selected="0">
            <x v="0"/>
          </reference>
          <reference field="14" count="1">
            <x v="38"/>
          </reference>
        </references>
      </pivotArea>
    </format>
    <format dxfId="1447">
      <pivotArea dataOnly="0" labelOnly="1" fieldPosition="0">
        <references count="7">
          <reference field="0" count="1" selected="0">
            <x v="183"/>
          </reference>
          <reference field="1" count="1" selected="0">
            <x v="215"/>
          </reference>
          <reference field="2" count="1" selected="0">
            <x v="206"/>
          </reference>
          <reference field="3" count="1" selected="0">
            <x v="0"/>
          </reference>
          <reference field="12" count="1" selected="0">
            <x v="14"/>
          </reference>
          <reference field="13" count="1" selected="0">
            <x v="0"/>
          </reference>
          <reference field="14" count="1">
            <x v="38"/>
          </reference>
        </references>
      </pivotArea>
    </format>
    <format dxfId="1446">
      <pivotArea dataOnly="0" labelOnly="1" fieldPosition="0">
        <references count="7">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x v="44"/>
          </reference>
        </references>
      </pivotArea>
    </format>
    <format dxfId="1445">
      <pivotArea dataOnly="0" labelOnly="1" fieldPosition="0">
        <references count="7">
          <reference field="0" count="1" selected="0">
            <x v="185"/>
          </reference>
          <reference field="1" count="1" selected="0">
            <x v="217"/>
          </reference>
          <reference field="2" count="1" selected="0">
            <x v="113"/>
          </reference>
          <reference field="3" count="1" selected="0">
            <x v="0"/>
          </reference>
          <reference field="12" count="1" selected="0">
            <x v="12"/>
          </reference>
          <reference field="13" count="1" selected="0">
            <x v="0"/>
          </reference>
          <reference field="14" count="1">
            <x v="45"/>
          </reference>
        </references>
      </pivotArea>
    </format>
    <format dxfId="1444">
      <pivotArea dataOnly="0" labelOnly="1" fieldPosition="0">
        <references count="7">
          <reference field="0" count="1" selected="0">
            <x v="186"/>
          </reference>
          <reference field="1" count="1" selected="0">
            <x v="218"/>
          </reference>
          <reference field="2" count="1" selected="0">
            <x v="93"/>
          </reference>
          <reference field="3" count="1" selected="0">
            <x v="0"/>
          </reference>
          <reference field="12" count="1" selected="0">
            <x v="12"/>
          </reference>
          <reference field="13" count="1" selected="0">
            <x v="2"/>
          </reference>
          <reference field="14" count="1">
            <x v="42"/>
          </reference>
        </references>
      </pivotArea>
    </format>
    <format dxfId="1443">
      <pivotArea dataOnly="0" labelOnly="1" fieldPosition="0">
        <references count="7">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x v="46"/>
          </reference>
        </references>
      </pivotArea>
    </format>
    <format dxfId="1442">
      <pivotArea dataOnly="0" labelOnly="1" fieldPosition="0">
        <references count="7">
          <reference field="0" count="1" selected="0">
            <x v="188"/>
          </reference>
          <reference field="1" count="1" selected="0">
            <x v="220"/>
          </reference>
          <reference field="2" count="1" selected="0">
            <x v="196"/>
          </reference>
          <reference field="3" count="1" selected="0">
            <x v="0"/>
          </reference>
          <reference field="12" count="1" selected="0">
            <x v="12"/>
          </reference>
          <reference field="13" count="1" selected="0">
            <x v="14"/>
          </reference>
          <reference field="14" count="1">
            <x v="46"/>
          </reference>
        </references>
      </pivotArea>
    </format>
    <format dxfId="1441">
      <pivotArea dataOnly="0" labelOnly="1" fieldPosition="0">
        <references count="7">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x v="63"/>
          </reference>
        </references>
      </pivotArea>
    </format>
    <format dxfId="1440">
      <pivotArea dataOnly="0" labelOnly="1" fieldPosition="0">
        <references count="7">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x v="38"/>
          </reference>
        </references>
      </pivotArea>
    </format>
    <format dxfId="1439">
      <pivotArea dataOnly="0" labelOnly="1" fieldPosition="0">
        <references count="7">
          <reference field="0" count="1" selected="0">
            <x v="193"/>
          </reference>
          <reference field="1" count="1" selected="0">
            <x v="225"/>
          </reference>
          <reference field="2" count="1" selected="0">
            <x v="238"/>
          </reference>
          <reference field="3" count="1" selected="0">
            <x v="0"/>
          </reference>
          <reference field="12" count="1" selected="0">
            <x v="7"/>
          </reference>
          <reference field="13" count="1" selected="0">
            <x v="0"/>
          </reference>
          <reference field="14" count="1">
            <x v="0"/>
          </reference>
        </references>
      </pivotArea>
    </format>
    <format dxfId="1438">
      <pivotArea dataOnly="0" labelOnly="1" fieldPosition="0">
        <references count="7">
          <reference field="0" count="1" selected="0">
            <x v="197"/>
          </reference>
          <reference field="1" count="1" selected="0">
            <x v="236"/>
          </reference>
          <reference field="2" count="1" selected="0">
            <x v="102"/>
          </reference>
          <reference field="3" count="1" selected="0">
            <x v="0"/>
          </reference>
          <reference field="12" count="1" selected="0">
            <x v="18"/>
          </reference>
          <reference field="13" count="1" selected="0">
            <x v="0"/>
          </reference>
          <reference field="14" count="1">
            <x v="0"/>
          </reference>
        </references>
      </pivotArea>
    </format>
    <format dxfId="1437">
      <pivotArea dataOnly="0" labelOnly="1" fieldPosition="0">
        <references count="7">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x v="20"/>
          </reference>
        </references>
      </pivotArea>
    </format>
    <format dxfId="1436">
      <pivotArea dataOnly="0" labelOnly="1" fieldPosition="0">
        <references count="7">
          <reference field="0" count="1" selected="0">
            <x v="200"/>
          </reference>
          <reference field="1" count="1" selected="0">
            <x v="239"/>
          </reference>
          <reference field="2" count="1" selected="0">
            <x v="34"/>
          </reference>
          <reference field="3" count="1" selected="0">
            <x v="0"/>
          </reference>
          <reference field="12" count="1" selected="0">
            <x v="20"/>
          </reference>
          <reference field="13" count="1" selected="0">
            <x v="0"/>
          </reference>
          <reference field="14" count="1">
            <x v="0"/>
          </reference>
        </references>
      </pivotArea>
    </format>
    <format dxfId="1435">
      <pivotArea dataOnly="0" labelOnly="1" fieldPosition="0">
        <references count="7">
          <reference field="0" count="1" selected="0">
            <x v="201"/>
          </reference>
          <reference field="1" count="1" selected="0">
            <x v="240"/>
          </reference>
          <reference field="2" count="1" selected="0">
            <x v="37"/>
          </reference>
          <reference field="3" count="1" selected="0">
            <x v="0"/>
          </reference>
          <reference field="12" count="1" selected="0">
            <x v="20"/>
          </reference>
          <reference field="13" count="1" selected="0">
            <x v="0"/>
          </reference>
          <reference field="14" count="1">
            <x v="0"/>
          </reference>
        </references>
      </pivotArea>
    </format>
    <format dxfId="1434">
      <pivotArea dataOnly="0" labelOnly="1" fieldPosition="0">
        <references count="7">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x v="39"/>
          </reference>
        </references>
      </pivotArea>
    </format>
    <format dxfId="1433">
      <pivotArea dataOnly="0" labelOnly="1" fieldPosition="0">
        <references count="7">
          <reference field="0" count="1" selected="0">
            <x v="206"/>
          </reference>
          <reference field="1" count="1" selected="0">
            <x v="151"/>
          </reference>
          <reference field="2" count="1" selected="0">
            <x v="159"/>
          </reference>
          <reference field="3" count="1" selected="0">
            <x v="0"/>
          </reference>
          <reference field="12" count="1" selected="0">
            <x v="12"/>
          </reference>
          <reference field="13" count="1" selected="0">
            <x v="5"/>
          </reference>
          <reference field="14" count="1">
            <x v="38"/>
          </reference>
        </references>
      </pivotArea>
    </format>
    <format dxfId="1432">
      <pivotArea dataOnly="0" labelOnly="1" fieldPosition="0">
        <references count="7">
          <reference field="0" count="1" selected="0">
            <x v="207"/>
          </reference>
          <reference field="1" count="1" selected="0">
            <x v="152"/>
          </reference>
          <reference field="2" count="1" selected="0">
            <x v="81"/>
          </reference>
          <reference field="3" count="1" selected="0">
            <x v="0"/>
          </reference>
          <reference field="12" count="1" selected="0">
            <x v="7"/>
          </reference>
          <reference field="13" count="1" selected="0">
            <x v="0"/>
          </reference>
          <reference field="14" count="1">
            <x v="38"/>
          </reference>
        </references>
      </pivotArea>
    </format>
    <format dxfId="1431">
      <pivotArea dataOnly="0" labelOnly="1" fieldPosition="0">
        <references count="7">
          <reference field="0" count="1" selected="0">
            <x v="208"/>
          </reference>
          <reference field="1" count="1" selected="0">
            <x v="153"/>
          </reference>
          <reference field="2" count="1" selected="0">
            <x v="103"/>
          </reference>
          <reference field="3" count="1" selected="0">
            <x v="0"/>
          </reference>
          <reference field="12" count="1" selected="0">
            <x v="14"/>
          </reference>
          <reference field="13" count="1" selected="0">
            <x v="16"/>
          </reference>
          <reference field="14" count="1">
            <x v="29"/>
          </reference>
        </references>
      </pivotArea>
    </format>
    <format dxfId="1430">
      <pivotArea dataOnly="0" labelOnly="1" fieldPosition="0">
        <references count="7">
          <reference field="0" count="1" selected="0">
            <x v="209"/>
          </reference>
          <reference field="1" count="1" selected="0">
            <x v="154"/>
          </reference>
          <reference field="2" count="1" selected="0">
            <x v="98"/>
          </reference>
          <reference field="3" count="1" selected="0">
            <x v="0"/>
          </reference>
          <reference field="12" count="1" selected="0">
            <x v="14"/>
          </reference>
          <reference field="13" count="1" selected="0">
            <x v="17"/>
          </reference>
          <reference field="14" count="1">
            <x v="31"/>
          </reference>
        </references>
      </pivotArea>
    </format>
    <format dxfId="1429">
      <pivotArea dataOnly="0" labelOnly="1" fieldPosition="0">
        <references count="7">
          <reference field="0" count="1" selected="0">
            <x v="210"/>
          </reference>
          <reference field="1" count="1" selected="0">
            <x v="155"/>
          </reference>
          <reference field="2" count="1" selected="0">
            <x v="162"/>
          </reference>
          <reference field="3" count="1" selected="0">
            <x v="0"/>
          </reference>
          <reference field="12" count="1" selected="0">
            <x v="7"/>
          </reference>
          <reference field="13" count="1" selected="0">
            <x v="2"/>
          </reference>
          <reference field="14" count="1">
            <x v="0"/>
          </reference>
        </references>
      </pivotArea>
    </format>
    <format dxfId="1428">
      <pivotArea dataOnly="0" labelOnly="1" fieldPosition="0">
        <references count="7">
          <reference field="0" count="1" selected="0">
            <x v="211"/>
          </reference>
          <reference field="1" count="1" selected="0">
            <x v="156"/>
          </reference>
          <reference field="2" count="1" selected="0">
            <x v="164"/>
          </reference>
          <reference field="3" count="1" selected="0">
            <x v="0"/>
          </reference>
          <reference field="12" count="1" selected="0">
            <x v="20"/>
          </reference>
          <reference field="13" count="1" selected="0">
            <x v="3"/>
          </reference>
          <reference field="14" count="1">
            <x v="0"/>
          </reference>
        </references>
      </pivotArea>
    </format>
    <format dxfId="1427">
      <pivotArea dataOnly="0" labelOnly="1" fieldPosition="0">
        <references count="7">
          <reference field="0" count="1" selected="0">
            <x v="212"/>
          </reference>
          <reference field="1" count="1" selected="0">
            <x v="157"/>
          </reference>
          <reference field="2" count="1" selected="0">
            <x v="170"/>
          </reference>
          <reference field="3" count="1" selected="0">
            <x v="0"/>
          </reference>
          <reference field="12" count="1" selected="0">
            <x v="20"/>
          </reference>
          <reference field="13" count="1" selected="0">
            <x v="4"/>
          </reference>
          <reference field="14" count="1">
            <x v="0"/>
          </reference>
        </references>
      </pivotArea>
    </format>
    <format dxfId="1426">
      <pivotArea dataOnly="0" labelOnly="1" fieldPosition="0">
        <references count="7">
          <reference field="0" count="1" selected="0">
            <x v="214"/>
          </reference>
          <reference field="1" count="1" selected="0">
            <x v="159"/>
          </reference>
          <reference field="2" count="1" selected="0">
            <x v="139"/>
          </reference>
          <reference field="3" count="1" selected="0">
            <x v="0"/>
          </reference>
          <reference field="12" count="1" selected="0">
            <x v="10"/>
          </reference>
          <reference field="13" count="1" selected="0">
            <x v="15"/>
          </reference>
          <reference field="14" count="1">
            <x v="66"/>
          </reference>
        </references>
      </pivotArea>
    </format>
    <format dxfId="1425">
      <pivotArea dataOnly="0" labelOnly="1" fieldPosition="0">
        <references count="7">
          <reference field="0" count="1" selected="0">
            <x v="215"/>
          </reference>
          <reference field="1" count="1" selected="0">
            <x v="160"/>
          </reference>
          <reference field="2" count="1" selected="0">
            <x v="137"/>
          </reference>
          <reference field="3" count="1" selected="0">
            <x v="0"/>
          </reference>
          <reference field="12" count="1" selected="0">
            <x v="10"/>
          </reference>
          <reference field="13" count="1" selected="0">
            <x v="11"/>
          </reference>
          <reference field="14" count="1">
            <x v="66"/>
          </reference>
        </references>
      </pivotArea>
    </format>
    <format dxfId="1424">
      <pivotArea dataOnly="0" labelOnly="1" fieldPosition="0">
        <references count="7">
          <reference field="0" count="1" selected="0">
            <x v="216"/>
          </reference>
          <reference field="1" count="1" selected="0">
            <x v="161"/>
          </reference>
          <reference field="2" count="1" selected="0">
            <x v="136"/>
          </reference>
          <reference field="3" count="1" selected="0">
            <x v="0"/>
          </reference>
          <reference field="12" count="1" selected="0">
            <x v="10"/>
          </reference>
          <reference field="13" count="1" selected="0">
            <x v="13"/>
          </reference>
          <reference field="14" count="1">
            <x v="66"/>
          </reference>
        </references>
      </pivotArea>
    </format>
    <format dxfId="1423">
      <pivotArea dataOnly="0" labelOnly="1" fieldPosition="0">
        <references count="7">
          <reference field="0" count="1" selected="0">
            <x v="217"/>
          </reference>
          <reference field="1" count="1" selected="0">
            <x v="162"/>
          </reference>
          <reference field="2" count="1" selected="0">
            <x v="13"/>
          </reference>
          <reference field="3" count="1" selected="0">
            <x v="0"/>
          </reference>
          <reference field="12" count="1" selected="0">
            <x v="10"/>
          </reference>
          <reference field="13" count="1" selected="0">
            <x v="10"/>
          </reference>
          <reference field="14" count="1">
            <x v="66"/>
          </reference>
        </references>
      </pivotArea>
    </format>
    <format dxfId="1422">
      <pivotArea dataOnly="0" labelOnly="1" fieldPosition="0">
        <references count="7">
          <reference field="0" count="1" selected="0">
            <x v="218"/>
          </reference>
          <reference field="1" count="1" selected="0">
            <x v="163"/>
          </reference>
          <reference field="2" count="1" selected="0">
            <x v="179"/>
          </reference>
          <reference field="3" count="1" selected="0">
            <x v="0"/>
          </reference>
          <reference field="12" count="1" selected="0">
            <x v="10"/>
          </reference>
          <reference field="13" count="1" selected="0">
            <x v="10"/>
          </reference>
          <reference field="14" count="1">
            <x v="0"/>
          </reference>
        </references>
      </pivotArea>
    </format>
    <format dxfId="1421">
      <pivotArea dataOnly="0" labelOnly="1" fieldPosition="0">
        <references count="7">
          <reference field="0" count="1" selected="0">
            <x v="219"/>
          </reference>
          <reference field="1" count="1" selected="0">
            <x v="164"/>
          </reference>
          <reference field="2" count="1" selected="0">
            <x v="138"/>
          </reference>
          <reference field="3" count="1" selected="0">
            <x v="0"/>
          </reference>
          <reference field="12" count="1" selected="0">
            <x v="10"/>
          </reference>
          <reference field="13" count="1" selected="0">
            <x v="8"/>
          </reference>
          <reference field="14" count="1">
            <x v="0"/>
          </reference>
        </references>
      </pivotArea>
    </format>
    <format dxfId="1420">
      <pivotArea dataOnly="0" labelOnly="1" fieldPosition="0">
        <references count="7">
          <reference field="0" count="1" selected="0">
            <x v="220"/>
          </reference>
          <reference field="1" count="1" selected="0">
            <x v="165"/>
          </reference>
          <reference field="2" count="1" selected="0">
            <x v="142"/>
          </reference>
          <reference field="3" count="1" selected="0">
            <x v="0"/>
          </reference>
          <reference field="12" count="1" selected="0">
            <x v="11"/>
          </reference>
          <reference field="13" count="1" selected="0">
            <x v="12"/>
          </reference>
          <reference field="14" count="1">
            <x v="57"/>
          </reference>
        </references>
      </pivotArea>
    </format>
    <format dxfId="1419">
      <pivotArea dataOnly="0" labelOnly="1" fieldPosition="0">
        <references count="7">
          <reference field="0" count="1" selected="0">
            <x v="221"/>
          </reference>
          <reference field="1" count="1" selected="0">
            <x v="166"/>
          </reference>
          <reference field="2" count="1" selected="0">
            <x v="143"/>
          </reference>
          <reference field="3" count="1" selected="0">
            <x v="0"/>
          </reference>
          <reference field="12" count="1" selected="0">
            <x v="10"/>
          </reference>
          <reference field="13" count="1" selected="0">
            <x v="9"/>
          </reference>
          <reference field="14" count="1">
            <x v="60"/>
          </reference>
        </references>
      </pivotArea>
    </format>
    <format dxfId="1418">
      <pivotArea dataOnly="0" labelOnly="1" fieldPosition="0">
        <references count="7">
          <reference field="0" count="1" selected="0">
            <x v="223"/>
          </reference>
          <reference field="1" count="1" selected="0">
            <x v="168"/>
          </reference>
          <reference field="2" count="1" selected="0">
            <x v="71"/>
          </reference>
          <reference field="3" count="1" selected="0">
            <x v="0"/>
          </reference>
          <reference field="12" count="1" selected="0">
            <x v="24"/>
          </reference>
          <reference field="13" count="1" selected="0">
            <x v="7"/>
          </reference>
          <reference field="14" count="1">
            <x v="0"/>
          </reference>
        </references>
      </pivotArea>
    </format>
    <format dxfId="1417">
      <pivotArea dataOnly="0" labelOnly="1" fieldPosition="0">
        <references count="7">
          <reference field="0" count="1" selected="0">
            <x v="224"/>
          </reference>
          <reference field="1" count="1" selected="0">
            <x v="169"/>
          </reference>
          <reference field="2" count="1" selected="0">
            <x v="121"/>
          </reference>
          <reference field="3" count="1" selected="0">
            <x v="0"/>
          </reference>
          <reference field="12" count="1" selected="0">
            <x v="23"/>
          </reference>
          <reference field="13" count="1" selected="0">
            <x v="1"/>
          </reference>
          <reference field="14" count="1">
            <x v="18"/>
          </reference>
        </references>
      </pivotArea>
    </format>
    <format dxfId="1416">
      <pivotArea dataOnly="0" labelOnly="1" fieldPosition="0">
        <references count="7">
          <reference field="0" count="1" selected="0">
            <x v="225"/>
          </reference>
          <reference field="1" count="1" selected="0">
            <x v="170"/>
          </reference>
          <reference field="2" count="1" selected="0">
            <x v="120"/>
          </reference>
          <reference field="3" count="1" selected="0">
            <x v="0"/>
          </reference>
          <reference field="12" count="1" selected="0">
            <x v="23"/>
          </reference>
          <reference field="13" count="1" selected="0">
            <x v="22"/>
          </reference>
          <reference field="14" count="1">
            <x v="18"/>
          </reference>
        </references>
      </pivotArea>
    </format>
    <format dxfId="1415">
      <pivotArea dataOnly="0" labelOnly="1" fieldPosition="0">
        <references count="7">
          <reference field="0" count="1" selected="0">
            <x v="226"/>
          </reference>
          <reference field="1" count="1" selected="0">
            <x v="171"/>
          </reference>
          <reference field="2" count="1" selected="0">
            <x v="41"/>
          </reference>
          <reference field="3" count="1" selected="0">
            <x v="0"/>
          </reference>
          <reference field="12" count="1" selected="0">
            <x v="23"/>
          </reference>
          <reference field="13" count="1" selected="0">
            <x v="22"/>
          </reference>
          <reference field="14" count="1">
            <x v="18"/>
          </reference>
        </references>
      </pivotArea>
    </format>
    <format dxfId="1414">
      <pivotArea dataOnly="0" labelOnly="1" fieldPosition="0">
        <references count="7">
          <reference field="0" count="1" selected="0">
            <x v="227"/>
          </reference>
          <reference field="1" count="1" selected="0">
            <x v="172"/>
          </reference>
          <reference field="2" count="1" selected="0">
            <x v="42"/>
          </reference>
          <reference field="3" count="1" selected="0">
            <x v="0"/>
          </reference>
          <reference field="12" count="1" selected="0">
            <x v="23"/>
          </reference>
          <reference field="13" count="1" selected="0">
            <x v="22"/>
          </reference>
          <reference field="14" count="1">
            <x v="18"/>
          </reference>
        </references>
      </pivotArea>
    </format>
    <format dxfId="1413">
      <pivotArea dataOnly="0" labelOnly="1" fieldPosition="0">
        <references count="7">
          <reference field="0" count="1" selected="0">
            <x v="228"/>
          </reference>
          <reference field="1" count="1" selected="0">
            <x v="173"/>
          </reference>
          <reference field="2" count="1" selected="0">
            <x v="145"/>
          </reference>
          <reference field="3" count="1" selected="0">
            <x v="0"/>
          </reference>
          <reference field="12" count="1" selected="0">
            <x v="3"/>
          </reference>
          <reference field="13" count="1" selected="0">
            <x v="21"/>
          </reference>
          <reference field="14" count="1">
            <x v="38"/>
          </reference>
        </references>
      </pivotArea>
    </format>
    <format dxfId="1412">
      <pivotArea dataOnly="0" labelOnly="1" fieldPosition="0">
        <references count="7">
          <reference field="0" count="1" selected="0">
            <x v="229"/>
          </reference>
          <reference field="1" count="1" selected="0">
            <x v="174"/>
          </reference>
          <reference field="2" count="1" selected="0">
            <x v="91"/>
          </reference>
          <reference field="3" count="1" selected="0">
            <x v="0"/>
          </reference>
          <reference field="12" count="1" selected="0">
            <x v="3"/>
          </reference>
          <reference field="13" count="1" selected="0">
            <x v="18"/>
          </reference>
          <reference field="14" count="1">
            <x v="34"/>
          </reference>
        </references>
      </pivotArea>
    </format>
    <format dxfId="1411">
      <pivotArea dataOnly="0" labelOnly="1" fieldPosition="0">
        <references count="7">
          <reference field="0" count="1" selected="0">
            <x v="230"/>
          </reference>
          <reference field="1" count="1" selected="0">
            <x v="175"/>
          </reference>
          <reference field="2" count="1" selected="0">
            <x v="160"/>
          </reference>
          <reference field="3" count="1" selected="0">
            <x v="0"/>
          </reference>
          <reference field="12" count="1" selected="0">
            <x v="3"/>
          </reference>
          <reference field="13" count="1" selected="0">
            <x v="18"/>
          </reference>
          <reference field="14" count="1">
            <x v="36"/>
          </reference>
        </references>
      </pivotArea>
    </format>
    <format dxfId="1410">
      <pivotArea dataOnly="0" labelOnly="1" fieldPosition="0">
        <references count="7">
          <reference field="0" count="1" selected="0">
            <x v="231"/>
          </reference>
          <reference field="1" count="1" selected="0">
            <x v="176"/>
          </reference>
          <reference field="2" count="1" selected="0">
            <x v="42"/>
          </reference>
          <reference field="3" count="1" selected="0">
            <x v="0"/>
          </reference>
          <reference field="12" count="1" selected="0">
            <x v="3"/>
          </reference>
          <reference field="13" count="1" selected="0">
            <x v="20"/>
          </reference>
          <reference field="14" count="1">
            <x v="38"/>
          </reference>
        </references>
      </pivotArea>
    </format>
    <format dxfId="1409">
      <pivotArea dataOnly="0" labelOnly="1" fieldPosition="0">
        <references count="7">
          <reference field="0" count="1" selected="0">
            <x v="232"/>
          </reference>
          <reference field="1" count="1" selected="0">
            <x v="177"/>
          </reference>
          <reference field="2" count="1" selected="0">
            <x v="47"/>
          </reference>
          <reference field="3" count="1" selected="0">
            <x v="0"/>
          </reference>
          <reference field="12" count="1" selected="0">
            <x v="3"/>
          </reference>
          <reference field="13" count="1" selected="0">
            <x v="19"/>
          </reference>
          <reference field="14" count="1">
            <x v="38"/>
          </reference>
        </references>
      </pivotArea>
    </format>
    <format dxfId="1408">
      <pivotArea dataOnly="0" labelOnly="1" fieldPosition="0">
        <references count="7">
          <reference field="0" count="1" selected="0">
            <x v="233"/>
          </reference>
          <reference field="1" count="1" selected="0">
            <x v="178"/>
          </reference>
          <reference field="2" count="1" selected="0">
            <x v="32"/>
          </reference>
          <reference field="3" count="1" selected="0">
            <x v="0"/>
          </reference>
          <reference field="12" count="1" selected="0">
            <x v="3"/>
          </reference>
          <reference field="13" count="1" selected="0">
            <x v="6"/>
          </reference>
          <reference field="14" count="1">
            <x v="38"/>
          </reference>
        </references>
      </pivotArea>
    </format>
    <format dxfId="1407">
      <pivotArea dataOnly="0" labelOnly="1" fieldPosition="0">
        <references count="7">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x v="67"/>
          </reference>
        </references>
      </pivotArea>
    </format>
    <format dxfId="1406">
      <pivotArea dataOnly="0" labelOnly="1" fieldPosition="0">
        <references count="7">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x v="38"/>
          </reference>
        </references>
      </pivotArea>
    </format>
    <format dxfId="1405">
      <pivotArea dataOnly="0" labelOnly="1" fieldPosition="0">
        <references count="7">
          <reference field="0" count="1" selected="0">
            <x v="236"/>
          </reference>
          <reference field="1" count="1" selected="0">
            <x v="192"/>
          </reference>
          <reference field="2" count="1" selected="0">
            <x v="27"/>
          </reference>
          <reference field="3" count="1" selected="0">
            <x v="0"/>
          </reference>
          <reference field="12" count="1" selected="0">
            <x v="3"/>
          </reference>
          <reference field="13" count="1" selected="0">
            <x v="0"/>
          </reference>
          <reference field="14" count="1">
            <x v="38"/>
          </reference>
        </references>
      </pivotArea>
    </format>
    <format dxfId="1404">
      <pivotArea dataOnly="0" labelOnly="1" fieldPosition="0">
        <references count="7">
          <reference field="0" count="1" selected="0">
            <x v="237"/>
          </reference>
          <reference field="1" count="1" selected="0">
            <x v="193"/>
          </reference>
          <reference field="2" count="1" selected="0">
            <x v="89"/>
          </reference>
          <reference field="3" count="1" selected="0">
            <x v="0"/>
          </reference>
          <reference field="12" count="1" selected="0">
            <x v="3"/>
          </reference>
          <reference field="13" count="1" selected="0">
            <x v="0"/>
          </reference>
          <reference field="14" count="1">
            <x v="38"/>
          </reference>
        </references>
      </pivotArea>
    </format>
    <format dxfId="1403">
      <pivotArea dataOnly="0" labelOnly="1" fieldPosition="0">
        <references count="7">
          <reference field="0" count="1" selected="0">
            <x v="238"/>
          </reference>
          <reference field="1" count="1" selected="0">
            <x v="194"/>
          </reference>
          <reference field="2" count="1" selected="0">
            <x v="25"/>
          </reference>
          <reference field="3" count="1" selected="0">
            <x v="0"/>
          </reference>
          <reference field="12" count="1" selected="0">
            <x v="0"/>
          </reference>
          <reference field="13" count="1" selected="0">
            <x v="0"/>
          </reference>
          <reference field="14" count="1">
            <x v="0"/>
          </reference>
        </references>
      </pivotArea>
    </format>
    <format dxfId="1402">
      <pivotArea dataOnly="0" labelOnly="1" fieldPosition="0">
        <references count="7">
          <reference field="0" count="1" selected="0">
            <x v="239"/>
          </reference>
          <reference field="1" count="1" selected="0">
            <x v="195"/>
          </reference>
          <reference field="2" count="1" selected="0">
            <x v="28"/>
          </reference>
          <reference field="3" count="1" selected="0">
            <x v="0"/>
          </reference>
          <reference field="12" count="1" selected="0">
            <x v="0"/>
          </reference>
          <reference field="13" count="1" selected="0">
            <x v="0"/>
          </reference>
          <reference field="14" count="1">
            <x v="0"/>
          </reference>
        </references>
      </pivotArea>
    </format>
    <format dxfId="1401">
      <pivotArea dataOnly="0" labelOnly="1" fieldPosition="0">
        <references count="7">
          <reference field="0" count="1" selected="0">
            <x v="240"/>
          </reference>
          <reference field="1" count="1" selected="0">
            <x v="196"/>
          </reference>
          <reference field="2" count="1" selected="0">
            <x v="40"/>
          </reference>
          <reference field="3" count="1" selected="0">
            <x v="0"/>
          </reference>
          <reference field="12" count="1" selected="0">
            <x v="3"/>
          </reference>
          <reference field="13" count="1" selected="0">
            <x v="0"/>
          </reference>
          <reference field="14" count="1">
            <x v="0"/>
          </reference>
        </references>
      </pivotArea>
    </format>
    <format dxfId="1400">
      <pivotArea dataOnly="0" labelOnly="1" fieldPosition="0">
        <references count="7">
          <reference field="0" count="1" selected="0">
            <x v="241"/>
          </reference>
          <reference field="1" count="1" selected="0">
            <x v="197"/>
          </reference>
          <reference field="2" count="1" selected="0">
            <x v="195"/>
          </reference>
          <reference field="3" count="1" selected="0">
            <x v="0"/>
          </reference>
          <reference field="12" count="1" selected="0">
            <x v="0"/>
          </reference>
          <reference field="13" count="1" selected="0">
            <x v="0"/>
          </reference>
          <reference field="14" count="1">
            <x v="0"/>
          </reference>
        </references>
      </pivotArea>
    </format>
    <format dxfId="1399">
      <pivotArea dataOnly="0" labelOnly="1" fieldPosition="0">
        <references count="7">
          <reference field="0" count="1" selected="0">
            <x v="242"/>
          </reference>
          <reference field="1" count="1" selected="0">
            <x v="198"/>
          </reference>
          <reference field="2" count="1" selected="0">
            <x v="132"/>
          </reference>
          <reference field="3" count="1" selected="0">
            <x v="0"/>
          </reference>
          <reference field="12" count="1" selected="0">
            <x v="6"/>
          </reference>
          <reference field="13" count="1" selected="0">
            <x v="0"/>
          </reference>
          <reference field="14" count="1">
            <x v="0"/>
          </reference>
        </references>
      </pivotArea>
    </format>
    <format dxfId="1398">
      <pivotArea dataOnly="0" labelOnly="1" fieldPosition="0">
        <references count="8">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selected="0">
            <x v="38"/>
          </reference>
          <reference field="15" count="1">
            <x v="15"/>
          </reference>
        </references>
      </pivotArea>
    </format>
    <format dxfId="1397">
      <pivotArea dataOnly="0" labelOnly="1" fieldPosition="0">
        <references count="8">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selected="0">
            <x v="0"/>
          </reference>
          <reference field="15" count="1">
            <x v="14"/>
          </reference>
        </references>
      </pivotArea>
    </format>
    <format dxfId="1396">
      <pivotArea dataOnly="0" labelOnly="1" fieldPosition="0">
        <references count="8">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selected="0">
            <x v="35"/>
          </reference>
          <reference field="15" count="1">
            <x v="43"/>
          </reference>
        </references>
      </pivotArea>
    </format>
    <format dxfId="1395">
      <pivotArea dataOnly="0" labelOnly="1" fieldPosition="0">
        <references count="8">
          <reference field="0" count="1" selected="0">
            <x v="4"/>
          </reference>
          <reference field="1" count="1" selected="0">
            <x v="232"/>
          </reference>
          <reference field="2" count="1" selected="0">
            <x v="90"/>
          </reference>
          <reference field="3" count="1" selected="0">
            <x v="0"/>
          </reference>
          <reference field="12" count="1" selected="0">
            <x v="3"/>
          </reference>
          <reference field="13" count="1" selected="0">
            <x v="0"/>
          </reference>
          <reference field="14" count="1" selected="0">
            <x v="35"/>
          </reference>
          <reference field="15" count="1">
            <x v="43"/>
          </reference>
        </references>
      </pivotArea>
    </format>
    <format dxfId="1394">
      <pivotArea dataOnly="0" labelOnly="1" fieldPosition="0">
        <references count="8">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selected="0">
            <x v="38"/>
          </reference>
          <reference field="15" count="1">
            <x v="15"/>
          </reference>
        </references>
      </pivotArea>
    </format>
    <format dxfId="1393">
      <pivotArea dataOnly="0" labelOnly="1" fieldPosition="0">
        <references count="8">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selected="0">
            <x v="28"/>
          </reference>
          <reference field="15" count="1">
            <x v="0"/>
          </reference>
        </references>
      </pivotArea>
    </format>
    <format dxfId="1392">
      <pivotArea dataOnly="0" labelOnly="1" fieldPosition="0">
        <references count="8">
          <reference field="0" count="1" selected="0">
            <x v="9"/>
          </reference>
          <reference field="1" count="1" selected="0">
            <x v="120"/>
          </reference>
          <reference field="2" count="1" selected="0">
            <x v="168"/>
          </reference>
          <reference field="3" count="1" selected="0">
            <x v="0"/>
          </reference>
          <reference field="12" count="1" selected="0">
            <x v="0"/>
          </reference>
          <reference field="13" count="1" selected="0">
            <x v="0"/>
          </reference>
          <reference field="14" count="1" selected="0">
            <x v="28"/>
          </reference>
          <reference field="15" count="1">
            <x v="0"/>
          </reference>
        </references>
      </pivotArea>
    </format>
    <format dxfId="1391">
      <pivotArea dataOnly="0" labelOnly="1" fieldPosition="0">
        <references count="8">
          <reference field="0" count="1" selected="0">
            <x v="10"/>
          </reference>
          <reference field="1" count="1" selected="0">
            <x v="121"/>
          </reference>
          <reference field="2" count="1" selected="0">
            <x v="82"/>
          </reference>
          <reference field="3" count="1" selected="0">
            <x v="0"/>
          </reference>
          <reference field="12" count="1" selected="0">
            <x v="0"/>
          </reference>
          <reference field="13" count="1" selected="0">
            <x v="0"/>
          </reference>
          <reference field="14" count="1" selected="0">
            <x v="38"/>
          </reference>
          <reference field="15" count="1">
            <x v="0"/>
          </reference>
        </references>
      </pivotArea>
    </format>
    <format dxfId="1390">
      <pivotArea dataOnly="0" labelOnly="1" fieldPosition="0">
        <references count="8">
          <reference field="0" count="1" selected="0">
            <x v="11"/>
          </reference>
          <reference field="1" count="1" selected="0">
            <x v="122"/>
          </reference>
          <reference field="2" count="1" selected="0">
            <x v="26"/>
          </reference>
          <reference field="3" count="1" selected="0">
            <x v="0"/>
          </reference>
          <reference field="12" count="1" selected="0">
            <x v="0"/>
          </reference>
          <reference field="13" count="1" selected="0">
            <x v="0"/>
          </reference>
          <reference field="14" count="1" selected="0">
            <x v="38"/>
          </reference>
          <reference field="15" count="1">
            <x v="0"/>
          </reference>
        </references>
      </pivotArea>
    </format>
    <format dxfId="1389">
      <pivotArea dataOnly="0" labelOnly="1" fieldPosition="0">
        <references count="8">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selected="0">
            <x v="40"/>
          </reference>
          <reference field="15" count="1">
            <x v="15"/>
          </reference>
        </references>
      </pivotArea>
    </format>
    <format dxfId="1388">
      <pivotArea dataOnly="0" labelOnly="1" fieldPosition="0">
        <references count="8">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selected="0">
            <x v="38"/>
          </reference>
          <reference field="15" count="1">
            <x v="14"/>
          </reference>
        </references>
      </pivotArea>
    </format>
    <format dxfId="1387">
      <pivotArea dataOnly="0" labelOnly="1" fieldPosition="0">
        <references count="8">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selected="0">
            <x v="1"/>
          </reference>
          <reference field="15" count="1">
            <x v="21"/>
          </reference>
        </references>
      </pivotArea>
    </format>
    <format dxfId="1386">
      <pivotArea dataOnly="0" labelOnly="1" fieldPosition="0">
        <references count="8">
          <reference field="0" count="1" selected="0">
            <x v="26"/>
          </reference>
          <reference field="1" count="1" selected="0">
            <x v="23"/>
          </reference>
          <reference field="2" count="1" selected="0">
            <x v="217"/>
          </reference>
          <reference field="3" count="1" selected="0">
            <x v="0"/>
          </reference>
          <reference field="12" count="1" selected="0">
            <x v="5"/>
          </reference>
          <reference field="13" count="1" selected="0">
            <x v="0"/>
          </reference>
          <reference field="14" count="1" selected="0">
            <x v="1"/>
          </reference>
          <reference field="15" count="1">
            <x v="45"/>
          </reference>
        </references>
      </pivotArea>
    </format>
    <format dxfId="1385">
      <pivotArea dataOnly="0" labelOnly="1" fieldPosition="0">
        <references count="8">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selected="0">
            <x v="3"/>
          </reference>
          <reference field="15" count="1">
            <x v="0"/>
          </reference>
        </references>
      </pivotArea>
    </format>
    <format dxfId="1384">
      <pivotArea dataOnly="0" labelOnly="1" fieldPosition="0">
        <references count="8">
          <reference field="0" count="1" selected="0">
            <x v="29"/>
          </reference>
          <reference field="1" count="1" selected="0">
            <x v="26"/>
          </reference>
          <reference field="2" count="1" selected="0">
            <x v="62"/>
          </reference>
          <reference field="3" count="1" selected="0">
            <x v="0"/>
          </reference>
          <reference field="12" count="1" selected="0">
            <x v="15"/>
          </reference>
          <reference field="13" count="1" selected="0">
            <x v="0"/>
          </reference>
          <reference field="14" count="1" selected="0">
            <x v="19"/>
          </reference>
          <reference field="15" count="1">
            <x v="12"/>
          </reference>
        </references>
      </pivotArea>
    </format>
    <format dxfId="1383">
      <pivotArea dataOnly="0" labelOnly="1" fieldPosition="0">
        <references count="8">
          <reference field="0" count="1" selected="0">
            <x v="30"/>
          </reference>
          <reference field="1" count="1" selected="0">
            <x v="27"/>
          </reference>
          <reference field="2" count="1" selected="0">
            <x v="7"/>
          </reference>
          <reference field="3" count="1" selected="0">
            <x v="0"/>
          </reference>
          <reference field="12" count="1" selected="0">
            <x v="15"/>
          </reference>
          <reference field="13" count="1" selected="0">
            <x v="0"/>
          </reference>
          <reference field="14" count="1" selected="0">
            <x v="13"/>
          </reference>
          <reference field="15" count="1">
            <x v="11"/>
          </reference>
        </references>
      </pivotArea>
    </format>
    <format dxfId="1382">
      <pivotArea dataOnly="0" labelOnly="1" fieldPosition="0">
        <references count="8">
          <reference field="0" count="1" selected="0">
            <x v="31"/>
          </reference>
          <reference field="1" count="1" selected="0">
            <x v="28"/>
          </reference>
          <reference field="2" count="1" selected="0">
            <x v="53"/>
          </reference>
          <reference field="3" count="1" selected="0">
            <x v="0"/>
          </reference>
          <reference field="12" count="1" selected="0">
            <x v="7"/>
          </reference>
          <reference field="13" count="1" selected="0">
            <x v="0"/>
          </reference>
          <reference field="14" count="1" selected="0">
            <x v="15"/>
          </reference>
          <reference field="15" count="1">
            <x v="0"/>
          </reference>
        </references>
      </pivotArea>
    </format>
    <format dxfId="1381">
      <pivotArea dataOnly="0" labelOnly="1" fieldPosition="0">
        <references count="8">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selected="0">
            <x v="61"/>
          </reference>
          <reference field="15" count="1">
            <x v="23"/>
          </reference>
        </references>
      </pivotArea>
    </format>
    <format dxfId="1380">
      <pivotArea dataOnly="0" labelOnly="1" fieldPosition="0">
        <references count="8">
          <reference field="0" count="1" selected="0">
            <x v="36"/>
          </reference>
          <reference field="1" count="1" selected="0">
            <x v="33"/>
          </reference>
          <reference field="2" count="1" selected="0">
            <x v="130"/>
          </reference>
          <reference field="3" count="1" selected="0">
            <x v="0"/>
          </reference>
          <reference field="12" count="1" selected="0">
            <x v="22"/>
          </reference>
          <reference field="13" count="1" selected="0">
            <x v="0"/>
          </reference>
          <reference field="14" count="1" selected="0">
            <x v="2"/>
          </reference>
          <reference field="15" count="1">
            <x v="23"/>
          </reference>
        </references>
      </pivotArea>
    </format>
    <format dxfId="1379">
      <pivotArea dataOnly="0" labelOnly="1" fieldPosition="0">
        <references count="8">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selected="0">
            <x v="62"/>
          </reference>
          <reference field="15" count="1">
            <x v="16"/>
          </reference>
        </references>
      </pivotArea>
    </format>
    <format dxfId="1378">
      <pivotArea dataOnly="0" labelOnly="1" fieldPosition="0">
        <references count="8">
          <reference field="0" count="1" selected="0">
            <x v="39"/>
          </reference>
          <reference field="1" count="1" selected="0">
            <x v="1"/>
          </reference>
          <reference field="2" count="1" selected="0">
            <x v="46"/>
          </reference>
          <reference field="3" count="1" selected="0">
            <x v="0"/>
          </reference>
          <reference field="12" count="1" selected="0">
            <x v="10"/>
          </reference>
          <reference field="13" count="1" selected="0">
            <x v="0"/>
          </reference>
          <reference field="14" count="1" selected="0">
            <x v="62"/>
          </reference>
          <reference field="15" count="1">
            <x v="16"/>
          </reference>
        </references>
      </pivotArea>
    </format>
    <format dxfId="1377">
      <pivotArea dataOnly="0" labelOnly="1" fieldPosition="0">
        <references count="8">
          <reference field="0" count="1" selected="0">
            <x v="42"/>
          </reference>
          <reference field="1" count="1" selected="0">
            <x v="4"/>
          </reference>
          <reference field="2" count="1" selected="0">
            <x v="64"/>
          </reference>
          <reference field="3" count="1" selected="0">
            <x v="0"/>
          </reference>
          <reference field="12" count="1" selected="0">
            <x v="10"/>
          </reference>
          <reference field="13" count="1" selected="0">
            <x v="0"/>
          </reference>
          <reference field="14" count="1" selected="0">
            <x v="58"/>
          </reference>
          <reference field="15" count="1">
            <x v="16"/>
          </reference>
        </references>
      </pivotArea>
    </format>
    <format dxfId="1376">
      <pivotArea dataOnly="0" labelOnly="1" fieldPosition="0">
        <references count="8">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selected="0">
            <x v="56"/>
          </reference>
          <reference field="15" count="1">
            <x v="0"/>
          </reference>
        </references>
      </pivotArea>
    </format>
    <format dxfId="1375">
      <pivotArea dataOnly="0" labelOnly="1" fieldPosition="0">
        <references count="8">
          <reference field="0" count="1" selected="0">
            <x v="44"/>
          </reference>
          <reference field="1" count="1" selected="0">
            <x v="6"/>
          </reference>
          <reference field="2" count="1" selected="0">
            <x v="23"/>
          </reference>
          <reference field="3" count="1" selected="0">
            <x v="0"/>
          </reference>
          <reference field="12" count="1" selected="0">
            <x v="10"/>
          </reference>
          <reference field="13" count="1" selected="0">
            <x v="0"/>
          </reference>
          <reference field="14" count="1" selected="0">
            <x v="56"/>
          </reference>
          <reference field="15" count="1">
            <x v="16"/>
          </reference>
        </references>
      </pivotArea>
    </format>
    <format dxfId="1374">
      <pivotArea dataOnly="0" labelOnly="1" fieldPosition="0">
        <references count="8">
          <reference field="0" count="1" selected="0">
            <x v="45"/>
          </reference>
          <reference field="1" count="1" selected="0">
            <x v="7"/>
          </reference>
          <reference field="2" count="1" selected="0">
            <x v="22"/>
          </reference>
          <reference field="3" count="1" selected="0">
            <x v="0"/>
          </reference>
          <reference field="12" count="1" selected="0">
            <x v="10"/>
          </reference>
          <reference field="13" count="1" selected="0">
            <x v="0"/>
          </reference>
          <reference field="14" count="1" selected="0">
            <x v="56"/>
          </reference>
          <reference field="15" count="1">
            <x v="16"/>
          </reference>
        </references>
      </pivotArea>
    </format>
    <format dxfId="1373">
      <pivotArea dataOnly="0" labelOnly="1" fieldPosition="0">
        <references count="8">
          <reference field="0" count="1" selected="0">
            <x v="46"/>
          </reference>
          <reference field="1" count="1" selected="0">
            <x v="8"/>
          </reference>
          <reference field="2" count="1" selected="0">
            <x v="135"/>
          </reference>
          <reference field="3" count="1" selected="0">
            <x v="0"/>
          </reference>
          <reference field="12" count="1" selected="0">
            <x v="10"/>
          </reference>
          <reference field="13" count="1" selected="0">
            <x v="0"/>
          </reference>
          <reference field="14" count="1" selected="0">
            <x v="56"/>
          </reference>
          <reference field="15" count="1">
            <x v="16"/>
          </reference>
        </references>
      </pivotArea>
    </format>
    <format dxfId="1372">
      <pivotArea dataOnly="0" labelOnly="1" fieldPosition="0">
        <references count="8">
          <reference field="0" count="1" selected="0">
            <x v="47"/>
          </reference>
          <reference field="1" count="1" selected="0">
            <x v="9"/>
          </reference>
          <reference field="2" count="1" selected="0">
            <x v="141"/>
          </reference>
          <reference field="3" count="1" selected="0">
            <x v="0"/>
          </reference>
          <reference field="12" count="1" selected="0">
            <x v="10"/>
          </reference>
          <reference field="13" count="1" selected="0">
            <x v="0"/>
          </reference>
          <reference field="14" count="1" selected="0">
            <x v="56"/>
          </reference>
          <reference field="15" count="1">
            <x v="22"/>
          </reference>
        </references>
      </pivotArea>
    </format>
    <format dxfId="1371">
      <pivotArea dataOnly="0" labelOnly="1" fieldPosition="0">
        <references count="8">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selected="0">
            <x v="66"/>
          </reference>
          <reference field="15" count="1">
            <x v="17"/>
          </reference>
        </references>
      </pivotArea>
    </format>
    <format dxfId="1370">
      <pivotArea dataOnly="0" labelOnly="1" fieldPosition="0">
        <references count="8">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selected="0">
            <x v="34"/>
          </reference>
          <reference field="15" count="1">
            <x v="43"/>
          </reference>
        </references>
      </pivotArea>
    </format>
    <format dxfId="1369">
      <pivotArea dataOnly="0" labelOnly="1" fieldPosition="0">
        <references count="8">
          <reference field="0" count="1" selected="0">
            <x v="56"/>
          </reference>
          <reference field="1" count="1" selected="0">
            <x v="36"/>
          </reference>
          <reference field="2" count="1" selected="0">
            <x v="183"/>
          </reference>
          <reference field="3" count="1" selected="0">
            <x v="0"/>
          </reference>
          <reference field="12" count="1" selected="0">
            <x v="3"/>
          </reference>
          <reference field="13" count="1" selected="0">
            <x v="0"/>
          </reference>
          <reference field="14" count="1" selected="0">
            <x v="34"/>
          </reference>
          <reference field="15" count="1">
            <x v="43"/>
          </reference>
        </references>
      </pivotArea>
    </format>
    <format dxfId="1368">
      <pivotArea dataOnly="0" labelOnly="1" fieldPosition="0">
        <references count="8">
          <reference field="0" count="1" selected="0">
            <x v="62"/>
          </reference>
          <reference field="1" count="1" selected="0">
            <x v="42"/>
          </reference>
          <reference field="2" count="1" selected="0">
            <x v="15"/>
          </reference>
          <reference field="3" count="1" selected="0">
            <x v="0"/>
          </reference>
          <reference field="12" count="1" selected="0">
            <x v="3"/>
          </reference>
          <reference field="13" count="1" selected="0">
            <x v="0"/>
          </reference>
          <reference field="14" count="1" selected="0">
            <x v="47"/>
          </reference>
          <reference field="15" count="1">
            <x v="43"/>
          </reference>
        </references>
      </pivotArea>
    </format>
    <format dxfId="1367">
      <pivotArea dataOnly="0" labelOnly="1" fieldPosition="0">
        <references count="8">
          <reference field="0" count="1" selected="0">
            <x v="63"/>
          </reference>
          <reference field="1" count="1" selected="0">
            <x v="43"/>
          </reference>
          <reference field="2" count="1" selected="0">
            <x v="152"/>
          </reference>
          <reference field="3" count="1" selected="0">
            <x v="0"/>
          </reference>
          <reference field="12" count="1" selected="0">
            <x v="3"/>
          </reference>
          <reference field="13" count="1" selected="0">
            <x v="0"/>
          </reference>
          <reference field="14" count="1" selected="0">
            <x v="37"/>
          </reference>
          <reference field="15" count="1">
            <x v="43"/>
          </reference>
        </references>
      </pivotArea>
    </format>
    <format dxfId="1366">
      <pivotArea dataOnly="0" labelOnly="1" fieldPosition="0">
        <references count="8">
          <reference field="0" count="1" selected="0">
            <x v="64"/>
          </reference>
          <reference field="1" count="1" selected="0">
            <x v="44"/>
          </reference>
          <reference field="2" count="1" selected="0">
            <x v="146"/>
          </reference>
          <reference field="3" count="1" selected="0">
            <x v="0"/>
          </reference>
          <reference field="12" count="1" selected="0">
            <x v="3"/>
          </reference>
          <reference field="13" count="1" selected="0">
            <x v="0"/>
          </reference>
          <reference field="14" count="1" selected="0">
            <x v="36"/>
          </reference>
          <reference field="15" count="1">
            <x v="43"/>
          </reference>
        </references>
      </pivotArea>
    </format>
    <format dxfId="1365">
      <pivotArea dataOnly="0" labelOnly="1" fieldPosition="0">
        <references count="8">
          <reference field="0" count="1" selected="0">
            <x v="65"/>
          </reference>
          <reference field="1" count="1" selected="0">
            <x v="45"/>
          </reference>
          <reference field="2" count="1" selected="0">
            <x v="204"/>
          </reference>
          <reference field="3" count="1" selected="0">
            <x v="0"/>
          </reference>
          <reference field="12" count="1" selected="0">
            <x v="3"/>
          </reference>
          <reference field="13" count="1" selected="0">
            <x v="0"/>
          </reference>
          <reference field="14" count="1" selected="0">
            <x v="0"/>
          </reference>
          <reference field="15" count="1">
            <x v="43"/>
          </reference>
        </references>
      </pivotArea>
    </format>
    <format dxfId="1364">
      <pivotArea dataOnly="0" labelOnly="1" fieldPosition="0">
        <references count="8">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selected="0">
            <x v="14"/>
          </reference>
          <reference field="15" count="1">
            <x v="40"/>
          </reference>
        </references>
      </pivotArea>
    </format>
    <format dxfId="1363">
      <pivotArea dataOnly="0" labelOnly="1" fieldPosition="0">
        <references count="8">
          <reference field="0" count="1" selected="0">
            <x v="67"/>
          </reference>
          <reference field="1" count="1" selected="0">
            <x v="47"/>
          </reference>
          <reference field="2" count="1" selected="0">
            <x v="181"/>
          </reference>
          <reference field="3" count="1" selected="0">
            <x v="0"/>
          </reference>
          <reference field="12" count="1" selected="0">
            <x v="3"/>
          </reference>
          <reference field="13" count="1" selected="0">
            <x v="0"/>
          </reference>
          <reference field="14" count="1" selected="0">
            <x v="14"/>
          </reference>
          <reference field="15" count="1">
            <x v="41"/>
          </reference>
        </references>
      </pivotArea>
    </format>
    <format dxfId="1362">
      <pivotArea dataOnly="0" labelOnly="1" fieldPosition="0">
        <references count="8">
          <reference field="0" count="1" selected="0">
            <x v="68"/>
          </reference>
          <reference field="1" count="1" selected="0">
            <x v="48"/>
          </reference>
          <reference field="2" count="1" selected="0">
            <x v="231"/>
          </reference>
          <reference field="3" count="1" selected="0">
            <x v="0"/>
          </reference>
          <reference field="12" count="1" selected="0">
            <x v="3"/>
          </reference>
          <reference field="13" count="1" selected="0">
            <x v="0"/>
          </reference>
          <reference field="14" count="1" selected="0">
            <x v="14"/>
          </reference>
          <reference field="15" count="1">
            <x v="0"/>
          </reference>
        </references>
      </pivotArea>
    </format>
    <format dxfId="1361">
      <pivotArea dataOnly="0" labelOnly="1" fieldPosition="0">
        <references count="8">
          <reference field="0" count="1" selected="0">
            <x v="79"/>
          </reference>
          <reference field="1" count="1" selected="0">
            <x v="59"/>
          </reference>
          <reference field="2" count="1" selected="0">
            <x v="21"/>
          </reference>
          <reference field="3" count="1" selected="0">
            <x v="0"/>
          </reference>
          <reference field="12" count="1" selected="0">
            <x v="3"/>
          </reference>
          <reference field="13" count="1" selected="0">
            <x v="0"/>
          </reference>
          <reference field="14" count="1" selected="0">
            <x v="0"/>
          </reference>
          <reference field="15" count="1">
            <x v="0"/>
          </reference>
        </references>
      </pivotArea>
    </format>
    <format dxfId="1360">
      <pivotArea dataOnly="0" labelOnly="1" fieldPosition="0">
        <references count="8">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selected="0">
            <x v="0"/>
          </reference>
          <reference field="15" count="1">
            <x v="20"/>
          </reference>
        </references>
      </pivotArea>
    </format>
    <format dxfId="1359">
      <pivotArea dataOnly="0" labelOnly="1" fieldPosition="0">
        <references count="8">
          <reference field="0" count="1" selected="0">
            <x v="83"/>
          </reference>
          <reference field="1" count="1" selected="0">
            <x v="70"/>
          </reference>
          <reference field="2" count="1" selected="0">
            <x v="193"/>
          </reference>
          <reference field="3" count="1" selected="0">
            <x v="0"/>
          </reference>
          <reference field="12" count="1" selected="0">
            <x v="5"/>
          </reference>
          <reference field="13" count="1" selected="0">
            <x v="0"/>
          </reference>
          <reference field="14" count="1" selected="0">
            <x v="0"/>
          </reference>
          <reference field="15" count="1">
            <x v="20"/>
          </reference>
        </references>
      </pivotArea>
    </format>
    <format dxfId="1358">
      <pivotArea dataOnly="0" labelOnly="1" fieldPosition="0">
        <references count="8">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selected="0">
            <x v="4"/>
          </reference>
          <reference field="15" count="1">
            <x v="29"/>
          </reference>
        </references>
      </pivotArea>
    </format>
    <format dxfId="1357">
      <pivotArea dataOnly="0" labelOnly="1" fieldPosition="0">
        <references count="8">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selected="0">
            <x v="53"/>
          </reference>
          <reference field="15" count="1">
            <x v="26"/>
          </reference>
        </references>
      </pivotArea>
    </format>
    <format dxfId="1356">
      <pivotArea dataOnly="0" labelOnly="1" fieldPosition="0">
        <references count="8">
          <reference field="0" count="1" selected="0">
            <x v="86"/>
          </reference>
          <reference field="1" count="1" selected="0">
            <x v="73"/>
          </reference>
          <reference field="2" count="1" selected="0">
            <x v="154"/>
          </reference>
          <reference field="3" count="1" selected="0">
            <x v="0"/>
          </reference>
          <reference field="12" count="1" selected="0">
            <x v="7"/>
          </reference>
          <reference field="13" count="1" selected="0">
            <x v="0"/>
          </reference>
          <reference field="14" count="1" selected="0">
            <x v="53"/>
          </reference>
          <reference field="15" count="1">
            <x v="0"/>
          </reference>
        </references>
      </pivotArea>
    </format>
    <format dxfId="1355">
      <pivotArea dataOnly="0" labelOnly="1" fieldPosition="0">
        <references count="8">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selected="0">
            <x v="25"/>
          </reference>
          <reference field="15" count="1">
            <x v="29"/>
          </reference>
        </references>
      </pivotArea>
    </format>
    <format dxfId="1354">
      <pivotArea dataOnly="0" labelOnly="1" fieldPosition="0">
        <references count="8">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selected="0">
            <x v="0"/>
          </reference>
          <reference field="15" count="1">
            <x v="0"/>
          </reference>
        </references>
      </pivotArea>
    </format>
    <format dxfId="1353">
      <pivotArea dataOnly="0" labelOnly="1" fieldPosition="0">
        <references count="8">
          <reference field="0" count="1" selected="0">
            <x v="89"/>
          </reference>
          <reference field="1" count="1" selected="0">
            <x v="76"/>
          </reference>
          <reference field="2" count="1" selected="0">
            <x v="232"/>
          </reference>
          <reference field="3" count="1" selected="0">
            <x v="0"/>
          </reference>
          <reference field="12" count="1" selected="0">
            <x v="7"/>
          </reference>
          <reference field="13" count="1" selected="0">
            <x v="0"/>
          </reference>
          <reference field="14" count="1" selected="0">
            <x v="50"/>
          </reference>
          <reference field="15" count="1">
            <x v="0"/>
          </reference>
        </references>
      </pivotArea>
    </format>
    <format dxfId="1352">
      <pivotArea dataOnly="0" labelOnly="1" fieldPosition="0">
        <references count="8">
          <reference field="0" count="1" selected="0">
            <x v="90"/>
          </reference>
          <reference field="1" count="1" selected="0">
            <x v="77"/>
          </reference>
          <reference field="2" count="1" selected="0">
            <x v="43"/>
          </reference>
          <reference field="3" count="1" selected="0">
            <x v="0"/>
          </reference>
          <reference field="12" count="1" selected="0">
            <x v="7"/>
          </reference>
          <reference field="13" count="1" selected="0">
            <x v="0"/>
          </reference>
          <reference field="14" count="1" selected="0">
            <x v="50"/>
          </reference>
          <reference field="15" count="1">
            <x v="0"/>
          </reference>
        </references>
      </pivotArea>
    </format>
    <format dxfId="1351">
      <pivotArea dataOnly="0" labelOnly="1" fieldPosition="0">
        <references count="8">
          <reference field="0" count="1" selected="0">
            <x v="91"/>
          </reference>
          <reference field="1" count="1" selected="0">
            <x v="78"/>
          </reference>
          <reference field="2" count="1" selected="0">
            <x v="12"/>
          </reference>
          <reference field="3" count="1" selected="0">
            <x v="0"/>
          </reference>
          <reference field="12" count="1" selected="0">
            <x v="7"/>
          </reference>
          <reference field="13" count="1" selected="0">
            <x v="0"/>
          </reference>
          <reference field="14" count="1" selected="0">
            <x v="50"/>
          </reference>
          <reference field="15" count="1">
            <x v="0"/>
          </reference>
        </references>
      </pivotArea>
    </format>
    <format dxfId="1350">
      <pivotArea dataOnly="0" labelOnly="1" fieldPosition="0">
        <references count="8">
          <reference field="0" count="1" selected="0">
            <x v="93"/>
          </reference>
          <reference field="1" count="1" selected="0">
            <x v="80"/>
          </reference>
          <reference field="2" count="1" selected="0">
            <x v="180"/>
          </reference>
          <reference field="3" count="1" selected="0">
            <x v="0"/>
          </reference>
          <reference field="12" count="1" selected="0">
            <x v="7"/>
          </reference>
          <reference field="13" count="1" selected="0">
            <x v="0"/>
          </reference>
          <reference field="14" count="1" selected="0">
            <x v="49"/>
          </reference>
          <reference field="15" count="1">
            <x v="0"/>
          </reference>
        </references>
      </pivotArea>
    </format>
    <format dxfId="1349">
      <pivotArea dataOnly="0" labelOnly="1" fieldPosition="0">
        <references count="8">
          <reference field="0" count="1" selected="0">
            <x v="94"/>
          </reference>
          <reference field="1" count="1" selected="0">
            <x v="81"/>
          </reference>
          <reference field="2" count="1" selected="0">
            <x v="60"/>
          </reference>
          <reference field="3" count="1" selected="0">
            <x v="0"/>
          </reference>
          <reference field="12" count="1" selected="0">
            <x v="7"/>
          </reference>
          <reference field="13" count="1" selected="0">
            <x v="0"/>
          </reference>
          <reference field="14" count="1" selected="0">
            <x v="49"/>
          </reference>
          <reference field="15" count="1">
            <x v="0"/>
          </reference>
        </references>
      </pivotArea>
    </format>
    <format dxfId="1348">
      <pivotArea dataOnly="0" labelOnly="1" fieldPosition="0">
        <references count="8">
          <reference field="0" count="1" selected="0">
            <x v="95"/>
          </reference>
          <reference field="1" count="1" selected="0">
            <x v="82"/>
          </reference>
          <reference field="2" count="1" selected="0">
            <x v="5"/>
          </reference>
          <reference field="3" count="1" selected="0">
            <x v="0"/>
          </reference>
          <reference field="12" count="1" selected="0">
            <x v="1"/>
          </reference>
          <reference field="13" count="1" selected="0">
            <x v="0"/>
          </reference>
          <reference field="14" count="1" selected="0">
            <x v="49"/>
          </reference>
          <reference field="15" count="1">
            <x v="0"/>
          </reference>
        </references>
      </pivotArea>
    </format>
    <format dxfId="1347">
      <pivotArea dataOnly="0" labelOnly="1" fieldPosition="0">
        <references count="8">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1346">
      <pivotArea dataOnly="0" labelOnly="1" fieldPosition="0">
        <references count="8">
          <reference field="0" count="1" selected="0">
            <x v="97"/>
          </reference>
          <reference field="1" count="1" selected="0">
            <x v="84"/>
          </reference>
          <reference field="2" count="1" selected="0">
            <x v="6"/>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1345">
      <pivotArea dataOnly="0" labelOnly="1" fieldPosition="0">
        <references count="8">
          <reference field="0" count="1" selected="0">
            <x v="98"/>
          </reference>
          <reference field="1" count="1" selected="0">
            <x v="85"/>
          </reference>
          <reference field="2" count="1" selected="0">
            <x v="214"/>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1344">
      <pivotArea dataOnly="0" labelOnly="1" fieldPosition="0">
        <references count="8">
          <reference field="0" count="1" selected="0">
            <x v="99"/>
          </reference>
          <reference field="1" count="1" selected="0">
            <x v="86"/>
          </reference>
          <reference field="2" count="1" selected="0">
            <x v="66"/>
          </reference>
          <reference field="3" count="1" selected="0">
            <x v="0"/>
          </reference>
          <reference field="12" count="1" selected="0">
            <x v="3"/>
          </reference>
          <reference field="13" count="1" selected="0">
            <x v="0"/>
          </reference>
          <reference field="14" count="1" selected="0">
            <x v="16"/>
          </reference>
          <reference field="15" count="1">
            <x v="28"/>
          </reference>
        </references>
      </pivotArea>
    </format>
    <format dxfId="1343">
      <pivotArea dataOnly="0" labelOnly="1" fieldPosition="0">
        <references count="8">
          <reference field="0" count="1" selected="0">
            <x v="100"/>
          </reference>
          <reference field="1" count="1" selected="0">
            <x v="87"/>
          </reference>
          <reference field="2" count="1" selected="0">
            <x v="75"/>
          </reference>
          <reference field="3" count="1" selected="0">
            <x v="0"/>
          </reference>
          <reference field="12" count="1" selected="0">
            <x v="3"/>
          </reference>
          <reference field="13" count="1" selected="0">
            <x v="0"/>
          </reference>
          <reference field="14" count="1" selected="0">
            <x v="16"/>
          </reference>
          <reference field="15" count="1">
            <x v="26"/>
          </reference>
        </references>
      </pivotArea>
    </format>
    <format dxfId="1342">
      <pivotArea dataOnly="0" labelOnly="1" fieldPosition="0">
        <references count="8">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selected="0">
            <x v="6"/>
          </reference>
          <reference field="15" count="1">
            <x v="0"/>
          </reference>
        </references>
      </pivotArea>
    </format>
    <format dxfId="1341">
      <pivotArea dataOnly="0" labelOnly="1" fieldPosition="0">
        <references count="8">
          <reference field="0" count="1" selected="0">
            <x v="103"/>
          </reference>
          <reference field="1" count="1" selected="0">
            <x v="90"/>
          </reference>
          <reference field="2" count="1" selected="0">
            <x v="73"/>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1340">
      <pivotArea dataOnly="0" labelOnly="1" fieldPosition="0">
        <references count="8">
          <reference field="0" count="1" selected="0">
            <x v="104"/>
          </reference>
          <reference field="1" count="1" selected="0">
            <x v="91"/>
          </reference>
          <reference field="2" count="1" selected="0">
            <x v="68"/>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1339">
      <pivotArea dataOnly="0" labelOnly="1" fieldPosition="0">
        <references count="8">
          <reference field="0" count="1" selected="0">
            <x v="105"/>
          </reference>
          <reference field="1" count="1" selected="0">
            <x v="92"/>
          </reference>
          <reference field="2" count="1" selected="0">
            <x v="134"/>
          </reference>
          <reference field="3" count="1" selected="0">
            <x v="0"/>
          </reference>
          <reference field="12" count="1" selected="0">
            <x v="7"/>
          </reference>
          <reference field="13" count="1" selected="0">
            <x v="0"/>
          </reference>
          <reference field="14" count="1" selected="0">
            <x v="16"/>
          </reference>
          <reference field="15" count="1">
            <x v="0"/>
          </reference>
        </references>
      </pivotArea>
    </format>
    <format dxfId="1338">
      <pivotArea dataOnly="0" labelOnly="1" fieldPosition="0">
        <references count="8">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selected="0">
            <x v="54"/>
          </reference>
          <reference field="15" count="1">
            <x v="30"/>
          </reference>
        </references>
      </pivotArea>
    </format>
    <format dxfId="1337">
      <pivotArea dataOnly="0" labelOnly="1" fieldPosition="0">
        <references count="8">
          <reference field="0" count="1" selected="0">
            <x v="107"/>
          </reference>
          <reference field="1" count="1" selected="0">
            <x v="94"/>
          </reference>
          <reference field="2" count="1" selected="0">
            <x v="190"/>
          </reference>
          <reference field="3" count="1" selected="0">
            <x v="0"/>
          </reference>
          <reference field="12" count="1" selected="0">
            <x v="7"/>
          </reference>
          <reference field="13" count="1" selected="0">
            <x v="0"/>
          </reference>
          <reference field="14" count="1" selected="0">
            <x v="55"/>
          </reference>
          <reference field="15" count="1">
            <x v="30"/>
          </reference>
        </references>
      </pivotArea>
    </format>
    <format dxfId="1336">
      <pivotArea dataOnly="0" labelOnly="1" fieldPosition="0">
        <references count="8">
          <reference field="0" count="1" selected="0">
            <x v="108"/>
          </reference>
          <reference field="1" count="1" selected="0">
            <x v="95"/>
          </reference>
          <reference field="2" count="1" selected="0">
            <x v="236"/>
          </reference>
          <reference field="3" count="1" selected="0">
            <x v="0"/>
          </reference>
          <reference field="12" count="1" selected="0">
            <x v="7"/>
          </reference>
          <reference field="13" count="1" selected="0">
            <x v="0"/>
          </reference>
          <reference field="14" count="1" selected="0">
            <x v="55"/>
          </reference>
          <reference field="15" count="1">
            <x v="31"/>
          </reference>
        </references>
      </pivotArea>
    </format>
    <format dxfId="1335">
      <pivotArea dataOnly="0" labelOnly="1" fieldPosition="0">
        <references count="8">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selected="0">
            <x v="4"/>
          </reference>
          <reference field="15" count="1">
            <x v="26"/>
          </reference>
        </references>
      </pivotArea>
    </format>
    <format dxfId="1334">
      <pivotArea dataOnly="0" labelOnly="1" fieldPosition="0">
        <references count="8">
          <reference field="0" count="1" selected="0">
            <x v="111"/>
          </reference>
          <reference field="1" count="1" selected="0">
            <x v="98"/>
          </reference>
          <reference field="2" count="1" selected="0">
            <x v="83"/>
          </reference>
          <reference field="3" count="1" selected="0">
            <x v="0"/>
          </reference>
          <reference field="12" count="1" selected="0">
            <x v="7"/>
          </reference>
          <reference field="13" count="1" selected="0">
            <x v="0"/>
          </reference>
          <reference field="14" count="1" selected="0">
            <x v="4"/>
          </reference>
          <reference field="15" count="1">
            <x v="27"/>
          </reference>
        </references>
      </pivotArea>
    </format>
    <format dxfId="1333">
      <pivotArea dataOnly="0" labelOnly="1" fieldPosition="0">
        <references count="8">
          <reference field="0" count="1" selected="0">
            <x v="113"/>
          </reference>
          <reference field="1" count="1" selected="0">
            <x v="100"/>
          </reference>
          <reference field="2" count="1" selected="0">
            <x v="124"/>
          </reference>
          <reference field="3" count="1" selected="0">
            <x v="0"/>
          </reference>
          <reference field="12" count="1" selected="0">
            <x v="7"/>
          </reference>
          <reference field="13" count="1" selected="0">
            <x v="0"/>
          </reference>
          <reference field="14" count="1" selected="0">
            <x v="7"/>
          </reference>
          <reference field="15" count="1">
            <x v="0"/>
          </reference>
        </references>
      </pivotArea>
    </format>
    <format dxfId="1332">
      <pivotArea dataOnly="0" labelOnly="1" fieldPosition="0">
        <references count="8">
          <reference field="0" count="1" selected="0">
            <x v="122"/>
          </reference>
          <reference field="1" count="1" selected="0">
            <x v="109"/>
          </reference>
          <reference field="2" count="1" selected="0">
            <x v="35"/>
          </reference>
          <reference field="3" count="1" selected="0">
            <x v="0"/>
          </reference>
          <reference field="12" count="1" selected="0">
            <x v="3"/>
          </reference>
          <reference field="13" count="1" selected="0">
            <x v="0"/>
          </reference>
          <reference field="14" count="1" selected="0">
            <x v="11"/>
          </reference>
          <reference field="15" count="1">
            <x v="0"/>
          </reference>
        </references>
      </pivotArea>
    </format>
    <format dxfId="1331">
      <pivotArea dataOnly="0" labelOnly="1" fieldPosition="0">
        <references count="8">
          <reference field="0" count="1" selected="0">
            <x v="123"/>
          </reference>
          <reference field="1" count="1" selected="0">
            <x v="110"/>
          </reference>
          <reference field="2" count="1" selected="0">
            <x v="176"/>
          </reference>
          <reference field="3" count="1" selected="0">
            <x v="0"/>
          </reference>
          <reference field="12" count="1" selected="0">
            <x v="5"/>
          </reference>
          <reference field="13" count="1" selected="0">
            <x v="0"/>
          </reference>
          <reference field="14" count="1" selected="0">
            <x v="38"/>
          </reference>
          <reference field="15" count="1">
            <x v="0"/>
          </reference>
        </references>
      </pivotArea>
    </format>
    <format dxfId="1330">
      <pivotArea dataOnly="0" labelOnly="1" fieldPosition="0">
        <references count="8">
          <reference field="0" count="1" selected="0">
            <x v="124"/>
          </reference>
          <reference field="1" count="1" selected="0">
            <x v="111"/>
          </reference>
          <reference field="2" count="1" selected="0">
            <x v="218"/>
          </reference>
          <reference field="3" count="1" selected="0">
            <x v="0"/>
          </reference>
          <reference field="12" count="1" selected="0">
            <x v="0"/>
          </reference>
          <reference field="13" count="1" selected="0">
            <x v="0"/>
          </reference>
          <reference field="14" count="1" selected="0">
            <x v="34"/>
          </reference>
          <reference field="15" count="1">
            <x v="0"/>
          </reference>
        </references>
      </pivotArea>
    </format>
    <format dxfId="1329">
      <pivotArea dataOnly="0" labelOnly="1" fieldPosition="0">
        <references count="8">
          <reference field="0" count="1" selected="0">
            <x v="125"/>
          </reference>
          <reference field="1" count="1" selected="0">
            <x v="112"/>
          </reference>
          <reference field="2" count="1" selected="0">
            <x v="197"/>
          </reference>
          <reference field="3" count="1" selected="0">
            <x v="0"/>
          </reference>
          <reference field="12" count="1" selected="0">
            <x v="3"/>
          </reference>
          <reference field="13" count="1" selected="0">
            <x v="0"/>
          </reference>
          <reference field="14" count="1" selected="0">
            <x v="34"/>
          </reference>
          <reference field="15" count="1">
            <x v="32"/>
          </reference>
        </references>
      </pivotArea>
    </format>
    <format dxfId="1328">
      <pivotArea dataOnly="0" labelOnly="1" fieldPosition="0">
        <references count="8">
          <reference field="0" count="1" selected="0">
            <x v="126"/>
          </reference>
          <reference field="1" count="1" selected="0">
            <x v="113"/>
          </reference>
          <reference field="2" count="1" selected="0">
            <x v="191"/>
          </reference>
          <reference field="3" count="1" selected="0">
            <x v="0"/>
          </reference>
          <reference field="12" count="1" selected="0">
            <x v="0"/>
          </reference>
          <reference field="13" count="1" selected="0">
            <x v="0"/>
          </reference>
          <reference field="14" count="1" selected="0">
            <x v="37"/>
          </reference>
          <reference field="15" count="1">
            <x v="32"/>
          </reference>
        </references>
      </pivotArea>
    </format>
    <format dxfId="1327">
      <pivotArea dataOnly="0" labelOnly="1" fieldPosition="0">
        <references count="8">
          <reference field="0" count="1" selected="0">
            <x v="127"/>
          </reference>
          <reference field="1" count="1" selected="0">
            <x v="114"/>
          </reference>
          <reference field="2" count="1" selected="0">
            <x v="174"/>
          </reference>
          <reference field="3" count="1" selected="0">
            <x v="0"/>
          </reference>
          <reference field="12" count="1" selected="0">
            <x v="0"/>
          </reference>
          <reference field="13" count="1" selected="0">
            <x v="0"/>
          </reference>
          <reference field="14" count="1" selected="0">
            <x v="36"/>
          </reference>
          <reference field="15" count="1">
            <x v="32"/>
          </reference>
        </references>
      </pivotArea>
    </format>
    <format dxfId="1326">
      <pivotArea dataOnly="0" labelOnly="1" fieldPosition="0">
        <references count="8">
          <reference field="0" count="1" selected="0">
            <x v="128"/>
          </reference>
          <reference field="1" count="1" selected="0">
            <x v="115"/>
          </reference>
          <reference field="2" count="1" selected="0">
            <x v="59"/>
          </reference>
          <reference field="3" count="1" selected="0">
            <x v="0"/>
          </reference>
          <reference field="12" count="1" selected="0">
            <x v="0"/>
          </reference>
          <reference field="13" count="1" selected="0">
            <x v="0"/>
          </reference>
          <reference field="14" count="1" selected="0">
            <x v="37"/>
          </reference>
          <reference field="15" count="1">
            <x v="0"/>
          </reference>
        </references>
      </pivotArea>
    </format>
    <format dxfId="1325">
      <pivotArea dataOnly="0" labelOnly="1" fieldPosition="0">
        <references count="8">
          <reference field="0" count="1" selected="0">
            <x v="129"/>
          </reference>
          <reference field="1" count="1" selected="0">
            <x v="116"/>
          </reference>
          <reference field="2" count="1" selected="0">
            <x v="212"/>
          </reference>
          <reference field="3" count="1" selected="0">
            <x v="0"/>
          </reference>
          <reference field="12" count="1" selected="0">
            <x v="3"/>
          </reference>
          <reference field="13" count="1" selected="0">
            <x v="0"/>
          </reference>
          <reference field="14" count="1" selected="0">
            <x v="37"/>
          </reference>
          <reference field="15" count="1">
            <x v="32"/>
          </reference>
        </references>
      </pivotArea>
    </format>
    <format dxfId="1324">
      <pivotArea dataOnly="0" labelOnly="1" fieldPosition="0">
        <references count="8">
          <reference field="0" count="1" selected="0">
            <x v="130"/>
          </reference>
          <reference field="1" count="1" selected="0">
            <x v="117"/>
          </reference>
          <reference field="2" count="1" selected="0">
            <x v="118"/>
          </reference>
          <reference field="3" count="1" selected="0">
            <x v="0"/>
          </reference>
          <reference field="12" count="1" selected="0">
            <x v="7"/>
          </reference>
          <reference field="13" count="1" selected="0">
            <x v="0"/>
          </reference>
          <reference field="14" count="1" selected="0">
            <x v="37"/>
          </reference>
          <reference field="15" count="1">
            <x v="32"/>
          </reference>
        </references>
      </pivotArea>
    </format>
    <format dxfId="1323">
      <pivotArea dataOnly="0" labelOnly="1" fieldPosition="0">
        <references count="8">
          <reference field="0" count="1" selected="0">
            <x v="134"/>
          </reference>
          <reference field="1" count="1" selected="0">
            <x v="127"/>
          </reference>
          <reference field="2" count="1" selected="0">
            <x v="2"/>
          </reference>
          <reference field="3" count="1" selected="0">
            <x v="0"/>
          </reference>
          <reference field="12" count="1" selected="0">
            <x v="4"/>
          </reference>
          <reference field="13" count="1" selected="0">
            <x v="0"/>
          </reference>
          <reference field="14" count="1" selected="0">
            <x v="34"/>
          </reference>
          <reference field="15" count="1">
            <x v="43"/>
          </reference>
        </references>
      </pivotArea>
    </format>
    <format dxfId="1322">
      <pivotArea dataOnly="0" labelOnly="1" fieldPosition="0">
        <references count="8">
          <reference field="0" count="1" selected="0">
            <x v="135"/>
          </reference>
          <reference field="1" count="1" selected="0">
            <x v="128"/>
          </reference>
          <reference field="2" count="1" selected="0">
            <x v="151"/>
          </reference>
          <reference field="3" count="1" selected="0">
            <x v="0"/>
          </reference>
          <reference field="12" count="1" selected="0">
            <x v="3"/>
          </reference>
          <reference field="13" count="1" selected="0">
            <x v="0"/>
          </reference>
          <reference field="14" count="1" selected="0">
            <x v="37"/>
          </reference>
          <reference field="15" count="1">
            <x v="43"/>
          </reference>
        </references>
      </pivotArea>
    </format>
    <format dxfId="1321">
      <pivotArea dataOnly="0" labelOnly="1" fieldPosition="0">
        <references count="8">
          <reference field="0" count="1" selected="0">
            <x v="136"/>
          </reference>
          <reference field="1" count="1" selected="0">
            <x v="129"/>
          </reference>
          <reference field="2" count="1" selected="0">
            <x v="219"/>
          </reference>
          <reference field="3" count="1" selected="0">
            <x v="0"/>
          </reference>
          <reference field="12" count="1" selected="0">
            <x v="3"/>
          </reference>
          <reference field="13" count="1" selected="0">
            <x v="0"/>
          </reference>
          <reference field="14" count="1" selected="0">
            <x v="37"/>
          </reference>
          <reference field="15" count="1">
            <x v="43"/>
          </reference>
        </references>
      </pivotArea>
    </format>
    <format dxfId="1320">
      <pivotArea dataOnly="0" labelOnly="1" fieldPosition="0">
        <references count="8">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selected="0">
            <x v="0"/>
          </reference>
          <reference field="15" count="1">
            <x v="0"/>
          </reference>
        </references>
      </pivotArea>
    </format>
    <format dxfId="1319">
      <pivotArea dataOnly="0" labelOnly="1" fieldPosition="0">
        <references count="8">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selected="0">
            <x v="23"/>
          </reference>
          <reference field="15" count="1">
            <x v="33"/>
          </reference>
        </references>
      </pivotArea>
    </format>
    <format dxfId="1318">
      <pivotArea dataOnly="0" labelOnly="1" fieldPosition="0">
        <references count="8">
          <reference field="0" count="1" selected="0">
            <x v="147"/>
          </reference>
          <reference field="1" count="1" selected="0">
            <x v="140"/>
          </reference>
          <reference field="2" count="1" selected="0">
            <x v="211"/>
          </reference>
          <reference field="3" count="1" selected="0">
            <x v="0"/>
          </reference>
          <reference field="12" count="1" selected="0">
            <x v="26"/>
          </reference>
          <reference field="13" count="1" selected="0">
            <x v="0"/>
          </reference>
          <reference field="14" count="1" selected="0">
            <x v="22"/>
          </reference>
          <reference field="15" count="1">
            <x v="24"/>
          </reference>
        </references>
      </pivotArea>
    </format>
    <format dxfId="1317">
      <pivotArea dataOnly="0" labelOnly="1" fieldPosition="0">
        <references count="8">
          <reference field="0" count="1" selected="0">
            <x v="148"/>
          </reference>
          <reference field="1" count="1" selected="0">
            <x v="141"/>
          </reference>
          <reference field="2" count="1" selected="0">
            <x v="95"/>
          </reference>
          <reference field="3" count="1" selected="0">
            <x v="0"/>
          </reference>
          <reference field="12" count="1" selected="0">
            <x v="26"/>
          </reference>
          <reference field="13" count="1" selected="0">
            <x v="0"/>
          </reference>
          <reference field="14" count="1" selected="0">
            <x v="14"/>
          </reference>
          <reference field="15" count="1">
            <x v="24"/>
          </reference>
        </references>
      </pivotArea>
    </format>
    <format dxfId="1316">
      <pivotArea dataOnly="0" labelOnly="1" fieldPosition="0">
        <references count="8">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selected="0">
            <x v="24"/>
          </reference>
          <reference field="15" count="1">
            <x v="2"/>
          </reference>
        </references>
      </pivotArea>
    </format>
    <format dxfId="1315">
      <pivotArea dataOnly="0" labelOnly="1" fieldPosition="0">
        <references count="8">
          <reference field="0" count="1" selected="0">
            <x v="150"/>
          </reference>
          <reference field="1" count="1" selected="0">
            <x v="143"/>
          </reference>
          <reference field="2" count="1" selected="0">
            <x v="166"/>
          </reference>
          <reference field="3" count="1" selected="0">
            <x v="0"/>
          </reference>
          <reference field="12" count="1" selected="0">
            <x v="14"/>
          </reference>
          <reference field="13" count="1" selected="0">
            <x v="0"/>
          </reference>
          <reference field="14" count="1" selected="0">
            <x v="24"/>
          </reference>
          <reference field="15" count="1">
            <x v="2"/>
          </reference>
        </references>
      </pivotArea>
    </format>
    <format dxfId="1314">
      <pivotArea dataOnly="0" labelOnly="1" fieldPosition="0">
        <references count="8">
          <reference field="0" count="1" selected="0">
            <x v="151"/>
          </reference>
          <reference field="1" count="1" selected="0">
            <x v="144"/>
          </reference>
          <reference field="2" count="1" selected="0">
            <x v="85"/>
          </reference>
          <reference field="3" count="1" selected="0">
            <x v="0"/>
          </reference>
          <reference field="12" count="1" selected="0">
            <x v="14"/>
          </reference>
          <reference field="13" count="1" selected="0">
            <x v="0"/>
          </reference>
          <reference field="14" count="1" selected="0">
            <x v="24"/>
          </reference>
          <reference field="15" count="1">
            <x v="2"/>
          </reference>
        </references>
      </pivotArea>
    </format>
    <format dxfId="1313">
      <pivotArea dataOnly="0" labelOnly="1" fieldPosition="0">
        <references count="8">
          <reference field="0" count="1" selected="0">
            <x v="152"/>
          </reference>
          <reference field="1" count="1" selected="0">
            <x v="145"/>
          </reference>
          <reference field="2" count="1" selected="0">
            <x v="86"/>
          </reference>
          <reference field="3" count="1" selected="0">
            <x v="0"/>
          </reference>
          <reference field="12" count="1" selected="0">
            <x v="14"/>
          </reference>
          <reference field="13" count="1" selected="0">
            <x v="0"/>
          </reference>
          <reference field="14" count="1" selected="0">
            <x v="24"/>
          </reference>
          <reference field="15" count="1">
            <x v="2"/>
          </reference>
        </references>
      </pivotArea>
    </format>
    <format dxfId="1312">
      <pivotArea dataOnly="0" labelOnly="1" fieldPosition="0">
        <references count="8">
          <reference field="0" count="1" selected="0">
            <x v="153"/>
          </reference>
          <reference field="1" count="1" selected="0">
            <x v="146"/>
          </reference>
          <reference field="2" count="1" selected="0">
            <x v="54"/>
          </reference>
          <reference field="3" count="1" selected="0">
            <x v="0"/>
          </reference>
          <reference field="12" count="1" selected="0">
            <x v="14"/>
          </reference>
          <reference field="13" count="1" selected="0">
            <x v="0"/>
          </reference>
          <reference field="14" count="1" selected="0">
            <x v="18"/>
          </reference>
          <reference field="15" count="1">
            <x v="0"/>
          </reference>
        </references>
      </pivotArea>
    </format>
    <format dxfId="1311">
      <pivotArea dataOnly="0" labelOnly="1" fieldPosition="0">
        <references count="8">
          <reference field="0" count="1" selected="0">
            <x v="154"/>
          </reference>
          <reference field="1" count="1" selected="0">
            <x v="147"/>
          </reference>
          <reference field="2" count="1" selected="0">
            <x v="109"/>
          </reference>
          <reference field="3" count="1" selected="0">
            <x v="0"/>
          </reference>
          <reference field="12" count="1" selected="0">
            <x v="14"/>
          </reference>
          <reference field="13" count="1" selected="0">
            <x v="0"/>
          </reference>
          <reference field="14" count="1" selected="0">
            <x v="18"/>
          </reference>
          <reference field="15" count="1">
            <x v="3"/>
          </reference>
        </references>
      </pivotArea>
    </format>
    <format dxfId="1310">
      <pivotArea dataOnly="0" labelOnly="1" fieldPosition="0">
        <references count="8">
          <reference field="0" count="1" selected="0">
            <x v="155"/>
          </reference>
          <reference field="1" count="1" selected="0">
            <x v="148"/>
          </reference>
          <reference field="2" count="1" selected="0">
            <x v="3"/>
          </reference>
          <reference field="3" count="1" selected="0">
            <x v="0"/>
          </reference>
          <reference field="12" count="1" selected="0">
            <x v="23"/>
          </reference>
          <reference field="13" count="1" selected="0">
            <x v="0"/>
          </reference>
          <reference field="14" count="1" selected="0">
            <x v="18"/>
          </reference>
          <reference field="15" count="1">
            <x v="1"/>
          </reference>
        </references>
      </pivotArea>
    </format>
    <format dxfId="1309">
      <pivotArea dataOnly="0" labelOnly="1" fieldPosition="0">
        <references count="8">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selected="0">
            <x v="51"/>
          </reference>
          <reference field="15" count="1">
            <x v="8"/>
          </reference>
        </references>
      </pivotArea>
    </format>
    <format dxfId="1308">
      <pivotArea dataOnly="0" labelOnly="1" fieldPosition="0">
        <references count="8">
          <reference field="0" count="1" selected="0">
            <x v="160"/>
          </reference>
          <reference field="1" count="1" selected="0">
            <x v="184"/>
          </reference>
          <reference field="2" count="1" selected="0">
            <x v="187"/>
          </reference>
          <reference field="3" count="1" selected="0">
            <x v="0"/>
          </reference>
          <reference field="12" count="1" selected="0">
            <x v="7"/>
          </reference>
          <reference field="13" count="1" selected="0">
            <x v="0"/>
          </reference>
          <reference field="14" count="1" selected="0">
            <x v="52"/>
          </reference>
          <reference field="15" count="1">
            <x v="8"/>
          </reference>
        </references>
      </pivotArea>
    </format>
    <format dxfId="1307">
      <pivotArea dataOnly="0" labelOnly="1" fieldPosition="0">
        <references count="8">
          <reference field="0" count="1" selected="0">
            <x v="161"/>
          </reference>
          <reference field="1" count="1" selected="0">
            <x v="185"/>
          </reference>
          <reference field="2" count="1" selected="0">
            <x v="186"/>
          </reference>
          <reference field="3" count="1" selected="0">
            <x v="0"/>
          </reference>
          <reference field="12" count="1" selected="0">
            <x v="9"/>
          </reference>
          <reference field="13" count="1" selected="0">
            <x v="0"/>
          </reference>
          <reference field="14" count="1" selected="0">
            <x v="52"/>
          </reference>
          <reference field="15" count="1">
            <x v="7"/>
          </reference>
        </references>
      </pivotArea>
    </format>
    <format dxfId="1306">
      <pivotArea dataOnly="0" labelOnly="1" fieldPosition="0">
        <references count="8">
          <reference field="0" count="1" selected="0">
            <x v="162"/>
          </reference>
          <reference field="1" count="1" selected="0">
            <x v="186"/>
          </reference>
          <reference field="2" count="1" selected="0">
            <x v="125"/>
          </reference>
          <reference field="3" count="1" selected="0">
            <x v="0"/>
          </reference>
          <reference field="12" count="1" selected="0">
            <x v="10"/>
          </reference>
          <reference field="13" count="1" selected="0">
            <x v="0"/>
          </reference>
          <reference field="14" count="1" selected="0">
            <x v="65"/>
          </reference>
          <reference field="15" count="1">
            <x v="0"/>
          </reference>
        </references>
      </pivotArea>
    </format>
    <format dxfId="1305">
      <pivotArea dataOnly="0" labelOnly="1" fieldPosition="0">
        <references count="8">
          <reference field="0" count="1" selected="0">
            <x v="164"/>
          </reference>
          <reference field="1" count="1" selected="0">
            <x v="188"/>
          </reference>
          <reference field="2" count="1" selected="0">
            <x v="119"/>
          </reference>
          <reference field="3" count="1" selected="0">
            <x v="0"/>
          </reference>
          <reference field="12" count="1" selected="0">
            <x v="13"/>
          </reference>
          <reference field="13" count="1" selected="0">
            <x v="0"/>
          </reference>
          <reference field="14" count="1" selected="0">
            <x v="26"/>
          </reference>
          <reference field="15" count="1">
            <x v="5"/>
          </reference>
        </references>
      </pivotArea>
    </format>
    <format dxfId="1304">
      <pivotArea dataOnly="0" labelOnly="1" fieldPosition="0">
        <references count="8">
          <reference field="0" count="1" selected="0">
            <x v="165"/>
          </reference>
          <reference field="1" count="1" selected="0">
            <x v="189"/>
          </reference>
          <reference field="2" count="1" selected="0">
            <x v="156"/>
          </reference>
          <reference field="3" count="1" selected="0">
            <x v="0"/>
          </reference>
          <reference field="12" count="1" selected="0">
            <x v="13"/>
          </reference>
          <reference field="13" count="1" selected="0">
            <x v="0"/>
          </reference>
          <reference field="14" count="1" selected="0">
            <x v="21"/>
          </reference>
          <reference field="15" count="1">
            <x v="6"/>
          </reference>
        </references>
      </pivotArea>
    </format>
    <format dxfId="1303">
      <pivotArea dataOnly="0" labelOnly="1" fieldPosition="0">
        <references count="8">
          <reference field="0" count="1" selected="0">
            <x v="166"/>
          </reference>
          <reference field="1" count="1" selected="0">
            <x v="190"/>
          </reference>
          <reference field="2" count="1" selected="0">
            <x v="213"/>
          </reference>
          <reference field="3" count="1" selected="0">
            <x v="0"/>
          </reference>
          <reference field="12" count="1" selected="0">
            <x v="13"/>
          </reference>
          <reference field="13" count="1" selected="0">
            <x v="0"/>
          </reference>
          <reference field="14" count="1" selected="0">
            <x v="21"/>
          </reference>
          <reference field="15" count="1">
            <x v="6"/>
          </reference>
        </references>
      </pivotArea>
    </format>
    <format dxfId="1302">
      <pivotArea dataOnly="0" labelOnly="1" fieldPosition="0">
        <references count="8">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selected="0">
            <x v="7"/>
          </reference>
          <reference field="15" count="1">
            <x v="19"/>
          </reference>
        </references>
      </pivotArea>
    </format>
    <format dxfId="1301">
      <pivotArea dataOnly="0" labelOnly="1" fieldPosition="0">
        <references count="8">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selected="0">
            <x v="52"/>
          </reference>
          <reference field="15" count="1">
            <x v="18"/>
          </reference>
        </references>
      </pivotArea>
    </format>
    <format dxfId="1300">
      <pivotArea dataOnly="0" labelOnly="1" fieldPosition="0">
        <references count="8">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selected="0">
            <x v="8"/>
          </reference>
          <reference field="15" count="1">
            <x v="30"/>
          </reference>
        </references>
      </pivotArea>
    </format>
    <format dxfId="1299">
      <pivotArea dataOnly="0" labelOnly="1" fieldPosition="0">
        <references count="8">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selected="0">
            <x v="20"/>
          </reference>
          <reference field="15" count="1">
            <x v="38"/>
          </reference>
        </references>
      </pivotArea>
    </format>
    <format dxfId="1298">
      <pivotArea dataOnly="0" labelOnly="1" fieldPosition="0">
        <references count="8">
          <reference field="0" count="1" selected="0">
            <x v="175"/>
          </reference>
          <reference field="1" count="1" selected="0">
            <x v="207"/>
          </reference>
          <reference field="2" count="1" selected="0">
            <x v="172"/>
          </reference>
          <reference field="3" count="1" selected="0">
            <x v="0"/>
          </reference>
          <reference field="12" count="1" selected="0">
            <x v="21"/>
          </reference>
          <reference field="13" count="1" selected="0">
            <x v="0"/>
          </reference>
          <reference field="14" count="1" selected="0">
            <x v="26"/>
          </reference>
          <reference field="15" count="1">
            <x v="0"/>
          </reference>
        </references>
      </pivotArea>
    </format>
    <format dxfId="1297">
      <pivotArea dataOnly="0" labelOnly="1" fieldPosition="0">
        <references count="8">
          <reference field="0" count="1" selected="0">
            <x v="176"/>
          </reference>
          <reference field="1" count="1" selected="0">
            <x v="208"/>
          </reference>
          <reference field="2" count="1" selected="0">
            <x v="215"/>
          </reference>
          <reference field="3" count="1" selected="0">
            <x v="0"/>
          </reference>
          <reference field="12" count="1" selected="0">
            <x v="20"/>
          </reference>
          <reference field="13" count="1" selected="0">
            <x v="0"/>
          </reference>
          <reference field="14" count="1" selected="0">
            <x v="26"/>
          </reference>
          <reference field="15" count="1">
            <x v="0"/>
          </reference>
        </references>
      </pivotArea>
    </format>
    <format dxfId="1296">
      <pivotArea dataOnly="0" labelOnly="1" fieldPosition="0">
        <references count="8">
          <reference field="0" count="1" selected="0">
            <x v="177"/>
          </reference>
          <reference field="1" count="1" selected="0">
            <x v="209"/>
          </reference>
          <reference field="2" count="1" selected="0">
            <x v="114"/>
          </reference>
          <reference field="3" count="1" selected="0">
            <x v="0"/>
          </reference>
          <reference field="12" count="1" selected="0">
            <x v="20"/>
          </reference>
          <reference field="13" count="1" selected="0">
            <x v="0"/>
          </reference>
          <reference field="14" count="1" selected="0">
            <x v="27"/>
          </reference>
          <reference field="15" count="1">
            <x v="10"/>
          </reference>
        </references>
      </pivotArea>
    </format>
    <format dxfId="1295">
      <pivotArea dataOnly="0" labelOnly="1" fieldPosition="0">
        <references count="8">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selected="0">
            <x v="26"/>
          </reference>
          <reference field="15" count="1">
            <x v="0"/>
          </reference>
        </references>
      </pivotArea>
    </format>
    <format dxfId="1294">
      <pivotArea dataOnly="0" labelOnly="1" fieldPosition="0">
        <references count="8">
          <reference field="0" count="1" selected="0">
            <x v="179"/>
          </reference>
          <reference field="1" count="1" selected="0">
            <x v="211"/>
          </reference>
          <reference field="2" count="1" selected="0">
            <x v="96"/>
          </reference>
          <reference field="3" count="1" selected="0">
            <x v="0"/>
          </reference>
          <reference field="12" count="1" selected="0">
            <x v="20"/>
          </reference>
          <reference field="13" count="1" selected="0">
            <x v="0"/>
          </reference>
          <reference field="14" count="1" selected="0">
            <x v="26"/>
          </reference>
          <reference field="15" count="1">
            <x v="39"/>
          </reference>
        </references>
      </pivotArea>
    </format>
    <format dxfId="1293">
      <pivotArea dataOnly="0" labelOnly="1" fieldPosition="0">
        <references count="8">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selected="0">
            <x v="32"/>
          </reference>
          <reference field="15" count="1">
            <x v="43"/>
          </reference>
        </references>
      </pivotArea>
    </format>
    <format dxfId="1292">
      <pivotArea dataOnly="0" labelOnly="1" fieldPosition="0">
        <references count="8">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selected="0">
            <x v="38"/>
          </reference>
          <reference field="15" count="1">
            <x v="15"/>
          </reference>
        </references>
      </pivotArea>
    </format>
    <format dxfId="1291">
      <pivotArea dataOnly="0" labelOnly="1" fieldPosition="0">
        <references count="8">
          <reference field="0" count="1" selected="0">
            <x v="182"/>
          </reference>
          <reference field="1" count="1" selected="0">
            <x v="214"/>
          </reference>
          <reference field="2" count="1" selected="0">
            <x v="235"/>
          </reference>
          <reference field="3" count="1" selected="0">
            <x v="0"/>
          </reference>
          <reference field="12" count="1" selected="0">
            <x v="7"/>
          </reference>
          <reference field="13" count="1" selected="0">
            <x v="0"/>
          </reference>
          <reference field="14" count="1" selected="0">
            <x v="38"/>
          </reference>
          <reference field="15" count="1">
            <x v="0"/>
          </reference>
        </references>
      </pivotArea>
    </format>
    <format dxfId="1290">
      <pivotArea dataOnly="0" labelOnly="1" fieldPosition="0">
        <references count="8">
          <reference field="0" count="1" selected="0">
            <x v="183"/>
          </reference>
          <reference field="1" count="1" selected="0">
            <x v="215"/>
          </reference>
          <reference field="2" count="1" selected="0">
            <x v="206"/>
          </reference>
          <reference field="3" count="1" selected="0">
            <x v="0"/>
          </reference>
          <reference field="12" count="1" selected="0">
            <x v="14"/>
          </reference>
          <reference field="13" count="1" selected="0">
            <x v="0"/>
          </reference>
          <reference field="14" count="1" selected="0">
            <x v="38"/>
          </reference>
          <reference field="15" count="1">
            <x v="15"/>
          </reference>
        </references>
      </pivotArea>
    </format>
    <format dxfId="1289">
      <pivotArea dataOnly="0" labelOnly="1" fieldPosition="0">
        <references count="8">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selected="0">
            <x v="44"/>
          </reference>
          <reference field="15" count="1">
            <x v="37"/>
          </reference>
        </references>
      </pivotArea>
    </format>
    <format dxfId="1288">
      <pivotArea dataOnly="0" labelOnly="1" fieldPosition="0">
        <references count="8">
          <reference field="0" count="1" selected="0">
            <x v="185"/>
          </reference>
          <reference field="1" count="1" selected="0">
            <x v="217"/>
          </reference>
          <reference field="2" count="1" selected="0">
            <x v="113"/>
          </reference>
          <reference field="3" count="1" selected="0">
            <x v="0"/>
          </reference>
          <reference field="12" count="1" selected="0">
            <x v="12"/>
          </reference>
          <reference field="13" count="1" selected="0">
            <x v="0"/>
          </reference>
          <reference field="14" count="1" selected="0">
            <x v="45"/>
          </reference>
          <reference field="15" count="1">
            <x v="37"/>
          </reference>
        </references>
      </pivotArea>
    </format>
    <format dxfId="1287">
      <pivotArea dataOnly="0" labelOnly="1" fieldPosition="0">
        <references count="8">
          <reference field="0" count="1" selected="0">
            <x v="186"/>
          </reference>
          <reference field="1" count="1" selected="0">
            <x v="218"/>
          </reference>
          <reference field="2" count="1" selected="0">
            <x v="93"/>
          </reference>
          <reference field="3" count="1" selected="0">
            <x v="0"/>
          </reference>
          <reference field="12" count="1" selected="0">
            <x v="12"/>
          </reference>
          <reference field="13" count="1" selected="0">
            <x v="2"/>
          </reference>
          <reference field="14" count="1" selected="0">
            <x v="42"/>
          </reference>
          <reference field="15" count="1">
            <x v="15"/>
          </reference>
        </references>
      </pivotArea>
    </format>
    <format dxfId="1286">
      <pivotArea dataOnly="0" labelOnly="1" fieldPosition="0">
        <references count="8">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selected="0">
            <x v="46"/>
          </reference>
          <reference field="15" count="1">
            <x v="25"/>
          </reference>
        </references>
      </pivotArea>
    </format>
    <format dxfId="1285">
      <pivotArea dataOnly="0" labelOnly="1" fieldPosition="0">
        <references count="8">
          <reference field="0" count="1" selected="0">
            <x v="188"/>
          </reference>
          <reference field="1" count="1" selected="0">
            <x v="220"/>
          </reference>
          <reference field="2" count="1" selected="0">
            <x v="196"/>
          </reference>
          <reference field="3" count="1" selected="0">
            <x v="0"/>
          </reference>
          <reference field="12" count="1" selected="0">
            <x v="12"/>
          </reference>
          <reference field="13" count="1" selected="0">
            <x v="14"/>
          </reference>
          <reference field="14" count="1" selected="0">
            <x v="46"/>
          </reference>
          <reference field="15" count="1">
            <x v="25"/>
          </reference>
        </references>
      </pivotArea>
    </format>
    <format dxfId="1284">
      <pivotArea dataOnly="0" labelOnly="1" fieldPosition="0">
        <references count="8">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selected="0">
            <x v="63"/>
          </reference>
          <reference field="15" count="1">
            <x v="23"/>
          </reference>
        </references>
      </pivotArea>
    </format>
    <format dxfId="1283">
      <pivotArea dataOnly="0" labelOnly="1" fieldPosition="0">
        <references count="8">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selected="0">
            <x v="38"/>
          </reference>
          <reference field="15" count="1">
            <x v="0"/>
          </reference>
        </references>
      </pivotArea>
    </format>
    <format dxfId="1282">
      <pivotArea dataOnly="0" labelOnly="1" fieldPosition="0">
        <references count="8">
          <reference field="0" count="1" selected="0">
            <x v="193"/>
          </reference>
          <reference field="1" count="1" selected="0">
            <x v="225"/>
          </reference>
          <reference field="2" count="1" selected="0">
            <x v="238"/>
          </reference>
          <reference field="3" count="1" selected="0">
            <x v="0"/>
          </reference>
          <reference field="12" count="1" selected="0">
            <x v="7"/>
          </reference>
          <reference field="13" count="1" selected="0">
            <x v="0"/>
          </reference>
          <reference field="14" count="1" selected="0">
            <x v="0"/>
          </reference>
          <reference field="15" count="1">
            <x v="0"/>
          </reference>
        </references>
      </pivotArea>
    </format>
    <format dxfId="1281">
      <pivotArea dataOnly="0" labelOnly="1" fieldPosition="0">
        <references count="8">
          <reference field="0" count="1" selected="0">
            <x v="197"/>
          </reference>
          <reference field="1" count="1" selected="0">
            <x v="236"/>
          </reference>
          <reference field="2" count="1" selected="0">
            <x v="102"/>
          </reference>
          <reference field="3" count="1" selected="0">
            <x v="0"/>
          </reference>
          <reference field="12" count="1" selected="0">
            <x v="18"/>
          </reference>
          <reference field="13" count="1" selected="0">
            <x v="0"/>
          </reference>
          <reference field="14" count="1" selected="0">
            <x v="0"/>
          </reference>
          <reference field="15" count="1">
            <x v="36"/>
          </reference>
        </references>
      </pivotArea>
    </format>
    <format dxfId="1280">
      <pivotArea dataOnly="0" labelOnly="1" fieldPosition="0">
        <references count="8">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selected="0">
            <x v="20"/>
          </reference>
          <reference field="15" count="1">
            <x v="9"/>
          </reference>
        </references>
      </pivotArea>
    </format>
    <format dxfId="1279">
      <pivotArea dataOnly="0" labelOnly="1" fieldPosition="0">
        <references count="8">
          <reference field="0" count="1" selected="0">
            <x v="200"/>
          </reference>
          <reference field="1" count="1" selected="0">
            <x v="239"/>
          </reference>
          <reference field="2" count="1" selected="0">
            <x v="34"/>
          </reference>
          <reference field="3" count="1" selected="0">
            <x v="0"/>
          </reference>
          <reference field="12" count="1" selected="0">
            <x v="20"/>
          </reference>
          <reference field="13" count="1" selected="0">
            <x v="0"/>
          </reference>
          <reference field="14" count="1" selected="0">
            <x v="0"/>
          </reference>
          <reference field="15" count="1">
            <x v="9"/>
          </reference>
        </references>
      </pivotArea>
    </format>
    <format dxfId="1278">
      <pivotArea dataOnly="0" labelOnly="1" fieldPosition="0">
        <references count="8">
          <reference field="0" count="1" selected="0">
            <x v="201"/>
          </reference>
          <reference field="1" count="1" selected="0">
            <x v="240"/>
          </reference>
          <reference field="2" count="1" selected="0">
            <x v="37"/>
          </reference>
          <reference field="3" count="1" selected="0">
            <x v="0"/>
          </reference>
          <reference field="12" count="1" selected="0">
            <x v="20"/>
          </reference>
          <reference field="13" count="1" selected="0">
            <x v="0"/>
          </reference>
          <reference field="14" count="1" selected="0">
            <x v="0"/>
          </reference>
          <reference field="15" count="1">
            <x v="9"/>
          </reference>
        </references>
      </pivotArea>
    </format>
    <format dxfId="1277">
      <pivotArea dataOnly="0" labelOnly="1" fieldPosition="0">
        <references count="8">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selected="0">
            <x v="39"/>
          </reference>
          <reference field="15" count="1">
            <x v="15"/>
          </reference>
        </references>
      </pivotArea>
    </format>
    <format dxfId="1276">
      <pivotArea dataOnly="0" labelOnly="1" fieldPosition="0">
        <references count="8">
          <reference field="0" count="1" selected="0">
            <x v="206"/>
          </reference>
          <reference field="1" count="1" selected="0">
            <x v="151"/>
          </reference>
          <reference field="2" count="1" selected="0">
            <x v="159"/>
          </reference>
          <reference field="3" count="1" selected="0">
            <x v="0"/>
          </reference>
          <reference field="12" count="1" selected="0">
            <x v="12"/>
          </reference>
          <reference field="13" count="1" selected="0">
            <x v="5"/>
          </reference>
          <reference field="14" count="1" selected="0">
            <x v="38"/>
          </reference>
          <reference field="15" count="1">
            <x v="15"/>
          </reference>
        </references>
      </pivotArea>
    </format>
    <format dxfId="1275">
      <pivotArea dataOnly="0" labelOnly="1" fieldPosition="0">
        <references count="8">
          <reference field="0" count="1" selected="0">
            <x v="207"/>
          </reference>
          <reference field="1" count="1" selected="0">
            <x v="152"/>
          </reference>
          <reference field="2" count="1" selected="0">
            <x v="81"/>
          </reference>
          <reference field="3" count="1" selected="0">
            <x v="0"/>
          </reference>
          <reference field="12" count="1" selected="0">
            <x v="7"/>
          </reference>
          <reference field="13" count="1" selected="0">
            <x v="0"/>
          </reference>
          <reference field="14" count="1" selected="0">
            <x v="38"/>
          </reference>
          <reference field="15" count="1">
            <x v="15"/>
          </reference>
        </references>
      </pivotArea>
    </format>
    <format dxfId="1274">
      <pivotArea dataOnly="0" labelOnly="1" fieldPosition="0">
        <references count="8">
          <reference field="0" count="1" selected="0">
            <x v="208"/>
          </reference>
          <reference field="1" count="1" selected="0">
            <x v="153"/>
          </reference>
          <reference field="2" count="1" selected="0">
            <x v="103"/>
          </reference>
          <reference field="3" count="1" selected="0">
            <x v="0"/>
          </reference>
          <reference field="12" count="1" selected="0">
            <x v="14"/>
          </reference>
          <reference field="13" count="1" selected="0">
            <x v="16"/>
          </reference>
          <reference field="14" count="1" selected="0">
            <x v="29"/>
          </reference>
          <reference field="15" count="1">
            <x v="15"/>
          </reference>
        </references>
      </pivotArea>
    </format>
    <format dxfId="1273">
      <pivotArea dataOnly="0" labelOnly="1" fieldPosition="0">
        <references count="8">
          <reference field="0" count="1" selected="0">
            <x v="209"/>
          </reference>
          <reference field="1" count="1" selected="0">
            <x v="154"/>
          </reference>
          <reference field="2" count="1" selected="0">
            <x v="98"/>
          </reference>
          <reference field="3" count="1" selected="0">
            <x v="0"/>
          </reference>
          <reference field="12" count="1" selected="0">
            <x v="14"/>
          </reference>
          <reference field="13" count="1" selected="0">
            <x v="17"/>
          </reference>
          <reference field="14" count="1" selected="0">
            <x v="31"/>
          </reference>
          <reference field="15" count="1">
            <x v="15"/>
          </reference>
        </references>
      </pivotArea>
    </format>
    <format dxfId="1272">
      <pivotArea dataOnly="0" labelOnly="1" fieldPosition="0">
        <references count="8">
          <reference field="0" count="1" selected="0">
            <x v="210"/>
          </reference>
          <reference field="1" count="1" selected="0">
            <x v="155"/>
          </reference>
          <reference field="2" count="1" selected="0">
            <x v="162"/>
          </reference>
          <reference field="3" count="1" selected="0">
            <x v="0"/>
          </reference>
          <reference field="12" count="1" selected="0">
            <x v="7"/>
          </reference>
          <reference field="13" count="1" selected="0">
            <x v="2"/>
          </reference>
          <reference field="14" count="1" selected="0">
            <x v="0"/>
          </reference>
          <reference field="15" count="1">
            <x v="15"/>
          </reference>
        </references>
      </pivotArea>
    </format>
    <format dxfId="1271">
      <pivotArea dataOnly="0" labelOnly="1" fieldPosition="0">
        <references count="8">
          <reference field="0" count="1" selected="0">
            <x v="211"/>
          </reference>
          <reference field="1" count="1" selected="0">
            <x v="156"/>
          </reference>
          <reference field="2" count="1" selected="0">
            <x v="164"/>
          </reference>
          <reference field="3" count="1" selected="0">
            <x v="0"/>
          </reference>
          <reference field="12" count="1" selected="0">
            <x v="20"/>
          </reference>
          <reference field="13" count="1" selected="0">
            <x v="3"/>
          </reference>
          <reference field="14" count="1" selected="0">
            <x v="0"/>
          </reference>
          <reference field="15" count="1">
            <x v="15"/>
          </reference>
        </references>
      </pivotArea>
    </format>
    <format dxfId="1270">
      <pivotArea dataOnly="0" labelOnly="1" fieldPosition="0">
        <references count="8">
          <reference field="0" count="1" selected="0">
            <x v="212"/>
          </reference>
          <reference field="1" count="1" selected="0">
            <x v="157"/>
          </reference>
          <reference field="2" count="1" selected="0">
            <x v="170"/>
          </reference>
          <reference field="3" count="1" selected="0">
            <x v="0"/>
          </reference>
          <reference field="12" count="1" selected="0">
            <x v="20"/>
          </reference>
          <reference field="13" count="1" selected="0">
            <x v="4"/>
          </reference>
          <reference field="14" count="1" selected="0">
            <x v="0"/>
          </reference>
          <reference field="15" count="1">
            <x v="15"/>
          </reference>
        </references>
      </pivotArea>
    </format>
    <format dxfId="1269">
      <pivotArea dataOnly="0" labelOnly="1" fieldPosition="0">
        <references count="8">
          <reference field="0" count="1" selected="0">
            <x v="214"/>
          </reference>
          <reference field="1" count="1" selected="0">
            <x v="159"/>
          </reference>
          <reference field="2" count="1" selected="0">
            <x v="139"/>
          </reference>
          <reference field="3" count="1" selected="0">
            <x v="0"/>
          </reference>
          <reference field="12" count="1" selected="0">
            <x v="10"/>
          </reference>
          <reference field="13" count="1" selected="0">
            <x v="15"/>
          </reference>
          <reference field="14" count="1" selected="0">
            <x v="66"/>
          </reference>
          <reference field="15" count="1">
            <x v="15"/>
          </reference>
        </references>
      </pivotArea>
    </format>
    <format dxfId="1268">
      <pivotArea dataOnly="0" labelOnly="1" fieldPosition="0">
        <references count="8">
          <reference field="0" count="1" selected="0">
            <x v="215"/>
          </reference>
          <reference field="1" count="1" selected="0">
            <x v="160"/>
          </reference>
          <reference field="2" count="1" selected="0">
            <x v="137"/>
          </reference>
          <reference field="3" count="1" selected="0">
            <x v="0"/>
          </reference>
          <reference field="12" count="1" selected="0">
            <x v="10"/>
          </reference>
          <reference field="13" count="1" selected="0">
            <x v="11"/>
          </reference>
          <reference field="14" count="1" selected="0">
            <x v="66"/>
          </reference>
          <reference field="15" count="1">
            <x v="15"/>
          </reference>
        </references>
      </pivotArea>
    </format>
    <format dxfId="1267">
      <pivotArea dataOnly="0" labelOnly="1" fieldPosition="0">
        <references count="8">
          <reference field="0" count="1" selected="0">
            <x v="216"/>
          </reference>
          <reference field="1" count="1" selected="0">
            <x v="161"/>
          </reference>
          <reference field="2" count="1" selected="0">
            <x v="136"/>
          </reference>
          <reference field="3" count="1" selected="0">
            <x v="0"/>
          </reference>
          <reference field="12" count="1" selected="0">
            <x v="10"/>
          </reference>
          <reference field="13" count="1" selected="0">
            <x v="13"/>
          </reference>
          <reference field="14" count="1" selected="0">
            <x v="66"/>
          </reference>
          <reference field="15" count="1">
            <x v="15"/>
          </reference>
        </references>
      </pivotArea>
    </format>
    <format dxfId="1266">
      <pivotArea dataOnly="0" labelOnly="1" fieldPosition="0">
        <references count="8">
          <reference field="0" count="1" selected="0">
            <x v="217"/>
          </reference>
          <reference field="1" count="1" selected="0">
            <x v="162"/>
          </reference>
          <reference field="2" count="1" selected="0">
            <x v="13"/>
          </reference>
          <reference field="3" count="1" selected="0">
            <x v="0"/>
          </reference>
          <reference field="12" count="1" selected="0">
            <x v="10"/>
          </reference>
          <reference field="13" count="1" selected="0">
            <x v="10"/>
          </reference>
          <reference field="14" count="1" selected="0">
            <x v="66"/>
          </reference>
          <reference field="15" count="1">
            <x v="15"/>
          </reference>
        </references>
      </pivotArea>
    </format>
    <format dxfId="1265">
      <pivotArea dataOnly="0" labelOnly="1" fieldPosition="0">
        <references count="8">
          <reference field="0" count="1" selected="0">
            <x v="218"/>
          </reference>
          <reference field="1" count="1" selected="0">
            <x v="163"/>
          </reference>
          <reference field="2" count="1" selected="0">
            <x v="179"/>
          </reference>
          <reference field="3" count="1" selected="0">
            <x v="0"/>
          </reference>
          <reference field="12" count="1" selected="0">
            <x v="10"/>
          </reference>
          <reference field="13" count="1" selected="0">
            <x v="10"/>
          </reference>
          <reference field="14" count="1" selected="0">
            <x v="0"/>
          </reference>
          <reference field="15" count="1">
            <x v="15"/>
          </reference>
        </references>
      </pivotArea>
    </format>
    <format dxfId="1264">
      <pivotArea dataOnly="0" labelOnly="1" fieldPosition="0">
        <references count="8">
          <reference field="0" count="1" selected="0">
            <x v="219"/>
          </reference>
          <reference field="1" count="1" selected="0">
            <x v="164"/>
          </reference>
          <reference field="2" count="1" selected="0">
            <x v="138"/>
          </reference>
          <reference field="3" count="1" selected="0">
            <x v="0"/>
          </reference>
          <reference field="12" count="1" selected="0">
            <x v="10"/>
          </reference>
          <reference field="13" count="1" selected="0">
            <x v="8"/>
          </reference>
          <reference field="14" count="1" selected="0">
            <x v="0"/>
          </reference>
          <reference field="15" count="1">
            <x v="15"/>
          </reference>
        </references>
      </pivotArea>
    </format>
    <format dxfId="1263">
      <pivotArea dataOnly="0" labelOnly="1" fieldPosition="0">
        <references count="8">
          <reference field="0" count="1" selected="0">
            <x v="220"/>
          </reference>
          <reference field="1" count="1" selected="0">
            <x v="165"/>
          </reference>
          <reference field="2" count="1" selected="0">
            <x v="142"/>
          </reference>
          <reference field="3" count="1" selected="0">
            <x v="0"/>
          </reference>
          <reference field="12" count="1" selected="0">
            <x v="11"/>
          </reference>
          <reference field="13" count="1" selected="0">
            <x v="12"/>
          </reference>
          <reference field="14" count="1" selected="0">
            <x v="57"/>
          </reference>
          <reference field="15" count="1">
            <x v="15"/>
          </reference>
        </references>
      </pivotArea>
    </format>
    <format dxfId="1262">
      <pivotArea dataOnly="0" labelOnly="1" fieldPosition="0">
        <references count="8">
          <reference field="0" count="1" selected="0">
            <x v="221"/>
          </reference>
          <reference field="1" count="1" selected="0">
            <x v="166"/>
          </reference>
          <reference field="2" count="1" selected="0">
            <x v="143"/>
          </reference>
          <reference field="3" count="1" selected="0">
            <x v="0"/>
          </reference>
          <reference field="12" count="1" selected="0">
            <x v="10"/>
          </reference>
          <reference field="13" count="1" selected="0">
            <x v="9"/>
          </reference>
          <reference field="14" count="1" selected="0">
            <x v="60"/>
          </reference>
          <reference field="15" count="1">
            <x v="15"/>
          </reference>
        </references>
      </pivotArea>
    </format>
    <format dxfId="1261">
      <pivotArea dataOnly="0" labelOnly="1" fieldPosition="0">
        <references count="8">
          <reference field="0" count="1" selected="0">
            <x v="223"/>
          </reference>
          <reference field="1" count="1" selected="0">
            <x v="168"/>
          </reference>
          <reference field="2" count="1" selected="0">
            <x v="71"/>
          </reference>
          <reference field="3" count="1" selected="0">
            <x v="0"/>
          </reference>
          <reference field="12" count="1" selected="0">
            <x v="24"/>
          </reference>
          <reference field="13" count="1" selected="0">
            <x v="7"/>
          </reference>
          <reference field="14" count="1" selected="0">
            <x v="0"/>
          </reference>
          <reference field="15" count="1">
            <x v="15"/>
          </reference>
        </references>
      </pivotArea>
    </format>
    <format dxfId="1260">
      <pivotArea dataOnly="0" labelOnly="1" fieldPosition="0">
        <references count="8">
          <reference field="0" count="1" selected="0">
            <x v="224"/>
          </reference>
          <reference field="1" count="1" selected="0">
            <x v="169"/>
          </reference>
          <reference field="2" count="1" selected="0">
            <x v="121"/>
          </reference>
          <reference field="3" count="1" selected="0">
            <x v="0"/>
          </reference>
          <reference field="12" count="1" selected="0">
            <x v="23"/>
          </reference>
          <reference field="13" count="1" selected="0">
            <x v="1"/>
          </reference>
          <reference field="14" count="1" selected="0">
            <x v="18"/>
          </reference>
          <reference field="15" count="1">
            <x v="15"/>
          </reference>
        </references>
      </pivotArea>
    </format>
    <format dxfId="1259">
      <pivotArea dataOnly="0" labelOnly="1" fieldPosition="0">
        <references count="8">
          <reference field="0" count="1" selected="0">
            <x v="225"/>
          </reference>
          <reference field="1" count="1" selected="0">
            <x v="170"/>
          </reference>
          <reference field="2" count="1" selected="0">
            <x v="120"/>
          </reference>
          <reference field="3" count="1" selected="0">
            <x v="0"/>
          </reference>
          <reference field="12" count="1" selected="0">
            <x v="23"/>
          </reference>
          <reference field="13" count="1" selected="0">
            <x v="22"/>
          </reference>
          <reference field="14" count="1" selected="0">
            <x v="18"/>
          </reference>
          <reference field="15" count="1">
            <x v="15"/>
          </reference>
        </references>
      </pivotArea>
    </format>
    <format dxfId="1258">
      <pivotArea dataOnly="0" labelOnly="1" fieldPosition="0">
        <references count="8">
          <reference field="0" count="1" selected="0">
            <x v="226"/>
          </reference>
          <reference field="1" count="1" selected="0">
            <x v="171"/>
          </reference>
          <reference field="2" count="1" selected="0">
            <x v="41"/>
          </reference>
          <reference field="3" count="1" selected="0">
            <x v="0"/>
          </reference>
          <reference field="12" count="1" selected="0">
            <x v="23"/>
          </reference>
          <reference field="13" count="1" selected="0">
            <x v="22"/>
          </reference>
          <reference field="14" count="1" selected="0">
            <x v="18"/>
          </reference>
          <reference field="15" count="1">
            <x v="15"/>
          </reference>
        </references>
      </pivotArea>
    </format>
    <format dxfId="1257">
      <pivotArea dataOnly="0" labelOnly="1" fieldPosition="0">
        <references count="8">
          <reference field="0" count="1" selected="0">
            <x v="227"/>
          </reference>
          <reference field="1" count="1" selected="0">
            <x v="172"/>
          </reference>
          <reference field="2" count="1" selected="0">
            <x v="42"/>
          </reference>
          <reference field="3" count="1" selected="0">
            <x v="0"/>
          </reference>
          <reference field="12" count="1" selected="0">
            <x v="23"/>
          </reference>
          <reference field="13" count="1" selected="0">
            <x v="22"/>
          </reference>
          <reference field="14" count="1" selected="0">
            <x v="18"/>
          </reference>
          <reference field="15" count="1">
            <x v="15"/>
          </reference>
        </references>
      </pivotArea>
    </format>
    <format dxfId="1256">
      <pivotArea dataOnly="0" labelOnly="1" fieldPosition="0">
        <references count="8">
          <reference field="0" count="1" selected="0">
            <x v="228"/>
          </reference>
          <reference field="1" count="1" selected="0">
            <x v="173"/>
          </reference>
          <reference field="2" count="1" selected="0">
            <x v="145"/>
          </reference>
          <reference field="3" count="1" selected="0">
            <x v="0"/>
          </reference>
          <reference field="12" count="1" selected="0">
            <x v="3"/>
          </reference>
          <reference field="13" count="1" selected="0">
            <x v="21"/>
          </reference>
          <reference field="14" count="1" selected="0">
            <x v="38"/>
          </reference>
          <reference field="15" count="1">
            <x v="15"/>
          </reference>
        </references>
      </pivotArea>
    </format>
    <format dxfId="1255">
      <pivotArea dataOnly="0" labelOnly="1" fieldPosition="0">
        <references count="8">
          <reference field="0" count="1" selected="0">
            <x v="229"/>
          </reference>
          <reference field="1" count="1" selected="0">
            <x v="174"/>
          </reference>
          <reference field="2" count="1" selected="0">
            <x v="91"/>
          </reference>
          <reference field="3" count="1" selected="0">
            <x v="0"/>
          </reference>
          <reference field="12" count="1" selected="0">
            <x v="3"/>
          </reference>
          <reference field="13" count="1" selected="0">
            <x v="18"/>
          </reference>
          <reference field="14" count="1" selected="0">
            <x v="34"/>
          </reference>
          <reference field="15" count="1">
            <x v="15"/>
          </reference>
        </references>
      </pivotArea>
    </format>
    <format dxfId="1254">
      <pivotArea dataOnly="0" labelOnly="1" fieldPosition="0">
        <references count="8">
          <reference field="0" count="1" selected="0">
            <x v="230"/>
          </reference>
          <reference field="1" count="1" selected="0">
            <x v="175"/>
          </reference>
          <reference field="2" count="1" selected="0">
            <x v="160"/>
          </reference>
          <reference field="3" count="1" selected="0">
            <x v="0"/>
          </reference>
          <reference field="12" count="1" selected="0">
            <x v="3"/>
          </reference>
          <reference field="13" count="1" selected="0">
            <x v="18"/>
          </reference>
          <reference field="14" count="1" selected="0">
            <x v="36"/>
          </reference>
          <reference field="15" count="1">
            <x v="15"/>
          </reference>
        </references>
      </pivotArea>
    </format>
    <format dxfId="1253">
      <pivotArea dataOnly="0" labelOnly="1" fieldPosition="0">
        <references count="8">
          <reference field="0" count="1" selected="0">
            <x v="231"/>
          </reference>
          <reference field="1" count="1" selected="0">
            <x v="176"/>
          </reference>
          <reference field="2" count="1" selected="0">
            <x v="42"/>
          </reference>
          <reference field="3" count="1" selected="0">
            <x v="0"/>
          </reference>
          <reference field="12" count="1" selected="0">
            <x v="3"/>
          </reference>
          <reference field="13" count="1" selected="0">
            <x v="20"/>
          </reference>
          <reference field="14" count="1" selected="0">
            <x v="38"/>
          </reference>
          <reference field="15" count="1">
            <x v="15"/>
          </reference>
        </references>
      </pivotArea>
    </format>
    <format dxfId="1252">
      <pivotArea dataOnly="0" labelOnly="1" fieldPosition="0">
        <references count="8">
          <reference field="0" count="1" selected="0">
            <x v="232"/>
          </reference>
          <reference field="1" count="1" selected="0">
            <x v="177"/>
          </reference>
          <reference field="2" count="1" selected="0">
            <x v="47"/>
          </reference>
          <reference field="3" count="1" selected="0">
            <x v="0"/>
          </reference>
          <reference field="12" count="1" selected="0">
            <x v="3"/>
          </reference>
          <reference field="13" count="1" selected="0">
            <x v="19"/>
          </reference>
          <reference field="14" count="1" selected="0">
            <x v="38"/>
          </reference>
          <reference field="15" count="1">
            <x v="15"/>
          </reference>
        </references>
      </pivotArea>
    </format>
    <format dxfId="1251">
      <pivotArea dataOnly="0" labelOnly="1" fieldPosition="0">
        <references count="8">
          <reference field="0" count="1" selected="0">
            <x v="233"/>
          </reference>
          <reference field="1" count="1" selected="0">
            <x v="178"/>
          </reference>
          <reference field="2" count="1" selected="0">
            <x v="32"/>
          </reference>
          <reference field="3" count="1" selected="0">
            <x v="0"/>
          </reference>
          <reference field="12" count="1" selected="0">
            <x v="3"/>
          </reference>
          <reference field="13" count="1" selected="0">
            <x v="6"/>
          </reference>
          <reference field="14" count="1" selected="0">
            <x v="38"/>
          </reference>
          <reference field="15" count="1">
            <x v="15"/>
          </reference>
        </references>
      </pivotArea>
    </format>
    <format dxfId="1250">
      <pivotArea dataOnly="0" labelOnly="1" fieldPosition="0">
        <references count="8">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selected="0">
            <x v="67"/>
          </reference>
          <reference field="15" count="1">
            <x v="47"/>
          </reference>
        </references>
      </pivotArea>
    </format>
    <format dxfId="1249">
      <pivotArea dataOnly="0" labelOnly="1" fieldPosition="0">
        <references count="8">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selected="0">
            <x v="38"/>
          </reference>
          <reference field="15" count="1">
            <x v="15"/>
          </reference>
        </references>
      </pivotArea>
    </format>
    <format dxfId="1248">
      <pivotArea dataOnly="0" labelOnly="1" fieldPosition="0">
        <references count="8">
          <reference field="0" count="1" selected="0">
            <x v="236"/>
          </reference>
          <reference field="1" count="1" selected="0">
            <x v="192"/>
          </reference>
          <reference field="2" count="1" selected="0">
            <x v="27"/>
          </reference>
          <reference field="3" count="1" selected="0">
            <x v="0"/>
          </reference>
          <reference field="12" count="1" selected="0">
            <x v="3"/>
          </reference>
          <reference field="13" count="1" selected="0">
            <x v="0"/>
          </reference>
          <reference field="14" count="1" selected="0">
            <x v="38"/>
          </reference>
          <reference field="15" count="1">
            <x v="15"/>
          </reference>
        </references>
      </pivotArea>
    </format>
    <format dxfId="1247">
      <pivotArea dataOnly="0" labelOnly="1" fieldPosition="0">
        <references count="8">
          <reference field="0" count="1" selected="0">
            <x v="237"/>
          </reference>
          <reference field="1" count="1" selected="0">
            <x v="193"/>
          </reference>
          <reference field="2" count="1" selected="0">
            <x v="89"/>
          </reference>
          <reference field="3" count="1" selected="0">
            <x v="0"/>
          </reference>
          <reference field="12" count="1" selected="0">
            <x v="3"/>
          </reference>
          <reference field="13" count="1" selected="0">
            <x v="0"/>
          </reference>
          <reference field="14" count="1" selected="0">
            <x v="38"/>
          </reference>
          <reference field="15" count="1">
            <x v="15"/>
          </reference>
        </references>
      </pivotArea>
    </format>
    <format dxfId="1246">
      <pivotArea dataOnly="0" labelOnly="1" fieldPosition="0">
        <references count="8">
          <reference field="0" count="1" selected="0">
            <x v="238"/>
          </reference>
          <reference field="1" count="1" selected="0">
            <x v="194"/>
          </reference>
          <reference field="2" count="1" selected="0">
            <x v="25"/>
          </reference>
          <reference field="3" count="1" selected="0">
            <x v="0"/>
          </reference>
          <reference field="12" count="1" selected="0">
            <x v="0"/>
          </reference>
          <reference field="13" count="1" selected="0">
            <x v="0"/>
          </reference>
          <reference field="14" count="1" selected="0">
            <x v="0"/>
          </reference>
          <reference field="15" count="1">
            <x v="15"/>
          </reference>
        </references>
      </pivotArea>
    </format>
    <format dxfId="1245">
      <pivotArea dataOnly="0" labelOnly="1" fieldPosition="0">
        <references count="8">
          <reference field="0" count="1" selected="0">
            <x v="239"/>
          </reference>
          <reference field="1" count="1" selected="0">
            <x v="195"/>
          </reference>
          <reference field="2" count="1" selected="0">
            <x v="28"/>
          </reference>
          <reference field="3" count="1" selected="0">
            <x v="0"/>
          </reference>
          <reference field="12" count="1" selected="0">
            <x v="0"/>
          </reference>
          <reference field="13" count="1" selected="0">
            <x v="0"/>
          </reference>
          <reference field="14" count="1" selected="0">
            <x v="0"/>
          </reference>
          <reference field="15" count="1">
            <x v="15"/>
          </reference>
        </references>
      </pivotArea>
    </format>
    <format dxfId="1244">
      <pivotArea dataOnly="0" labelOnly="1" fieldPosition="0">
        <references count="8">
          <reference field="0" count="1" selected="0">
            <x v="240"/>
          </reference>
          <reference field="1" count="1" selected="0">
            <x v="196"/>
          </reference>
          <reference field="2" count="1" selected="0">
            <x v="40"/>
          </reference>
          <reference field="3" count="1" selected="0">
            <x v="0"/>
          </reference>
          <reference field="12" count="1" selected="0">
            <x v="3"/>
          </reference>
          <reference field="13" count="1" selected="0">
            <x v="0"/>
          </reference>
          <reference field="14" count="1" selected="0">
            <x v="0"/>
          </reference>
          <reference field="15" count="1">
            <x v="15"/>
          </reference>
        </references>
      </pivotArea>
    </format>
    <format dxfId="1243">
      <pivotArea dataOnly="0" labelOnly="1" fieldPosition="0">
        <references count="8">
          <reference field="0" count="1" selected="0">
            <x v="241"/>
          </reference>
          <reference field="1" count="1" selected="0">
            <x v="197"/>
          </reference>
          <reference field="2" count="1" selected="0">
            <x v="195"/>
          </reference>
          <reference field="3" count="1" selected="0">
            <x v="0"/>
          </reference>
          <reference field="12" count="1" selected="0">
            <x v="0"/>
          </reference>
          <reference field="13" count="1" selected="0">
            <x v="0"/>
          </reference>
          <reference field="14" count="1" selected="0">
            <x v="0"/>
          </reference>
          <reference field="15" count="1">
            <x v="15"/>
          </reference>
        </references>
      </pivotArea>
    </format>
    <format dxfId="1242">
      <pivotArea dataOnly="0" labelOnly="1" fieldPosition="0">
        <references count="8">
          <reference field="0" count="1" selected="0">
            <x v="242"/>
          </reference>
          <reference field="1" count="1" selected="0">
            <x v="198"/>
          </reference>
          <reference field="2" count="1" selected="0">
            <x v="132"/>
          </reference>
          <reference field="3" count="1" selected="0">
            <x v="0"/>
          </reference>
          <reference field="12" count="1" selected="0">
            <x v="6"/>
          </reference>
          <reference field="13" count="1" selected="0">
            <x v="0"/>
          </reference>
          <reference field="14" count="1" selected="0">
            <x v="0"/>
          </reference>
          <reference field="15" count="1">
            <x v="15"/>
          </reference>
        </references>
      </pivotArea>
    </format>
    <format dxfId="1241">
      <pivotArea dataOnly="0" labelOnly="1" fieldPosition="0">
        <references count="9">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selected="0">
            <x v="38"/>
          </reference>
          <reference field="15" count="1" selected="0">
            <x v="15"/>
          </reference>
          <reference field="16" count="1">
            <x v="63"/>
          </reference>
        </references>
      </pivotArea>
    </format>
    <format dxfId="1240">
      <pivotArea dataOnly="0" labelOnly="1" fieldPosition="0">
        <references count="9">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selected="0">
            <x v="0"/>
          </reference>
          <reference field="15" count="1" selected="0">
            <x v="14"/>
          </reference>
          <reference field="16" count="1">
            <x v="62"/>
          </reference>
        </references>
      </pivotArea>
    </format>
    <format dxfId="1239">
      <pivotArea dataOnly="0" labelOnly="1" fieldPosition="0">
        <references count="9">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selected="0">
            <x v="35"/>
          </reference>
          <reference field="15" count="1" selected="0">
            <x v="43"/>
          </reference>
          <reference field="16" count="1">
            <x v="64"/>
          </reference>
        </references>
      </pivotArea>
    </format>
    <format dxfId="1238">
      <pivotArea dataOnly="0" labelOnly="1" fieldPosition="0">
        <references count="9">
          <reference field="0" count="1" selected="0">
            <x v="4"/>
          </reference>
          <reference field="1" count="1" selected="0">
            <x v="232"/>
          </reference>
          <reference field="2" count="1" selected="0">
            <x v="90"/>
          </reference>
          <reference field="3" count="1" selected="0">
            <x v="0"/>
          </reference>
          <reference field="12" count="1" selected="0">
            <x v="3"/>
          </reference>
          <reference field="13" count="1" selected="0">
            <x v="0"/>
          </reference>
          <reference field="14" count="1" selected="0">
            <x v="35"/>
          </reference>
          <reference field="15" count="1" selected="0">
            <x v="43"/>
          </reference>
          <reference field="16" count="1">
            <x v="64"/>
          </reference>
        </references>
      </pivotArea>
    </format>
    <format dxfId="1237">
      <pivotArea dataOnly="0" labelOnly="1" fieldPosition="0">
        <references count="9">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selected="0">
            <x v="38"/>
          </reference>
          <reference field="15" count="1" selected="0">
            <x v="15"/>
          </reference>
          <reference field="16" count="1">
            <x v="63"/>
          </reference>
        </references>
      </pivotArea>
    </format>
    <format dxfId="1236">
      <pivotArea dataOnly="0" labelOnly="1" fieldPosition="0">
        <references count="9">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selected="0">
            <x v="28"/>
          </reference>
          <reference field="15" count="1" selected="0">
            <x v="0"/>
          </reference>
          <reference field="16" count="1">
            <x v="0"/>
          </reference>
        </references>
      </pivotArea>
    </format>
    <format dxfId="1235">
      <pivotArea dataOnly="0" labelOnly="1" fieldPosition="0">
        <references count="9">
          <reference field="0" count="1" selected="0">
            <x v="9"/>
          </reference>
          <reference field="1" count="1" selected="0">
            <x v="120"/>
          </reference>
          <reference field="2" count="1" selected="0">
            <x v="168"/>
          </reference>
          <reference field="3" count="1" selected="0">
            <x v="0"/>
          </reference>
          <reference field="12" count="1" selected="0">
            <x v="0"/>
          </reference>
          <reference field="13" count="1" selected="0">
            <x v="0"/>
          </reference>
          <reference field="14" count="1" selected="0">
            <x v="28"/>
          </reference>
          <reference field="15" count="1" selected="0">
            <x v="0"/>
          </reference>
          <reference field="16" count="1">
            <x v="0"/>
          </reference>
        </references>
      </pivotArea>
    </format>
    <format dxfId="1234">
      <pivotArea dataOnly="0" labelOnly="1" fieldPosition="0">
        <references count="9">
          <reference field="0" count="1" selected="0">
            <x v="10"/>
          </reference>
          <reference field="1" count="1" selected="0">
            <x v="121"/>
          </reference>
          <reference field="2" count="1" selected="0">
            <x v="82"/>
          </reference>
          <reference field="3" count="1" selected="0">
            <x v="0"/>
          </reference>
          <reference field="12" count="1" selected="0">
            <x v="0"/>
          </reference>
          <reference field="13" count="1" selected="0">
            <x v="0"/>
          </reference>
          <reference field="14" count="1" selected="0">
            <x v="38"/>
          </reference>
          <reference field="15" count="1" selected="0">
            <x v="0"/>
          </reference>
          <reference field="16" count="1">
            <x v="0"/>
          </reference>
        </references>
      </pivotArea>
    </format>
    <format dxfId="1233">
      <pivotArea dataOnly="0" labelOnly="1" fieldPosition="0">
        <references count="9">
          <reference field="0" count="1" selected="0">
            <x v="11"/>
          </reference>
          <reference field="1" count="1" selected="0">
            <x v="122"/>
          </reference>
          <reference field="2" count="1" selected="0">
            <x v="26"/>
          </reference>
          <reference field="3" count="1" selected="0">
            <x v="0"/>
          </reference>
          <reference field="12" count="1" selected="0">
            <x v="0"/>
          </reference>
          <reference field="13" count="1" selected="0">
            <x v="0"/>
          </reference>
          <reference field="14" count="1" selected="0">
            <x v="38"/>
          </reference>
          <reference field="15" count="1" selected="0">
            <x v="0"/>
          </reference>
          <reference field="16" count="1">
            <x v="0"/>
          </reference>
        </references>
      </pivotArea>
    </format>
    <format dxfId="1232">
      <pivotArea dataOnly="0" labelOnly="1" fieldPosition="0">
        <references count="9">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selected="0">
            <x v="40"/>
          </reference>
          <reference field="15" count="1" selected="0">
            <x v="15"/>
          </reference>
          <reference field="16" count="1">
            <x v="63"/>
          </reference>
        </references>
      </pivotArea>
    </format>
    <format dxfId="1231">
      <pivotArea dataOnly="0" labelOnly="1" fieldPosition="0">
        <references count="9">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selected="0">
            <x v="38"/>
          </reference>
          <reference field="15" count="1" selected="0">
            <x v="14"/>
          </reference>
          <reference field="16" count="1">
            <x v="0"/>
          </reference>
        </references>
      </pivotArea>
    </format>
    <format dxfId="1230">
      <pivotArea dataOnly="0" labelOnly="1" fieldPosition="0">
        <references count="9">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selected="0">
            <x v="1"/>
          </reference>
          <reference field="15" count="1" selected="0">
            <x v="21"/>
          </reference>
          <reference field="16" count="1">
            <x v="7"/>
          </reference>
        </references>
      </pivotArea>
    </format>
    <format dxfId="1229">
      <pivotArea dataOnly="0" labelOnly="1" fieldPosition="0">
        <references count="9">
          <reference field="0" count="1" selected="0">
            <x v="26"/>
          </reference>
          <reference field="1" count="1" selected="0">
            <x v="23"/>
          </reference>
          <reference field="2" count="1" selected="0">
            <x v="217"/>
          </reference>
          <reference field="3" count="1" selected="0">
            <x v="0"/>
          </reference>
          <reference field="12" count="1" selected="0">
            <x v="5"/>
          </reference>
          <reference field="13" count="1" selected="0">
            <x v="0"/>
          </reference>
          <reference field="14" count="1" selected="0">
            <x v="1"/>
          </reference>
          <reference field="15" count="1" selected="0">
            <x v="45"/>
          </reference>
          <reference field="16" count="1">
            <x v="4"/>
          </reference>
        </references>
      </pivotArea>
    </format>
    <format dxfId="1228">
      <pivotArea dataOnly="0" labelOnly="1" fieldPosition="0">
        <references count="9">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selected="0">
            <x v="3"/>
          </reference>
          <reference field="15" count="1" selected="0">
            <x v="0"/>
          </reference>
          <reference field="16" count="1">
            <x v="0"/>
          </reference>
        </references>
      </pivotArea>
    </format>
    <format dxfId="1227">
      <pivotArea dataOnly="0" labelOnly="1" fieldPosition="0">
        <references count="9">
          <reference field="0" count="1" selected="0">
            <x v="29"/>
          </reference>
          <reference field="1" count="1" selected="0">
            <x v="26"/>
          </reference>
          <reference field="2" count="1" selected="0">
            <x v="62"/>
          </reference>
          <reference field="3" count="1" selected="0">
            <x v="0"/>
          </reference>
          <reference field="12" count="1" selected="0">
            <x v="15"/>
          </reference>
          <reference field="13" count="1" selected="0">
            <x v="0"/>
          </reference>
          <reference field="14" count="1" selected="0">
            <x v="19"/>
          </reference>
          <reference field="15" count="1" selected="0">
            <x v="12"/>
          </reference>
          <reference field="16" count="1">
            <x v="0"/>
          </reference>
        </references>
      </pivotArea>
    </format>
    <format dxfId="1226">
      <pivotArea dataOnly="0" labelOnly="1" fieldPosition="0">
        <references count="9">
          <reference field="0" count="1" selected="0">
            <x v="30"/>
          </reference>
          <reference field="1" count="1" selected="0">
            <x v="27"/>
          </reference>
          <reference field="2" count="1" selected="0">
            <x v="7"/>
          </reference>
          <reference field="3" count="1" selected="0">
            <x v="0"/>
          </reference>
          <reference field="12" count="1" selected="0">
            <x v="15"/>
          </reference>
          <reference field="13" count="1" selected="0">
            <x v="0"/>
          </reference>
          <reference field="14" count="1" selected="0">
            <x v="13"/>
          </reference>
          <reference field="15" count="1" selected="0">
            <x v="11"/>
          </reference>
          <reference field="16" count="1">
            <x v="0"/>
          </reference>
        </references>
      </pivotArea>
    </format>
    <format dxfId="1225">
      <pivotArea dataOnly="0" labelOnly="1" fieldPosition="0">
        <references count="9">
          <reference field="0" count="1" selected="0">
            <x v="31"/>
          </reference>
          <reference field="1" count="1" selected="0">
            <x v="28"/>
          </reference>
          <reference field="2" count="1" selected="0">
            <x v="53"/>
          </reference>
          <reference field="3" count="1" selected="0">
            <x v="0"/>
          </reference>
          <reference field="12" count="1" selected="0">
            <x v="7"/>
          </reference>
          <reference field="13" count="1" selected="0">
            <x v="0"/>
          </reference>
          <reference field="14" count="1" selected="0">
            <x v="15"/>
          </reference>
          <reference field="15" count="1" selected="0">
            <x v="0"/>
          </reference>
          <reference field="16" count="1">
            <x v="0"/>
          </reference>
        </references>
      </pivotArea>
    </format>
    <format dxfId="1224">
      <pivotArea dataOnly="0" labelOnly="1" fieldPosition="0">
        <references count="9">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selected="0">
            <x v="61"/>
          </reference>
          <reference field="15" count="1" selected="0">
            <x v="23"/>
          </reference>
          <reference field="16" count="1">
            <x v="13"/>
          </reference>
        </references>
      </pivotArea>
    </format>
    <format dxfId="1223">
      <pivotArea dataOnly="0" labelOnly="1" fieldPosition="0">
        <references count="9">
          <reference field="0" count="1" selected="0">
            <x v="36"/>
          </reference>
          <reference field="1" count="1" selected="0">
            <x v="33"/>
          </reference>
          <reference field="2" count="1" selected="0">
            <x v="130"/>
          </reference>
          <reference field="3" count="1" selected="0">
            <x v="0"/>
          </reference>
          <reference field="12" count="1" selected="0">
            <x v="22"/>
          </reference>
          <reference field="13" count="1" selected="0">
            <x v="0"/>
          </reference>
          <reference field="14" count="1" selected="0">
            <x v="2"/>
          </reference>
          <reference field="15" count="1" selected="0">
            <x v="23"/>
          </reference>
          <reference field="16" count="1">
            <x v="2"/>
          </reference>
        </references>
      </pivotArea>
    </format>
    <format dxfId="1222">
      <pivotArea dataOnly="0" labelOnly="1" fieldPosition="0">
        <references count="9">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selected="0">
            <x v="62"/>
          </reference>
          <reference field="15" count="1" selected="0">
            <x v="16"/>
          </reference>
          <reference field="16" count="1">
            <x v="39"/>
          </reference>
        </references>
      </pivotArea>
    </format>
    <format dxfId="1221">
      <pivotArea dataOnly="0" labelOnly="1" fieldPosition="0">
        <references count="9">
          <reference field="0" count="1" selected="0">
            <x v="39"/>
          </reference>
          <reference field="1" count="1" selected="0">
            <x v="1"/>
          </reference>
          <reference field="2" count="1" selected="0">
            <x v="46"/>
          </reference>
          <reference field="3" count="1" selected="0">
            <x v="0"/>
          </reference>
          <reference field="12" count="1" selected="0">
            <x v="10"/>
          </reference>
          <reference field="13" count="1" selected="0">
            <x v="0"/>
          </reference>
          <reference field="14" count="1" selected="0">
            <x v="62"/>
          </reference>
          <reference field="15" count="1" selected="0">
            <x v="16"/>
          </reference>
          <reference field="16" count="1">
            <x v="40"/>
          </reference>
        </references>
      </pivotArea>
    </format>
    <format dxfId="1220">
      <pivotArea dataOnly="0" labelOnly="1" fieldPosition="0">
        <references count="9">
          <reference field="0" count="1" selected="0">
            <x v="42"/>
          </reference>
          <reference field="1" count="1" selected="0">
            <x v="4"/>
          </reference>
          <reference field="2" count="1" selected="0">
            <x v="64"/>
          </reference>
          <reference field="3" count="1" selected="0">
            <x v="0"/>
          </reference>
          <reference field="12" count="1" selected="0">
            <x v="10"/>
          </reference>
          <reference field="13" count="1" selected="0">
            <x v="0"/>
          </reference>
          <reference field="14" count="1" selected="0">
            <x v="58"/>
          </reference>
          <reference field="15" count="1" selected="0">
            <x v="16"/>
          </reference>
          <reference field="16" count="1">
            <x v="35"/>
          </reference>
        </references>
      </pivotArea>
    </format>
    <format dxfId="1219">
      <pivotArea dataOnly="0" labelOnly="1" fieldPosition="0">
        <references count="9">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selected="0">
            <x v="56"/>
          </reference>
          <reference field="15" count="1" selected="0">
            <x v="0"/>
          </reference>
          <reference field="16" count="1">
            <x v="0"/>
          </reference>
        </references>
      </pivotArea>
    </format>
    <format dxfId="1218">
      <pivotArea dataOnly="0" labelOnly="1" fieldPosition="0">
        <references count="9">
          <reference field="0" count="1" selected="0">
            <x v="44"/>
          </reference>
          <reference field="1" count="1" selected="0">
            <x v="6"/>
          </reference>
          <reference field="2" count="1" selected="0">
            <x v="23"/>
          </reference>
          <reference field="3" count="1" selected="0">
            <x v="0"/>
          </reference>
          <reference field="12" count="1" selected="0">
            <x v="10"/>
          </reference>
          <reference field="13" count="1" selected="0">
            <x v="0"/>
          </reference>
          <reference field="14" count="1" selected="0">
            <x v="56"/>
          </reference>
          <reference field="15" count="1" selected="0">
            <x v="16"/>
          </reference>
          <reference field="16" count="1">
            <x v="0"/>
          </reference>
        </references>
      </pivotArea>
    </format>
    <format dxfId="1217">
      <pivotArea dataOnly="0" labelOnly="1" fieldPosition="0">
        <references count="9">
          <reference field="0" count="1" selected="0">
            <x v="45"/>
          </reference>
          <reference field="1" count="1" selected="0">
            <x v="7"/>
          </reference>
          <reference field="2" count="1" selected="0">
            <x v="22"/>
          </reference>
          <reference field="3" count="1" selected="0">
            <x v="0"/>
          </reference>
          <reference field="12" count="1" selected="0">
            <x v="10"/>
          </reference>
          <reference field="13" count="1" selected="0">
            <x v="0"/>
          </reference>
          <reference field="14" count="1" selected="0">
            <x v="56"/>
          </reference>
          <reference field="15" count="1" selected="0">
            <x v="16"/>
          </reference>
          <reference field="16" count="1">
            <x v="36"/>
          </reference>
        </references>
      </pivotArea>
    </format>
    <format dxfId="1216">
      <pivotArea dataOnly="0" labelOnly="1" fieldPosition="0">
        <references count="9">
          <reference field="0" count="1" selected="0">
            <x v="46"/>
          </reference>
          <reference field="1" count="1" selected="0">
            <x v="8"/>
          </reference>
          <reference field="2" count="1" selected="0">
            <x v="135"/>
          </reference>
          <reference field="3" count="1" selected="0">
            <x v="0"/>
          </reference>
          <reference field="12" count="1" selected="0">
            <x v="10"/>
          </reference>
          <reference field="13" count="1" selected="0">
            <x v="0"/>
          </reference>
          <reference field="14" count="1" selected="0">
            <x v="56"/>
          </reference>
          <reference field="15" count="1" selected="0">
            <x v="16"/>
          </reference>
          <reference field="16" count="1">
            <x v="0"/>
          </reference>
        </references>
      </pivotArea>
    </format>
    <format dxfId="1215">
      <pivotArea dataOnly="0" labelOnly="1" fieldPosition="0">
        <references count="9">
          <reference field="0" count="1" selected="0">
            <x v="47"/>
          </reference>
          <reference field="1" count="1" selected="0">
            <x v="9"/>
          </reference>
          <reference field="2" count="1" selected="0">
            <x v="141"/>
          </reference>
          <reference field="3" count="1" selected="0">
            <x v="0"/>
          </reference>
          <reference field="12" count="1" selected="0">
            <x v="10"/>
          </reference>
          <reference field="13" count="1" selected="0">
            <x v="0"/>
          </reference>
          <reference field="14" count="1" selected="0">
            <x v="56"/>
          </reference>
          <reference field="15" count="1" selected="0">
            <x v="22"/>
          </reference>
          <reference field="16" count="1">
            <x v="37"/>
          </reference>
        </references>
      </pivotArea>
    </format>
    <format dxfId="1214">
      <pivotArea dataOnly="0" labelOnly="1" fieldPosition="0">
        <references count="9">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selected="0">
            <x v="66"/>
          </reference>
          <reference field="15" count="1" selected="0">
            <x v="17"/>
          </reference>
          <reference field="16" count="1">
            <x v="0"/>
          </reference>
        </references>
      </pivotArea>
    </format>
    <format dxfId="1213">
      <pivotArea dataOnly="0" labelOnly="1" fieldPosition="0">
        <references count="9">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selected="0">
            <x v="34"/>
          </reference>
          <reference field="15" count="1" selected="0">
            <x v="43"/>
          </reference>
          <reference field="16" count="1">
            <x v="19"/>
          </reference>
        </references>
      </pivotArea>
    </format>
    <format dxfId="1212">
      <pivotArea dataOnly="0" labelOnly="1" fieldPosition="0">
        <references count="9">
          <reference field="0" count="1" selected="0">
            <x v="56"/>
          </reference>
          <reference field="1" count="1" selected="0">
            <x v="36"/>
          </reference>
          <reference field="2" count="1" selected="0">
            <x v="183"/>
          </reference>
          <reference field="3" count="1" selected="0">
            <x v="0"/>
          </reference>
          <reference field="12" count="1" selected="0">
            <x v="3"/>
          </reference>
          <reference field="13" count="1" selected="0">
            <x v="0"/>
          </reference>
          <reference field="14" count="1" selected="0">
            <x v="34"/>
          </reference>
          <reference field="15" count="1" selected="0">
            <x v="43"/>
          </reference>
          <reference field="16" count="1">
            <x v="19"/>
          </reference>
        </references>
      </pivotArea>
    </format>
    <format dxfId="1211">
      <pivotArea dataOnly="0" labelOnly="1" fieldPosition="0">
        <references count="9">
          <reference field="0" count="1" selected="0">
            <x v="62"/>
          </reference>
          <reference field="1" count="1" selected="0">
            <x v="42"/>
          </reference>
          <reference field="2" count="1" selected="0">
            <x v="15"/>
          </reference>
          <reference field="3" count="1" selected="0">
            <x v="0"/>
          </reference>
          <reference field="12" count="1" selected="0">
            <x v="3"/>
          </reference>
          <reference field="13" count="1" selected="0">
            <x v="0"/>
          </reference>
          <reference field="14" count="1" selected="0">
            <x v="47"/>
          </reference>
          <reference field="15" count="1" selected="0">
            <x v="43"/>
          </reference>
          <reference field="16" count="1">
            <x v="0"/>
          </reference>
        </references>
      </pivotArea>
    </format>
    <format dxfId="1210">
      <pivotArea dataOnly="0" labelOnly="1" fieldPosition="0">
        <references count="9">
          <reference field="0" count="1" selected="0">
            <x v="63"/>
          </reference>
          <reference field="1" count="1" selected="0">
            <x v="43"/>
          </reference>
          <reference field="2" count="1" selected="0">
            <x v="152"/>
          </reference>
          <reference field="3" count="1" selected="0">
            <x v="0"/>
          </reference>
          <reference field="12" count="1" selected="0">
            <x v="3"/>
          </reference>
          <reference field="13" count="1" selected="0">
            <x v="0"/>
          </reference>
          <reference field="14" count="1" selected="0">
            <x v="37"/>
          </reference>
          <reference field="15" count="1" selected="0">
            <x v="43"/>
          </reference>
          <reference field="16" count="1">
            <x v="0"/>
          </reference>
        </references>
      </pivotArea>
    </format>
    <format dxfId="1209">
      <pivotArea dataOnly="0" labelOnly="1" fieldPosition="0">
        <references count="9">
          <reference field="0" count="1" selected="0">
            <x v="64"/>
          </reference>
          <reference field="1" count="1" selected="0">
            <x v="44"/>
          </reference>
          <reference field="2" count="1" selected="0">
            <x v="146"/>
          </reference>
          <reference field="3" count="1" selected="0">
            <x v="0"/>
          </reference>
          <reference field="12" count="1" selected="0">
            <x v="3"/>
          </reference>
          <reference field="13" count="1" selected="0">
            <x v="0"/>
          </reference>
          <reference field="14" count="1" selected="0">
            <x v="36"/>
          </reference>
          <reference field="15" count="1" selected="0">
            <x v="43"/>
          </reference>
          <reference field="16" count="1">
            <x v="0"/>
          </reference>
        </references>
      </pivotArea>
    </format>
    <format dxfId="1208">
      <pivotArea dataOnly="0" labelOnly="1" fieldPosition="0">
        <references count="9">
          <reference field="0" count="1" selected="0">
            <x v="65"/>
          </reference>
          <reference field="1" count="1" selected="0">
            <x v="45"/>
          </reference>
          <reference field="2" count="1" selected="0">
            <x v="204"/>
          </reference>
          <reference field="3" count="1" selected="0">
            <x v="0"/>
          </reference>
          <reference field="12" count="1" selected="0">
            <x v="3"/>
          </reference>
          <reference field="13" count="1" selected="0">
            <x v="0"/>
          </reference>
          <reference field="14" count="1" selected="0">
            <x v="0"/>
          </reference>
          <reference field="15" count="1" selected="0">
            <x v="43"/>
          </reference>
          <reference field="16" count="1">
            <x v="0"/>
          </reference>
        </references>
      </pivotArea>
    </format>
    <format dxfId="1207">
      <pivotArea dataOnly="0" labelOnly="1" fieldPosition="0">
        <references count="9">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selected="0">
            <x v="14"/>
          </reference>
          <reference field="15" count="1" selected="0">
            <x v="40"/>
          </reference>
          <reference field="16" count="1">
            <x v="31"/>
          </reference>
        </references>
      </pivotArea>
    </format>
    <format dxfId="1206">
      <pivotArea dataOnly="0" labelOnly="1" fieldPosition="0">
        <references count="9">
          <reference field="0" count="1" selected="0">
            <x v="67"/>
          </reference>
          <reference field="1" count="1" selected="0">
            <x v="47"/>
          </reference>
          <reference field="2" count="1" selected="0">
            <x v="181"/>
          </reference>
          <reference field="3" count="1" selected="0">
            <x v="0"/>
          </reference>
          <reference field="12" count="1" selected="0">
            <x v="3"/>
          </reference>
          <reference field="13" count="1" selected="0">
            <x v="0"/>
          </reference>
          <reference field="14" count="1" selected="0">
            <x v="14"/>
          </reference>
          <reference field="15" count="1" selected="0">
            <x v="41"/>
          </reference>
          <reference field="16" count="1">
            <x v="32"/>
          </reference>
        </references>
      </pivotArea>
    </format>
    <format dxfId="1205">
      <pivotArea dataOnly="0" labelOnly="1" fieldPosition="0">
        <references count="9">
          <reference field="0" count="1" selected="0">
            <x v="68"/>
          </reference>
          <reference field="1" count="1" selected="0">
            <x v="48"/>
          </reference>
          <reference field="2" count="1" selected="0">
            <x v="231"/>
          </reference>
          <reference field="3" count="1" selected="0">
            <x v="0"/>
          </reference>
          <reference field="12" count="1" selected="0">
            <x v="3"/>
          </reference>
          <reference field="13" count="1" selected="0">
            <x v="0"/>
          </reference>
          <reference field="14" count="1" selected="0">
            <x v="14"/>
          </reference>
          <reference field="15" count="1" selected="0">
            <x v="0"/>
          </reference>
          <reference field="16" count="1">
            <x v="0"/>
          </reference>
        </references>
      </pivotArea>
    </format>
    <format dxfId="1204">
      <pivotArea dataOnly="0" labelOnly="1" fieldPosition="0">
        <references count="9">
          <reference field="0" count="1" selected="0">
            <x v="79"/>
          </reference>
          <reference field="1" count="1" selected="0">
            <x v="59"/>
          </reference>
          <reference field="2" count="1" selected="0">
            <x v="21"/>
          </reference>
          <reference field="3" count="1" selected="0">
            <x v="0"/>
          </reference>
          <reference field="12" count="1" selected="0">
            <x v="3"/>
          </reference>
          <reference field="13" count="1" selected="0">
            <x v="0"/>
          </reference>
          <reference field="14" count="1" selected="0">
            <x v="0"/>
          </reference>
          <reference field="15" count="1" selected="0">
            <x v="0"/>
          </reference>
          <reference field="16" count="1">
            <x v="0"/>
          </reference>
        </references>
      </pivotArea>
    </format>
    <format dxfId="1203">
      <pivotArea dataOnly="0" labelOnly="1" fieldPosition="0">
        <references count="9">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selected="0">
            <x v="0"/>
          </reference>
          <reference field="15" count="1" selected="0">
            <x v="20"/>
          </reference>
          <reference field="16" count="1">
            <x v="12"/>
          </reference>
        </references>
      </pivotArea>
    </format>
    <format dxfId="1202">
      <pivotArea dataOnly="0" labelOnly="1" fieldPosition="0">
        <references count="9">
          <reference field="0" count="1" selected="0">
            <x v="83"/>
          </reference>
          <reference field="1" count="1" selected="0">
            <x v="70"/>
          </reference>
          <reference field="2" count="1" selected="0">
            <x v="193"/>
          </reference>
          <reference field="3" count="1" selected="0">
            <x v="0"/>
          </reference>
          <reference field="12" count="1" selected="0">
            <x v="5"/>
          </reference>
          <reference field="13" count="1" selected="0">
            <x v="0"/>
          </reference>
          <reference field="14" count="1" selected="0">
            <x v="0"/>
          </reference>
          <reference field="15" count="1" selected="0">
            <x v="20"/>
          </reference>
          <reference field="16" count="1">
            <x v="10"/>
          </reference>
        </references>
      </pivotArea>
    </format>
    <format dxfId="1201">
      <pivotArea dataOnly="0" labelOnly="1" fieldPosition="0">
        <references count="9">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selected="0">
            <x v="4"/>
          </reference>
          <reference field="15" count="1" selected="0">
            <x v="29"/>
          </reference>
          <reference field="16" count="1">
            <x v="0"/>
          </reference>
        </references>
      </pivotArea>
    </format>
    <format dxfId="1200">
      <pivotArea dataOnly="0" labelOnly="1" fieldPosition="0">
        <references count="9">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selected="0">
            <x v="53"/>
          </reference>
          <reference field="15" count="1" selected="0">
            <x v="26"/>
          </reference>
          <reference field="16" count="1">
            <x v="6"/>
          </reference>
        </references>
      </pivotArea>
    </format>
    <format dxfId="1199">
      <pivotArea dataOnly="0" labelOnly="1" fieldPosition="0">
        <references count="9">
          <reference field="0" count="1" selected="0">
            <x v="86"/>
          </reference>
          <reference field="1" count="1" selected="0">
            <x v="73"/>
          </reference>
          <reference field="2" count="1" selected="0">
            <x v="154"/>
          </reference>
          <reference field="3" count="1" selected="0">
            <x v="0"/>
          </reference>
          <reference field="12" count="1" selected="0">
            <x v="7"/>
          </reference>
          <reference field="13" count="1" selected="0">
            <x v="0"/>
          </reference>
          <reference field="14" count="1" selected="0">
            <x v="53"/>
          </reference>
          <reference field="15" count="1" selected="0">
            <x v="0"/>
          </reference>
          <reference field="16" count="1">
            <x v="59"/>
          </reference>
        </references>
      </pivotArea>
    </format>
    <format dxfId="1198">
      <pivotArea dataOnly="0" labelOnly="1" fieldPosition="0">
        <references count="9">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selected="0">
            <x v="25"/>
          </reference>
          <reference field="15" count="1" selected="0">
            <x v="29"/>
          </reference>
          <reference field="16" count="1">
            <x v="0"/>
          </reference>
        </references>
      </pivotArea>
    </format>
    <format dxfId="1197">
      <pivotArea dataOnly="0" labelOnly="1" fieldPosition="0">
        <references count="9">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selected="0">
            <x v="0"/>
          </reference>
          <reference field="15" count="1" selected="0">
            <x v="0"/>
          </reference>
          <reference field="16" count="1">
            <x v="52"/>
          </reference>
        </references>
      </pivotArea>
    </format>
    <format dxfId="1196">
      <pivotArea dataOnly="0" labelOnly="1" fieldPosition="0">
        <references count="9">
          <reference field="0" count="1" selected="0">
            <x v="89"/>
          </reference>
          <reference field="1" count="1" selected="0">
            <x v="76"/>
          </reference>
          <reference field="2" count="1" selected="0">
            <x v="232"/>
          </reference>
          <reference field="3" count="1" selected="0">
            <x v="0"/>
          </reference>
          <reference field="12" count="1" selected="0">
            <x v="7"/>
          </reference>
          <reference field="13" count="1" selected="0">
            <x v="0"/>
          </reference>
          <reference field="14" count="1" selected="0">
            <x v="50"/>
          </reference>
          <reference field="15" count="1" selected="0">
            <x v="0"/>
          </reference>
          <reference field="16" count="1">
            <x v="52"/>
          </reference>
        </references>
      </pivotArea>
    </format>
    <format dxfId="1195">
      <pivotArea dataOnly="0" labelOnly="1" fieldPosition="0">
        <references count="9">
          <reference field="0" count="1" selected="0">
            <x v="90"/>
          </reference>
          <reference field="1" count="1" selected="0">
            <x v="77"/>
          </reference>
          <reference field="2" count="1" selected="0">
            <x v="43"/>
          </reference>
          <reference field="3" count="1" selected="0">
            <x v="0"/>
          </reference>
          <reference field="12" count="1" selected="0">
            <x v="7"/>
          </reference>
          <reference field="13" count="1" selected="0">
            <x v="0"/>
          </reference>
          <reference field="14" count="1" selected="0">
            <x v="50"/>
          </reference>
          <reference field="15" count="1" selected="0">
            <x v="0"/>
          </reference>
          <reference field="16" count="1">
            <x v="52"/>
          </reference>
        </references>
      </pivotArea>
    </format>
    <format dxfId="1194">
      <pivotArea dataOnly="0" labelOnly="1" fieldPosition="0">
        <references count="9">
          <reference field="0" count="1" selected="0">
            <x v="91"/>
          </reference>
          <reference field="1" count="1" selected="0">
            <x v="78"/>
          </reference>
          <reference field="2" count="1" selected="0">
            <x v="12"/>
          </reference>
          <reference field="3" count="1" selected="0">
            <x v="0"/>
          </reference>
          <reference field="12" count="1" selected="0">
            <x v="7"/>
          </reference>
          <reference field="13" count="1" selected="0">
            <x v="0"/>
          </reference>
          <reference field="14" count="1" selected="0">
            <x v="50"/>
          </reference>
          <reference field="15" count="1" selected="0">
            <x v="0"/>
          </reference>
          <reference field="16" count="1">
            <x v="0"/>
          </reference>
        </references>
      </pivotArea>
    </format>
    <format dxfId="1193">
      <pivotArea dataOnly="0" labelOnly="1" fieldPosition="0">
        <references count="9">
          <reference field="0" count="1" selected="0">
            <x v="93"/>
          </reference>
          <reference field="1" count="1" selected="0">
            <x v="80"/>
          </reference>
          <reference field="2" count="1" selected="0">
            <x v="180"/>
          </reference>
          <reference field="3" count="1" selected="0">
            <x v="0"/>
          </reference>
          <reference field="12" count="1" selected="0">
            <x v="7"/>
          </reference>
          <reference field="13" count="1" selected="0">
            <x v="0"/>
          </reference>
          <reference field="14" count="1" selected="0">
            <x v="49"/>
          </reference>
          <reference field="15" count="1" selected="0">
            <x v="0"/>
          </reference>
          <reference field="16" count="1">
            <x v="52"/>
          </reference>
        </references>
      </pivotArea>
    </format>
    <format dxfId="1192">
      <pivotArea dataOnly="0" labelOnly="1" fieldPosition="0">
        <references count="9">
          <reference field="0" count="1" selected="0">
            <x v="94"/>
          </reference>
          <reference field="1" count="1" selected="0">
            <x v="81"/>
          </reference>
          <reference field="2" count="1" selected="0">
            <x v="60"/>
          </reference>
          <reference field="3" count="1" selected="0">
            <x v="0"/>
          </reference>
          <reference field="12" count="1" selected="0">
            <x v="7"/>
          </reference>
          <reference field="13" count="1" selected="0">
            <x v="0"/>
          </reference>
          <reference field="14" count="1" selected="0">
            <x v="49"/>
          </reference>
          <reference field="15" count="1" selected="0">
            <x v="0"/>
          </reference>
          <reference field="16" count="1">
            <x v="57"/>
          </reference>
        </references>
      </pivotArea>
    </format>
    <format dxfId="1191">
      <pivotArea dataOnly="0" labelOnly="1" fieldPosition="0">
        <references count="9">
          <reference field="0" count="1" selected="0">
            <x v="95"/>
          </reference>
          <reference field="1" count="1" selected="0">
            <x v="82"/>
          </reference>
          <reference field="2" count="1" selected="0">
            <x v="5"/>
          </reference>
          <reference field="3" count="1" selected="0">
            <x v="0"/>
          </reference>
          <reference field="12" count="1" selected="0">
            <x v="1"/>
          </reference>
          <reference field="13" count="1" selected="0">
            <x v="0"/>
          </reference>
          <reference field="14" count="1" selected="0">
            <x v="49"/>
          </reference>
          <reference field="15" count="1" selected="0">
            <x v="0"/>
          </reference>
          <reference field="16" count="1">
            <x v="52"/>
          </reference>
        </references>
      </pivotArea>
    </format>
    <format dxfId="1190">
      <pivotArea dataOnly="0" labelOnly="1" fieldPosition="0">
        <references count="9">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60"/>
          </reference>
        </references>
      </pivotArea>
    </format>
    <format dxfId="1189">
      <pivotArea dataOnly="0" labelOnly="1" fieldPosition="0">
        <references count="9">
          <reference field="0" count="1" selected="0">
            <x v="97"/>
          </reference>
          <reference field="1" count="1" selected="0">
            <x v="84"/>
          </reference>
          <reference field="2" count="1" selected="0">
            <x v="6"/>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60"/>
          </reference>
        </references>
      </pivotArea>
    </format>
    <format dxfId="1188">
      <pivotArea dataOnly="0" labelOnly="1" fieldPosition="0">
        <references count="9">
          <reference field="0" count="1" selected="0">
            <x v="98"/>
          </reference>
          <reference field="1" count="1" selected="0">
            <x v="85"/>
          </reference>
          <reference field="2" count="1" selected="0">
            <x v="214"/>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60"/>
          </reference>
        </references>
      </pivotArea>
    </format>
    <format dxfId="1187">
      <pivotArea dataOnly="0" labelOnly="1" fieldPosition="0">
        <references count="9">
          <reference field="0" count="1" selected="0">
            <x v="99"/>
          </reference>
          <reference field="1" count="1" selected="0">
            <x v="86"/>
          </reference>
          <reference field="2" count="1" selected="0">
            <x v="66"/>
          </reference>
          <reference field="3" count="1" selected="0">
            <x v="0"/>
          </reference>
          <reference field="12" count="1" selected="0">
            <x v="3"/>
          </reference>
          <reference field="13" count="1" selected="0">
            <x v="0"/>
          </reference>
          <reference field="14" count="1" selected="0">
            <x v="16"/>
          </reference>
          <reference field="15" count="1" selected="0">
            <x v="28"/>
          </reference>
          <reference field="16" count="1">
            <x v="60"/>
          </reference>
        </references>
      </pivotArea>
    </format>
    <format dxfId="1186">
      <pivotArea dataOnly="0" labelOnly="1" fieldPosition="0">
        <references count="9">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selected="0">
            <x v="6"/>
          </reference>
          <reference field="15" count="1" selected="0">
            <x v="0"/>
          </reference>
          <reference field="16" count="1">
            <x v="20"/>
          </reference>
        </references>
      </pivotArea>
    </format>
    <format dxfId="1185">
      <pivotArea dataOnly="0" labelOnly="1" fieldPosition="0">
        <references count="9">
          <reference field="0" count="1" selected="0">
            <x v="103"/>
          </reference>
          <reference field="1" count="1" selected="0">
            <x v="90"/>
          </reference>
          <reference field="2" count="1" selected="0">
            <x v="73"/>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56"/>
          </reference>
        </references>
      </pivotArea>
    </format>
    <format dxfId="1184">
      <pivotArea dataOnly="0" labelOnly="1" fieldPosition="0">
        <references count="9">
          <reference field="0" count="1" selected="0">
            <x v="104"/>
          </reference>
          <reference field="1" count="1" selected="0">
            <x v="91"/>
          </reference>
          <reference field="2" count="1" selected="0">
            <x v="68"/>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55"/>
          </reference>
        </references>
      </pivotArea>
    </format>
    <format dxfId="1183">
      <pivotArea dataOnly="0" labelOnly="1" fieldPosition="0">
        <references count="9">
          <reference field="0" count="1" selected="0">
            <x v="105"/>
          </reference>
          <reference field="1" count="1" selected="0">
            <x v="92"/>
          </reference>
          <reference field="2" count="1" selected="0">
            <x v="134"/>
          </reference>
          <reference field="3" count="1" selected="0">
            <x v="0"/>
          </reference>
          <reference field="12" count="1" selected="0">
            <x v="7"/>
          </reference>
          <reference field="13" count="1" selected="0">
            <x v="0"/>
          </reference>
          <reference field="14" count="1" selected="0">
            <x v="16"/>
          </reference>
          <reference field="15" count="1" selected="0">
            <x v="0"/>
          </reference>
          <reference field="16" count="1">
            <x v="60"/>
          </reference>
        </references>
      </pivotArea>
    </format>
    <format dxfId="1182">
      <pivotArea dataOnly="0" labelOnly="1" fieldPosition="0">
        <references count="9">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selected="0">
            <x v="54"/>
          </reference>
          <reference field="15" count="1" selected="0">
            <x v="30"/>
          </reference>
          <reference field="16" count="1">
            <x v="49"/>
          </reference>
        </references>
      </pivotArea>
    </format>
    <format dxfId="1181">
      <pivotArea dataOnly="0" labelOnly="1" fieldPosition="0">
        <references count="9">
          <reference field="0" count="1" selected="0">
            <x v="107"/>
          </reference>
          <reference field="1" count="1" selected="0">
            <x v="94"/>
          </reference>
          <reference field="2" count="1" selected="0">
            <x v="190"/>
          </reference>
          <reference field="3" count="1" selected="0">
            <x v="0"/>
          </reference>
          <reference field="12" count="1" selected="0">
            <x v="7"/>
          </reference>
          <reference field="13" count="1" selected="0">
            <x v="0"/>
          </reference>
          <reference field="14" count="1" selected="0">
            <x v="55"/>
          </reference>
          <reference field="15" count="1" selected="0">
            <x v="30"/>
          </reference>
          <reference field="16" count="1">
            <x v="51"/>
          </reference>
        </references>
      </pivotArea>
    </format>
    <format dxfId="1180">
      <pivotArea dataOnly="0" labelOnly="1" fieldPosition="0">
        <references count="9">
          <reference field="0" count="1" selected="0">
            <x v="108"/>
          </reference>
          <reference field="1" count="1" selected="0">
            <x v="95"/>
          </reference>
          <reference field="2" count="1" selected="0">
            <x v="236"/>
          </reference>
          <reference field="3" count="1" selected="0">
            <x v="0"/>
          </reference>
          <reference field="12" count="1" selected="0">
            <x v="7"/>
          </reference>
          <reference field="13" count="1" selected="0">
            <x v="0"/>
          </reference>
          <reference field="14" count="1" selected="0">
            <x v="55"/>
          </reference>
          <reference field="15" count="1" selected="0">
            <x v="31"/>
          </reference>
          <reference field="16" count="1">
            <x v="51"/>
          </reference>
        </references>
      </pivotArea>
    </format>
    <format dxfId="1179">
      <pivotArea dataOnly="0" labelOnly="1" fieldPosition="0">
        <references count="9">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selected="0">
            <x v="4"/>
          </reference>
          <reference field="15" count="1" selected="0">
            <x v="26"/>
          </reference>
          <reference field="16" count="1">
            <x v="0"/>
          </reference>
        </references>
      </pivotArea>
    </format>
    <format dxfId="1178">
      <pivotArea dataOnly="0" labelOnly="1" fieldPosition="0">
        <references count="9">
          <reference field="0" count="1" selected="0">
            <x v="111"/>
          </reference>
          <reference field="1" count="1" selected="0">
            <x v="98"/>
          </reference>
          <reference field="2" count="1" selected="0">
            <x v="83"/>
          </reference>
          <reference field="3" count="1" selected="0">
            <x v="0"/>
          </reference>
          <reference field="12" count="1" selected="0">
            <x v="7"/>
          </reference>
          <reference field="13" count="1" selected="0">
            <x v="0"/>
          </reference>
          <reference field="14" count="1" selected="0">
            <x v="4"/>
          </reference>
          <reference field="15" count="1" selected="0">
            <x v="27"/>
          </reference>
          <reference field="16" count="1">
            <x v="0"/>
          </reference>
        </references>
      </pivotArea>
    </format>
    <format dxfId="1177">
      <pivotArea dataOnly="0" labelOnly="1" fieldPosition="0">
        <references count="9">
          <reference field="0" count="1" selected="0">
            <x v="113"/>
          </reference>
          <reference field="1" count="1" selected="0">
            <x v="100"/>
          </reference>
          <reference field="2" count="1" selected="0">
            <x v="124"/>
          </reference>
          <reference field="3" count="1" selected="0">
            <x v="0"/>
          </reference>
          <reference field="12" count="1" selected="0">
            <x v="7"/>
          </reference>
          <reference field="13" count="1" selected="0">
            <x v="0"/>
          </reference>
          <reference field="14" count="1" selected="0">
            <x v="7"/>
          </reference>
          <reference field="15" count="1" selected="0">
            <x v="0"/>
          </reference>
          <reference field="16" count="1">
            <x v="0"/>
          </reference>
        </references>
      </pivotArea>
    </format>
    <format dxfId="1176">
      <pivotArea dataOnly="0" labelOnly="1" fieldPosition="0">
        <references count="9">
          <reference field="0" count="1" selected="0">
            <x v="122"/>
          </reference>
          <reference field="1" count="1" selected="0">
            <x v="109"/>
          </reference>
          <reference field="2" count="1" selected="0">
            <x v="35"/>
          </reference>
          <reference field="3" count="1" selected="0">
            <x v="0"/>
          </reference>
          <reference field="12" count="1" selected="0">
            <x v="3"/>
          </reference>
          <reference field="13" count="1" selected="0">
            <x v="0"/>
          </reference>
          <reference field="14" count="1" selected="0">
            <x v="11"/>
          </reference>
          <reference field="15" count="1" selected="0">
            <x v="0"/>
          </reference>
          <reference field="16" count="1">
            <x v="0"/>
          </reference>
        </references>
      </pivotArea>
    </format>
    <format dxfId="1175">
      <pivotArea dataOnly="0" labelOnly="1" fieldPosition="0">
        <references count="9">
          <reference field="0" count="1" selected="0">
            <x v="123"/>
          </reference>
          <reference field="1" count="1" selected="0">
            <x v="110"/>
          </reference>
          <reference field="2" count="1" selected="0">
            <x v="176"/>
          </reference>
          <reference field="3" count="1" selected="0">
            <x v="0"/>
          </reference>
          <reference field="12" count="1" selected="0">
            <x v="5"/>
          </reference>
          <reference field="13" count="1" selected="0">
            <x v="0"/>
          </reference>
          <reference field="14" count="1" selected="0">
            <x v="38"/>
          </reference>
          <reference field="15" count="1" selected="0">
            <x v="0"/>
          </reference>
          <reference field="16" count="1">
            <x v="0"/>
          </reference>
        </references>
      </pivotArea>
    </format>
    <format dxfId="1174">
      <pivotArea dataOnly="0" labelOnly="1" fieldPosition="0">
        <references count="9">
          <reference field="0" count="1" selected="0">
            <x v="124"/>
          </reference>
          <reference field="1" count="1" selected="0">
            <x v="111"/>
          </reference>
          <reference field="2" count="1" selected="0">
            <x v="218"/>
          </reference>
          <reference field="3" count="1" selected="0">
            <x v="0"/>
          </reference>
          <reference field="12" count="1" selected="0">
            <x v="0"/>
          </reference>
          <reference field="13" count="1" selected="0">
            <x v="0"/>
          </reference>
          <reference field="14" count="1" selected="0">
            <x v="34"/>
          </reference>
          <reference field="15" count="1" selected="0">
            <x v="0"/>
          </reference>
          <reference field="16" count="1">
            <x v="0"/>
          </reference>
        </references>
      </pivotArea>
    </format>
    <format dxfId="1173">
      <pivotArea dataOnly="0" labelOnly="1" fieldPosition="0">
        <references count="9">
          <reference field="0" count="1" selected="0">
            <x v="125"/>
          </reference>
          <reference field="1" count="1" selected="0">
            <x v="112"/>
          </reference>
          <reference field="2" count="1" selected="0">
            <x v="197"/>
          </reference>
          <reference field="3" count="1" selected="0">
            <x v="0"/>
          </reference>
          <reference field="12" count="1" selected="0">
            <x v="3"/>
          </reference>
          <reference field="13" count="1" selected="0">
            <x v="0"/>
          </reference>
          <reference field="14" count="1" selected="0">
            <x v="34"/>
          </reference>
          <reference field="15" count="1" selected="0">
            <x v="32"/>
          </reference>
          <reference field="16" count="1">
            <x v="0"/>
          </reference>
        </references>
      </pivotArea>
    </format>
    <format dxfId="1172">
      <pivotArea dataOnly="0" labelOnly="1" fieldPosition="0">
        <references count="9">
          <reference field="0" count="1" selected="0">
            <x v="126"/>
          </reference>
          <reference field="1" count="1" selected="0">
            <x v="113"/>
          </reference>
          <reference field="2" count="1" selected="0">
            <x v="191"/>
          </reference>
          <reference field="3" count="1" selected="0">
            <x v="0"/>
          </reference>
          <reference field="12" count="1" selected="0">
            <x v="0"/>
          </reference>
          <reference field="13" count="1" selected="0">
            <x v="0"/>
          </reference>
          <reference field="14" count="1" selected="0">
            <x v="37"/>
          </reference>
          <reference field="15" count="1" selected="0">
            <x v="32"/>
          </reference>
          <reference field="16" count="1">
            <x v="0"/>
          </reference>
        </references>
      </pivotArea>
    </format>
    <format dxfId="1171">
      <pivotArea dataOnly="0" labelOnly="1" fieldPosition="0">
        <references count="9">
          <reference field="0" count="1" selected="0">
            <x v="127"/>
          </reference>
          <reference field="1" count="1" selected="0">
            <x v="114"/>
          </reference>
          <reference field="2" count="1" selected="0">
            <x v="174"/>
          </reference>
          <reference field="3" count="1" selected="0">
            <x v="0"/>
          </reference>
          <reference field="12" count="1" selected="0">
            <x v="0"/>
          </reference>
          <reference field="13" count="1" selected="0">
            <x v="0"/>
          </reference>
          <reference field="14" count="1" selected="0">
            <x v="36"/>
          </reference>
          <reference field="15" count="1" selected="0">
            <x v="32"/>
          </reference>
          <reference field="16" count="1">
            <x v="0"/>
          </reference>
        </references>
      </pivotArea>
    </format>
    <format dxfId="1170">
      <pivotArea dataOnly="0" labelOnly="1" fieldPosition="0">
        <references count="9">
          <reference field="0" count="1" selected="0">
            <x v="128"/>
          </reference>
          <reference field="1" count="1" selected="0">
            <x v="115"/>
          </reference>
          <reference field="2" count="1" selected="0">
            <x v="59"/>
          </reference>
          <reference field="3" count="1" selected="0">
            <x v="0"/>
          </reference>
          <reference field="12" count="1" selected="0">
            <x v="0"/>
          </reference>
          <reference field="13" count="1" selected="0">
            <x v="0"/>
          </reference>
          <reference field="14" count="1" selected="0">
            <x v="37"/>
          </reference>
          <reference field="15" count="1" selected="0">
            <x v="0"/>
          </reference>
          <reference field="16" count="1">
            <x v="0"/>
          </reference>
        </references>
      </pivotArea>
    </format>
    <format dxfId="1169">
      <pivotArea dataOnly="0" labelOnly="1" fieldPosition="0">
        <references count="9">
          <reference field="0" count="1" selected="0">
            <x v="129"/>
          </reference>
          <reference field="1" count="1" selected="0">
            <x v="116"/>
          </reference>
          <reference field="2" count="1" selected="0">
            <x v="212"/>
          </reference>
          <reference field="3" count="1" selected="0">
            <x v="0"/>
          </reference>
          <reference field="12" count="1" selected="0">
            <x v="3"/>
          </reference>
          <reference field="13" count="1" selected="0">
            <x v="0"/>
          </reference>
          <reference field="14" count="1" selected="0">
            <x v="37"/>
          </reference>
          <reference field="15" count="1" selected="0">
            <x v="32"/>
          </reference>
          <reference field="16" count="1">
            <x v="0"/>
          </reference>
        </references>
      </pivotArea>
    </format>
    <format dxfId="1168">
      <pivotArea dataOnly="0" labelOnly="1" fieldPosition="0">
        <references count="9">
          <reference field="0" count="1" selected="0">
            <x v="130"/>
          </reference>
          <reference field="1" count="1" selected="0">
            <x v="117"/>
          </reference>
          <reference field="2" count="1" selected="0">
            <x v="118"/>
          </reference>
          <reference field="3" count="1" selected="0">
            <x v="0"/>
          </reference>
          <reference field="12" count="1" selected="0">
            <x v="7"/>
          </reference>
          <reference field="13" count="1" selected="0">
            <x v="0"/>
          </reference>
          <reference field="14" count="1" selected="0">
            <x v="37"/>
          </reference>
          <reference field="15" count="1" selected="0">
            <x v="32"/>
          </reference>
          <reference field="16" count="1">
            <x v="0"/>
          </reference>
        </references>
      </pivotArea>
    </format>
    <format dxfId="1167">
      <pivotArea dataOnly="0" labelOnly="1" fieldPosition="0">
        <references count="9">
          <reference field="0" count="1" selected="0">
            <x v="134"/>
          </reference>
          <reference field="1" count="1" selected="0">
            <x v="127"/>
          </reference>
          <reference field="2" count="1" selected="0">
            <x v="2"/>
          </reference>
          <reference field="3" count="1" selected="0">
            <x v="0"/>
          </reference>
          <reference field="12" count="1" selected="0">
            <x v="4"/>
          </reference>
          <reference field="13" count="1" selected="0">
            <x v="0"/>
          </reference>
          <reference field="14" count="1" selected="0">
            <x v="34"/>
          </reference>
          <reference field="15" count="1" selected="0">
            <x v="43"/>
          </reference>
          <reference field="16" count="1">
            <x v="0"/>
          </reference>
        </references>
      </pivotArea>
    </format>
    <format dxfId="1166">
      <pivotArea dataOnly="0" labelOnly="1" fieldPosition="0">
        <references count="9">
          <reference field="0" count="1" selected="0">
            <x v="135"/>
          </reference>
          <reference field="1" count="1" selected="0">
            <x v="128"/>
          </reference>
          <reference field="2" count="1" selected="0">
            <x v="151"/>
          </reference>
          <reference field="3" count="1" selected="0">
            <x v="0"/>
          </reference>
          <reference field="12" count="1" selected="0">
            <x v="3"/>
          </reference>
          <reference field="13" count="1" selected="0">
            <x v="0"/>
          </reference>
          <reference field="14" count="1" selected="0">
            <x v="37"/>
          </reference>
          <reference field="15" count="1" selected="0">
            <x v="43"/>
          </reference>
          <reference field="16" count="1">
            <x v="0"/>
          </reference>
        </references>
      </pivotArea>
    </format>
    <format dxfId="1165">
      <pivotArea dataOnly="0" labelOnly="1" fieldPosition="0">
        <references count="9">
          <reference field="0" count="1" selected="0">
            <x v="136"/>
          </reference>
          <reference field="1" count="1" selected="0">
            <x v="129"/>
          </reference>
          <reference field="2" count="1" selected="0">
            <x v="219"/>
          </reference>
          <reference field="3" count="1" selected="0">
            <x v="0"/>
          </reference>
          <reference field="12" count="1" selected="0">
            <x v="3"/>
          </reference>
          <reference field="13" count="1" selected="0">
            <x v="0"/>
          </reference>
          <reference field="14" count="1" selected="0">
            <x v="37"/>
          </reference>
          <reference field="15" count="1" selected="0">
            <x v="43"/>
          </reference>
          <reference field="16" count="1">
            <x v="0"/>
          </reference>
        </references>
      </pivotArea>
    </format>
    <format dxfId="1164">
      <pivotArea dataOnly="0" labelOnly="1" fieldPosition="0">
        <references count="9">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selected="0">
            <x v="0"/>
          </reference>
          <reference field="15" count="1" selected="0">
            <x v="0"/>
          </reference>
          <reference field="16" count="1">
            <x v="45"/>
          </reference>
        </references>
      </pivotArea>
    </format>
    <format dxfId="1163">
      <pivotArea dataOnly="0" labelOnly="1" fieldPosition="0">
        <references count="9">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selected="0">
            <x v="23"/>
          </reference>
          <reference field="15" count="1" selected="0">
            <x v="33"/>
          </reference>
          <reference field="16" count="1">
            <x v="0"/>
          </reference>
        </references>
      </pivotArea>
    </format>
    <format dxfId="1162">
      <pivotArea dataOnly="0" labelOnly="1" fieldPosition="0">
        <references count="9">
          <reference field="0" count="1" selected="0">
            <x v="147"/>
          </reference>
          <reference field="1" count="1" selected="0">
            <x v="140"/>
          </reference>
          <reference field="2" count="1" selected="0">
            <x v="211"/>
          </reference>
          <reference field="3" count="1" selected="0">
            <x v="0"/>
          </reference>
          <reference field="12" count="1" selected="0">
            <x v="26"/>
          </reference>
          <reference field="13" count="1" selected="0">
            <x v="0"/>
          </reference>
          <reference field="14" count="1" selected="0">
            <x v="22"/>
          </reference>
          <reference field="15" count="1" selected="0">
            <x v="24"/>
          </reference>
          <reference field="16" count="1">
            <x v="0"/>
          </reference>
        </references>
      </pivotArea>
    </format>
    <format dxfId="1161">
      <pivotArea dataOnly="0" labelOnly="1" fieldPosition="0">
        <references count="9">
          <reference field="0" count="1" selected="0">
            <x v="148"/>
          </reference>
          <reference field="1" count="1" selected="0">
            <x v="141"/>
          </reference>
          <reference field="2" count="1" selected="0">
            <x v="95"/>
          </reference>
          <reference field="3" count="1" selected="0">
            <x v="0"/>
          </reference>
          <reference field="12" count="1" selected="0">
            <x v="26"/>
          </reference>
          <reference field="13" count="1" selected="0">
            <x v="0"/>
          </reference>
          <reference field="14" count="1" selected="0">
            <x v="14"/>
          </reference>
          <reference field="15" count="1" selected="0">
            <x v="24"/>
          </reference>
          <reference field="16" count="1">
            <x v="0"/>
          </reference>
        </references>
      </pivotArea>
    </format>
    <format dxfId="1160">
      <pivotArea dataOnly="0" labelOnly="1" fieldPosition="0">
        <references count="9">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selected="0">
            <x v="24"/>
          </reference>
          <reference field="15" count="1" selected="0">
            <x v="2"/>
          </reference>
          <reference field="16" count="1">
            <x v="44"/>
          </reference>
        </references>
      </pivotArea>
    </format>
    <format dxfId="1159">
      <pivotArea dataOnly="0" labelOnly="1" fieldPosition="0">
        <references count="9">
          <reference field="0" count="1" selected="0">
            <x v="150"/>
          </reference>
          <reference field="1" count="1" selected="0">
            <x v="143"/>
          </reference>
          <reference field="2" count="1" selected="0">
            <x v="166"/>
          </reference>
          <reference field="3" count="1" selected="0">
            <x v="0"/>
          </reference>
          <reference field="12" count="1" selected="0">
            <x v="14"/>
          </reference>
          <reference field="13" count="1" selected="0">
            <x v="0"/>
          </reference>
          <reference field="14" count="1" selected="0">
            <x v="24"/>
          </reference>
          <reference field="15" count="1" selected="0">
            <x v="2"/>
          </reference>
          <reference field="16" count="1">
            <x v="44"/>
          </reference>
        </references>
      </pivotArea>
    </format>
    <format dxfId="1158">
      <pivotArea dataOnly="0" labelOnly="1" fieldPosition="0">
        <references count="9">
          <reference field="0" count="1" selected="0">
            <x v="151"/>
          </reference>
          <reference field="1" count="1" selected="0">
            <x v="144"/>
          </reference>
          <reference field="2" count="1" selected="0">
            <x v="85"/>
          </reference>
          <reference field="3" count="1" selected="0">
            <x v="0"/>
          </reference>
          <reference field="12" count="1" selected="0">
            <x v="14"/>
          </reference>
          <reference field="13" count="1" selected="0">
            <x v="0"/>
          </reference>
          <reference field="14" count="1" selected="0">
            <x v="24"/>
          </reference>
          <reference field="15" count="1" selected="0">
            <x v="2"/>
          </reference>
          <reference field="16" count="1">
            <x v="44"/>
          </reference>
        </references>
      </pivotArea>
    </format>
    <format dxfId="1157">
      <pivotArea dataOnly="0" labelOnly="1" fieldPosition="0">
        <references count="9">
          <reference field="0" count="1" selected="0">
            <x v="152"/>
          </reference>
          <reference field="1" count="1" selected="0">
            <x v="145"/>
          </reference>
          <reference field="2" count="1" selected="0">
            <x v="86"/>
          </reference>
          <reference field="3" count="1" selected="0">
            <x v="0"/>
          </reference>
          <reference field="12" count="1" selected="0">
            <x v="14"/>
          </reference>
          <reference field="13" count="1" selected="0">
            <x v="0"/>
          </reference>
          <reference field="14" count="1" selected="0">
            <x v="24"/>
          </reference>
          <reference field="15" count="1" selected="0">
            <x v="2"/>
          </reference>
          <reference field="16" count="1">
            <x v="44"/>
          </reference>
        </references>
      </pivotArea>
    </format>
    <format dxfId="1156">
      <pivotArea dataOnly="0" labelOnly="1" fieldPosition="0">
        <references count="9">
          <reference field="0" count="1" selected="0">
            <x v="153"/>
          </reference>
          <reference field="1" count="1" selected="0">
            <x v="146"/>
          </reference>
          <reference field="2" count="1" selected="0">
            <x v="54"/>
          </reference>
          <reference field="3" count="1" selected="0">
            <x v="0"/>
          </reference>
          <reference field="12" count="1" selected="0">
            <x v="14"/>
          </reference>
          <reference field="13" count="1" selected="0">
            <x v="0"/>
          </reference>
          <reference field="14" count="1" selected="0">
            <x v="18"/>
          </reference>
          <reference field="15" count="1" selected="0">
            <x v="0"/>
          </reference>
          <reference field="16" count="1">
            <x v="44"/>
          </reference>
        </references>
      </pivotArea>
    </format>
    <format dxfId="1155">
      <pivotArea dataOnly="0" labelOnly="1" fieldPosition="0">
        <references count="9">
          <reference field="0" count="1" selected="0">
            <x v="154"/>
          </reference>
          <reference field="1" count="1" selected="0">
            <x v="147"/>
          </reference>
          <reference field="2" count="1" selected="0">
            <x v="109"/>
          </reference>
          <reference field="3" count="1" selected="0">
            <x v="0"/>
          </reference>
          <reference field="12" count="1" selected="0">
            <x v="14"/>
          </reference>
          <reference field="13" count="1" selected="0">
            <x v="0"/>
          </reference>
          <reference field="14" count="1" selected="0">
            <x v="18"/>
          </reference>
          <reference field="15" count="1" selected="0">
            <x v="3"/>
          </reference>
          <reference field="16" count="1">
            <x v="44"/>
          </reference>
        </references>
      </pivotArea>
    </format>
    <format dxfId="1154">
      <pivotArea dataOnly="0" labelOnly="1" fieldPosition="0">
        <references count="9">
          <reference field="0" count="1" selected="0">
            <x v="155"/>
          </reference>
          <reference field="1" count="1" selected="0">
            <x v="148"/>
          </reference>
          <reference field="2" count="1" selected="0">
            <x v="3"/>
          </reference>
          <reference field="3" count="1" selected="0">
            <x v="0"/>
          </reference>
          <reference field="12" count="1" selected="0">
            <x v="23"/>
          </reference>
          <reference field="13" count="1" selected="0">
            <x v="0"/>
          </reference>
          <reference field="14" count="1" selected="0">
            <x v="18"/>
          </reference>
          <reference field="15" count="1" selected="0">
            <x v="1"/>
          </reference>
          <reference field="16" count="1">
            <x v="28"/>
          </reference>
        </references>
      </pivotArea>
    </format>
    <format dxfId="1153">
      <pivotArea dataOnly="0" labelOnly="1" fieldPosition="0">
        <references count="9">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selected="0">
            <x v="51"/>
          </reference>
          <reference field="15" count="1" selected="0">
            <x v="8"/>
          </reference>
          <reference field="16" count="1">
            <x v="0"/>
          </reference>
        </references>
      </pivotArea>
    </format>
    <format dxfId="1152">
      <pivotArea dataOnly="0" labelOnly="1" fieldPosition="0">
        <references count="9">
          <reference field="0" count="1" selected="0">
            <x v="160"/>
          </reference>
          <reference field="1" count="1" selected="0">
            <x v="184"/>
          </reference>
          <reference field="2" count="1" selected="0">
            <x v="187"/>
          </reference>
          <reference field="3" count="1" selected="0">
            <x v="0"/>
          </reference>
          <reference field="12" count="1" selected="0">
            <x v="7"/>
          </reference>
          <reference field="13" count="1" selected="0">
            <x v="0"/>
          </reference>
          <reference field="14" count="1" selected="0">
            <x v="52"/>
          </reference>
          <reference field="15" count="1" selected="0">
            <x v="8"/>
          </reference>
          <reference field="16" count="1">
            <x v="5"/>
          </reference>
        </references>
      </pivotArea>
    </format>
    <format dxfId="1151">
      <pivotArea dataOnly="0" labelOnly="1" fieldPosition="0">
        <references count="9">
          <reference field="0" count="1" selected="0">
            <x v="161"/>
          </reference>
          <reference field="1" count="1" selected="0">
            <x v="185"/>
          </reference>
          <reference field="2" count="1" selected="0">
            <x v="186"/>
          </reference>
          <reference field="3" count="1" selected="0">
            <x v="0"/>
          </reference>
          <reference field="12" count="1" selected="0">
            <x v="9"/>
          </reference>
          <reference field="13" count="1" selected="0">
            <x v="0"/>
          </reference>
          <reference field="14" count="1" selected="0">
            <x v="52"/>
          </reference>
          <reference field="15" count="1" selected="0">
            <x v="7"/>
          </reference>
          <reference field="16" count="1">
            <x v="0"/>
          </reference>
        </references>
      </pivotArea>
    </format>
    <format dxfId="1150">
      <pivotArea dataOnly="0" labelOnly="1" fieldPosition="0">
        <references count="9">
          <reference field="0" count="1" selected="0">
            <x v="162"/>
          </reference>
          <reference field="1" count="1" selected="0">
            <x v="186"/>
          </reference>
          <reference field="2" count="1" selected="0">
            <x v="125"/>
          </reference>
          <reference field="3" count="1" selected="0">
            <x v="0"/>
          </reference>
          <reference field="12" count="1" selected="0">
            <x v="10"/>
          </reference>
          <reference field="13" count="1" selected="0">
            <x v="0"/>
          </reference>
          <reference field="14" count="1" selected="0">
            <x v="65"/>
          </reference>
          <reference field="15" count="1" selected="0">
            <x v="0"/>
          </reference>
          <reference field="16" count="1">
            <x v="0"/>
          </reference>
        </references>
      </pivotArea>
    </format>
    <format dxfId="1149">
      <pivotArea dataOnly="0" labelOnly="1" fieldPosition="0">
        <references count="9">
          <reference field="0" count="1" selected="0">
            <x v="164"/>
          </reference>
          <reference field="1" count="1" selected="0">
            <x v="188"/>
          </reference>
          <reference field="2" count="1" selected="0">
            <x v="119"/>
          </reference>
          <reference field="3" count="1" selected="0">
            <x v="0"/>
          </reference>
          <reference field="12" count="1" selected="0">
            <x v="13"/>
          </reference>
          <reference field="13" count="1" selected="0">
            <x v="0"/>
          </reference>
          <reference field="14" count="1" selected="0">
            <x v="26"/>
          </reference>
          <reference field="15" count="1" selected="0">
            <x v="5"/>
          </reference>
          <reference field="16" count="1">
            <x v="0"/>
          </reference>
        </references>
      </pivotArea>
    </format>
    <format dxfId="1148">
      <pivotArea dataOnly="0" labelOnly="1" fieldPosition="0">
        <references count="9">
          <reference field="0" count="1" selected="0">
            <x v="165"/>
          </reference>
          <reference field="1" count="1" selected="0">
            <x v="189"/>
          </reference>
          <reference field="2" count="1" selected="0">
            <x v="156"/>
          </reference>
          <reference field="3" count="1" selected="0">
            <x v="0"/>
          </reference>
          <reference field="12" count="1" selected="0">
            <x v="13"/>
          </reference>
          <reference field="13" count="1" selected="0">
            <x v="0"/>
          </reference>
          <reference field="14" count="1" selected="0">
            <x v="21"/>
          </reference>
          <reference field="15" count="1" selected="0">
            <x v="6"/>
          </reference>
          <reference field="16" count="1">
            <x v="0"/>
          </reference>
        </references>
      </pivotArea>
    </format>
    <format dxfId="1147">
      <pivotArea dataOnly="0" labelOnly="1" fieldPosition="0">
        <references count="9">
          <reference field="0" count="1" selected="0">
            <x v="166"/>
          </reference>
          <reference field="1" count="1" selected="0">
            <x v="190"/>
          </reference>
          <reference field="2" count="1" selected="0">
            <x v="213"/>
          </reference>
          <reference field="3" count="1" selected="0">
            <x v="0"/>
          </reference>
          <reference field="12" count="1" selected="0">
            <x v="13"/>
          </reference>
          <reference field="13" count="1" selected="0">
            <x v="0"/>
          </reference>
          <reference field="14" count="1" selected="0">
            <x v="21"/>
          </reference>
          <reference field="15" count="1" selected="0">
            <x v="6"/>
          </reference>
          <reference field="16" count="1">
            <x v="0"/>
          </reference>
        </references>
      </pivotArea>
    </format>
    <format dxfId="1146">
      <pivotArea dataOnly="0" labelOnly="1" fieldPosition="0">
        <references count="9">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selected="0">
            <x v="7"/>
          </reference>
          <reference field="15" count="1" selected="0">
            <x v="19"/>
          </reference>
          <reference field="16" count="1">
            <x v="58"/>
          </reference>
        </references>
      </pivotArea>
    </format>
    <format dxfId="1145">
      <pivotArea dataOnly="0" labelOnly="1" fieldPosition="0">
        <references count="9">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selected="0">
            <x v="52"/>
          </reference>
          <reference field="15" count="1" selected="0">
            <x v="18"/>
          </reference>
          <reference field="16" count="1">
            <x v="54"/>
          </reference>
        </references>
      </pivotArea>
    </format>
    <format dxfId="1144">
      <pivotArea dataOnly="0" labelOnly="1" fieldPosition="0">
        <references count="9">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selected="0">
            <x v="8"/>
          </reference>
          <reference field="15" count="1" selected="0">
            <x v="30"/>
          </reference>
          <reference field="16" count="1">
            <x v="50"/>
          </reference>
        </references>
      </pivotArea>
    </format>
    <format dxfId="1143">
      <pivotArea dataOnly="0" labelOnly="1" fieldPosition="0">
        <references count="9">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selected="0">
            <x v="20"/>
          </reference>
          <reference field="15" count="1" selected="0">
            <x v="38"/>
          </reference>
          <reference field="16" count="1">
            <x v="0"/>
          </reference>
        </references>
      </pivotArea>
    </format>
    <format dxfId="1142">
      <pivotArea dataOnly="0" labelOnly="1" fieldPosition="0">
        <references count="9">
          <reference field="0" count="1" selected="0">
            <x v="175"/>
          </reference>
          <reference field="1" count="1" selected="0">
            <x v="207"/>
          </reference>
          <reference field="2" count="1" selected="0">
            <x v="172"/>
          </reference>
          <reference field="3" count="1" selected="0">
            <x v="0"/>
          </reference>
          <reference field="12" count="1" selected="0">
            <x v="21"/>
          </reference>
          <reference field="13" count="1" selected="0">
            <x v="0"/>
          </reference>
          <reference field="14" count="1" selected="0">
            <x v="26"/>
          </reference>
          <reference field="15" count="1" selected="0">
            <x v="0"/>
          </reference>
          <reference field="16" count="1">
            <x v="0"/>
          </reference>
        </references>
      </pivotArea>
    </format>
    <format dxfId="1141">
      <pivotArea dataOnly="0" labelOnly="1" fieldPosition="0">
        <references count="9">
          <reference field="0" count="1" selected="0">
            <x v="176"/>
          </reference>
          <reference field="1" count="1" selected="0">
            <x v="208"/>
          </reference>
          <reference field="2" count="1" selected="0">
            <x v="215"/>
          </reference>
          <reference field="3" count="1" selected="0">
            <x v="0"/>
          </reference>
          <reference field="12" count="1" selected="0">
            <x v="20"/>
          </reference>
          <reference field="13" count="1" selected="0">
            <x v="0"/>
          </reference>
          <reference field="14" count="1" selected="0">
            <x v="26"/>
          </reference>
          <reference field="15" count="1" selected="0">
            <x v="0"/>
          </reference>
          <reference field="16" count="1">
            <x v="0"/>
          </reference>
        </references>
      </pivotArea>
    </format>
    <format dxfId="1140">
      <pivotArea dataOnly="0" labelOnly="1" fieldPosition="0">
        <references count="9">
          <reference field="0" count="1" selected="0">
            <x v="177"/>
          </reference>
          <reference field="1" count="1" selected="0">
            <x v="209"/>
          </reference>
          <reference field="2" count="1" selected="0">
            <x v="114"/>
          </reference>
          <reference field="3" count="1" selected="0">
            <x v="0"/>
          </reference>
          <reference field="12" count="1" selected="0">
            <x v="20"/>
          </reference>
          <reference field="13" count="1" selected="0">
            <x v="0"/>
          </reference>
          <reference field="14" count="1" selected="0">
            <x v="27"/>
          </reference>
          <reference field="15" count="1" selected="0">
            <x v="10"/>
          </reference>
          <reference field="16" count="1">
            <x v="0"/>
          </reference>
        </references>
      </pivotArea>
    </format>
    <format dxfId="1139">
      <pivotArea dataOnly="0" labelOnly="1" fieldPosition="0">
        <references count="9">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selected="0">
            <x v="26"/>
          </reference>
          <reference field="15" count="1" selected="0">
            <x v="0"/>
          </reference>
          <reference field="16" count="1">
            <x v="22"/>
          </reference>
        </references>
      </pivotArea>
    </format>
    <format dxfId="1138">
      <pivotArea dataOnly="0" labelOnly="1" fieldPosition="0">
        <references count="9">
          <reference field="0" count="1" selected="0">
            <x v="179"/>
          </reference>
          <reference field="1" count="1" selected="0">
            <x v="211"/>
          </reference>
          <reference field="2" count="1" selected="0">
            <x v="96"/>
          </reference>
          <reference field="3" count="1" selected="0">
            <x v="0"/>
          </reference>
          <reference field="12" count="1" selected="0">
            <x v="20"/>
          </reference>
          <reference field="13" count="1" selected="0">
            <x v="0"/>
          </reference>
          <reference field="14" count="1" selected="0">
            <x v="26"/>
          </reference>
          <reference field="15" count="1" selected="0">
            <x v="39"/>
          </reference>
          <reference field="16" count="1">
            <x v="0"/>
          </reference>
        </references>
      </pivotArea>
    </format>
    <format dxfId="1137">
      <pivotArea dataOnly="0" labelOnly="1" fieldPosition="0">
        <references count="9">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selected="0">
            <x v="32"/>
          </reference>
          <reference field="15" count="1" selected="0">
            <x v="43"/>
          </reference>
          <reference field="16" count="1">
            <x v="42"/>
          </reference>
        </references>
      </pivotArea>
    </format>
    <format dxfId="1136">
      <pivotArea dataOnly="0" labelOnly="1" fieldPosition="0">
        <references count="9">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selected="0">
            <x v="38"/>
          </reference>
          <reference field="15" count="1" selected="0">
            <x v="15"/>
          </reference>
          <reference field="16" count="1">
            <x v="46"/>
          </reference>
        </references>
      </pivotArea>
    </format>
    <format dxfId="1135">
      <pivotArea dataOnly="0" labelOnly="1" fieldPosition="0">
        <references count="9">
          <reference field="0" count="1" selected="0">
            <x v="182"/>
          </reference>
          <reference field="1" count="1" selected="0">
            <x v="214"/>
          </reference>
          <reference field="2" count="1" selected="0">
            <x v="235"/>
          </reference>
          <reference field="3" count="1" selected="0">
            <x v="0"/>
          </reference>
          <reference field="12" count="1" selected="0">
            <x v="7"/>
          </reference>
          <reference field="13" count="1" selected="0">
            <x v="0"/>
          </reference>
          <reference field="14" count="1" selected="0">
            <x v="38"/>
          </reference>
          <reference field="15" count="1" selected="0">
            <x v="0"/>
          </reference>
          <reference field="16" count="1">
            <x v="45"/>
          </reference>
        </references>
      </pivotArea>
    </format>
    <format dxfId="1134">
      <pivotArea dataOnly="0" labelOnly="1" fieldPosition="0">
        <references count="9">
          <reference field="0" count="1" selected="0">
            <x v="183"/>
          </reference>
          <reference field="1" count="1" selected="0">
            <x v="215"/>
          </reference>
          <reference field="2" count="1" selected="0">
            <x v="206"/>
          </reference>
          <reference field="3" count="1" selected="0">
            <x v="0"/>
          </reference>
          <reference field="12" count="1" selected="0">
            <x v="14"/>
          </reference>
          <reference field="13" count="1" selected="0">
            <x v="0"/>
          </reference>
          <reference field="14" count="1" selected="0">
            <x v="38"/>
          </reference>
          <reference field="15" count="1" selected="0">
            <x v="15"/>
          </reference>
          <reference field="16" count="1">
            <x v="0"/>
          </reference>
        </references>
      </pivotArea>
    </format>
    <format dxfId="1133">
      <pivotArea dataOnly="0" labelOnly="1" fieldPosition="0">
        <references count="9">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selected="0">
            <x v="44"/>
          </reference>
          <reference field="15" count="1" selected="0">
            <x v="37"/>
          </reference>
          <reference field="16" count="1">
            <x v="61"/>
          </reference>
        </references>
      </pivotArea>
    </format>
    <format dxfId="1132">
      <pivotArea dataOnly="0" labelOnly="1" fieldPosition="0">
        <references count="9">
          <reference field="0" count="1" selected="0">
            <x v="185"/>
          </reference>
          <reference field="1" count="1" selected="0">
            <x v="217"/>
          </reference>
          <reference field="2" count="1" selected="0">
            <x v="113"/>
          </reference>
          <reference field="3" count="1" selected="0">
            <x v="0"/>
          </reference>
          <reference field="12" count="1" selected="0">
            <x v="12"/>
          </reference>
          <reference field="13" count="1" selected="0">
            <x v="0"/>
          </reference>
          <reference field="14" count="1" selected="0">
            <x v="45"/>
          </reference>
          <reference field="15" count="1" selected="0">
            <x v="37"/>
          </reference>
          <reference field="16" count="1">
            <x v="0"/>
          </reference>
        </references>
      </pivotArea>
    </format>
    <format dxfId="1131">
      <pivotArea dataOnly="0" labelOnly="1" fieldPosition="0">
        <references count="9">
          <reference field="0" count="1" selected="0">
            <x v="186"/>
          </reference>
          <reference field="1" count="1" selected="0">
            <x v="218"/>
          </reference>
          <reference field="2" count="1" selected="0">
            <x v="93"/>
          </reference>
          <reference field="3" count="1" selected="0">
            <x v="0"/>
          </reference>
          <reference field="12" count="1" selected="0">
            <x v="12"/>
          </reference>
          <reference field="13" count="1" selected="0">
            <x v="2"/>
          </reference>
          <reference field="14" count="1" selected="0">
            <x v="42"/>
          </reference>
          <reference field="15" count="1" selected="0">
            <x v="15"/>
          </reference>
          <reference field="16" count="1">
            <x v="0"/>
          </reference>
        </references>
      </pivotArea>
    </format>
    <format dxfId="1130">
      <pivotArea dataOnly="0" labelOnly="1" fieldPosition="0">
        <references count="9">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selected="0">
            <x v="46"/>
          </reference>
          <reference field="15" count="1" selected="0">
            <x v="25"/>
          </reference>
          <reference field="16" count="1">
            <x v="24"/>
          </reference>
        </references>
      </pivotArea>
    </format>
    <format dxfId="1129">
      <pivotArea dataOnly="0" labelOnly="1" fieldPosition="0">
        <references count="9">
          <reference field="0" count="1" selected="0">
            <x v="188"/>
          </reference>
          <reference field="1" count="1" selected="0">
            <x v="220"/>
          </reference>
          <reference field="2" count="1" selected="0">
            <x v="196"/>
          </reference>
          <reference field="3" count="1" selected="0">
            <x v="0"/>
          </reference>
          <reference field="12" count="1" selected="0">
            <x v="12"/>
          </reference>
          <reference field="13" count="1" selected="0">
            <x v="14"/>
          </reference>
          <reference field="14" count="1" selected="0">
            <x v="46"/>
          </reference>
          <reference field="15" count="1" selected="0">
            <x v="25"/>
          </reference>
          <reference field="16" count="1">
            <x v="26"/>
          </reference>
        </references>
      </pivotArea>
    </format>
    <format dxfId="1128">
      <pivotArea dataOnly="0" labelOnly="1" fieldPosition="0">
        <references count="9">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selected="0">
            <x v="63"/>
          </reference>
          <reference field="15" count="1" selected="0">
            <x v="23"/>
          </reference>
          <reference field="16" count="1">
            <x v="14"/>
          </reference>
        </references>
      </pivotArea>
    </format>
    <format dxfId="1127">
      <pivotArea dataOnly="0" labelOnly="1" fieldPosition="0">
        <references count="9">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selected="0">
            <x v="38"/>
          </reference>
          <reference field="15" count="1" selected="0">
            <x v="0"/>
          </reference>
          <reference field="16" count="1">
            <x v="0"/>
          </reference>
        </references>
      </pivotArea>
    </format>
    <format dxfId="1126">
      <pivotArea dataOnly="0" labelOnly="1" fieldPosition="0">
        <references count="9">
          <reference field="0" count="1" selected="0">
            <x v="193"/>
          </reference>
          <reference field="1" count="1" selected="0">
            <x v="225"/>
          </reference>
          <reference field="2" count="1" selected="0">
            <x v="238"/>
          </reference>
          <reference field="3" count="1" selected="0">
            <x v="0"/>
          </reference>
          <reference field="12" count="1" selected="0">
            <x v="7"/>
          </reference>
          <reference field="13" count="1" selected="0">
            <x v="0"/>
          </reference>
          <reference field="14" count="1" selected="0">
            <x v="0"/>
          </reference>
          <reference field="15" count="1" selected="0">
            <x v="0"/>
          </reference>
          <reference field="16" count="1">
            <x v="0"/>
          </reference>
        </references>
      </pivotArea>
    </format>
    <format dxfId="1125">
      <pivotArea dataOnly="0" labelOnly="1" fieldPosition="0">
        <references count="9">
          <reference field="0" count="1" selected="0">
            <x v="197"/>
          </reference>
          <reference field="1" count="1" selected="0">
            <x v="236"/>
          </reference>
          <reference field="2" count="1" selected="0">
            <x v="102"/>
          </reference>
          <reference field="3" count="1" selected="0">
            <x v="0"/>
          </reference>
          <reference field="12" count="1" selected="0">
            <x v="18"/>
          </reference>
          <reference field="13" count="1" selected="0">
            <x v="0"/>
          </reference>
          <reference field="14" count="1" selected="0">
            <x v="0"/>
          </reference>
          <reference field="15" count="1" selected="0">
            <x v="36"/>
          </reference>
          <reference field="16" count="1">
            <x v="30"/>
          </reference>
        </references>
      </pivotArea>
    </format>
    <format dxfId="1124">
      <pivotArea dataOnly="0" labelOnly="1" fieldPosition="0">
        <references count="9">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selected="0">
            <x v="20"/>
          </reference>
          <reference field="15" count="1" selected="0">
            <x v="9"/>
          </reference>
          <reference field="16" count="1">
            <x v="18"/>
          </reference>
        </references>
      </pivotArea>
    </format>
    <format dxfId="1123">
      <pivotArea dataOnly="0" labelOnly="1" fieldPosition="0">
        <references count="9">
          <reference field="0" count="1" selected="0">
            <x v="200"/>
          </reference>
          <reference field="1" count="1" selected="0">
            <x v="239"/>
          </reference>
          <reference field="2" count="1" selected="0">
            <x v="34"/>
          </reference>
          <reference field="3" count="1" selected="0">
            <x v="0"/>
          </reference>
          <reference field="12" count="1" selected="0">
            <x v="20"/>
          </reference>
          <reference field="13" count="1" selected="0">
            <x v="0"/>
          </reference>
          <reference field="14" count="1" selected="0">
            <x v="0"/>
          </reference>
          <reference field="15" count="1" selected="0">
            <x v="9"/>
          </reference>
          <reference field="16" count="1">
            <x v="18"/>
          </reference>
        </references>
      </pivotArea>
    </format>
    <format dxfId="1122">
      <pivotArea dataOnly="0" labelOnly="1" fieldPosition="0">
        <references count="9">
          <reference field="0" count="1" selected="0">
            <x v="201"/>
          </reference>
          <reference field="1" count="1" selected="0">
            <x v="240"/>
          </reference>
          <reference field="2" count="1" selected="0">
            <x v="37"/>
          </reference>
          <reference field="3" count="1" selected="0">
            <x v="0"/>
          </reference>
          <reference field="12" count="1" selected="0">
            <x v="20"/>
          </reference>
          <reference field="13" count="1" selected="0">
            <x v="0"/>
          </reference>
          <reference field="14" count="1" selected="0">
            <x v="0"/>
          </reference>
          <reference field="15" count="1" selected="0">
            <x v="9"/>
          </reference>
          <reference field="16" count="1">
            <x v="18"/>
          </reference>
        </references>
      </pivotArea>
    </format>
    <format dxfId="1121">
      <pivotArea dataOnly="0" labelOnly="1" fieldPosition="0">
        <references count="9">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selected="0">
            <x v="39"/>
          </reference>
          <reference field="15" count="1" selected="0">
            <x v="15"/>
          </reference>
          <reference field="16" count="1">
            <x v="27"/>
          </reference>
        </references>
      </pivotArea>
    </format>
    <format dxfId="1120">
      <pivotArea dataOnly="0" labelOnly="1" fieldPosition="0">
        <references count="9">
          <reference field="0" count="1" selected="0">
            <x v="206"/>
          </reference>
          <reference field="1" count="1" selected="0">
            <x v="151"/>
          </reference>
          <reference field="2" count="1" selected="0">
            <x v="159"/>
          </reference>
          <reference field="3" count="1" selected="0">
            <x v="0"/>
          </reference>
          <reference field="12" count="1" selected="0">
            <x v="12"/>
          </reference>
          <reference field="13" count="1" selected="0">
            <x v="5"/>
          </reference>
          <reference field="14" count="1" selected="0">
            <x v="38"/>
          </reference>
          <reference field="15" count="1" selected="0">
            <x v="15"/>
          </reference>
          <reference field="16" count="1">
            <x v="0"/>
          </reference>
        </references>
      </pivotArea>
    </format>
    <format dxfId="1119">
      <pivotArea dataOnly="0" labelOnly="1" fieldPosition="0">
        <references count="9">
          <reference field="0" count="1" selected="0">
            <x v="207"/>
          </reference>
          <reference field="1" count="1" selected="0">
            <x v="152"/>
          </reference>
          <reference field="2" count="1" selected="0">
            <x v="81"/>
          </reference>
          <reference field="3" count="1" selected="0">
            <x v="0"/>
          </reference>
          <reference field="12" count="1" selected="0">
            <x v="7"/>
          </reference>
          <reference field="13" count="1" selected="0">
            <x v="0"/>
          </reference>
          <reference field="14" count="1" selected="0">
            <x v="38"/>
          </reference>
          <reference field="15" count="1" selected="0">
            <x v="15"/>
          </reference>
          <reference field="16" count="1">
            <x v="0"/>
          </reference>
        </references>
      </pivotArea>
    </format>
    <format dxfId="1118">
      <pivotArea dataOnly="0" labelOnly="1" fieldPosition="0">
        <references count="9">
          <reference field="0" count="1" selected="0">
            <x v="208"/>
          </reference>
          <reference field="1" count="1" selected="0">
            <x v="153"/>
          </reference>
          <reference field="2" count="1" selected="0">
            <x v="103"/>
          </reference>
          <reference field="3" count="1" selected="0">
            <x v="0"/>
          </reference>
          <reference field="12" count="1" selected="0">
            <x v="14"/>
          </reference>
          <reference field="13" count="1" selected="0">
            <x v="16"/>
          </reference>
          <reference field="14" count="1" selected="0">
            <x v="29"/>
          </reference>
          <reference field="15" count="1" selected="0">
            <x v="15"/>
          </reference>
          <reference field="16" count="1">
            <x v="43"/>
          </reference>
        </references>
      </pivotArea>
    </format>
    <format dxfId="1117">
      <pivotArea dataOnly="0" labelOnly="1" fieldPosition="0">
        <references count="9">
          <reference field="0" count="1" selected="0">
            <x v="209"/>
          </reference>
          <reference field="1" count="1" selected="0">
            <x v="154"/>
          </reference>
          <reference field="2" count="1" selected="0">
            <x v="98"/>
          </reference>
          <reference field="3" count="1" selected="0">
            <x v="0"/>
          </reference>
          <reference field="12" count="1" selected="0">
            <x v="14"/>
          </reference>
          <reference field="13" count="1" selected="0">
            <x v="17"/>
          </reference>
          <reference field="14" count="1" selected="0">
            <x v="31"/>
          </reference>
          <reference field="15" count="1" selected="0">
            <x v="15"/>
          </reference>
          <reference field="16" count="1">
            <x v="47"/>
          </reference>
        </references>
      </pivotArea>
    </format>
    <format dxfId="1116">
      <pivotArea dataOnly="0" labelOnly="1" fieldPosition="0">
        <references count="9">
          <reference field="0" count="1" selected="0">
            <x v="210"/>
          </reference>
          <reference field="1" count="1" selected="0">
            <x v="155"/>
          </reference>
          <reference field="2" count="1" selected="0">
            <x v="162"/>
          </reference>
          <reference field="3" count="1" selected="0">
            <x v="0"/>
          </reference>
          <reference field="12" count="1" selected="0">
            <x v="7"/>
          </reference>
          <reference field="13" count="1" selected="0">
            <x v="2"/>
          </reference>
          <reference field="14" count="1" selected="0">
            <x v="0"/>
          </reference>
          <reference field="15" count="1" selected="0">
            <x v="15"/>
          </reference>
          <reference field="16" count="1">
            <x v="0"/>
          </reference>
        </references>
      </pivotArea>
    </format>
    <format dxfId="1115">
      <pivotArea dataOnly="0" labelOnly="1" fieldPosition="0">
        <references count="9">
          <reference field="0" count="1" selected="0">
            <x v="211"/>
          </reference>
          <reference field="1" count="1" selected="0">
            <x v="156"/>
          </reference>
          <reference field="2" count="1" selected="0">
            <x v="164"/>
          </reference>
          <reference field="3" count="1" selected="0">
            <x v="0"/>
          </reference>
          <reference field="12" count="1" selected="0">
            <x v="20"/>
          </reference>
          <reference field="13" count="1" selected="0">
            <x v="3"/>
          </reference>
          <reference field="14" count="1" selected="0">
            <x v="0"/>
          </reference>
          <reference field="15" count="1" selected="0">
            <x v="15"/>
          </reference>
          <reference field="16" count="1">
            <x v="0"/>
          </reference>
        </references>
      </pivotArea>
    </format>
    <format dxfId="1114">
      <pivotArea dataOnly="0" labelOnly="1" fieldPosition="0">
        <references count="9">
          <reference field="0" count="1" selected="0">
            <x v="212"/>
          </reference>
          <reference field="1" count="1" selected="0">
            <x v="157"/>
          </reference>
          <reference field="2" count="1" selected="0">
            <x v="170"/>
          </reference>
          <reference field="3" count="1" selected="0">
            <x v="0"/>
          </reference>
          <reference field="12" count="1" selected="0">
            <x v="20"/>
          </reference>
          <reference field="13" count="1" selected="0">
            <x v="4"/>
          </reference>
          <reference field="14" count="1" selected="0">
            <x v="0"/>
          </reference>
          <reference field="15" count="1" selected="0">
            <x v="15"/>
          </reference>
          <reference field="16" count="1">
            <x v="0"/>
          </reference>
        </references>
      </pivotArea>
    </format>
    <format dxfId="1113">
      <pivotArea dataOnly="0" labelOnly="1" fieldPosition="0">
        <references count="9">
          <reference field="0" count="1" selected="0">
            <x v="214"/>
          </reference>
          <reference field="1" count="1" selected="0">
            <x v="159"/>
          </reference>
          <reference field="2" count="1" selected="0">
            <x v="139"/>
          </reference>
          <reference field="3" count="1" selected="0">
            <x v="0"/>
          </reference>
          <reference field="12" count="1" selected="0">
            <x v="10"/>
          </reference>
          <reference field="13" count="1" selected="0">
            <x v="15"/>
          </reference>
          <reference field="14" count="1" selected="0">
            <x v="66"/>
          </reference>
          <reference field="15" count="1" selected="0">
            <x v="15"/>
          </reference>
          <reference field="16" count="1">
            <x v="41"/>
          </reference>
        </references>
      </pivotArea>
    </format>
    <format dxfId="1112">
      <pivotArea dataOnly="0" labelOnly="1" fieldPosition="0">
        <references count="9">
          <reference field="0" count="1" selected="0">
            <x v="215"/>
          </reference>
          <reference field="1" count="1" selected="0">
            <x v="160"/>
          </reference>
          <reference field="2" count="1" selected="0">
            <x v="137"/>
          </reference>
          <reference field="3" count="1" selected="0">
            <x v="0"/>
          </reference>
          <reference field="12" count="1" selected="0">
            <x v="10"/>
          </reference>
          <reference field="13" count="1" selected="0">
            <x v="11"/>
          </reference>
          <reference field="14" count="1" selected="0">
            <x v="66"/>
          </reference>
          <reference field="15" count="1" selected="0">
            <x v="15"/>
          </reference>
          <reference field="16" count="1">
            <x v="16"/>
          </reference>
        </references>
      </pivotArea>
    </format>
    <format dxfId="1111">
      <pivotArea dataOnly="0" labelOnly="1" fieldPosition="0">
        <references count="9">
          <reference field="0" count="1" selected="0">
            <x v="216"/>
          </reference>
          <reference field="1" count="1" selected="0">
            <x v="161"/>
          </reference>
          <reference field="2" count="1" selected="0">
            <x v="136"/>
          </reference>
          <reference field="3" count="1" selected="0">
            <x v="0"/>
          </reference>
          <reference field="12" count="1" selected="0">
            <x v="10"/>
          </reference>
          <reference field="13" count="1" selected="0">
            <x v="13"/>
          </reference>
          <reference field="14" count="1" selected="0">
            <x v="66"/>
          </reference>
          <reference field="15" count="1" selected="0">
            <x v="15"/>
          </reference>
          <reference field="16" count="1">
            <x v="3"/>
          </reference>
        </references>
      </pivotArea>
    </format>
    <format dxfId="1110">
      <pivotArea dataOnly="0" labelOnly="1" fieldPosition="0">
        <references count="9">
          <reference field="0" count="1" selected="0">
            <x v="217"/>
          </reference>
          <reference field="1" count="1" selected="0">
            <x v="162"/>
          </reference>
          <reference field="2" count="1" selected="0">
            <x v="13"/>
          </reference>
          <reference field="3" count="1" selected="0">
            <x v="0"/>
          </reference>
          <reference field="12" count="1" selected="0">
            <x v="10"/>
          </reference>
          <reference field="13" count="1" selected="0">
            <x v="10"/>
          </reference>
          <reference field="14" count="1" selected="0">
            <x v="66"/>
          </reference>
          <reference field="15" count="1" selected="0">
            <x v="15"/>
          </reference>
          <reference field="16" count="1">
            <x v="36"/>
          </reference>
        </references>
      </pivotArea>
    </format>
    <format dxfId="1109">
      <pivotArea dataOnly="0" labelOnly="1" fieldPosition="0">
        <references count="9">
          <reference field="0" count="1" selected="0">
            <x v="218"/>
          </reference>
          <reference field="1" count="1" selected="0">
            <x v="163"/>
          </reference>
          <reference field="2" count="1" selected="0">
            <x v="179"/>
          </reference>
          <reference field="3" count="1" selected="0">
            <x v="0"/>
          </reference>
          <reference field="12" count="1" selected="0">
            <x v="10"/>
          </reference>
          <reference field="13" count="1" selected="0">
            <x v="10"/>
          </reference>
          <reference field="14" count="1" selected="0">
            <x v="0"/>
          </reference>
          <reference field="15" count="1" selected="0">
            <x v="15"/>
          </reference>
          <reference field="16" count="1">
            <x v="0"/>
          </reference>
        </references>
      </pivotArea>
    </format>
    <format dxfId="1108">
      <pivotArea dataOnly="0" labelOnly="1" fieldPosition="0">
        <references count="9">
          <reference field="0" count="1" selected="0">
            <x v="219"/>
          </reference>
          <reference field="1" count="1" selected="0">
            <x v="164"/>
          </reference>
          <reference field="2" count="1" selected="0">
            <x v="138"/>
          </reference>
          <reference field="3" count="1" selected="0">
            <x v="0"/>
          </reference>
          <reference field="12" count="1" selected="0">
            <x v="10"/>
          </reference>
          <reference field="13" count="1" selected="0">
            <x v="8"/>
          </reference>
          <reference field="14" count="1" selected="0">
            <x v="0"/>
          </reference>
          <reference field="15" count="1" selected="0">
            <x v="15"/>
          </reference>
          <reference field="16" count="1">
            <x v="7"/>
          </reference>
        </references>
      </pivotArea>
    </format>
    <format dxfId="1107">
      <pivotArea dataOnly="0" labelOnly="1" fieldPosition="0">
        <references count="9">
          <reference field="0" count="1" selected="0">
            <x v="220"/>
          </reference>
          <reference field="1" count="1" selected="0">
            <x v="165"/>
          </reference>
          <reference field="2" count="1" selected="0">
            <x v="142"/>
          </reference>
          <reference field="3" count="1" selected="0">
            <x v="0"/>
          </reference>
          <reference field="12" count="1" selected="0">
            <x v="11"/>
          </reference>
          <reference field="13" count="1" selected="0">
            <x v="12"/>
          </reference>
          <reference field="14" count="1" selected="0">
            <x v="57"/>
          </reference>
          <reference field="15" count="1" selected="0">
            <x v="15"/>
          </reference>
          <reference field="16" count="1">
            <x v="9"/>
          </reference>
        </references>
      </pivotArea>
    </format>
    <format dxfId="1106">
      <pivotArea dataOnly="0" labelOnly="1" fieldPosition="0">
        <references count="9">
          <reference field="0" count="1" selected="0">
            <x v="221"/>
          </reference>
          <reference field="1" count="1" selected="0">
            <x v="166"/>
          </reference>
          <reference field="2" count="1" selected="0">
            <x v="143"/>
          </reference>
          <reference field="3" count="1" selected="0">
            <x v="0"/>
          </reference>
          <reference field="12" count="1" selected="0">
            <x v="10"/>
          </reference>
          <reference field="13" count="1" selected="0">
            <x v="9"/>
          </reference>
          <reference field="14" count="1" selected="0">
            <x v="60"/>
          </reference>
          <reference field="15" count="1" selected="0">
            <x v="15"/>
          </reference>
          <reference field="16" count="1">
            <x v="7"/>
          </reference>
        </references>
      </pivotArea>
    </format>
    <format dxfId="1105">
      <pivotArea dataOnly="0" labelOnly="1" fieldPosition="0">
        <references count="9">
          <reference field="0" count="1" selected="0">
            <x v="223"/>
          </reference>
          <reference field="1" count="1" selected="0">
            <x v="168"/>
          </reference>
          <reference field="2" count="1" selected="0">
            <x v="71"/>
          </reference>
          <reference field="3" count="1" selected="0">
            <x v="0"/>
          </reference>
          <reference field="12" count="1" selected="0">
            <x v="24"/>
          </reference>
          <reference field="13" count="1" selected="0">
            <x v="7"/>
          </reference>
          <reference field="14" count="1" selected="0">
            <x v="0"/>
          </reference>
          <reference field="15" count="1" selected="0">
            <x v="15"/>
          </reference>
          <reference field="16" count="1">
            <x v="28"/>
          </reference>
        </references>
      </pivotArea>
    </format>
    <format dxfId="1104">
      <pivotArea dataOnly="0" labelOnly="1" fieldPosition="0">
        <references count="9">
          <reference field="0" count="1" selected="0">
            <x v="224"/>
          </reference>
          <reference field="1" count="1" selected="0">
            <x v="169"/>
          </reference>
          <reference field="2" count="1" selected="0">
            <x v="121"/>
          </reference>
          <reference field="3" count="1" selected="0">
            <x v="0"/>
          </reference>
          <reference field="12" count="1" selected="0">
            <x v="23"/>
          </reference>
          <reference field="13" count="1" selected="0">
            <x v="1"/>
          </reference>
          <reference field="14" count="1" selected="0">
            <x v="18"/>
          </reference>
          <reference field="15" count="1" selected="0">
            <x v="15"/>
          </reference>
          <reference field="16" count="1">
            <x v="29"/>
          </reference>
        </references>
      </pivotArea>
    </format>
    <format dxfId="1103">
      <pivotArea dataOnly="0" labelOnly="1" fieldPosition="0">
        <references count="9">
          <reference field="0" count="1" selected="0">
            <x v="225"/>
          </reference>
          <reference field="1" count="1" selected="0">
            <x v="170"/>
          </reference>
          <reference field="2" count="1" selected="0">
            <x v="120"/>
          </reference>
          <reference field="3" count="1" selected="0">
            <x v="0"/>
          </reference>
          <reference field="12" count="1" selected="0">
            <x v="23"/>
          </reference>
          <reference field="13" count="1" selected="0">
            <x v="22"/>
          </reference>
          <reference field="14" count="1" selected="0">
            <x v="18"/>
          </reference>
          <reference field="15" count="1" selected="0">
            <x v="15"/>
          </reference>
          <reference field="16" count="1">
            <x v="0"/>
          </reference>
        </references>
      </pivotArea>
    </format>
    <format dxfId="1102">
      <pivotArea dataOnly="0" labelOnly="1" fieldPosition="0">
        <references count="9">
          <reference field="0" count="1" selected="0">
            <x v="226"/>
          </reference>
          <reference field="1" count="1" selected="0">
            <x v="171"/>
          </reference>
          <reference field="2" count="1" selected="0">
            <x v="41"/>
          </reference>
          <reference field="3" count="1" selected="0">
            <x v="0"/>
          </reference>
          <reference field="12" count="1" selected="0">
            <x v="23"/>
          </reference>
          <reference field="13" count="1" selected="0">
            <x v="22"/>
          </reference>
          <reference field="14" count="1" selected="0">
            <x v="18"/>
          </reference>
          <reference field="15" count="1" selected="0">
            <x v="15"/>
          </reference>
          <reference field="16" count="1">
            <x v="0"/>
          </reference>
        </references>
      </pivotArea>
    </format>
    <format dxfId="1101">
      <pivotArea dataOnly="0" labelOnly="1" fieldPosition="0">
        <references count="9">
          <reference field="0" count="1" selected="0">
            <x v="227"/>
          </reference>
          <reference field="1" count="1" selected="0">
            <x v="172"/>
          </reference>
          <reference field="2" count="1" selected="0">
            <x v="42"/>
          </reference>
          <reference field="3" count="1" selected="0">
            <x v="0"/>
          </reference>
          <reference field="12" count="1" selected="0">
            <x v="23"/>
          </reference>
          <reference field="13" count="1" selected="0">
            <x v="22"/>
          </reference>
          <reference field="14" count="1" selected="0">
            <x v="18"/>
          </reference>
          <reference field="15" count="1" selected="0">
            <x v="15"/>
          </reference>
          <reference field="16" count="1">
            <x v="0"/>
          </reference>
        </references>
      </pivotArea>
    </format>
    <format dxfId="1100">
      <pivotArea dataOnly="0" labelOnly="1" fieldPosition="0">
        <references count="9">
          <reference field="0" count="1" selected="0">
            <x v="228"/>
          </reference>
          <reference field="1" count="1" selected="0">
            <x v="173"/>
          </reference>
          <reference field="2" count="1" selected="0">
            <x v="145"/>
          </reference>
          <reference field="3" count="1" selected="0">
            <x v="0"/>
          </reference>
          <reference field="12" count="1" selected="0">
            <x v="3"/>
          </reference>
          <reference field="13" count="1" selected="0">
            <x v="21"/>
          </reference>
          <reference field="14" count="1" selected="0">
            <x v="38"/>
          </reference>
          <reference field="15" count="1" selected="0">
            <x v="15"/>
          </reference>
          <reference field="16" count="1">
            <x v="0"/>
          </reference>
        </references>
      </pivotArea>
    </format>
    <format dxfId="1099">
      <pivotArea dataOnly="0" labelOnly="1" fieldPosition="0">
        <references count="9">
          <reference field="0" count="1" selected="0">
            <x v="229"/>
          </reference>
          <reference field="1" count="1" selected="0">
            <x v="174"/>
          </reference>
          <reference field="2" count="1" selected="0">
            <x v="91"/>
          </reference>
          <reference field="3" count="1" selected="0">
            <x v="0"/>
          </reference>
          <reference field="12" count="1" selected="0">
            <x v="3"/>
          </reference>
          <reference field="13" count="1" selected="0">
            <x v="18"/>
          </reference>
          <reference field="14" count="1" selected="0">
            <x v="34"/>
          </reference>
          <reference field="15" count="1" selected="0">
            <x v="15"/>
          </reference>
          <reference field="16" count="1">
            <x v="19"/>
          </reference>
        </references>
      </pivotArea>
    </format>
    <format dxfId="1098">
      <pivotArea dataOnly="0" labelOnly="1" fieldPosition="0">
        <references count="9">
          <reference field="0" count="1" selected="0">
            <x v="230"/>
          </reference>
          <reference field="1" count="1" selected="0">
            <x v="175"/>
          </reference>
          <reference field="2" count="1" selected="0">
            <x v="160"/>
          </reference>
          <reference field="3" count="1" selected="0">
            <x v="0"/>
          </reference>
          <reference field="12" count="1" selected="0">
            <x v="3"/>
          </reference>
          <reference field="13" count="1" selected="0">
            <x v="18"/>
          </reference>
          <reference field="14" count="1" selected="0">
            <x v="36"/>
          </reference>
          <reference field="15" count="1" selected="0">
            <x v="15"/>
          </reference>
          <reference field="16" count="1">
            <x v="48"/>
          </reference>
        </references>
      </pivotArea>
    </format>
    <format dxfId="1097">
      <pivotArea dataOnly="0" labelOnly="1" fieldPosition="0">
        <references count="9">
          <reference field="0" count="1" selected="0">
            <x v="231"/>
          </reference>
          <reference field="1" count="1" selected="0">
            <x v="176"/>
          </reference>
          <reference field="2" count="1" selected="0">
            <x v="42"/>
          </reference>
          <reference field="3" count="1" selected="0">
            <x v="0"/>
          </reference>
          <reference field="12" count="1" selected="0">
            <x v="3"/>
          </reference>
          <reference field="13" count="1" selected="0">
            <x v="20"/>
          </reference>
          <reference field="14" count="1" selected="0">
            <x v="38"/>
          </reference>
          <reference field="15" count="1" selected="0">
            <x v="15"/>
          </reference>
          <reference field="16" count="1">
            <x v="0"/>
          </reference>
        </references>
      </pivotArea>
    </format>
    <format dxfId="1096">
      <pivotArea dataOnly="0" labelOnly="1" fieldPosition="0">
        <references count="9">
          <reference field="0" count="1" selected="0">
            <x v="232"/>
          </reference>
          <reference field="1" count="1" selected="0">
            <x v="177"/>
          </reference>
          <reference field="2" count="1" selected="0">
            <x v="47"/>
          </reference>
          <reference field="3" count="1" selected="0">
            <x v="0"/>
          </reference>
          <reference field="12" count="1" selected="0">
            <x v="3"/>
          </reference>
          <reference field="13" count="1" selected="0">
            <x v="19"/>
          </reference>
          <reference field="14" count="1" selected="0">
            <x v="38"/>
          </reference>
          <reference field="15" count="1" selected="0">
            <x v="15"/>
          </reference>
          <reference field="16" count="1">
            <x v="0"/>
          </reference>
        </references>
      </pivotArea>
    </format>
    <format dxfId="1095">
      <pivotArea dataOnly="0" labelOnly="1" fieldPosition="0">
        <references count="9">
          <reference field="0" count="1" selected="0">
            <x v="233"/>
          </reference>
          <reference field="1" count="1" selected="0">
            <x v="178"/>
          </reference>
          <reference field="2" count="1" selected="0">
            <x v="32"/>
          </reference>
          <reference field="3" count="1" selected="0">
            <x v="0"/>
          </reference>
          <reference field="12" count="1" selected="0">
            <x v="3"/>
          </reference>
          <reference field="13" count="1" selected="0">
            <x v="6"/>
          </reference>
          <reference field="14" count="1" selected="0">
            <x v="38"/>
          </reference>
          <reference field="15" count="1" selected="0">
            <x v="15"/>
          </reference>
          <reference field="16" count="1">
            <x v="0"/>
          </reference>
        </references>
      </pivotArea>
    </format>
    <format dxfId="1094">
      <pivotArea dataOnly="0" labelOnly="1" fieldPosition="0">
        <references count="9">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selected="0">
            <x v="67"/>
          </reference>
          <reference field="15" count="1" selected="0">
            <x v="47"/>
          </reference>
          <reference field="16" count="1">
            <x v="65"/>
          </reference>
        </references>
      </pivotArea>
    </format>
    <format dxfId="1093">
      <pivotArea dataOnly="0" labelOnly="1" fieldPosition="0">
        <references count="9">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selected="0">
            <x v="38"/>
          </reference>
          <reference field="15" count="1" selected="0">
            <x v="15"/>
          </reference>
          <reference field="16" count="1">
            <x v="0"/>
          </reference>
        </references>
      </pivotArea>
    </format>
    <format dxfId="1092">
      <pivotArea dataOnly="0" labelOnly="1" fieldPosition="0">
        <references count="9">
          <reference field="0" count="1" selected="0">
            <x v="236"/>
          </reference>
          <reference field="1" count="1" selected="0">
            <x v="192"/>
          </reference>
          <reference field="2" count="1" selected="0">
            <x v="27"/>
          </reference>
          <reference field="3" count="1" selected="0">
            <x v="0"/>
          </reference>
          <reference field="12" count="1" selected="0">
            <x v="3"/>
          </reference>
          <reference field="13" count="1" selected="0">
            <x v="0"/>
          </reference>
          <reference field="14" count="1" selected="0">
            <x v="38"/>
          </reference>
          <reference field="15" count="1" selected="0">
            <x v="15"/>
          </reference>
          <reference field="16" count="1">
            <x v="0"/>
          </reference>
        </references>
      </pivotArea>
    </format>
    <format dxfId="1091">
      <pivotArea dataOnly="0" labelOnly="1" fieldPosition="0">
        <references count="9">
          <reference field="0" count="1" selected="0">
            <x v="237"/>
          </reference>
          <reference field="1" count="1" selected="0">
            <x v="193"/>
          </reference>
          <reference field="2" count="1" selected="0">
            <x v="89"/>
          </reference>
          <reference field="3" count="1" selected="0">
            <x v="0"/>
          </reference>
          <reference field="12" count="1" selected="0">
            <x v="3"/>
          </reference>
          <reference field="13" count="1" selected="0">
            <x v="0"/>
          </reference>
          <reference field="14" count="1" selected="0">
            <x v="38"/>
          </reference>
          <reference field="15" count="1" selected="0">
            <x v="15"/>
          </reference>
          <reference field="16" count="1">
            <x v="0"/>
          </reference>
        </references>
      </pivotArea>
    </format>
    <format dxfId="1090">
      <pivotArea dataOnly="0" labelOnly="1" fieldPosition="0">
        <references count="9">
          <reference field="0" count="1" selected="0">
            <x v="238"/>
          </reference>
          <reference field="1" count="1" selected="0">
            <x v="194"/>
          </reference>
          <reference field="2" count="1" selected="0">
            <x v="25"/>
          </reference>
          <reference field="3" count="1" selected="0">
            <x v="0"/>
          </reference>
          <reference field="12" count="1" selected="0">
            <x v="0"/>
          </reference>
          <reference field="13" count="1" selected="0">
            <x v="0"/>
          </reference>
          <reference field="14" count="1" selected="0">
            <x v="0"/>
          </reference>
          <reference field="15" count="1" selected="0">
            <x v="15"/>
          </reference>
          <reference field="16" count="1">
            <x v="0"/>
          </reference>
        </references>
      </pivotArea>
    </format>
    <format dxfId="1089">
      <pivotArea dataOnly="0" labelOnly="1" fieldPosition="0">
        <references count="9">
          <reference field="0" count="1" selected="0">
            <x v="239"/>
          </reference>
          <reference field="1" count="1" selected="0">
            <x v="195"/>
          </reference>
          <reference field="2" count="1" selected="0">
            <x v="28"/>
          </reference>
          <reference field="3" count="1" selected="0">
            <x v="0"/>
          </reference>
          <reference field="12" count="1" selected="0">
            <x v="0"/>
          </reference>
          <reference field="13" count="1" selected="0">
            <x v="0"/>
          </reference>
          <reference field="14" count="1" selected="0">
            <x v="0"/>
          </reference>
          <reference field="15" count="1" selected="0">
            <x v="15"/>
          </reference>
          <reference field="16" count="1">
            <x v="0"/>
          </reference>
        </references>
      </pivotArea>
    </format>
    <format dxfId="1088">
      <pivotArea dataOnly="0" labelOnly="1" fieldPosition="0">
        <references count="9">
          <reference field="0" count="1" selected="0">
            <x v="240"/>
          </reference>
          <reference field="1" count="1" selected="0">
            <x v="196"/>
          </reference>
          <reference field="2" count="1" selected="0">
            <x v="40"/>
          </reference>
          <reference field="3" count="1" selected="0">
            <x v="0"/>
          </reference>
          <reference field="12" count="1" selected="0">
            <x v="3"/>
          </reference>
          <reference field="13" count="1" selected="0">
            <x v="0"/>
          </reference>
          <reference field="14" count="1" selected="0">
            <x v="0"/>
          </reference>
          <reference field="15" count="1" selected="0">
            <x v="15"/>
          </reference>
          <reference field="16" count="1">
            <x v="0"/>
          </reference>
        </references>
      </pivotArea>
    </format>
    <format dxfId="1087">
      <pivotArea dataOnly="0" labelOnly="1" fieldPosition="0">
        <references count="9">
          <reference field="0" count="1" selected="0">
            <x v="241"/>
          </reference>
          <reference field="1" count="1" selected="0">
            <x v="197"/>
          </reference>
          <reference field="2" count="1" selected="0">
            <x v="195"/>
          </reference>
          <reference field="3" count="1" selected="0">
            <x v="0"/>
          </reference>
          <reference field="12" count="1" selected="0">
            <x v="0"/>
          </reference>
          <reference field="13" count="1" selected="0">
            <x v="0"/>
          </reference>
          <reference field="14" count="1" selected="0">
            <x v="0"/>
          </reference>
          <reference field="15" count="1" selected="0">
            <x v="15"/>
          </reference>
          <reference field="16" count="1">
            <x v="0"/>
          </reference>
        </references>
      </pivotArea>
    </format>
    <format dxfId="1086">
      <pivotArea dataOnly="0" labelOnly="1" fieldPosition="0">
        <references count="9">
          <reference field="0" count="1" selected="0">
            <x v="242"/>
          </reference>
          <reference field="1" count="1" selected="0">
            <x v="198"/>
          </reference>
          <reference field="2" count="1" selected="0">
            <x v="132"/>
          </reference>
          <reference field="3" count="1" selected="0">
            <x v="0"/>
          </reference>
          <reference field="12" count="1" selected="0">
            <x v="6"/>
          </reference>
          <reference field="13" count="1" selected="0">
            <x v="0"/>
          </reference>
          <reference field="14" count="1" selected="0">
            <x v="0"/>
          </reference>
          <reference field="15" count="1" selected="0">
            <x v="15"/>
          </reference>
          <reference field="16" count="1">
            <x v="0"/>
          </reference>
        </references>
      </pivotArea>
    </format>
    <format dxfId="1085">
      <pivotArea type="all" dataOnly="0" outline="0" fieldPosition="0"/>
    </format>
    <format dxfId="1084">
      <pivotArea field="0" type="button" dataOnly="0" labelOnly="1" outline="0" axis="axisRow" fieldPosition="0"/>
    </format>
    <format dxfId="1083">
      <pivotArea field="1" type="button" dataOnly="0" labelOnly="1" outline="0" axis="axisRow" fieldPosition="1"/>
    </format>
    <format dxfId="1082">
      <pivotArea field="2" type="button" dataOnly="0" labelOnly="1" outline="0" axis="axisRow" fieldPosition="2"/>
    </format>
    <format dxfId="1081">
      <pivotArea field="3" type="button" dataOnly="0" labelOnly="1" outline="0" axis="axisRow" fieldPosition="3"/>
    </format>
    <format dxfId="1080">
      <pivotArea field="12" type="button" dataOnly="0" labelOnly="1" outline="0" axis="axisRow" fieldPosition="4"/>
    </format>
    <format dxfId="1079">
      <pivotArea field="13" type="button" dataOnly="0" labelOnly="1" outline="0" axis="axisRow" fieldPosition="5"/>
    </format>
    <format dxfId="1078">
      <pivotArea field="14" type="button" dataOnly="0" labelOnly="1" outline="0" axis="axisRow" fieldPosition="6"/>
    </format>
    <format dxfId="1077">
      <pivotArea field="15" type="button" dataOnly="0" labelOnly="1" outline="0" axis="axisRow" fieldPosition="7"/>
    </format>
    <format dxfId="1076">
      <pivotArea field="16" type="button" dataOnly="0" labelOnly="1" outline="0" axis="axisRow" fieldPosition="8"/>
    </format>
    <format dxfId="1075">
      <pivotArea field="17" type="button" dataOnly="0" labelOnly="1" outline="0" axis="axisRow" fieldPosition="9"/>
    </format>
    <format dxfId="1074">
      <pivotArea dataOnly="0" labelOnly="1" fieldPosition="0">
        <references count="1">
          <reference field="0" count="50">
            <x v="0"/>
            <x v="2"/>
            <x v="3"/>
            <x v="4"/>
            <x v="5"/>
            <x v="7"/>
            <x v="9"/>
            <x v="10"/>
            <x v="11"/>
            <x v="12"/>
            <x v="16"/>
            <x v="18"/>
            <x v="22"/>
            <x v="25"/>
            <x v="26"/>
            <x v="28"/>
            <x v="29"/>
            <x v="30"/>
            <x v="31"/>
            <x v="35"/>
            <x v="36"/>
            <x v="37"/>
            <x v="38"/>
            <x v="39"/>
            <x v="40"/>
            <x v="41"/>
            <x v="42"/>
            <x v="43"/>
            <x v="44"/>
            <x v="45"/>
            <x v="46"/>
            <x v="47"/>
            <x v="49"/>
            <x v="55"/>
            <x v="56"/>
            <x v="62"/>
            <x v="63"/>
            <x v="64"/>
            <x v="65"/>
            <x v="66"/>
            <x v="67"/>
            <x v="68"/>
            <x v="79"/>
            <x v="81"/>
            <x v="82"/>
            <x v="83"/>
            <x v="84"/>
            <x v="85"/>
            <x v="86"/>
            <x v="87"/>
          </reference>
        </references>
      </pivotArea>
    </format>
    <format dxfId="1073">
      <pivotArea dataOnly="0" labelOnly="1" fieldPosition="0">
        <references count="1">
          <reference field="0" count="50">
            <x v="88"/>
            <x v="89"/>
            <x v="90"/>
            <x v="91"/>
            <x v="93"/>
            <x v="94"/>
            <x v="95"/>
            <x v="96"/>
            <x v="97"/>
            <x v="98"/>
            <x v="99"/>
            <x v="100"/>
            <x v="101"/>
            <x v="102"/>
            <x v="103"/>
            <x v="104"/>
            <x v="105"/>
            <x v="106"/>
            <x v="107"/>
            <x v="108"/>
            <x v="110"/>
            <x v="111"/>
            <x v="113"/>
            <x v="119"/>
            <x v="120"/>
            <x v="121"/>
            <x v="122"/>
            <x v="123"/>
            <x v="124"/>
            <x v="125"/>
            <x v="126"/>
            <x v="127"/>
            <x v="128"/>
            <x v="129"/>
            <x v="130"/>
            <x v="134"/>
            <x v="135"/>
            <x v="136"/>
            <x v="144"/>
            <x v="146"/>
            <x v="147"/>
            <x v="148"/>
            <x v="149"/>
            <x v="150"/>
            <x v="151"/>
            <x v="152"/>
            <x v="153"/>
            <x v="154"/>
            <x v="155"/>
            <x v="159"/>
          </reference>
        </references>
      </pivotArea>
    </format>
    <format dxfId="1072">
      <pivotArea dataOnly="0" labelOnly="1" fieldPosition="0">
        <references count="1">
          <reference field="0" count="50">
            <x v="160"/>
            <x v="161"/>
            <x v="162"/>
            <x v="164"/>
            <x v="165"/>
            <x v="166"/>
            <x v="167"/>
            <x v="168"/>
            <x v="171"/>
            <x v="172"/>
            <x v="173"/>
            <x v="175"/>
            <x v="176"/>
            <x v="177"/>
            <x v="178"/>
            <x v="179"/>
            <x v="180"/>
            <x v="181"/>
            <x v="182"/>
            <x v="183"/>
            <x v="184"/>
            <x v="185"/>
            <x v="186"/>
            <x v="187"/>
            <x v="188"/>
            <x v="189"/>
            <x v="192"/>
            <x v="193"/>
            <x v="197"/>
            <x v="199"/>
            <x v="200"/>
            <x v="201"/>
            <x v="204"/>
            <x v="206"/>
            <x v="207"/>
            <x v="208"/>
            <x v="209"/>
            <x v="210"/>
            <x v="211"/>
            <x v="212"/>
            <x v="214"/>
            <x v="215"/>
            <x v="216"/>
            <x v="217"/>
            <x v="218"/>
            <x v="219"/>
            <x v="220"/>
            <x v="221"/>
            <x v="223"/>
            <x v="224"/>
          </reference>
        </references>
      </pivotArea>
    </format>
    <format dxfId="1071">
      <pivotArea dataOnly="0" labelOnly="1" fieldPosition="0">
        <references count="1">
          <reference field="0" count="18">
            <x v="225"/>
            <x v="226"/>
            <x v="227"/>
            <x v="228"/>
            <x v="229"/>
            <x v="230"/>
            <x v="231"/>
            <x v="232"/>
            <x v="233"/>
            <x v="234"/>
            <x v="235"/>
            <x v="236"/>
            <x v="237"/>
            <x v="238"/>
            <x v="239"/>
            <x v="240"/>
            <x v="241"/>
            <x v="242"/>
          </reference>
        </references>
      </pivotArea>
    </format>
    <format dxfId="1070">
      <pivotArea dataOnly="0" labelOnly="1" fieldPosition="0">
        <references count="2">
          <reference field="0" count="1" selected="0">
            <x v="0"/>
          </reference>
          <reference field="1" count="1">
            <x v="228"/>
          </reference>
        </references>
      </pivotArea>
    </format>
    <format dxfId="1069">
      <pivotArea dataOnly="0" labelOnly="1" fieldPosition="0">
        <references count="2">
          <reference field="0" count="1" selected="0">
            <x v="2"/>
          </reference>
          <reference field="1" count="1">
            <x v="230"/>
          </reference>
        </references>
      </pivotArea>
    </format>
    <format dxfId="1068">
      <pivotArea dataOnly="0" labelOnly="1" fieldPosition="0">
        <references count="2">
          <reference field="0" count="1" selected="0">
            <x v="3"/>
          </reference>
          <reference field="1" count="1">
            <x v="231"/>
          </reference>
        </references>
      </pivotArea>
    </format>
    <format dxfId="1067">
      <pivotArea dataOnly="0" labelOnly="1" fieldPosition="0">
        <references count="2">
          <reference field="0" count="1" selected="0">
            <x v="4"/>
          </reference>
          <reference field="1" count="1">
            <x v="232"/>
          </reference>
        </references>
      </pivotArea>
    </format>
    <format dxfId="1066">
      <pivotArea dataOnly="0" labelOnly="1" fieldPosition="0">
        <references count="2">
          <reference field="0" count="1" selected="0">
            <x v="5"/>
          </reference>
          <reference field="1" count="1">
            <x v="233"/>
          </reference>
        </references>
      </pivotArea>
    </format>
    <format dxfId="1065">
      <pivotArea dataOnly="0" labelOnly="1" fieldPosition="0">
        <references count="2">
          <reference field="0" count="1" selected="0">
            <x v="7"/>
          </reference>
          <reference field="1" count="1">
            <x v="118"/>
          </reference>
        </references>
      </pivotArea>
    </format>
    <format dxfId="1064">
      <pivotArea dataOnly="0" labelOnly="1" fieldPosition="0">
        <references count="2">
          <reference field="0" count="1" selected="0">
            <x v="9"/>
          </reference>
          <reference field="1" count="1">
            <x v="120"/>
          </reference>
        </references>
      </pivotArea>
    </format>
    <format dxfId="1063">
      <pivotArea dataOnly="0" labelOnly="1" fieldPosition="0">
        <references count="2">
          <reference field="0" count="1" selected="0">
            <x v="10"/>
          </reference>
          <reference field="1" count="1">
            <x v="121"/>
          </reference>
        </references>
      </pivotArea>
    </format>
    <format dxfId="1062">
      <pivotArea dataOnly="0" labelOnly="1" fieldPosition="0">
        <references count="2">
          <reference field="0" count="1" selected="0">
            <x v="11"/>
          </reference>
          <reference field="1" count="1">
            <x v="122"/>
          </reference>
        </references>
      </pivotArea>
    </format>
    <format dxfId="1061">
      <pivotArea dataOnly="0" labelOnly="1" fieldPosition="0">
        <references count="2">
          <reference field="0" count="1" selected="0">
            <x v="12"/>
          </reference>
          <reference field="1" count="1">
            <x v="123"/>
          </reference>
        </references>
      </pivotArea>
    </format>
    <format dxfId="1060">
      <pivotArea dataOnly="0" labelOnly="1" fieldPosition="0">
        <references count="2">
          <reference field="0" count="1" selected="0">
            <x v="16"/>
          </reference>
          <reference field="1" count="1">
            <x v="64"/>
          </reference>
        </references>
      </pivotArea>
    </format>
    <format dxfId="1059">
      <pivotArea dataOnly="0" labelOnly="1" fieldPosition="0">
        <references count="2">
          <reference field="0" count="1" selected="0">
            <x v="18"/>
          </reference>
          <reference field="1" count="1">
            <x v="66"/>
          </reference>
        </references>
      </pivotArea>
    </format>
    <format dxfId="1058">
      <pivotArea dataOnly="0" labelOnly="1" fieldPosition="0">
        <references count="2">
          <reference field="0" count="1" selected="0">
            <x v="22"/>
          </reference>
          <reference field="1" count="1">
            <x v="19"/>
          </reference>
        </references>
      </pivotArea>
    </format>
    <format dxfId="1057">
      <pivotArea dataOnly="0" labelOnly="1" fieldPosition="0">
        <references count="2">
          <reference field="0" count="1" selected="0">
            <x v="25"/>
          </reference>
          <reference field="1" count="1">
            <x v="22"/>
          </reference>
        </references>
      </pivotArea>
    </format>
    <format dxfId="1056">
      <pivotArea dataOnly="0" labelOnly="1" fieldPosition="0">
        <references count="2">
          <reference field="0" count="1" selected="0">
            <x v="26"/>
          </reference>
          <reference field="1" count="1">
            <x v="23"/>
          </reference>
        </references>
      </pivotArea>
    </format>
    <format dxfId="1055">
      <pivotArea dataOnly="0" labelOnly="1" fieldPosition="0">
        <references count="2">
          <reference field="0" count="1" selected="0">
            <x v="28"/>
          </reference>
          <reference field="1" count="1">
            <x v="25"/>
          </reference>
        </references>
      </pivotArea>
    </format>
    <format dxfId="1054">
      <pivotArea dataOnly="0" labelOnly="1" fieldPosition="0">
        <references count="2">
          <reference field="0" count="1" selected="0">
            <x v="29"/>
          </reference>
          <reference field="1" count="1">
            <x v="26"/>
          </reference>
        </references>
      </pivotArea>
    </format>
    <format dxfId="1053">
      <pivotArea dataOnly="0" labelOnly="1" fieldPosition="0">
        <references count="2">
          <reference field="0" count="1" selected="0">
            <x v="30"/>
          </reference>
          <reference field="1" count="1">
            <x v="27"/>
          </reference>
        </references>
      </pivotArea>
    </format>
    <format dxfId="1052">
      <pivotArea dataOnly="0" labelOnly="1" fieldPosition="0">
        <references count="2">
          <reference field="0" count="1" selected="0">
            <x v="31"/>
          </reference>
          <reference field="1" count="1">
            <x v="28"/>
          </reference>
        </references>
      </pivotArea>
    </format>
    <format dxfId="1051">
      <pivotArea dataOnly="0" labelOnly="1" fieldPosition="0">
        <references count="2">
          <reference field="0" count="1" selected="0">
            <x v="35"/>
          </reference>
          <reference field="1" count="1">
            <x v="32"/>
          </reference>
        </references>
      </pivotArea>
    </format>
    <format dxfId="1050">
      <pivotArea dataOnly="0" labelOnly="1" fieldPosition="0">
        <references count="2">
          <reference field="0" count="1" selected="0">
            <x v="36"/>
          </reference>
          <reference field="1" count="1">
            <x v="33"/>
          </reference>
        </references>
      </pivotArea>
    </format>
    <format dxfId="1049">
      <pivotArea dataOnly="0" labelOnly="1" fieldPosition="0">
        <references count="2">
          <reference field="0" count="1" selected="0">
            <x v="37"/>
          </reference>
          <reference field="1" count="1">
            <x v="34"/>
          </reference>
        </references>
      </pivotArea>
    </format>
    <format dxfId="1048">
      <pivotArea dataOnly="0" labelOnly="1" fieldPosition="0">
        <references count="2">
          <reference field="0" count="1" selected="0">
            <x v="38"/>
          </reference>
          <reference field="1" count="1">
            <x v="0"/>
          </reference>
        </references>
      </pivotArea>
    </format>
    <format dxfId="1047">
      <pivotArea dataOnly="0" labelOnly="1" fieldPosition="0">
        <references count="2">
          <reference field="0" count="1" selected="0">
            <x v="39"/>
          </reference>
          <reference field="1" count="1">
            <x v="1"/>
          </reference>
        </references>
      </pivotArea>
    </format>
    <format dxfId="1046">
      <pivotArea dataOnly="0" labelOnly="1" fieldPosition="0">
        <references count="2">
          <reference field="0" count="1" selected="0">
            <x v="40"/>
          </reference>
          <reference field="1" count="1">
            <x v="2"/>
          </reference>
        </references>
      </pivotArea>
    </format>
    <format dxfId="1045">
      <pivotArea dataOnly="0" labelOnly="1" fieldPosition="0">
        <references count="2">
          <reference field="0" count="1" selected="0">
            <x v="41"/>
          </reference>
          <reference field="1" count="1">
            <x v="3"/>
          </reference>
        </references>
      </pivotArea>
    </format>
    <format dxfId="1044">
      <pivotArea dataOnly="0" labelOnly="1" fieldPosition="0">
        <references count="2">
          <reference field="0" count="1" selected="0">
            <x v="42"/>
          </reference>
          <reference field="1" count="1">
            <x v="4"/>
          </reference>
        </references>
      </pivotArea>
    </format>
    <format dxfId="1043">
      <pivotArea dataOnly="0" labelOnly="1" fieldPosition="0">
        <references count="2">
          <reference field="0" count="1" selected="0">
            <x v="43"/>
          </reference>
          <reference field="1" count="1">
            <x v="5"/>
          </reference>
        </references>
      </pivotArea>
    </format>
    <format dxfId="1042">
      <pivotArea dataOnly="0" labelOnly="1" fieldPosition="0">
        <references count="2">
          <reference field="0" count="1" selected="0">
            <x v="44"/>
          </reference>
          <reference field="1" count="1">
            <x v="6"/>
          </reference>
        </references>
      </pivotArea>
    </format>
    <format dxfId="1041">
      <pivotArea dataOnly="0" labelOnly="1" fieldPosition="0">
        <references count="2">
          <reference field="0" count="1" selected="0">
            <x v="45"/>
          </reference>
          <reference field="1" count="1">
            <x v="7"/>
          </reference>
        </references>
      </pivotArea>
    </format>
    <format dxfId="1040">
      <pivotArea dataOnly="0" labelOnly="1" fieldPosition="0">
        <references count="2">
          <reference field="0" count="1" selected="0">
            <x v="46"/>
          </reference>
          <reference field="1" count="1">
            <x v="8"/>
          </reference>
        </references>
      </pivotArea>
    </format>
    <format dxfId="1039">
      <pivotArea dataOnly="0" labelOnly="1" fieldPosition="0">
        <references count="2">
          <reference field="0" count="1" selected="0">
            <x v="47"/>
          </reference>
          <reference field="1" count="1">
            <x v="9"/>
          </reference>
        </references>
      </pivotArea>
    </format>
    <format dxfId="1038">
      <pivotArea dataOnly="0" labelOnly="1" fieldPosition="0">
        <references count="2">
          <reference field="0" count="1" selected="0">
            <x v="49"/>
          </reference>
          <reference field="1" count="1">
            <x v="11"/>
          </reference>
        </references>
      </pivotArea>
    </format>
    <format dxfId="1037">
      <pivotArea dataOnly="0" labelOnly="1" fieldPosition="0">
        <references count="2">
          <reference field="0" count="1" selected="0">
            <x v="55"/>
          </reference>
          <reference field="1" count="1">
            <x v="35"/>
          </reference>
        </references>
      </pivotArea>
    </format>
    <format dxfId="1036">
      <pivotArea dataOnly="0" labelOnly="1" fieldPosition="0">
        <references count="2">
          <reference field="0" count="1" selected="0">
            <x v="56"/>
          </reference>
          <reference field="1" count="1">
            <x v="36"/>
          </reference>
        </references>
      </pivotArea>
    </format>
    <format dxfId="1035">
      <pivotArea dataOnly="0" labelOnly="1" fieldPosition="0">
        <references count="2">
          <reference field="0" count="1" selected="0">
            <x v="62"/>
          </reference>
          <reference field="1" count="1">
            <x v="42"/>
          </reference>
        </references>
      </pivotArea>
    </format>
    <format dxfId="1034">
      <pivotArea dataOnly="0" labelOnly="1" fieldPosition="0">
        <references count="2">
          <reference field="0" count="1" selected="0">
            <x v="63"/>
          </reference>
          <reference field="1" count="1">
            <x v="43"/>
          </reference>
        </references>
      </pivotArea>
    </format>
    <format dxfId="1033">
      <pivotArea dataOnly="0" labelOnly="1" fieldPosition="0">
        <references count="2">
          <reference field="0" count="1" selected="0">
            <x v="64"/>
          </reference>
          <reference field="1" count="1">
            <x v="44"/>
          </reference>
        </references>
      </pivotArea>
    </format>
    <format dxfId="1032">
      <pivotArea dataOnly="0" labelOnly="1" fieldPosition="0">
        <references count="2">
          <reference field="0" count="1" selected="0">
            <x v="65"/>
          </reference>
          <reference field="1" count="1">
            <x v="45"/>
          </reference>
        </references>
      </pivotArea>
    </format>
    <format dxfId="1031">
      <pivotArea dataOnly="0" labelOnly="1" fieldPosition="0">
        <references count="2">
          <reference field="0" count="1" selected="0">
            <x v="66"/>
          </reference>
          <reference field="1" count="1">
            <x v="46"/>
          </reference>
        </references>
      </pivotArea>
    </format>
    <format dxfId="1030">
      <pivotArea dataOnly="0" labelOnly="1" fieldPosition="0">
        <references count="2">
          <reference field="0" count="1" selected="0">
            <x v="67"/>
          </reference>
          <reference field="1" count="1">
            <x v="47"/>
          </reference>
        </references>
      </pivotArea>
    </format>
    <format dxfId="1029">
      <pivotArea dataOnly="0" labelOnly="1" fieldPosition="0">
        <references count="2">
          <reference field="0" count="1" selected="0">
            <x v="68"/>
          </reference>
          <reference field="1" count="1">
            <x v="48"/>
          </reference>
        </references>
      </pivotArea>
    </format>
    <format dxfId="1028">
      <pivotArea dataOnly="0" labelOnly="1" fieldPosition="0">
        <references count="2">
          <reference field="0" count="1" selected="0">
            <x v="79"/>
          </reference>
          <reference field="1" count="1">
            <x v="59"/>
          </reference>
        </references>
      </pivotArea>
    </format>
    <format dxfId="1027">
      <pivotArea dataOnly="0" labelOnly="1" fieldPosition="0">
        <references count="2">
          <reference field="0" count="1" selected="0">
            <x v="81"/>
          </reference>
          <reference field="1" count="1">
            <x v="68"/>
          </reference>
        </references>
      </pivotArea>
    </format>
    <format dxfId="1026">
      <pivotArea dataOnly="0" labelOnly="1" fieldPosition="0">
        <references count="2">
          <reference field="0" count="1" selected="0">
            <x v="82"/>
          </reference>
          <reference field="1" count="1">
            <x v="69"/>
          </reference>
        </references>
      </pivotArea>
    </format>
    <format dxfId="1025">
      <pivotArea dataOnly="0" labelOnly="1" fieldPosition="0">
        <references count="2">
          <reference field="0" count="1" selected="0">
            <x v="83"/>
          </reference>
          <reference field="1" count="1">
            <x v="70"/>
          </reference>
        </references>
      </pivotArea>
    </format>
    <format dxfId="1024">
      <pivotArea dataOnly="0" labelOnly="1" fieldPosition="0">
        <references count="2">
          <reference field="0" count="1" selected="0">
            <x v="84"/>
          </reference>
          <reference field="1" count="1">
            <x v="71"/>
          </reference>
        </references>
      </pivotArea>
    </format>
    <format dxfId="1023">
      <pivotArea dataOnly="0" labelOnly="1" fieldPosition="0">
        <references count="2">
          <reference field="0" count="1" selected="0">
            <x v="85"/>
          </reference>
          <reference field="1" count="1">
            <x v="72"/>
          </reference>
        </references>
      </pivotArea>
    </format>
    <format dxfId="1022">
      <pivotArea dataOnly="0" labelOnly="1" fieldPosition="0">
        <references count="2">
          <reference field="0" count="1" selected="0">
            <x v="86"/>
          </reference>
          <reference field="1" count="1">
            <x v="73"/>
          </reference>
        </references>
      </pivotArea>
    </format>
    <format dxfId="1021">
      <pivotArea dataOnly="0" labelOnly="1" fieldPosition="0">
        <references count="2">
          <reference field="0" count="1" selected="0">
            <x v="87"/>
          </reference>
          <reference field="1" count="1">
            <x v="74"/>
          </reference>
        </references>
      </pivotArea>
    </format>
    <format dxfId="1020">
      <pivotArea dataOnly="0" labelOnly="1" fieldPosition="0">
        <references count="2">
          <reference field="0" count="1" selected="0">
            <x v="88"/>
          </reference>
          <reference field="1" count="1">
            <x v="75"/>
          </reference>
        </references>
      </pivotArea>
    </format>
    <format dxfId="1019">
      <pivotArea dataOnly="0" labelOnly="1" fieldPosition="0">
        <references count="2">
          <reference field="0" count="1" selected="0">
            <x v="89"/>
          </reference>
          <reference field="1" count="1">
            <x v="76"/>
          </reference>
        </references>
      </pivotArea>
    </format>
    <format dxfId="1018">
      <pivotArea dataOnly="0" labelOnly="1" fieldPosition="0">
        <references count="2">
          <reference field="0" count="1" selected="0">
            <x v="90"/>
          </reference>
          <reference field="1" count="1">
            <x v="77"/>
          </reference>
        </references>
      </pivotArea>
    </format>
    <format dxfId="1017">
      <pivotArea dataOnly="0" labelOnly="1" fieldPosition="0">
        <references count="2">
          <reference field="0" count="1" selected="0">
            <x v="91"/>
          </reference>
          <reference field="1" count="1">
            <x v="78"/>
          </reference>
        </references>
      </pivotArea>
    </format>
    <format dxfId="1016">
      <pivotArea dataOnly="0" labelOnly="1" fieldPosition="0">
        <references count="2">
          <reference field="0" count="1" selected="0">
            <x v="93"/>
          </reference>
          <reference field="1" count="1">
            <x v="80"/>
          </reference>
        </references>
      </pivotArea>
    </format>
    <format dxfId="1015">
      <pivotArea dataOnly="0" labelOnly="1" fieldPosition="0">
        <references count="2">
          <reference field="0" count="1" selected="0">
            <x v="94"/>
          </reference>
          <reference field="1" count="1">
            <x v="81"/>
          </reference>
        </references>
      </pivotArea>
    </format>
    <format dxfId="1014">
      <pivotArea dataOnly="0" labelOnly="1" fieldPosition="0">
        <references count="2">
          <reference field="0" count="1" selected="0">
            <x v="95"/>
          </reference>
          <reference field="1" count="1">
            <x v="82"/>
          </reference>
        </references>
      </pivotArea>
    </format>
    <format dxfId="1013">
      <pivotArea dataOnly="0" labelOnly="1" fieldPosition="0">
        <references count="2">
          <reference field="0" count="1" selected="0">
            <x v="96"/>
          </reference>
          <reference field="1" count="1">
            <x v="83"/>
          </reference>
        </references>
      </pivotArea>
    </format>
    <format dxfId="1012">
      <pivotArea dataOnly="0" labelOnly="1" fieldPosition="0">
        <references count="2">
          <reference field="0" count="1" selected="0">
            <x v="97"/>
          </reference>
          <reference field="1" count="1">
            <x v="84"/>
          </reference>
        </references>
      </pivotArea>
    </format>
    <format dxfId="1011">
      <pivotArea dataOnly="0" labelOnly="1" fieldPosition="0">
        <references count="2">
          <reference field="0" count="1" selected="0">
            <x v="98"/>
          </reference>
          <reference field="1" count="1">
            <x v="85"/>
          </reference>
        </references>
      </pivotArea>
    </format>
    <format dxfId="1010">
      <pivotArea dataOnly="0" labelOnly="1" fieldPosition="0">
        <references count="2">
          <reference field="0" count="1" selected="0">
            <x v="99"/>
          </reference>
          <reference field="1" count="1">
            <x v="86"/>
          </reference>
        </references>
      </pivotArea>
    </format>
    <format dxfId="1009">
      <pivotArea dataOnly="0" labelOnly="1" fieldPosition="0">
        <references count="2">
          <reference field="0" count="1" selected="0">
            <x v="100"/>
          </reference>
          <reference field="1" count="1">
            <x v="87"/>
          </reference>
        </references>
      </pivotArea>
    </format>
    <format dxfId="1008">
      <pivotArea dataOnly="0" labelOnly="1" fieldPosition="0">
        <references count="2">
          <reference field="0" count="1" selected="0">
            <x v="101"/>
          </reference>
          <reference field="1" count="1">
            <x v="88"/>
          </reference>
        </references>
      </pivotArea>
    </format>
    <format dxfId="1007">
      <pivotArea dataOnly="0" labelOnly="1" fieldPosition="0">
        <references count="2">
          <reference field="0" count="1" selected="0">
            <x v="102"/>
          </reference>
          <reference field="1" count="1">
            <x v="89"/>
          </reference>
        </references>
      </pivotArea>
    </format>
    <format dxfId="1006">
      <pivotArea dataOnly="0" labelOnly="1" fieldPosition="0">
        <references count="2">
          <reference field="0" count="1" selected="0">
            <x v="103"/>
          </reference>
          <reference field="1" count="1">
            <x v="90"/>
          </reference>
        </references>
      </pivotArea>
    </format>
    <format dxfId="1005">
      <pivotArea dataOnly="0" labelOnly="1" fieldPosition="0">
        <references count="2">
          <reference field="0" count="1" selected="0">
            <x v="104"/>
          </reference>
          <reference field="1" count="1">
            <x v="91"/>
          </reference>
        </references>
      </pivotArea>
    </format>
    <format dxfId="1004">
      <pivotArea dataOnly="0" labelOnly="1" fieldPosition="0">
        <references count="2">
          <reference field="0" count="1" selected="0">
            <x v="105"/>
          </reference>
          <reference field="1" count="1">
            <x v="92"/>
          </reference>
        </references>
      </pivotArea>
    </format>
    <format dxfId="1003">
      <pivotArea dataOnly="0" labelOnly="1" fieldPosition="0">
        <references count="2">
          <reference field="0" count="1" selected="0">
            <x v="106"/>
          </reference>
          <reference field="1" count="1">
            <x v="93"/>
          </reference>
        </references>
      </pivotArea>
    </format>
    <format dxfId="1002">
      <pivotArea dataOnly="0" labelOnly="1" fieldPosition="0">
        <references count="2">
          <reference field="0" count="1" selected="0">
            <x v="107"/>
          </reference>
          <reference field="1" count="1">
            <x v="94"/>
          </reference>
        </references>
      </pivotArea>
    </format>
    <format dxfId="1001">
      <pivotArea dataOnly="0" labelOnly="1" fieldPosition="0">
        <references count="2">
          <reference field="0" count="1" selected="0">
            <x v="108"/>
          </reference>
          <reference field="1" count="1">
            <x v="95"/>
          </reference>
        </references>
      </pivotArea>
    </format>
    <format dxfId="1000">
      <pivotArea dataOnly="0" labelOnly="1" fieldPosition="0">
        <references count="2">
          <reference field="0" count="1" selected="0">
            <x v="110"/>
          </reference>
          <reference field="1" count="1">
            <x v="97"/>
          </reference>
        </references>
      </pivotArea>
    </format>
    <format dxfId="999">
      <pivotArea dataOnly="0" labelOnly="1" fieldPosition="0">
        <references count="2">
          <reference field="0" count="1" selected="0">
            <x v="111"/>
          </reference>
          <reference field="1" count="1">
            <x v="98"/>
          </reference>
        </references>
      </pivotArea>
    </format>
    <format dxfId="998">
      <pivotArea dataOnly="0" labelOnly="1" fieldPosition="0">
        <references count="2">
          <reference field="0" count="1" selected="0">
            <x v="113"/>
          </reference>
          <reference field="1" count="1">
            <x v="100"/>
          </reference>
        </references>
      </pivotArea>
    </format>
    <format dxfId="997">
      <pivotArea dataOnly="0" labelOnly="1" fieldPosition="0">
        <references count="2">
          <reference field="0" count="1" selected="0">
            <x v="119"/>
          </reference>
          <reference field="1" count="1">
            <x v="106"/>
          </reference>
        </references>
      </pivotArea>
    </format>
    <format dxfId="996">
      <pivotArea dataOnly="0" labelOnly="1" fieldPosition="0">
        <references count="2">
          <reference field="0" count="1" selected="0">
            <x v="120"/>
          </reference>
          <reference field="1" count="1">
            <x v="107"/>
          </reference>
        </references>
      </pivotArea>
    </format>
    <format dxfId="995">
      <pivotArea dataOnly="0" labelOnly="1" fieldPosition="0">
        <references count="2">
          <reference field="0" count="1" selected="0">
            <x v="121"/>
          </reference>
          <reference field="1" count="1">
            <x v="108"/>
          </reference>
        </references>
      </pivotArea>
    </format>
    <format dxfId="994">
      <pivotArea dataOnly="0" labelOnly="1" fieldPosition="0">
        <references count="2">
          <reference field="0" count="1" selected="0">
            <x v="122"/>
          </reference>
          <reference field="1" count="1">
            <x v="109"/>
          </reference>
        </references>
      </pivotArea>
    </format>
    <format dxfId="993">
      <pivotArea dataOnly="0" labelOnly="1" fieldPosition="0">
        <references count="2">
          <reference field="0" count="1" selected="0">
            <x v="123"/>
          </reference>
          <reference field="1" count="1">
            <x v="110"/>
          </reference>
        </references>
      </pivotArea>
    </format>
    <format dxfId="992">
      <pivotArea dataOnly="0" labelOnly="1" fieldPosition="0">
        <references count="2">
          <reference field="0" count="1" selected="0">
            <x v="124"/>
          </reference>
          <reference field="1" count="1">
            <x v="111"/>
          </reference>
        </references>
      </pivotArea>
    </format>
    <format dxfId="991">
      <pivotArea dataOnly="0" labelOnly="1" fieldPosition="0">
        <references count="2">
          <reference field="0" count="1" selected="0">
            <x v="125"/>
          </reference>
          <reference field="1" count="1">
            <x v="112"/>
          </reference>
        </references>
      </pivotArea>
    </format>
    <format dxfId="990">
      <pivotArea dataOnly="0" labelOnly="1" fieldPosition="0">
        <references count="2">
          <reference field="0" count="1" selected="0">
            <x v="126"/>
          </reference>
          <reference field="1" count="1">
            <x v="113"/>
          </reference>
        </references>
      </pivotArea>
    </format>
    <format dxfId="989">
      <pivotArea dataOnly="0" labelOnly="1" fieldPosition="0">
        <references count="2">
          <reference field="0" count="1" selected="0">
            <x v="127"/>
          </reference>
          <reference field="1" count="1">
            <x v="114"/>
          </reference>
        </references>
      </pivotArea>
    </format>
    <format dxfId="988">
      <pivotArea dataOnly="0" labelOnly="1" fieldPosition="0">
        <references count="2">
          <reference field="0" count="1" selected="0">
            <x v="128"/>
          </reference>
          <reference field="1" count="1">
            <x v="115"/>
          </reference>
        </references>
      </pivotArea>
    </format>
    <format dxfId="987">
      <pivotArea dataOnly="0" labelOnly="1" fieldPosition="0">
        <references count="2">
          <reference field="0" count="1" selected="0">
            <x v="129"/>
          </reference>
          <reference field="1" count="1">
            <x v="116"/>
          </reference>
        </references>
      </pivotArea>
    </format>
    <format dxfId="986">
      <pivotArea dataOnly="0" labelOnly="1" fieldPosition="0">
        <references count="2">
          <reference field="0" count="1" selected="0">
            <x v="130"/>
          </reference>
          <reference field="1" count="1">
            <x v="117"/>
          </reference>
        </references>
      </pivotArea>
    </format>
    <format dxfId="985">
      <pivotArea dataOnly="0" labelOnly="1" fieldPosition="0">
        <references count="2">
          <reference field="0" count="1" selected="0">
            <x v="134"/>
          </reference>
          <reference field="1" count="1">
            <x v="127"/>
          </reference>
        </references>
      </pivotArea>
    </format>
    <format dxfId="984">
      <pivotArea dataOnly="0" labelOnly="1" fieldPosition="0">
        <references count="2">
          <reference field="0" count="1" selected="0">
            <x v="135"/>
          </reference>
          <reference field="1" count="1">
            <x v="128"/>
          </reference>
        </references>
      </pivotArea>
    </format>
    <format dxfId="983">
      <pivotArea dataOnly="0" labelOnly="1" fieldPosition="0">
        <references count="2">
          <reference field="0" count="1" selected="0">
            <x v="136"/>
          </reference>
          <reference field="1" count="1">
            <x v="129"/>
          </reference>
        </references>
      </pivotArea>
    </format>
    <format dxfId="982">
      <pivotArea dataOnly="0" labelOnly="1" fieldPosition="0">
        <references count="2">
          <reference field="0" count="1" selected="0">
            <x v="144"/>
          </reference>
          <reference field="1" count="1">
            <x v="137"/>
          </reference>
        </references>
      </pivotArea>
    </format>
    <format dxfId="981">
      <pivotArea dataOnly="0" labelOnly="1" fieldPosition="0">
        <references count="2">
          <reference field="0" count="1" selected="0">
            <x v="146"/>
          </reference>
          <reference field="1" count="1">
            <x v="139"/>
          </reference>
        </references>
      </pivotArea>
    </format>
    <format dxfId="980">
      <pivotArea dataOnly="0" labelOnly="1" fieldPosition="0">
        <references count="2">
          <reference field="0" count="1" selected="0">
            <x v="147"/>
          </reference>
          <reference field="1" count="1">
            <x v="140"/>
          </reference>
        </references>
      </pivotArea>
    </format>
    <format dxfId="979">
      <pivotArea dataOnly="0" labelOnly="1" fieldPosition="0">
        <references count="2">
          <reference field="0" count="1" selected="0">
            <x v="148"/>
          </reference>
          <reference field="1" count="1">
            <x v="141"/>
          </reference>
        </references>
      </pivotArea>
    </format>
    <format dxfId="978">
      <pivotArea dataOnly="0" labelOnly="1" fieldPosition="0">
        <references count="2">
          <reference field="0" count="1" selected="0">
            <x v="149"/>
          </reference>
          <reference field="1" count="1">
            <x v="142"/>
          </reference>
        </references>
      </pivotArea>
    </format>
    <format dxfId="977">
      <pivotArea dataOnly="0" labelOnly="1" fieldPosition="0">
        <references count="2">
          <reference field="0" count="1" selected="0">
            <x v="150"/>
          </reference>
          <reference field="1" count="1">
            <x v="143"/>
          </reference>
        </references>
      </pivotArea>
    </format>
    <format dxfId="976">
      <pivotArea dataOnly="0" labelOnly="1" fieldPosition="0">
        <references count="2">
          <reference field="0" count="1" selected="0">
            <x v="151"/>
          </reference>
          <reference field="1" count="1">
            <x v="144"/>
          </reference>
        </references>
      </pivotArea>
    </format>
    <format dxfId="975">
      <pivotArea dataOnly="0" labelOnly="1" fieldPosition="0">
        <references count="2">
          <reference field="0" count="1" selected="0">
            <x v="152"/>
          </reference>
          <reference field="1" count="1">
            <x v="145"/>
          </reference>
        </references>
      </pivotArea>
    </format>
    <format dxfId="974">
      <pivotArea dataOnly="0" labelOnly="1" fieldPosition="0">
        <references count="2">
          <reference field="0" count="1" selected="0">
            <x v="153"/>
          </reference>
          <reference field="1" count="1">
            <x v="146"/>
          </reference>
        </references>
      </pivotArea>
    </format>
    <format dxfId="973">
      <pivotArea dataOnly="0" labelOnly="1" fieldPosition="0">
        <references count="2">
          <reference field="0" count="1" selected="0">
            <x v="154"/>
          </reference>
          <reference field="1" count="1">
            <x v="147"/>
          </reference>
        </references>
      </pivotArea>
    </format>
    <format dxfId="972">
      <pivotArea dataOnly="0" labelOnly="1" fieldPosition="0">
        <references count="2">
          <reference field="0" count="1" selected="0">
            <x v="155"/>
          </reference>
          <reference field="1" count="1">
            <x v="148"/>
          </reference>
        </references>
      </pivotArea>
    </format>
    <format dxfId="971">
      <pivotArea dataOnly="0" labelOnly="1" fieldPosition="0">
        <references count="2">
          <reference field="0" count="1" selected="0">
            <x v="159"/>
          </reference>
          <reference field="1" count="1">
            <x v="183"/>
          </reference>
        </references>
      </pivotArea>
    </format>
    <format dxfId="970">
      <pivotArea dataOnly="0" labelOnly="1" fieldPosition="0">
        <references count="2">
          <reference field="0" count="1" selected="0">
            <x v="160"/>
          </reference>
          <reference field="1" count="1">
            <x v="184"/>
          </reference>
        </references>
      </pivotArea>
    </format>
    <format dxfId="969">
      <pivotArea dataOnly="0" labelOnly="1" fieldPosition="0">
        <references count="2">
          <reference field="0" count="1" selected="0">
            <x v="161"/>
          </reference>
          <reference field="1" count="1">
            <x v="185"/>
          </reference>
        </references>
      </pivotArea>
    </format>
    <format dxfId="968">
      <pivotArea dataOnly="0" labelOnly="1" fieldPosition="0">
        <references count="2">
          <reference field="0" count="1" selected="0">
            <x v="162"/>
          </reference>
          <reference field="1" count="1">
            <x v="186"/>
          </reference>
        </references>
      </pivotArea>
    </format>
    <format dxfId="967">
      <pivotArea dataOnly="0" labelOnly="1" fieldPosition="0">
        <references count="2">
          <reference field="0" count="1" selected="0">
            <x v="164"/>
          </reference>
          <reference field="1" count="1">
            <x v="188"/>
          </reference>
        </references>
      </pivotArea>
    </format>
    <format dxfId="966">
      <pivotArea dataOnly="0" labelOnly="1" fieldPosition="0">
        <references count="2">
          <reference field="0" count="1" selected="0">
            <x v="165"/>
          </reference>
          <reference field="1" count="1">
            <x v="189"/>
          </reference>
        </references>
      </pivotArea>
    </format>
    <format dxfId="965">
      <pivotArea dataOnly="0" labelOnly="1" fieldPosition="0">
        <references count="2">
          <reference field="0" count="1" selected="0">
            <x v="166"/>
          </reference>
          <reference field="1" count="1">
            <x v="190"/>
          </reference>
        </references>
      </pivotArea>
    </format>
    <format dxfId="964">
      <pivotArea dataOnly="0" labelOnly="1" fieldPosition="0">
        <references count="2">
          <reference field="0" count="1" selected="0">
            <x v="167"/>
          </reference>
          <reference field="1" count="1">
            <x v="199"/>
          </reference>
        </references>
      </pivotArea>
    </format>
    <format dxfId="963">
      <pivotArea dataOnly="0" labelOnly="1" fieldPosition="0">
        <references count="2">
          <reference field="0" count="1" selected="0">
            <x v="168"/>
          </reference>
          <reference field="1" count="1">
            <x v="200"/>
          </reference>
        </references>
      </pivotArea>
    </format>
    <format dxfId="962">
      <pivotArea dataOnly="0" labelOnly="1" fieldPosition="0">
        <references count="2">
          <reference field="0" count="1" selected="0">
            <x v="171"/>
          </reference>
          <reference field="1" count="1">
            <x v="203"/>
          </reference>
        </references>
      </pivotArea>
    </format>
    <format dxfId="961">
      <pivotArea dataOnly="0" labelOnly="1" fieldPosition="0">
        <references count="2">
          <reference field="0" count="1" selected="0">
            <x v="172"/>
          </reference>
          <reference field="1" count="1">
            <x v="204"/>
          </reference>
        </references>
      </pivotArea>
    </format>
    <format dxfId="960">
      <pivotArea dataOnly="0" labelOnly="1" fieldPosition="0">
        <references count="2">
          <reference field="0" count="1" selected="0">
            <x v="173"/>
          </reference>
          <reference field="1" count="1">
            <x v="205"/>
          </reference>
        </references>
      </pivotArea>
    </format>
    <format dxfId="959">
      <pivotArea dataOnly="0" labelOnly="1" fieldPosition="0">
        <references count="2">
          <reference field="0" count="1" selected="0">
            <x v="175"/>
          </reference>
          <reference field="1" count="1">
            <x v="207"/>
          </reference>
        </references>
      </pivotArea>
    </format>
    <format dxfId="958">
      <pivotArea dataOnly="0" labelOnly="1" fieldPosition="0">
        <references count="2">
          <reference field="0" count="1" selected="0">
            <x v="176"/>
          </reference>
          <reference field="1" count="1">
            <x v="208"/>
          </reference>
        </references>
      </pivotArea>
    </format>
    <format dxfId="957">
      <pivotArea dataOnly="0" labelOnly="1" fieldPosition="0">
        <references count="2">
          <reference field="0" count="1" selected="0">
            <x v="177"/>
          </reference>
          <reference field="1" count="1">
            <x v="209"/>
          </reference>
        </references>
      </pivotArea>
    </format>
    <format dxfId="956">
      <pivotArea dataOnly="0" labelOnly="1" fieldPosition="0">
        <references count="2">
          <reference field="0" count="1" selected="0">
            <x v="178"/>
          </reference>
          <reference field="1" count="1">
            <x v="210"/>
          </reference>
        </references>
      </pivotArea>
    </format>
    <format dxfId="955">
      <pivotArea dataOnly="0" labelOnly="1" fieldPosition="0">
        <references count="2">
          <reference field="0" count="1" selected="0">
            <x v="179"/>
          </reference>
          <reference field="1" count="1">
            <x v="211"/>
          </reference>
        </references>
      </pivotArea>
    </format>
    <format dxfId="954">
      <pivotArea dataOnly="0" labelOnly="1" fieldPosition="0">
        <references count="2">
          <reference field="0" count="1" selected="0">
            <x v="180"/>
          </reference>
          <reference field="1" count="1">
            <x v="212"/>
          </reference>
        </references>
      </pivotArea>
    </format>
    <format dxfId="953">
      <pivotArea dataOnly="0" labelOnly="1" fieldPosition="0">
        <references count="2">
          <reference field="0" count="1" selected="0">
            <x v="181"/>
          </reference>
          <reference field="1" count="1">
            <x v="213"/>
          </reference>
        </references>
      </pivotArea>
    </format>
    <format dxfId="952">
      <pivotArea dataOnly="0" labelOnly="1" fieldPosition="0">
        <references count="2">
          <reference field="0" count="1" selected="0">
            <x v="182"/>
          </reference>
          <reference field="1" count="1">
            <x v="214"/>
          </reference>
        </references>
      </pivotArea>
    </format>
    <format dxfId="951">
      <pivotArea dataOnly="0" labelOnly="1" fieldPosition="0">
        <references count="2">
          <reference field="0" count="1" selected="0">
            <x v="183"/>
          </reference>
          <reference field="1" count="1">
            <x v="215"/>
          </reference>
        </references>
      </pivotArea>
    </format>
    <format dxfId="950">
      <pivotArea dataOnly="0" labelOnly="1" fieldPosition="0">
        <references count="2">
          <reference field="0" count="1" selected="0">
            <x v="184"/>
          </reference>
          <reference field="1" count="1">
            <x v="216"/>
          </reference>
        </references>
      </pivotArea>
    </format>
    <format dxfId="949">
      <pivotArea dataOnly="0" labelOnly="1" fieldPosition="0">
        <references count="2">
          <reference field="0" count="1" selected="0">
            <x v="185"/>
          </reference>
          <reference field="1" count="1">
            <x v="217"/>
          </reference>
        </references>
      </pivotArea>
    </format>
    <format dxfId="948">
      <pivotArea dataOnly="0" labelOnly="1" fieldPosition="0">
        <references count="2">
          <reference field="0" count="1" selected="0">
            <x v="186"/>
          </reference>
          <reference field="1" count="1">
            <x v="218"/>
          </reference>
        </references>
      </pivotArea>
    </format>
    <format dxfId="947">
      <pivotArea dataOnly="0" labelOnly="1" fieldPosition="0">
        <references count="2">
          <reference field="0" count="1" selected="0">
            <x v="187"/>
          </reference>
          <reference field="1" count="1">
            <x v="219"/>
          </reference>
        </references>
      </pivotArea>
    </format>
    <format dxfId="946">
      <pivotArea dataOnly="0" labelOnly="1" fieldPosition="0">
        <references count="2">
          <reference field="0" count="1" selected="0">
            <x v="188"/>
          </reference>
          <reference field="1" count="1">
            <x v="220"/>
          </reference>
        </references>
      </pivotArea>
    </format>
    <format dxfId="945">
      <pivotArea dataOnly="0" labelOnly="1" fieldPosition="0">
        <references count="2">
          <reference field="0" count="1" selected="0">
            <x v="189"/>
          </reference>
          <reference field="1" count="1">
            <x v="221"/>
          </reference>
        </references>
      </pivotArea>
    </format>
    <format dxfId="944">
      <pivotArea dataOnly="0" labelOnly="1" fieldPosition="0">
        <references count="2">
          <reference field="0" count="1" selected="0">
            <x v="192"/>
          </reference>
          <reference field="1" count="1">
            <x v="224"/>
          </reference>
        </references>
      </pivotArea>
    </format>
    <format dxfId="943">
      <pivotArea dataOnly="0" labelOnly="1" fieldPosition="0">
        <references count="2">
          <reference field="0" count="1" selected="0">
            <x v="193"/>
          </reference>
          <reference field="1" count="1">
            <x v="225"/>
          </reference>
        </references>
      </pivotArea>
    </format>
    <format dxfId="942">
      <pivotArea dataOnly="0" labelOnly="1" fieldPosition="0">
        <references count="2">
          <reference field="0" count="1" selected="0">
            <x v="197"/>
          </reference>
          <reference field="1" count="1">
            <x v="236"/>
          </reference>
        </references>
      </pivotArea>
    </format>
    <format dxfId="941">
      <pivotArea dataOnly="0" labelOnly="1" fieldPosition="0">
        <references count="2">
          <reference field="0" count="1" selected="0">
            <x v="199"/>
          </reference>
          <reference field="1" count="1">
            <x v="238"/>
          </reference>
        </references>
      </pivotArea>
    </format>
    <format dxfId="940">
      <pivotArea dataOnly="0" labelOnly="1" fieldPosition="0">
        <references count="2">
          <reference field="0" count="1" selected="0">
            <x v="200"/>
          </reference>
          <reference field="1" count="1">
            <x v="239"/>
          </reference>
        </references>
      </pivotArea>
    </format>
    <format dxfId="939">
      <pivotArea dataOnly="0" labelOnly="1" fieldPosition="0">
        <references count="2">
          <reference field="0" count="1" selected="0">
            <x v="201"/>
          </reference>
          <reference field="1" count="1">
            <x v="240"/>
          </reference>
        </references>
      </pivotArea>
    </format>
    <format dxfId="938">
      <pivotArea dataOnly="0" labelOnly="1" fieldPosition="0">
        <references count="2">
          <reference field="0" count="1" selected="0">
            <x v="204"/>
          </reference>
          <reference field="1" count="1">
            <x v="149"/>
          </reference>
        </references>
      </pivotArea>
    </format>
    <format dxfId="937">
      <pivotArea dataOnly="0" labelOnly="1" fieldPosition="0">
        <references count="2">
          <reference field="0" count="1" selected="0">
            <x v="206"/>
          </reference>
          <reference field="1" count="1">
            <x v="151"/>
          </reference>
        </references>
      </pivotArea>
    </format>
    <format dxfId="936">
      <pivotArea dataOnly="0" labelOnly="1" fieldPosition="0">
        <references count="2">
          <reference field="0" count="1" selected="0">
            <x v="207"/>
          </reference>
          <reference field="1" count="1">
            <x v="152"/>
          </reference>
        </references>
      </pivotArea>
    </format>
    <format dxfId="935">
      <pivotArea dataOnly="0" labelOnly="1" fieldPosition="0">
        <references count="2">
          <reference field="0" count="1" selected="0">
            <x v="208"/>
          </reference>
          <reference field="1" count="1">
            <x v="153"/>
          </reference>
        </references>
      </pivotArea>
    </format>
    <format dxfId="934">
      <pivotArea dataOnly="0" labelOnly="1" fieldPosition="0">
        <references count="2">
          <reference field="0" count="1" selected="0">
            <x v="209"/>
          </reference>
          <reference field="1" count="1">
            <x v="154"/>
          </reference>
        </references>
      </pivotArea>
    </format>
    <format dxfId="933">
      <pivotArea dataOnly="0" labelOnly="1" fieldPosition="0">
        <references count="2">
          <reference field="0" count="1" selected="0">
            <x v="210"/>
          </reference>
          <reference field="1" count="1">
            <x v="155"/>
          </reference>
        </references>
      </pivotArea>
    </format>
    <format dxfId="932">
      <pivotArea dataOnly="0" labelOnly="1" fieldPosition="0">
        <references count="2">
          <reference field="0" count="1" selected="0">
            <x v="211"/>
          </reference>
          <reference field="1" count="1">
            <x v="156"/>
          </reference>
        </references>
      </pivotArea>
    </format>
    <format dxfId="931">
      <pivotArea dataOnly="0" labelOnly="1" fieldPosition="0">
        <references count="2">
          <reference field="0" count="1" selected="0">
            <x v="212"/>
          </reference>
          <reference field="1" count="1">
            <x v="157"/>
          </reference>
        </references>
      </pivotArea>
    </format>
    <format dxfId="930">
      <pivotArea dataOnly="0" labelOnly="1" fieldPosition="0">
        <references count="2">
          <reference field="0" count="1" selected="0">
            <x v="214"/>
          </reference>
          <reference field="1" count="1">
            <x v="159"/>
          </reference>
        </references>
      </pivotArea>
    </format>
    <format dxfId="929">
      <pivotArea dataOnly="0" labelOnly="1" fieldPosition="0">
        <references count="2">
          <reference field="0" count="1" selected="0">
            <x v="215"/>
          </reference>
          <reference field="1" count="1">
            <x v="160"/>
          </reference>
        </references>
      </pivotArea>
    </format>
    <format dxfId="928">
      <pivotArea dataOnly="0" labelOnly="1" fieldPosition="0">
        <references count="2">
          <reference field="0" count="1" selected="0">
            <x v="216"/>
          </reference>
          <reference field="1" count="1">
            <x v="161"/>
          </reference>
        </references>
      </pivotArea>
    </format>
    <format dxfId="927">
      <pivotArea dataOnly="0" labelOnly="1" fieldPosition="0">
        <references count="2">
          <reference field="0" count="1" selected="0">
            <x v="217"/>
          </reference>
          <reference field="1" count="1">
            <x v="162"/>
          </reference>
        </references>
      </pivotArea>
    </format>
    <format dxfId="926">
      <pivotArea dataOnly="0" labelOnly="1" fieldPosition="0">
        <references count="2">
          <reference field="0" count="1" selected="0">
            <x v="218"/>
          </reference>
          <reference field="1" count="1">
            <x v="163"/>
          </reference>
        </references>
      </pivotArea>
    </format>
    <format dxfId="925">
      <pivotArea dataOnly="0" labelOnly="1" fieldPosition="0">
        <references count="2">
          <reference field="0" count="1" selected="0">
            <x v="219"/>
          </reference>
          <reference field="1" count="1">
            <x v="164"/>
          </reference>
        </references>
      </pivotArea>
    </format>
    <format dxfId="924">
      <pivotArea dataOnly="0" labelOnly="1" fieldPosition="0">
        <references count="2">
          <reference field="0" count="1" selected="0">
            <x v="220"/>
          </reference>
          <reference field="1" count="1">
            <x v="165"/>
          </reference>
        </references>
      </pivotArea>
    </format>
    <format dxfId="923">
      <pivotArea dataOnly="0" labelOnly="1" fieldPosition="0">
        <references count="2">
          <reference field="0" count="1" selected="0">
            <x v="221"/>
          </reference>
          <reference field="1" count="1">
            <x v="166"/>
          </reference>
        </references>
      </pivotArea>
    </format>
    <format dxfId="922">
      <pivotArea dataOnly="0" labelOnly="1" fieldPosition="0">
        <references count="2">
          <reference field="0" count="1" selected="0">
            <x v="223"/>
          </reference>
          <reference field="1" count="1">
            <x v="168"/>
          </reference>
        </references>
      </pivotArea>
    </format>
    <format dxfId="921">
      <pivotArea dataOnly="0" labelOnly="1" fieldPosition="0">
        <references count="2">
          <reference field="0" count="1" selected="0">
            <x v="224"/>
          </reference>
          <reference field="1" count="1">
            <x v="169"/>
          </reference>
        </references>
      </pivotArea>
    </format>
    <format dxfId="920">
      <pivotArea dataOnly="0" labelOnly="1" fieldPosition="0">
        <references count="2">
          <reference field="0" count="1" selected="0">
            <x v="225"/>
          </reference>
          <reference field="1" count="1">
            <x v="170"/>
          </reference>
        </references>
      </pivotArea>
    </format>
    <format dxfId="919">
      <pivotArea dataOnly="0" labelOnly="1" fieldPosition="0">
        <references count="2">
          <reference field="0" count="1" selected="0">
            <x v="226"/>
          </reference>
          <reference field="1" count="1">
            <x v="171"/>
          </reference>
        </references>
      </pivotArea>
    </format>
    <format dxfId="918">
      <pivotArea dataOnly="0" labelOnly="1" fieldPosition="0">
        <references count="2">
          <reference field="0" count="1" selected="0">
            <x v="227"/>
          </reference>
          <reference field="1" count="1">
            <x v="172"/>
          </reference>
        </references>
      </pivotArea>
    </format>
    <format dxfId="917">
      <pivotArea dataOnly="0" labelOnly="1" fieldPosition="0">
        <references count="2">
          <reference field="0" count="1" selected="0">
            <x v="228"/>
          </reference>
          <reference field="1" count="1">
            <x v="173"/>
          </reference>
        </references>
      </pivotArea>
    </format>
    <format dxfId="916">
      <pivotArea dataOnly="0" labelOnly="1" fieldPosition="0">
        <references count="2">
          <reference field="0" count="1" selected="0">
            <x v="229"/>
          </reference>
          <reference field="1" count="1">
            <x v="174"/>
          </reference>
        </references>
      </pivotArea>
    </format>
    <format dxfId="915">
      <pivotArea dataOnly="0" labelOnly="1" fieldPosition="0">
        <references count="2">
          <reference field="0" count="1" selected="0">
            <x v="230"/>
          </reference>
          <reference field="1" count="1">
            <x v="175"/>
          </reference>
        </references>
      </pivotArea>
    </format>
    <format dxfId="914">
      <pivotArea dataOnly="0" labelOnly="1" fieldPosition="0">
        <references count="2">
          <reference field="0" count="1" selected="0">
            <x v="231"/>
          </reference>
          <reference field="1" count="1">
            <x v="176"/>
          </reference>
        </references>
      </pivotArea>
    </format>
    <format dxfId="913">
      <pivotArea dataOnly="0" labelOnly="1" fieldPosition="0">
        <references count="2">
          <reference field="0" count="1" selected="0">
            <x v="232"/>
          </reference>
          <reference field="1" count="1">
            <x v="177"/>
          </reference>
        </references>
      </pivotArea>
    </format>
    <format dxfId="912">
      <pivotArea dataOnly="0" labelOnly="1" fieldPosition="0">
        <references count="2">
          <reference field="0" count="1" selected="0">
            <x v="233"/>
          </reference>
          <reference field="1" count="1">
            <x v="178"/>
          </reference>
        </references>
      </pivotArea>
    </format>
    <format dxfId="911">
      <pivotArea dataOnly="0" labelOnly="1" fieldPosition="0">
        <references count="2">
          <reference field="0" count="1" selected="0">
            <x v="234"/>
          </reference>
          <reference field="1" count="1">
            <x v="179"/>
          </reference>
        </references>
      </pivotArea>
    </format>
    <format dxfId="910">
      <pivotArea dataOnly="0" labelOnly="1" fieldPosition="0">
        <references count="2">
          <reference field="0" count="1" selected="0">
            <x v="235"/>
          </reference>
          <reference field="1" count="1">
            <x v="191"/>
          </reference>
        </references>
      </pivotArea>
    </format>
    <format dxfId="909">
      <pivotArea dataOnly="0" labelOnly="1" fieldPosition="0">
        <references count="2">
          <reference field="0" count="1" selected="0">
            <x v="236"/>
          </reference>
          <reference field="1" count="1">
            <x v="192"/>
          </reference>
        </references>
      </pivotArea>
    </format>
    <format dxfId="908">
      <pivotArea dataOnly="0" labelOnly="1" fieldPosition="0">
        <references count="2">
          <reference field="0" count="1" selected="0">
            <x v="237"/>
          </reference>
          <reference field="1" count="1">
            <x v="193"/>
          </reference>
        </references>
      </pivotArea>
    </format>
    <format dxfId="907">
      <pivotArea dataOnly="0" labelOnly="1" fieldPosition="0">
        <references count="2">
          <reference field="0" count="1" selected="0">
            <x v="238"/>
          </reference>
          <reference field="1" count="1">
            <x v="194"/>
          </reference>
        </references>
      </pivotArea>
    </format>
    <format dxfId="906">
      <pivotArea dataOnly="0" labelOnly="1" fieldPosition="0">
        <references count="2">
          <reference field="0" count="1" selected="0">
            <x v="239"/>
          </reference>
          <reference field="1" count="1">
            <x v="195"/>
          </reference>
        </references>
      </pivotArea>
    </format>
    <format dxfId="905">
      <pivotArea dataOnly="0" labelOnly="1" fieldPosition="0">
        <references count="2">
          <reference field="0" count="1" selected="0">
            <x v="240"/>
          </reference>
          <reference field="1" count="1">
            <x v="196"/>
          </reference>
        </references>
      </pivotArea>
    </format>
    <format dxfId="904">
      <pivotArea dataOnly="0" labelOnly="1" fieldPosition="0">
        <references count="2">
          <reference field="0" count="1" selected="0">
            <x v="241"/>
          </reference>
          <reference field="1" count="1">
            <x v="197"/>
          </reference>
        </references>
      </pivotArea>
    </format>
    <format dxfId="903">
      <pivotArea dataOnly="0" labelOnly="1" fieldPosition="0">
        <references count="2">
          <reference field="0" count="1" selected="0">
            <x v="242"/>
          </reference>
          <reference field="1" count="1">
            <x v="198"/>
          </reference>
        </references>
      </pivotArea>
    </format>
    <format dxfId="902">
      <pivotArea dataOnly="0" labelOnly="1" fieldPosition="0">
        <references count="3">
          <reference field="0" count="1" selected="0">
            <x v="0"/>
          </reference>
          <reference field="1" count="1" selected="0">
            <x v="228"/>
          </reference>
          <reference field="2" count="1">
            <x v="153"/>
          </reference>
        </references>
      </pivotArea>
    </format>
    <format dxfId="901">
      <pivotArea dataOnly="0" labelOnly="1" fieldPosition="0">
        <references count="3">
          <reference field="0" count="1" selected="0">
            <x v="2"/>
          </reference>
          <reference field="1" count="1" selected="0">
            <x v="230"/>
          </reference>
          <reference field="2" count="1">
            <x v="225"/>
          </reference>
        </references>
      </pivotArea>
    </format>
    <format dxfId="900">
      <pivotArea dataOnly="0" labelOnly="1" fieldPosition="0">
        <references count="3">
          <reference field="0" count="1" selected="0">
            <x v="3"/>
          </reference>
          <reference field="1" count="1" selected="0">
            <x v="231"/>
          </reference>
          <reference field="2" count="1">
            <x v="88"/>
          </reference>
        </references>
      </pivotArea>
    </format>
    <format dxfId="899">
      <pivotArea dataOnly="0" labelOnly="1" fieldPosition="0">
        <references count="3">
          <reference field="0" count="1" selected="0">
            <x v="4"/>
          </reference>
          <reference field="1" count="1" selected="0">
            <x v="232"/>
          </reference>
          <reference field="2" count="1">
            <x v="90"/>
          </reference>
        </references>
      </pivotArea>
    </format>
    <format dxfId="898">
      <pivotArea dataOnly="0" labelOnly="1" fieldPosition="0">
        <references count="3">
          <reference field="0" count="1" selected="0">
            <x v="5"/>
          </reference>
          <reference field="1" count="1" selected="0">
            <x v="233"/>
          </reference>
          <reference field="2" count="1">
            <x v="224"/>
          </reference>
        </references>
      </pivotArea>
    </format>
    <format dxfId="897">
      <pivotArea dataOnly="0" labelOnly="1" fieldPosition="0">
        <references count="3">
          <reference field="0" count="1" selected="0">
            <x v="7"/>
          </reference>
          <reference field="1" count="1" selected="0">
            <x v="118"/>
          </reference>
          <reference field="2" count="1">
            <x v="171"/>
          </reference>
        </references>
      </pivotArea>
    </format>
    <format dxfId="896">
      <pivotArea dataOnly="0" labelOnly="1" fieldPosition="0">
        <references count="3">
          <reference field="0" count="1" selected="0">
            <x v="9"/>
          </reference>
          <reference field="1" count="1" selected="0">
            <x v="120"/>
          </reference>
          <reference field="2" count="1">
            <x v="168"/>
          </reference>
        </references>
      </pivotArea>
    </format>
    <format dxfId="895">
      <pivotArea dataOnly="0" labelOnly="1" fieldPosition="0">
        <references count="3">
          <reference field="0" count="1" selected="0">
            <x v="10"/>
          </reference>
          <reference field="1" count="1" selected="0">
            <x v="121"/>
          </reference>
          <reference field="2" count="1">
            <x v="82"/>
          </reference>
        </references>
      </pivotArea>
    </format>
    <format dxfId="894">
      <pivotArea dataOnly="0" labelOnly="1" fieldPosition="0">
        <references count="3">
          <reference field="0" count="1" selected="0">
            <x v="11"/>
          </reference>
          <reference field="1" count="1" selected="0">
            <x v="122"/>
          </reference>
          <reference field="2" count="1">
            <x v="26"/>
          </reference>
        </references>
      </pivotArea>
    </format>
    <format dxfId="893">
      <pivotArea dataOnly="0" labelOnly="1" fieldPosition="0">
        <references count="3">
          <reference field="0" count="1" selected="0">
            <x v="12"/>
          </reference>
          <reference field="1" count="1" selected="0">
            <x v="123"/>
          </reference>
          <reference field="2" count="1">
            <x v="150"/>
          </reference>
        </references>
      </pivotArea>
    </format>
    <format dxfId="892">
      <pivotArea dataOnly="0" labelOnly="1" fieldPosition="0">
        <references count="3">
          <reference field="0" count="1" selected="0">
            <x v="16"/>
          </reference>
          <reference field="1" count="1" selected="0">
            <x v="64"/>
          </reference>
          <reference field="2" count="1">
            <x v="157"/>
          </reference>
        </references>
      </pivotArea>
    </format>
    <format dxfId="891">
      <pivotArea dataOnly="0" labelOnly="1" fieldPosition="0">
        <references count="3">
          <reference field="0" count="1" selected="0">
            <x v="18"/>
          </reference>
          <reference field="1" count="1" selected="0">
            <x v="66"/>
          </reference>
          <reference field="2" count="1">
            <x v="189"/>
          </reference>
        </references>
      </pivotArea>
    </format>
    <format dxfId="890">
      <pivotArea dataOnly="0" labelOnly="1" fieldPosition="0">
        <references count="3">
          <reference field="0" count="1" selected="0">
            <x v="22"/>
          </reference>
          <reference field="1" count="1" selected="0">
            <x v="19"/>
          </reference>
          <reference field="2" count="1">
            <x v="39"/>
          </reference>
        </references>
      </pivotArea>
    </format>
    <format dxfId="889">
      <pivotArea dataOnly="0" labelOnly="1" fieldPosition="0">
        <references count="3">
          <reference field="0" count="1" selected="0">
            <x v="25"/>
          </reference>
          <reference field="1" count="1" selected="0">
            <x v="22"/>
          </reference>
          <reference field="2" count="1">
            <x v="84"/>
          </reference>
        </references>
      </pivotArea>
    </format>
    <format dxfId="888">
      <pivotArea dataOnly="0" labelOnly="1" fieldPosition="0">
        <references count="3">
          <reference field="0" count="1" selected="0">
            <x v="26"/>
          </reference>
          <reference field="1" count="1" selected="0">
            <x v="23"/>
          </reference>
          <reference field="2" count="1">
            <x v="217"/>
          </reference>
        </references>
      </pivotArea>
    </format>
    <format dxfId="887">
      <pivotArea dataOnly="0" labelOnly="1" fieldPosition="0">
        <references count="3">
          <reference field="0" count="1" selected="0">
            <x v="28"/>
          </reference>
          <reference field="1" count="1" selected="0">
            <x v="25"/>
          </reference>
          <reference field="2" count="1">
            <x v="52"/>
          </reference>
        </references>
      </pivotArea>
    </format>
    <format dxfId="886">
      <pivotArea dataOnly="0" labelOnly="1" fieldPosition="0">
        <references count="3">
          <reference field="0" count="1" selected="0">
            <x v="29"/>
          </reference>
          <reference field="1" count="1" selected="0">
            <x v="26"/>
          </reference>
          <reference field="2" count="1">
            <x v="62"/>
          </reference>
        </references>
      </pivotArea>
    </format>
    <format dxfId="885">
      <pivotArea dataOnly="0" labelOnly="1" fieldPosition="0">
        <references count="3">
          <reference field="0" count="1" selected="0">
            <x v="30"/>
          </reference>
          <reference field="1" count="1" selected="0">
            <x v="27"/>
          </reference>
          <reference field="2" count="1">
            <x v="7"/>
          </reference>
        </references>
      </pivotArea>
    </format>
    <format dxfId="884">
      <pivotArea dataOnly="0" labelOnly="1" fieldPosition="0">
        <references count="3">
          <reference field="0" count="1" selected="0">
            <x v="31"/>
          </reference>
          <reference field="1" count="1" selected="0">
            <x v="28"/>
          </reference>
          <reference field="2" count="1">
            <x v="53"/>
          </reference>
        </references>
      </pivotArea>
    </format>
    <format dxfId="883">
      <pivotArea dataOnly="0" labelOnly="1" fieldPosition="0">
        <references count="3">
          <reference field="0" count="1" selected="0">
            <x v="35"/>
          </reference>
          <reference field="1" count="1" selected="0">
            <x v="32"/>
          </reference>
          <reference field="2" count="1">
            <x v="51"/>
          </reference>
        </references>
      </pivotArea>
    </format>
    <format dxfId="882">
      <pivotArea dataOnly="0" labelOnly="1" fieldPosition="0">
        <references count="3">
          <reference field="0" count="1" selected="0">
            <x v="36"/>
          </reference>
          <reference field="1" count="1" selected="0">
            <x v="33"/>
          </reference>
          <reference field="2" count="1">
            <x v="130"/>
          </reference>
        </references>
      </pivotArea>
    </format>
    <format dxfId="881">
      <pivotArea dataOnly="0" labelOnly="1" fieldPosition="0">
        <references count="3">
          <reference field="0" count="1" selected="0">
            <x v="37"/>
          </reference>
          <reference field="1" count="1" selected="0">
            <x v="34"/>
          </reference>
          <reference field="2" count="1">
            <x v="70"/>
          </reference>
        </references>
      </pivotArea>
    </format>
    <format dxfId="880">
      <pivotArea dataOnly="0" labelOnly="1" fieldPosition="0">
        <references count="3">
          <reference field="0" count="1" selected="0">
            <x v="38"/>
          </reference>
          <reference field="1" count="1" selected="0">
            <x v="0"/>
          </reference>
          <reference field="2" count="1">
            <x v="45"/>
          </reference>
        </references>
      </pivotArea>
    </format>
    <format dxfId="879">
      <pivotArea dataOnly="0" labelOnly="1" fieldPosition="0">
        <references count="3">
          <reference field="0" count="1" selected="0">
            <x v="39"/>
          </reference>
          <reference field="1" count="1" selected="0">
            <x v="1"/>
          </reference>
          <reference field="2" count="1">
            <x v="46"/>
          </reference>
        </references>
      </pivotArea>
    </format>
    <format dxfId="878">
      <pivotArea dataOnly="0" labelOnly="1" fieldPosition="0">
        <references count="3">
          <reference field="0" count="1" selected="0">
            <x v="40"/>
          </reference>
          <reference field="1" count="1" selected="0">
            <x v="2"/>
          </reference>
          <reference field="2" count="1">
            <x v="128"/>
          </reference>
        </references>
      </pivotArea>
    </format>
    <format dxfId="877">
      <pivotArea dataOnly="0" labelOnly="1" fieldPosition="0">
        <references count="3">
          <reference field="0" count="1" selected="0">
            <x v="41"/>
          </reference>
          <reference field="1" count="1" selected="0">
            <x v="3"/>
          </reference>
          <reference field="2" count="1">
            <x v="105"/>
          </reference>
        </references>
      </pivotArea>
    </format>
    <format dxfId="876">
      <pivotArea dataOnly="0" labelOnly="1" fieldPosition="0">
        <references count="3">
          <reference field="0" count="1" selected="0">
            <x v="42"/>
          </reference>
          <reference field="1" count="1" selected="0">
            <x v="4"/>
          </reference>
          <reference field="2" count="1">
            <x v="64"/>
          </reference>
        </references>
      </pivotArea>
    </format>
    <format dxfId="875">
      <pivotArea dataOnly="0" labelOnly="1" fieldPosition="0">
        <references count="3">
          <reference field="0" count="1" selected="0">
            <x v="43"/>
          </reference>
          <reference field="1" count="1" selected="0">
            <x v="5"/>
          </reference>
          <reference field="2" count="1">
            <x v="19"/>
          </reference>
        </references>
      </pivotArea>
    </format>
    <format dxfId="874">
      <pivotArea dataOnly="0" labelOnly="1" fieldPosition="0">
        <references count="3">
          <reference field="0" count="1" selected="0">
            <x v="44"/>
          </reference>
          <reference field="1" count="1" selected="0">
            <x v="6"/>
          </reference>
          <reference field="2" count="1">
            <x v="23"/>
          </reference>
        </references>
      </pivotArea>
    </format>
    <format dxfId="873">
      <pivotArea dataOnly="0" labelOnly="1" fieldPosition="0">
        <references count="3">
          <reference field="0" count="1" selected="0">
            <x v="45"/>
          </reference>
          <reference field="1" count="1" selected="0">
            <x v="7"/>
          </reference>
          <reference field="2" count="1">
            <x v="22"/>
          </reference>
        </references>
      </pivotArea>
    </format>
    <format dxfId="872">
      <pivotArea dataOnly="0" labelOnly="1" fieldPosition="0">
        <references count="3">
          <reference field="0" count="1" selected="0">
            <x v="46"/>
          </reference>
          <reference field="1" count="1" selected="0">
            <x v="8"/>
          </reference>
          <reference field="2" count="1">
            <x v="135"/>
          </reference>
        </references>
      </pivotArea>
    </format>
    <format dxfId="871">
      <pivotArea dataOnly="0" labelOnly="1" fieldPosition="0">
        <references count="3">
          <reference field="0" count="1" selected="0">
            <x v="47"/>
          </reference>
          <reference field="1" count="1" selected="0">
            <x v="9"/>
          </reference>
          <reference field="2" count="1">
            <x v="141"/>
          </reference>
        </references>
      </pivotArea>
    </format>
    <format dxfId="870">
      <pivotArea dataOnly="0" labelOnly="1" fieldPosition="0">
        <references count="3">
          <reference field="0" count="1" selected="0">
            <x v="49"/>
          </reference>
          <reference field="1" count="1" selected="0">
            <x v="11"/>
          </reference>
          <reference field="2" count="1">
            <x v="127"/>
          </reference>
        </references>
      </pivotArea>
    </format>
    <format dxfId="869">
      <pivotArea dataOnly="0" labelOnly="1" fieldPosition="0">
        <references count="3">
          <reference field="0" count="1" selected="0">
            <x v="55"/>
          </reference>
          <reference field="1" count="1" selected="0">
            <x v="35"/>
          </reference>
          <reference field="2" count="1">
            <x v="65"/>
          </reference>
        </references>
      </pivotArea>
    </format>
    <format dxfId="868">
      <pivotArea dataOnly="0" labelOnly="1" fieldPosition="0">
        <references count="3">
          <reference field="0" count="1" selected="0">
            <x v="56"/>
          </reference>
          <reference field="1" count="1" selected="0">
            <x v="36"/>
          </reference>
          <reference field="2" count="1">
            <x v="183"/>
          </reference>
        </references>
      </pivotArea>
    </format>
    <format dxfId="867">
      <pivotArea dataOnly="0" labelOnly="1" fieldPosition="0">
        <references count="3">
          <reference field="0" count="1" selected="0">
            <x v="62"/>
          </reference>
          <reference field="1" count="1" selected="0">
            <x v="42"/>
          </reference>
          <reference field="2" count="1">
            <x v="15"/>
          </reference>
        </references>
      </pivotArea>
    </format>
    <format dxfId="866">
      <pivotArea dataOnly="0" labelOnly="1" fieldPosition="0">
        <references count="3">
          <reference field="0" count="1" selected="0">
            <x v="63"/>
          </reference>
          <reference field="1" count="1" selected="0">
            <x v="43"/>
          </reference>
          <reference field="2" count="1">
            <x v="152"/>
          </reference>
        </references>
      </pivotArea>
    </format>
    <format dxfId="865">
      <pivotArea dataOnly="0" labelOnly="1" fieldPosition="0">
        <references count="3">
          <reference field="0" count="1" selected="0">
            <x v="64"/>
          </reference>
          <reference field="1" count="1" selected="0">
            <x v="44"/>
          </reference>
          <reference field="2" count="1">
            <x v="146"/>
          </reference>
        </references>
      </pivotArea>
    </format>
    <format dxfId="864">
      <pivotArea dataOnly="0" labelOnly="1" fieldPosition="0">
        <references count="3">
          <reference field="0" count="1" selected="0">
            <x v="65"/>
          </reference>
          <reference field="1" count="1" selected="0">
            <x v="45"/>
          </reference>
          <reference field="2" count="1">
            <x v="204"/>
          </reference>
        </references>
      </pivotArea>
    </format>
    <format dxfId="863">
      <pivotArea dataOnly="0" labelOnly="1" fieldPosition="0">
        <references count="3">
          <reference field="0" count="1" selected="0">
            <x v="66"/>
          </reference>
          <reference field="1" count="1" selected="0">
            <x v="46"/>
          </reference>
          <reference field="2" count="1">
            <x v="92"/>
          </reference>
        </references>
      </pivotArea>
    </format>
    <format dxfId="862">
      <pivotArea dataOnly="0" labelOnly="1" fieldPosition="0">
        <references count="3">
          <reference field="0" count="1" selected="0">
            <x v="67"/>
          </reference>
          <reference field="1" count="1" selected="0">
            <x v="47"/>
          </reference>
          <reference field="2" count="1">
            <x v="181"/>
          </reference>
        </references>
      </pivotArea>
    </format>
    <format dxfId="861">
      <pivotArea dataOnly="0" labelOnly="1" fieldPosition="0">
        <references count="3">
          <reference field="0" count="1" selected="0">
            <x v="68"/>
          </reference>
          <reference field="1" count="1" selected="0">
            <x v="48"/>
          </reference>
          <reference field="2" count="1">
            <x v="231"/>
          </reference>
        </references>
      </pivotArea>
    </format>
    <format dxfId="860">
      <pivotArea dataOnly="0" labelOnly="1" fieldPosition="0">
        <references count="3">
          <reference field="0" count="1" selected="0">
            <x v="79"/>
          </reference>
          <reference field="1" count="1" selected="0">
            <x v="59"/>
          </reference>
          <reference field="2" count="1">
            <x v="21"/>
          </reference>
        </references>
      </pivotArea>
    </format>
    <format dxfId="859">
      <pivotArea dataOnly="0" labelOnly="1" fieldPosition="0">
        <references count="3">
          <reference field="0" count="1" selected="0">
            <x v="81"/>
          </reference>
          <reference field="1" count="1" selected="0">
            <x v="68"/>
          </reference>
          <reference field="2" count="1">
            <x v="112"/>
          </reference>
        </references>
      </pivotArea>
    </format>
    <format dxfId="858">
      <pivotArea dataOnly="0" labelOnly="1" fieldPosition="0">
        <references count="3">
          <reference field="0" count="1" selected="0">
            <x v="82"/>
          </reference>
          <reference field="1" count="1" selected="0">
            <x v="69"/>
          </reference>
          <reference field="2" count="1">
            <x v="226"/>
          </reference>
        </references>
      </pivotArea>
    </format>
    <format dxfId="857">
      <pivotArea dataOnly="0" labelOnly="1" fieldPosition="0">
        <references count="3">
          <reference field="0" count="1" selected="0">
            <x v="83"/>
          </reference>
          <reference field="1" count="1" selected="0">
            <x v="70"/>
          </reference>
          <reference field="2" count="1">
            <x v="193"/>
          </reference>
        </references>
      </pivotArea>
    </format>
    <format dxfId="856">
      <pivotArea dataOnly="0" labelOnly="1" fieldPosition="0">
        <references count="3">
          <reference field="0" count="1" selected="0">
            <x v="84"/>
          </reference>
          <reference field="1" count="1" selected="0">
            <x v="71"/>
          </reference>
          <reference field="2" count="1">
            <x v="192"/>
          </reference>
        </references>
      </pivotArea>
    </format>
    <format dxfId="855">
      <pivotArea dataOnly="0" labelOnly="1" fieldPosition="0">
        <references count="3">
          <reference field="0" count="1" selected="0">
            <x v="85"/>
          </reference>
          <reference field="1" count="1" selected="0">
            <x v="72"/>
          </reference>
          <reference field="2" count="1">
            <x v="87"/>
          </reference>
        </references>
      </pivotArea>
    </format>
    <format dxfId="854">
      <pivotArea dataOnly="0" labelOnly="1" fieldPosition="0">
        <references count="3">
          <reference field="0" count="1" selected="0">
            <x v="86"/>
          </reference>
          <reference field="1" count="1" selected="0">
            <x v="73"/>
          </reference>
          <reference field="2" count="1">
            <x v="154"/>
          </reference>
        </references>
      </pivotArea>
    </format>
    <format dxfId="853">
      <pivotArea dataOnly="0" labelOnly="1" fieldPosition="0">
        <references count="3">
          <reference field="0" count="1" selected="0">
            <x v="87"/>
          </reference>
          <reference field="1" count="1" selected="0">
            <x v="74"/>
          </reference>
          <reference field="2" count="1">
            <x v="208"/>
          </reference>
        </references>
      </pivotArea>
    </format>
    <format dxfId="852">
      <pivotArea dataOnly="0" labelOnly="1" fieldPosition="0">
        <references count="3">
          <reference field="0" count="1" selected="0">
            <x v="88"/>
          </reference>
          <reference field="1" count="1" selected="0">
            <x v="75"/>
          </reference>
          <reference field="2" count="1">
            <x v="38"/>
          </reference>
        </references>
      </pivotArea>
    </format>
    <format dxfId="851">
      <pivotArea dataOnly="0" labelOnly="1" fieldPosition="0">
        <references count="3">
          <reference field="0" count="1" selected="0">
            <x v="89"/>
          </reference>
          <reference field="1" count="1" selected="0">
            <x v="76"/>
          </reference>
          <reference field="2" count="1">
            <x v="232"/>
          </reference>
        </references>
      </pivotArea>
    </format>
    <format dxfId="850">
      <pivotArea dataOnly="0" labelOnly="1" fieldPosition="0">
        <references count="3">
          <reference field="0" count="1" selected="0">
            <x v="90"/>
          </reference>
          <reference field="1" count="1" selected="0">
            <x v="77"/>
          </reference>
          <reference field="2" count="1">
            <x v="43"/>
          </reference>
        </references>
      </pivotArea>
    </format>
    <format dxfId="849">
      <pivotArea dataOnly="0" labelOnly="1" fieldPosition="0">
        <references count="3">
          <reference field="0" count="1" selected="0">
            <x v="91"/>
          </reference>
          <reference field="1" count="1" selected="0">
            <x v="78"/>
          </reference>
          <reference field="2" count="1">
            <x v="12"/>
          </reference>
        </references>
      </pivotArea>
    </format>
    <format dxfId="848">
      <pivotArea dataOnly="0" labelOnly="1" fieldPosition="0">
        <references count="3">
          <reference field="0" count="1" selected="0">
            <x v="93"/>
          </reference>
          <reference field="1" count="1" selected="0">
            <x v="80"/>
          </reference>
          <reference field="2" count="1">
            <x v="180"/>
          </reference>
        </references>
      </pivotArea>
    </format>
    <format dxfId="847">
      <pivotArea dataOnly="0" labelOnly="1" fieldPosition="0">
        <references count="3">
          <reference field="0" count="1" selected="0">
            <x v="94"/>
          </reference>
          <reference field="1" count="1" selected="0">
            <x v="81"/>
          </reference>
          <reference field="2" count="1">
            <x v="60"/>
          </reference>
        </references>
      </pivotArea>
    </format>
    <format dxfId="846">
      <pivotArea dataOnly="0" labelOnly="1" fieldPosition="0">
        <references count="3">
          <reference field="0" count="1" selected="0">
            <x v="95"/>
          </reference>
          <reference field="1" count="1" selected="0">
            <x v="82"/>
          </reference>
          <reference field="2" count="1">
            <x v="5"/>
          </reference>
        </references>
      </pivotArea>
    </format>
    <format dxfId="845">
      <pivotArea dataOnly="0" labelOnly="1" fieldPosition="0">
        <references count="3">
          <reference field="0" count="1" selected="0">
            <x v="96"/>
          </reference>
          <reference field="1" count="1" selected="0">
            <x v="83"/>
          </reference>
          <reference field="2" count="1">
            <x v="173"/>
          </reference>
        </references>
      </pivotArea>
    </format>
    <format dxfId="844">
      <pivotArea dataOnly="0" labelOnly="1" fieldPosition="0">
        <references count="3">
          <reference field="0" count="1" selected="0">
            <x v="97"/>
          </reference>
          <reference field="1" count="1" selected="0">
            <x v="84"/>
          </reference>
          <reference field="2" count="1">
            <x v="6"/>
          </reference>
        </references>
      </pivotArea>
    </format>
    <format dxfId="843">
      <pivotArea dataOnly="0" labelOnly="1" fieldPosition="0">
        <references count="3">
          <reference field="0" count="1" selected="0">
            <x v="98"/>
          </reference>
          <reference field="1" count="1" selected="0">
            <x v="85"/>
          </reference>
          <reference field="2" count="1">
            <x v="214"/>
          </reference>
        </references>
      </pivotArea>
    </format>
    <format dxfId="842">
      <pivotArea dataOnly="0" labelOnly="1" fieldPosition="0">
        <references count="3">
          <reference field="0" count="1" selected="0">
            <x v="99"/>
          </reference>
          <reference field="1" count="1" selected="0">
            <x v="86"/>
          </reference>
          <reference field="2" count="1">
            <x v="66"/>
          </reference>
        </references>
      </pivotArea>
    </format>
    <format dxfId="841">
      <pivotArea dataOnly="0" labelOnly="1" fieldPosition="0">
        <references count="3">
          <reference field="0" count="1" selected="0">
            <x v="100"/>
          </reference>
          <reference field="1" count="1" selected="0">
            <x v="87"/>
          </reference>
          <reference field="2" count="1">
            <x v="75"/>
          </reference>
        </references>
      </pivotArea>
    </format>
    <format dxfId="840">
      <pivotArea dataOnly="0" labelOnly="1" fieldPosition="0">
        <references count="3">
          <reference field="0" count="1" selected="0">
            <x v="101"/>
          </reference>
          <reference field="1" count="1" selected="0">
            <x v="88"/>
          </reference>
          <reference field="2" count="1">
            <x v="29"/>
          </reference>
        </references>
      </pivotArea>
    </format>
    <format dxfId="839">
      <pivotArea dataOnly="0" labelOnly="1" fieldPosition="0">
        <references count="3">
          <reference field="0" count="1" selected="0">
            <x v="102"/>
          </reference>
          <reference field="1" count="1" selected="0">
            <x v="89"/>
          </reference>
          <reference field="2" count="1">
            <x v="14"/>
          </reference>
        </references>
      </pivotArea>
    </format>
    <format dxfId="838">
      <pivotArea dataOnly="0" labelOnly="1" fieldPosition="0">
        <references count="3">
          <reference field="0" count="1" selected="0">
            <x v="103"/>
          </reference>
          <reference field="1" count="1" selected="0">
            <x v="90"/>
          </reference>
          <reference field="2" count="1">
            <x v="73"/>
          </reference>
        </references>
      </pivotArea>
    </format>
    <format dxfId="837">
      <pivotArea dataOnly="0" labelOnly="1" fieldPosition="0">
        <references count="3">
          <reference field="0" count="1" selected="0">
            <x v="104"/>
          </reference>
          <reference field="1" count="1" selected="0">
            <x v="91"/>
          </reference>
          <reference field="2" count="1">
            <x v="68"/>
          </reference>
        </references>
      </pivotArea>
    </format>
    <format dxfId="836">
      <pivotArea dataOnly="0" labelOnly="1" fieldPosition="0">
        <references count="3">
          <reference field="0" count="1" selected="0">
            <x v="105"/>
          </reference>
          <reference field="1" count="1" selected="0">
            <x v="92"/>
          </reference>
          <reference field="2" count="1">
            <x v="134"/>
          </reference>
        </references>
      </pivotArea>
    </format>
    <format dxfId="835">
      <pivotArea dataOnly="0" labelOnly="1" fieldPosition="0">
        <references count="3">
          <reference field="0" count="1" selected="0">
            <x v="106"/>
          </reference>
          <reference field="1" count="1" selected="0">
            <x v="93"/>
          </reference>
          <reference field="2" count="1">
            <x v="76"/>
          </reference>
        </references>
      </pivotArea>
    </format>
    <format dxfId="834">
      <pivotArea dataOnly="0" labelOnly="1" fieldPosition="0">
        <references count="3">
          <reference field="0" count="1" selected="0">
            <x v="107"/>
          </reference>
          <reference field="1" count="1" selected="0">
            <x v="94"/>
          </reference>
          <reference field="2" count="1">
            <x v="190"/>
          </reference>
        </references>
      </pivotArea>
    </format>
    <format dxfId="833">
      <pivotArea dataOnly="0" labelOnly="1" fieldPosition="0">
        <references count="3">
          <reference field="0" count="1" selected="0">
            <x v="108"/>
          </reference>
          <reference field="1" count="1" selected="0">
            <x v="95"/>
          </reference>
          <reference field="2" count="1">
            <x v="236"/>
          </reference>
        </references>
      </pivotArea>
    </format>
    <format dxfId="832">
      <pivotArea dataOnly="0" labelOnly="1" fieldPosition="0">
        <references count="3">
          <reference field="0" count="1" selected="0">
            <x v="110"/>
          </reference>
          <reference field="1" count="1" selected="0">
            <x v="97"/>
          </reference>
          <reference field="2" count="1">
            <x v="123"/>
          </reference>
        </references>
      </pivotArea>
    </format>
    <format dxfId="831">
      <pivotArea dataOnly="0" labelOnly="1" fieldPosition="0">
        <references count="3">
          <reference field="0" count="1" selected="0">
            <x v="111"/>
          </reference>
          <reference field="1" count="1" selected="0">
            <x v="98"/>
          </reference>
          <reference field="2" count="1">
            <x v="83"/>
          </reference>
        </references>
      </pivotArea>
    </format>
    <format dxfId="830">
      <pivotArea dataOnly="0" labelOnly="1" fieldPosition="0">
        <references count="3">
          <reference field="0" count="1" selected="0">
            <x v="113"/>
          </reference>
          <reference field="1" count="1" selected="0">
            <x v="100"/>
          </reference>
          <reference field="2" count="1">
            <x v="124"/>
          </reference>
        </references>
      </pivotArea>
    </format>
    <format dxfId="829">
      <pivotArea dataOnly="0" labelOnly="1" fieldPosition="0">
        <references count="3">
          <reference field="0" count="1" selected="0">
            <x v="121"/>
          </reference>
          <reference field="1" count="1" selected="0">
            <x v="108"/>
          </reference>
          <reference field="2" count="1">
            <x v="207"/>
          </reference>
        </references>
      </pivotArea>
    </format>
    <format dxfId="828">
      <pivotArea dataOnly="0" labelOnly="1" fieldPosition="0">
        <references count="3">
          <reference field="0" count="1" selected="0">
            <x v="122"/>
          </reference>
          <reference field="1" count="1" selected="0">
            <x v="109"/>
          </reference>
          <reference field="2" count="1">
            <x v="35"/>
          </reference>
        </references>
      </pivotArea>
    </format>
    <format dxfId="827">
      <pivotArea dataOnly="0" labelOnly="1" fieldPosition="0">
        <references count="3">
          <reference field="0" count="1" selected="0">
            <x v="123"/>
          </reference>
          <reference field="1" count="1" selected="0">
            <x v="110"/>
          </reference>
          <reference field="2" count="1">
            <x v="176"/>
          </reference>
        </references>
      </pivotArea>
    </format>
    <format dxfId="826">
      <pivotArea dataOnly="0" labelOnly="1" fieldPosition="0">
        <references count="3">
          <reference field="0" count="1" selected="0">
            <x v="124"/>
          </reference>
          <reference field="1" count="1" selected="0">
            <x v="111"/>
          </reference>
          <reference field="2" count="1">
            <x v="218"/>
          </reference>
        </references>
      </pivotArea>
    </format>
    <format dxfId="825">
      <pivotArea dataOnly="0" labelOnly="1" fieldPosition="0">
        <references count="3">
          <reference field="0" count="1" selected="0">
            <x v="125"/>
          </reference>
          <reference field="1" count="1" selected="0">
            <x v="112"/>
          </reference>
          <reference field="2" count="1">
            <x v="197"/>
          </reference>
        </references>
      </pivotArea>
    </format>
    <format dxfId="824">
      <pivotArea dataOnly="0" labelOnly="1" fieldPosition="0">
        <references count="3">
          <reference field="0" count="1" selected="0">
            <x v="126"/>
          </reference>
          <reference field="1" count="1" selected="0">
            <x v="113"/>
          </reference>
          <reference field="2" count="1">
            <x v="191"/>
          </reference>
        </references>
      </pivotArea>
    </format>
    <format dxfId="823">
      <pivotArea dataOnly="0" labelOnly="1" fieldPosition="0">
        <references count="3">
          <reference field="0" count="1" selected="0">
            <x v="127"/>
          </reference>
          <reference field="1" count="1" selected="0">
            <x v="114"/>
          </reference>
          <reference field="2" count="1">
            <x v="174"/>
          </reference>
        </references>
      </pivotArea>
    </format>
    <format dxfId="822">
      <pivotArea dataOnly="0" labelOnly="1" fieldPosition="0">
        <references count="3">
          <reference field="0" count="1" selected="0">
            <x v="128"/>
          </reference>
          <reference field="1" count="1" selected="0">
            <x v="115"/>
          </reference>
          <reference field="2" count="1">
            <x v="59"/>
          </reference>
        </references>
      </pivotArea>
    </format>
    <format dxfId="821">
      <pivotArea dataOnly="0" labelOnly="1" fieldPosition="0">
        <references count="3">
          <reference field="0" count="1" selected="0">
            <x v="129"/>
          </reference>
          <reference field="1" count="1" selected="0">
            <x v="116"/>
          </reference>
          <reference field="2" count="1">
            <x v="212"/>
          </reference>
        </references>
      </pivotArea>
    </format>
    <format dxfId="820">
      <pivotArea dataOnly="0" labelOnly="1" fieldPosition="0">
        <references count="3">
          <reference field="0" count="1" selected="0">
            <x v="130"/>
          </reference>
          <reference field="1" count="1" selected="0">
            <x v="117"/>
          </reference>
          <reference field="2" count="1">
            <x v="118"/>
          </reference>
        </references>
      </pivotArea>
    </format>
    <format dxfId="819">
      <pivotArea dataOnly="0" labelOnly="1" fieldPosition="0">
        <references count="3">
          <reference field="0" count="1" selected="0">
            <x v="134"/>
          </reference>
          <reference field="1" count="1" selected="0">
            <x v="127"/>
          </reference>
          <reference field="2" count="1">
            <x v="2"/>
          </reference>
        </references>
      </pivotArea>
    </format>
    <format dxfId="818">
      <pivotArea dataOnly="0" labelOnly="1" fieldPosition="0">
        <references count="3">
          <reference field="0" count="1" selected="0">
            <x v="135"/>
          </reference>
          <reference field="1" count="1" selected="0">
            <x v="128"/>
          </reference>
          <reference field="2" count="1">
            <x v="151"/>
          </reference>
        </references>
      </pivotArea>
    </format>
    <format dxfId="817">
      <pivotArea dataOnly="0" labelOnly="1" fieldPosition="0">
        <references count="3">
          <reference field="0" count="1" selected="0">
            <x v="136"/>
          </reference>
          <reference field="1" count="1" selected="0">
            <x v="129"/>
          </reference>
          <reference field="2" count="1">
            <x v="219"/>
          </reference>
        </references>
      </pivotArea>
    </format>
    <format dxfId="816">
      <pivotArea dataOnly="0" labelOnly="1" fieldPosition="0">
        <references count="3">
          <reference field="0" count="1" selected="0">
            <x v="144"/>
          </reference>
          <reference field="1" count="1" selected="0">
            <x v="137"/>
          </reference>
          <reference field="2" count="1">
            <x v="79"/>
          </reference>
        </references>
      </pivotArea>
    </format>
    <format dxfId="815">
      <pivotArea dataOnly="0" labelOnly="1" fieldPosition="0">
        <references count="3">
          <reference field="0" count="1" selected="0">
            <x v="146"/>
          </reference>
          <reference field="1" count="1" selected="0">
            <x v="139"/>
          </reference>
          <reference field="2" count="1">
            <x v="30"/>
          </reference>
        </references>
      </pivotArea>
    </format>
    <format dxfId="814">
      <pivotArea dataOnly="0" labelOnly="1" fieldPosition="0">
        <references count="3">
          <reference field="0" count="1" selected="0">
            <x v="147"/>
          </reference>
          <reference field="1" count="1" selected="0">
            <x v="140"/>
          </reference>
          <reference field="2" count="1">
            <x v="211"/>
          </reference>
        </references>
      </pivotArea>
    </format>
    <format dxfId="813">
      <pivotArea dataOnly="0" labelOnly="1" fieldPosition="0">
        <references count="3">
          <reference field="0" count="1" selected="0">
            <x v="148"/>
          </reference>
          <reference field="1" count="1" selected="0">
            <x v="141"/>
          </reference>
          <reference field="2" count="1">
            <x v="95"/>
          </reference>
        </references>
      </pivotArea>
    </format>
    <format dxfId="812">
      <pivotArea dataOnly="0" labelOnly="1" fieldPosition="0">
        <references count="3">
          <reference field="0" count="1" selected="0">
            <x v="149"/>
          </reference>
          <reference field="1" count="1" selected="0">
            <x v="142"/>
          </reference>
          <reference field="2" count="1">
            <x v="165"/>
          </reference>
        </references>
      </pivotArea>
    </format>
    <format dxfId="811">
      <pivotArea dataOnly="0" labelOnly="1" fieldPosition="0">
        <references count="3">
          <reference field="0" count="1" selected="0">
            <x v="150"/>
          </reference>
          <reference field="1" count="1" selected="0">
            <x v="143"/>
          </reference>
          <reference field="2" count="1">
            <x v="166"/>
          </reference>
        </references>
      </pivotArea>
    </format>
    <format dxfId="810">
      <pivotArea dataOnly="0" labelOnly="1" fieldPosition="0">
        <references count="3">
          <reference field="0" count="1" selected="0">
            <x v="151"/>
          </reference>
          <reference field="1" count="1" selected="0">
            <x v="144"/>
          </reference>
          <reference field="2" count="1">
            <x v="85"/>
          </reference>
        </references>
      </pivotArea>
    </format>
    <format dxfId="809">
      <pivotArea dataOnly="0" labelOnly="1" fieldPosition="0">
        <references count="3">
          <reference field="0" count="1" selected="0">
            <x v="152"/>
          </reference>
          <reference field="1" count="1" selected="0">
            <x v="145"/>
          </reference>
          <reference field="2" count="1">
            <x v="86"/>
          </reference>
        </references>
      </pivotArea>
    </format>
    <format dxfId="808">
      <pivotArea dataOnly="0" labelOnly="1" fieldPosition="0">
        <references count="3">
          <reference field="0" count="1" selected="0">
            <x v="153"/>
          </reference>
          <reference field="1" count="1" selected="0">
            <x v="146"/>
          </reference>
          <reference field="2" count="1">
            <x v="54"/>
          </reference>
        </references>
      </pivotArea>
    </format>
    <format dxfId="807">
      <pivotArea dataOnly="0" labelOnly="1" fieldPosition="0">
        <references count="3">
          <reference field="0" count="1" selected="0">
            <x v="154"/>
          </reference>
          <reference field="1" count="1" selected="0">
            <x v="147"/>
          </reference>
          <reference field="2" count="1">
            <x v="109"/>
          </reference>
        </references>
      </pivotArea>
    </format>
    <format dxfId="806">
      <pivotArea dataOnly="0" labelOnly="1" fieldPosition="0">
        <references count="3">
          <reference field="0" count="1" selected="0">
            <x v="155"/>
          </reference>
          <reference field="1" count="1" selected="0">
            <x v="148"/>
          </reference>
          <reference field="2" count="1">
            <x v="3"/>
          </reference>
        </references>
      </pivotArea>
    </format>
    <format dxfId="805">
      <pivotArea dataOnly="0" labelOnly="1" fieldPosition="0">
        <references count="3">
          <reference field="0" count="1" selected="0">
            <x v="159"/>
          </reference>
          <reference field="1" count="1" selected="0">
            <x v="183"/>
          </reference>
          <reference field="2" count="1">
            <x v="122"/>
          </reference>
        </references>
      </pivotArea>
    </format>
    <format dxfId="804">
      <pivotArea dataOnly="0" labelOnly="1" fieldPosition="0">
        <references count="3">
          <reference field="0" count="1" selected="0">
            <x v="160"/>
          </reference>
          <reference field="1" count="1" selected="0">
            <x v="184"/>
          </reference>
          <reference field="2" count="1">
            <x v="187"/>
          </reference>
        </references>
      </pivotArea>
    </format>
    <format dxfId="803">
      <pivotArea dataOnly="0" labelOnly="1" fieldPosition="0">
        <references count="3">
          <reference field="0" count="1" selected="0">
            <x v="161"/>
          </reference>
          <reference field="1" count="1" selected="0">
            <x v="185"/>
          </reference>
          <reference field="2" count="1">
            <x v="186"/>
          </reference>
        </references>
      </pivotArea>
    </format>
    <format dxfId="802">
      <pivotArea dataOnly="0" labelOnly="1" fieldPosition="0">
        <references count="3">
          <reference field="0" count="1" selected="0">
            <x v="162"/>
          </reference>
          <reference field="1" count="1" selected="0">
            <x v="186"/>
          </reference>
          <reference field="2" count="1">
            <x v="125"/>
          </reference>
        </references>
      </pivotArea>
    </format>
    <format dxfId="801">
      <pivotArea dataOnly="0" labelOnly="1" fieldPosition="0">
        <references count="3">
          <reference field="0" count="1" selected="0">
            <x v="164"/>
          </reference>
          <reference field="1" count="1" selected="0">
            <x v="188"/>
          </reference>
          <reference field="2" count="1">
            <x v="119"/>
          </reference>
        </references>
      </pivotArea>
    </format>
    <format dxfId="800">
      <pivotArea dataOnly="0" labelOnly="1" fieldPosition="0">
        <references count="3">
          <reference field="0" count="1" selected="0">
            <x v="165"/>
          </reference>
          <reference field="1" count="1" selected="0">
            <x v="189"/>
          </reference>
          <reference field="2" count="1">
            <x v="156"/>
          </reference>
        </references>
      </pivotArea>
    </format>
    <format dxfId="799">
      <pivotArea dataOnly="0" labelOnly="1" fieldPosition="0">
        <references count="3">
          <reference field="0" count="1" selected="0">
            <x v="166"/>
          </reference>
          <reference field="1" count="1" selected="0">
            <x v="190"/>
          </reference>
          <reference field="2" count="1">
            <x v="213"/>
          </reference>
        </references>
      </pivotArea>
    </format>
    <format dxfId="798">
      <pivotArea dataOnly="0" labelOnly="1" fieldPosition="0">
        <references count="3">
          <reference field="0" count="1" selected="0">
            <x v="167"/>
          </reference>
          <reference field="1" count="1" selected="0">
            <x v="199"/>
          </reference>
          <reference field="2" count="1">
            <x v="56"/>
          </reference>
        </references>
      </pivotArea>
    </format>
    <format dxfId="797">
      <pivotArea dataOnly="0" labelOnly="1" fieldPosition="0">
        <references count="3">
          <reference field="0" count="1" selected="0">
            <x v="168"/>
          </reference>
          <reference field="1" count="1" selected="0">
            <x v="200"/>
          </reference>
          <reference field="2" count="1">
            <x v="9"/>
          </reference>
        </references>
      </pivotArea>
    </format>
    <format dxfId="796">
      <pivotArea dataOnly="0" labelOnly="1" fieldPosition="0">
        <references count="3">
          <reference field="0" count="1" selected="0">
            <x v="171"/>
          </reference>
          <reference field="1" count="1" selected="0">
            <x v="203"/>
          </reference>
          <reference field="2" count="1">
            <x v="10"/>
          </reference>
        </references>
      </pivotArea>
    </format>
    <format dxfId="795">
      <pivotArea dataOnly="0" labelOnly="1" fieldPosition="0">
        <references count="3">
          <reference field="0" count="1" selected="0">
            <x v="172"/>
          </reference>
          <reference field="1" count="1" selected="0">
            <x v="204"/>
          </reference>
          <reference field="2" count="1">
            <x v="216"/>
          </reference>
        </references>
      </pivotArea>
    </format>
    <format dxfId="794">
      <pivotArea dataOnly="0" labelOnly="1" fieldPosition="0">
        <references count="3">
          <reference field="0" count="1" selected="0">
            <x v="173"/>
          </reference>
          <reference field="1" count="1" selected="0">
            <x v="205"/>
          </reference>
          <reference field="2" count="1">
            <x v="94"/>
          </reference>
        </references>
      </pivotArea>
    </format>
    <format dxfId="793">
      <pivotArea dataOnly="0" labelOnly="1" fieldPosition="0">
        <references count="3">
          <reference field="0" count="1" selected="0">
            <x v="175"/>
          </reference>
          <reference field="1" count="1" selected="0">
            <x v="207"/>
          </reference>
          <reference field="2" count="1">
            <x v="172"/>
          </reference>
        </references>
      </pivotArea>
    </format>
    <format dxfId="792">
      <pivotArea dataOnly="0" labelOnly="1" fieldPosition="0">
        <references count="3">
          <reference field="0" count="1" selected="0">
            <x v="176"/>
          </reference>
          <reference field="1" count="1" selected="0">
            <x v="208"/>
          </reference>
          <reference field="2" count="1">
            <x v="215"/>
          </reference>
        </references>
      </pivotArea>
    </format>
    <format dxfId="791">
      <pivotArea dataOnly="0" labelOnly="1" fieldPosition="0">
        <references count="3">
          <reference field="0" count="1" selected="0">
            <x v="177"/>
          </reference>
          <reference field="1" count="1" selected="0">
            <x v="209"/>
          </reference>
          <reference field="2" count="1">
            <x v="114"/>
          </reference>
        </references>
      </pivotArea>
    </format>
    <format dxfId="790">
      <pivotArea dataOnly="0" labelOnly="1" fieldPosition="0">
        <references count="3">
          <reference field="0" count="1" selected="0">
            <x v="178"/>
          </reference>
          <reference field="1" count="1" selected="0">
            <x v="210"/>
          </reference>
          <reference field="2" count="1">
            <x v="11"/>
          </reference>
        </references>
      </pivotArea>
    </format>
    <format dxfId="789">
      <pivotArea dataOnly="0" labelOnly="1" fieldPosition="0">
        <references count="3">
          <reference field="0" count="1" selected="0">
            <x v="179"/>
          </reference>
          <reference field="1" count="1" selected="0">
            <x v="211"/>
          </reference>
          <reference field="2" count="1">
            <x v="96"/>
          </reference>
        </references>
      </pivotArea>
    </format>
    <format dxfId="788">
      <pivotArea dataOnly="0" labelOnly="1" fieldPosition="0">
        <references count="3">
          <reference field="0" count="1" selected="0">
            <x v="180"/>
          </reference>
          <reference field="1" count="1" selected="0">
            <x v="212"/>
          </reference>
          <reference field="2" count="1">
            <x v="97"/>
          </reference>
        </references>
      </pivotArea>
    </format>
    <format dxfId="787">
      <pivotArea dataOnly="0" labelOnly="1" fieldPosition="0">
        <references count="3">
          <reference field="0" count="1" selected="0">
            <x v="181"/>
          </reference>
          <reference field="1" count="1" selected="0">
            <x v="213"/>
          </reference>
          <reference field="2" count="1">
            <x v="234"/>
          </reference>
        </references>
      </pivotArea>
    </format>
    <format dxfId="786">
      <pivotArea dataOnly="0" labelOnly="1" fieldPosition="0">
        <references count="3">
          <reference field="0" count="1" selected="0">
            <x v="182"/>
          </reference>
          <reference field="1" count="1" selected="0">
            <x v="214"/>
          </reference>
          <reference field="2" count="1">
            <x v="235"/>
          </reference>
        </references>
      </pivotArea>
    </format>
    <format dxfId="785">
      <pivotArea dataOnly="0" labelOnly="1" fieldPosition="0">
        <references count="3">
          <reference field="0" count="1" selected="0">
            <x v="183"/>
          </reference>
          <reference field="1" count="1" selected="0">
            <x v="215"/>
          </reference>
          <reference field="2" count="1">
            <x v="206"/>
          </reference>
        </references>
      </pivotArea>
    </format>
    <format dxfId="784">
      <pivotArea dataOnly="0" labelOnly="1" fieldPosition="0">
        <references count="3">
          <reference field="0" count="1" selected="0">
            <x v="184"/>
          </reference>
          <reference field="1" count="1" selected="0">
            <x v="216"/>
          </reference>
          <reference field="2" count="1">
            <x v="111"/>
          </reference>
        </references>
      </pivotArea>
    </format>
    <format dxfId="783">
      <pivotArea dataOnly="0" labelOnly="1" fieldPosition="0">
        <references count="3">
          <reference field="0" count="1" selected="0">
            <x v="185"/>
          </reference>
          <reference field="1" count="1" selected="0">
            <x v="217"/>
          </reference>
          <reference field="2" count="1">
            <x v="113"/>
          </reference>
        </references>
      </pivotArea>
    </format>
    <format dxfId="782">
      <pivotArea dataOnly="0" labelOnly="1" fieldPosition="0">
        <references count="3">
          <reference field="0" count="1" selected="0">
            <x v="186"/>
          </reference>
          <reference field="1" count="1" selected="0">
            <x v="218"/>
          </reference>
          <reference field="2" count="1">
            <x v="93"/>
          </reference>
        </references>
      </pivotArea>
    </format>
    <format dxfId="781">
      <pivotArea dataOnly="0" labelOnly="1" fieldPosition="0">
        <references count="3">
          <reference field="0" count="1" selected="0">
            <x v="187"/>
          </reference>
          <reference field="1" count="1" selected="0">
            <x v="219"/>
          </reference>
          <reference field="2" count="1">
            <x v="104"/>
          </reference>
        </references>
      </pivotArea>
    </format>
    <format dxfId="780">
      <pivotArea dataOnly="0" labelOnly="1" fieldPosition="0">
        <references count="3">
          <reference field="0" count="1" selected="0">
            <x v="188"/>
          </reference>
          <reference field="1" count="1" selected="0">
            <x v="220"/>
          </reference>
          <reference field="2" count="1">
            <x v="196"/>
          </reference>
        </references>
      </pivotArea>
    </format>
    <format dxfId="779">
      <pivotArea dataOnly="0" labelOnly="1" fieldPosition="0">
        <references count="3">
          <reference field="0" count="1" selected="0">
            <x v="189"/>
          </reference>
          <reference field="1" count="1" selected="0">
            <x v="221"/>
          </reference>
          <reference field="2" count="1">
            <x v="182"/>
          </reference>
        </references>
      </pivotArea>
    </format>
    <format dxfId="778">
      <pivotArea dataOnly="0" labelOnly="1" fieldPosition="0">
        <references count="3">
          <reference field="0" count="1" selected="0">
            <x v="192"/>
          </reference>
          <reference field="1" count="1" selected="0">
            <x v="224"/>
          </reference>
          <reference field="2" count="1">
            <x v="80"/>
          </reference>
        </references>
      </pivotArea>
    </format>
    <format dxfId="777">
      <pivotArea dataOnly="0" labelOnly="1" fieldPosition="0">
        <references count="3">
          <reference field="0" count="1" selected="0">
            <x v="193"/>
          </reference>
          <reference field="1" count="1" selected="0">
            <x v="225"/>
          </reference>
          <reference field="2" count="1">
            <x v="238"/>
          </reference>
        </references>
      </pivotArea>
    </format>
    <format dxfId="776">
      <pivotArea dataOnly="0" labelOnly="1" fieldPosition="0">
        <references count="3">
          <reference field="0" count="1" selected="0">
            <x v="197"/>
          </reference>
          <reference field="1" count="1" selected="0">
            <x v="236"/>
          </reference>
          <reference field="2" count="1">
            <x v="102"/>
          </reference>
        </references>
      </pivotArea>
    </format>
    <format dxfId="775">
      <pivotArea dataOnly="0" labelOnly="1" fieldPosition="0">
        <references count="3">
          <reference field="0" count="1" selected="0">
            <x v="199"/>
          </reference>
          <reference field="1" count="1" selected="0">
            <x v="238"/>
          </reference>
          <reference field="2" count="1">
            <x v="33"/>
          </reference>
        </references>
      </pivotArea>
    </format>
    <format dxfId="774">
      <pivotArea dataOnly="0" labelOnly="1" fieldPosition="0">
        <references count="3">
          <reference field="0" count="1" selected="0">
            <x v="200"/>
          </reference>
          <reference field="1" count="1" selected="0">
            <x v="239"/>
          </reference>
          <reference field="2" count="1">
            <x v="34"/>
          </reference>
        </references>
      </pivotArea>
    </format>
    <format dxfId="773">
      <pivotArea dataOnly="0" labelOnly="1" fieldPosition="0">
        <references count="3">
          <reference field="0" count="1" selected="0">
            <x v="201"/>
          </reference>
          <reference field="1" count="1" selected="0">
            <x v="240"/>
          </reference>
          <reference field="2" count="1">
            <x v="37"/>
          </reference>
        </references>
      </pivotArea>
    </format>
    <format dxfId="772">
      <pivotArea dataOnly="0" labelOnly="1" fieldPosition="0">
        <references count="3">
          <reference field="0" count="1" selected="0">
            <x v="204"/>
          </reference>
          <reference field="1" count="1" selected="0">
            <x v="149"/>
          </reference>
          <reference field="2" count="1">
            <x v="117"/>
          </reference>
        </references>
      </pivotArea>
    </format>
    <format dxfId="771">
      <pivotArea dataOnly="0" labelOnly="1" fieldPosition="0">
        <references count="3">
          <reference field="0" count="1" selected="0">
            <x v="206"/>
          </reference>
          <reference field="1" count="1" selected="0">
            <x v="151"/>
          </reference>
          <reference field="2" count="1">
            <x v="159"/>
          </reference>
        </references>
      </pivotArea>
    </format>
    <format dxfId="770">
      <pivotArea dataOnly="0" labelOnly="1" fieldPosition="0">
        <references count="3">
          <reference field="0" count="1" selected="0">
            <x v="207"/>
          </reference>
          <reference field="1" count="1" selected="0">
            <x v="152"/>
          </reference>
          <reference field="2" count="1">
            <x v="81"/>
          </reference>
        </references>
      </pivotArea>
    </format>
    <format dxfId="769">
      <pivotArea dataOnly="0" labelOnly="1" fieldPosition="0">
        <references count="3">
          <reference field="0" count="1" selected="0">
            <x v="208"/>
          </reference>
          <reference field="1" count="1" selected="0">
            <x v="153"/>
          </reference>
          <reference field="2" count="1">
            <x v="103"/>
          </reference>
        </references>
      </pivotArea>
    </format>
    <format dxfId="768">
      <pivotArea dataOnly="0" labelOnly="1" fieldPosition="0">
        <references count="3">
          <reference field="0" count="1" selected="0">
            <x v="209"/>
          </reference>
          <reference field="1" count="1" selected="0">
            <x v="154"/>
          </reference>
          <reference field="2" count="1">
            <x v="98"/>
          </reference>
        </references>
      </pivotArea>
    </format>
    <format dxfId="767">
      <pivotArea dataOnly="0" labelOnly="1" fieldPosition="0">
        <references count="3">
          <reference field="0" count="1" selected="0">
            <x v="210"/>
          </reference>
          <reference field="1" count="1" selected="0">
            <x v="155"/>
          </reference>
          <reference field="2" count="1">
            <x v="162"/>
          </reference>
        </references>
      </pivotArea>
    </format>
    <format dxfId="766">
      <pivotArea dataOnly="0" labelOnly="1" fieldPosition="0">
        <references count="3">
          <reference field="0" count="1" selected="0">
            <x v="211"/>
          </reference>
          <reference field="1" count="1" selected="0">
            <x v="156"/>
          </reference>
          <reference field="2" count="1">
            <x v="164"/>
          </reference>
        </references>
      </pivotArea>
    </format>
    <format dxfId="765">
      <pivotArea dataOnly="0" labelOnly="1" fieldPosition="0">
        <references count="3">
          <reference field="0" count="1" selected="0">
            <x v="212"/>
          </reference>
          <reference field="1" count="1" selected="0">
            <x v="157"/>
          </reference>
          <reference field="2" count="1">
            <x v="170"/>
          </reference>
        </references>
      </pivotArea>
    </format>
    <format dxfId="764">
      <pivotArea dataOnly="0" labelOnly="1" fieldPosition="0">
        <references count="3">
          <reference field="0" count="1" selected="0">
            <x v="214"/>
          </reference>
          <reference field="1" count="1" selected="0">
            <x v="159"/>
          </reference>
          <reference field="2" count="1">
            <x v="139"/>
          </reference>
        </references>
      </pivotArea>
    </format>
    <format dxfId="763">
      <pivotArea dataOnly="0" labelOnly="1" fieldPosition="0">
        <references count="3">
          <reference field="0" count="1" selected="0">
            <x v="215"/>
          </reference>
          <reference field="1" count="1" selected="0">
            <x v="160"/>
          </reference>
          <reference field="2" count="1">
            <x v="137"/>
          </reference>
        </references>
      </pivotArea>
    </format>
    <format dxfId="762">
      <pivotArea dataOnly="0" labelOnly="1" fieldPosition="0">
        <references count="3">
          <reference field="0" count="1" selected="0">
            <x v="216"/>
          </reference>
          <reference field="1" count="1" selected="0">
            <x v="161"/>
          </reference>
          <reference field="2" count="1">
            <x v="136"/>
          </reference>
        </references>
      </pivotArea>
    </format>
    <format dxfId="761">
      <pivotArea dataOnly="0" labelOnly="1" fieldPosition="0">
        <references count="3">
          <reference field="0" count="1" selected="0">
            <x v="217"/>
          </reference>
          <reference field="1" count="1" selected="0">
            <x v="162"/>
          </reference>
          <reference field="2" count="1">
            <x v="13"/>
          </reference>
        </references>
      </pivotArea>
    </format>
    <format dxfId="760">
      <pivotArea dataOnly="0" labelOnly="1" fieldPosition="0">
        <references count="3">
          <reference field="0" count="1" selected="0">
            <x v="218"/>
          </reference>
          <reference field="1" count="1" selected="0">
            <x v="163"/>
          </reference>
          <reference field="2" count="1">
            <x v="179"/>
          </reference>
        </references>
      </pivotArea>
    </format>
    <format dxfId="759">
      <pivotArea dataOnly="0" labelOnly="1" fieldPosition="0">
        <references count="3">
          <reference field="0" count="1" selected="0">
            <x v="219"/>
          </reference>
          <reference field="1" count="1" selected="0">
            <x v="164"/>
          </reference>
          <reference field="2" count="1">
            <x v="138"/>
          </reference>
        </references>
      </pivotArea>
    </format>
    <format dxfId="758">
      <pivotArea dataOnly="0" labelOnly="1" fieldPosition="0">
        <references count="3">
          <reference field="0" count="1" selected="0">
            <x v="220"/>
          </reference>
          <reference field="1" count="1" selected="0">
            <x v="165"/>
          </reference>
          <reference field="2" count="1">
            <x v="142"/>
          </reference>
        </references>
      </pivotArea>
    </format>
    <format dxfId="757">
      <pivotArea dataOnly="0" labelOnly="1" fieldPosition="0">
        <references count="3">
          <reference field="0" count="1" selected="0">
            <x v="221"/>
          </reference>
          <reference field="1" count="1" selected="0">
            <x v="166"/>
          </reference>
          <reference field="2" count="1">
            <x v="143"/>
          </reference>
        </references>
      </pivotArea>
    </format>
    <format dxfId="756">
      <pivotArea dataOnly="0" labelOnly="1" fieldPosition="0">
        <references count="3">
          <reference field="0" count="1" selected="0">
            <x v="223"/>
          </reference>
          <reference field="1" count="1" selected="0">
            <x v="168"/>
          </reference>
          <reference field="2" count="1">
            <x v="71"/>
          </reference>
        </references>
      </pivotArea>
    </format>
    <format dxfId="755">
      <pivotArea dataOnly="0" labelOnly="1" fieldPosition="0">
        <references count="3">
          <reference field="0" count="1" selected="0">
            <x v="224"/>
          </reference>
          <reference field="1" count="1" selected="0">
            <x v="169"/>
          </reference>
          <reference field="2" count="1">
            <x v="121"/>
          </reference>
        </references>
      </pivotArea>
    </format>
    <format dxfId="754">
      <pivotArea dataOnly="0" labelOnly="1" fieldPosition="0">
        <references count="3">
          <reference field="0" count="1" selected="0">
            <x v="225"/>
          </reference>
          <reference field="1" count="1" selected="0">
            <x v="170"/>
          </reference>
          <reference field="2" count="1">
            <x v="120"/>
          </reference>
        </references>
      </pivotArea>
    </format>
    <format dxfId="753">
      <pivotArea dataOnly="0" labelOnly="1" fieldPosition="0">
        <references count="3">
          <reference field="0" count="1" selected="0">
            <x v="226"/>
          </reference>
          <reference field="1" count="1" selected="0">
            <x v="171"/>
          </reference>
          <reference field="2" count="1">
            <x v="41"/>
          </reference>
        </references>
      </pivotArea>
    </format>
    <format dxfId="752">
      <pivotArea dataOnly="0" labelOnly="1" fieldPosition="0">
        <references count="3">
          <reference field="0" count="1" selected="0">
            <x v="227"/>
          </reference>
          <reference field="1" count="1" selected="0">
            <x v="172"/>
          </reference>
          <reference field="2" count="1">
            <x v="42"/>
          </reference>
        </references>
      </pivotArea>
    </format>
    <format dxfId="751">
      <pivotArea dataOnly="0" labelOnly="1" fieldPosition="0">
        <references count="3">
          <reference field="0" count="1" selected="0">
            <x v="228"/>
          </reference>
          <reference field="1" count="1" selected="0">
            <x v="173"/>
          </reference>
          <reference field="2" count="1">
            <x v="145"/>
          </reference>
        </references>
      </pivotArea>
    </format>
    <format dxfId="750">
      <pivotArea dataOnly="0" labelOnly="1" fieldPosition="0">
        <references count="3">
          <reference field="0" count="1" selected="0">
            <x v="229"/>
          </reference>
          <reference field="1" count="1" selected="0">
            <x v="174"/>
          </reference>
          <reference field="2" count="1">
            <x v="91"/>
          </reference>
        </references>
      </pivotArea>
    </format>
    <format dxfId="749">
      <pivotArea dataOnly="0" labelOnly="1" fieldPosition="0">
        <references count="3">
          <reference field="0" count="1" selected="0">
            <x v="230"/>
          </reference>
          <reference field="1" count="1" selected="0">
            <x v="175"/>
          </reference>
          <reference field="2" count="1">
            <x v="160"/>
          </reference>
        </references>
      </pivotArea>
    </format>
    <format dxfId="748">
      <pivotArea dataOnly="0" labelOnly="1" fieldPosition="0">
        <references count="3">
          <reference field="0" count="1" selected="0">
            <x v="231"/>
          </reference>
          <reference field="1" count="1" selected="0">
            <x v="176"/>
          </reference>
          <reference field="2" count="1">
            <x v="42"/>
          </reference>
        </references>
      </pivotArea>
    </format>
    <format dxfId="747">
      <pivotArea dataOnly="0" labelOnly="1" fieldPosition="0">
        <references count="3">
          <reference field="0" count="1" selected="0">
            <x v="232"/>
          </reference>
          <reference field="1" count="1" selected="0">
            <x v="177"/>
          </reference>
          <reference field="2" count="1">
            <x v="47"/>
          </reference>
        </references>
      </pivotArea>
    </format>
    <format dxfId="746">
      <pivotArea dataOnly="0" labelOnly="1" fieldPosition="0">
        <references count="3">
          <reference field="0" count="1" selected="0">
            <x v="233"/>
          </reference>
          <reference field="1" count="1" selected="0">
            <x v="178"/>
          </reference>
          <reference field="2" count="1">
            <x v="32"/>
          </reference>
        </references>
      </pivotArea>
    </format>
    <format dxfId="745">
      <pivotArea dataOnly="0" labelOnly="1" fieldPosition="0">
        <references count="3">
          <reference field="0" count="1" selected="0">
            <x v="234"/>
          </reference>
          <reference field="1" count="1" selected="0">
            <x v="179"/>
          </reference>
          <reference field="2" count="1">
            <x v="163"/>
          </reference>
        </references>
      </pivotArea>
    </format>
    <format dxfId="744">
      <pivotArea dataOnly="0" labelOnly="1" fieldPosition="0">
        <references count="3">
          <reference field="0" count="1" selected="0">
            <x v="235"/>
          </reference>
          <reference field="1" count="1" selected="0">
            <x v="191"/>
          </reference>
          <reference field="2" count="1">
            <x v="155"/>
          </reference>
        </references>
      </pivotArea>
    </format>
    <format dxfId="743">
      <pivotArea dataOnly="0" labelOnly="1" fieldPosition="0">
        <references count="3">
          <reference field="0" count="1" selected="0">
            <x v="236"/>
          </reference>
          <reference field="1" count="1" selected="0">
            <x v="192"/>
          </reference>
          <reference field="2" count="1">
            <x v="27"/>
          </reference>
        </references>
      </pivotArea>
    </format>
    <format dxfId="742">
      <pivotArea dataOnly="0" labelOnly="1" fieldPosition="0">
        <references count="3">
          <reference field="0" count="1" selected="0">
            <x v="237"/>
          </reference>
          <reference field="1" count="1" selected="0">
            <x v="193"/>
          </reference>
          <reference field="2" count="1">
            <x v="89"/>
          </reference>
        </references>
      </pivotArea>
    </format>
    <format dxfId="741">
      <pivotArea dataOnly="0" labelOnly="1" fieldPosition="0">
        <references count="3">
          <reference field="0" count="1" selected="0">
            <x v="238"/>
          </reference>
          <reference field="1" count="1" selected="0">
            <x v="194"/>
          </reference>
          <reference field="2" count="1">
            <x v="25"/>
          </reference>
        </references>
      </pivotArea>
    </format>
    <format dxfId="740">
      <pivotArea dataOnly="0" labelOnly="1" fieldPosition="0">
        <references count="3">
          <reference field="0" count="1" selected="0">
            <x v="239"/>
          </reference>
          <reference field="1" count="1" selected="0">
            <x v="195"/>
          </reference>
          <reference field="2" count="1">
            <x v="28"/>
          </reference>
        </references>
      </pivotArea>
    </format>
    <format dxfId="739">
      <pivotArea dataOnly="0" labelOnly="1" fieldPosition="0">
        <references count="3">
          <reference field="0" count="1" selected="0">
            <x v="240"/>
          </reference>
          <reference field="1" count="1" selected="0">
            <x v="196"/>
          </reference>
          <reference field="2" count="1">
            <x v="40"/>
          </reference>
        </references>
      </pivotArea>
    </format>
    <format dxfId="738">
      <pivotArea dataOnly="0" labelOnly="1" fieldPosition="0">
        <references count="3">
          <reference field="0" count="1" selected="0">
            <x v="241"/>
          </reference>
          <reference field="1" count="1" selected="0">
            <x v="197"/>
          </reference>
          <reference field="2" count="1">
            <x v="195"/>
          </reference>
        </references>
      </pivotArea>
    </format>
    <format dxfId="737">
      <pivotArea dataOnly="0" labelOnly="1" fieldPosition="0">
        <references count="3">
          <reference field="0" count="1" selected="0">
            <x v="242"/>
          </reference>
          <reference field="1" count="1" selected="0">
            <x v="198"/>
          </reference>
          <reference field="2" count="1">
            <x v="132"/>
          </reference>
        </references>
      </pivotArea>
    </format>
    <format dxfId="736">
      <pivotArea dataOnly="0" labelOnly="1" fieldPosition="0">
        <references count="4">
          <reference field="0" count="1" selected="0">
            <x v="0"/>
          </reference>
          <reference field="1" count="1" selected="0">
            <x v="228"/>
          </reference>
          <reference field="2" count="1" selected="0">
            <x v="153"/>
          </reference>
          <reference field="3" count="1">
            <x v="0"/>
          </reference>
        </references>
      </pivotArea>
    </format>
    <format dxfId="735">
      <pivotArea dataOnly="0" labelOnly="1" fieldPosition="0">
        <references count="4">
          <reference field="0" count="1" selected="0">
            <x v="42"/>
          </reference>
          <reference field="1" count="1" selected="0">
            <x v="4"/>
          </reference>
          <reference field="2" count="1" selected="0">
            <x v="64"/>
          </reference>
          <reference field="3" count="1">
            <x v="0"/>
          </reference>
        </references>
      </pivotArea>
    </format>
    <format dxfId="734">
      <pivotArea dataOnly="0" labelOnly="1" fieldPosition="0">
        <references count="5">
          <reference field="0" count="1" selected="0">
            <x v="0"/>
          </reference>
          <reference field="1" count="1" selected="0">
            <x v="228"/>
          </reference>
          <reference field="2" count="1" selected="0">
            <x v="153"/>
          </reference>
          <reference field="3" count="1" selected="0">
            <x v="0"/>
          </reference>
          <reference field="12" count="1">
            <x v="7"/>
          </reference>
        </references>
      </pivotArea>
    </format>
    <format dxfId="733">
      <pivotArea dataOnly="0" labelOnly="1" fieldPosition="0">
        <references count="5">
          <reference field="0" count="1" selected="0">
            <x v="3"/>
          </reference>
          <reference field="1" count="1" selected="0">
            <x v="231"/>
          </reference>
          <reference field="2" count="1" selected="0">
            <x v="88"/>
          </reference>
          <reference field="3" count="1" selected="0">
            <x v="0"/>
          </reference>
          <reference field="12" count="1">
            <x v="3"/>
          </reference>
        </references>
      </pivotArea>
    </format>
    <format dxfId="732">
      <pivotArea dataOnly="0" labelOnly="1" fieldPosition="0">
        <references count="5">
          <reference field="0" count="1" selected="0">
            <x v="5"/>
          </reference>
          <reference field="1" count="1" selected="0">
            <x v="233"/>
          </reference>
          <reference field="2" count="1" selected="0">
            <x v="224"/>
          </reference>
          <reference field="3" count="1" selected="0">
            <x v="0"/>
          </reference>
          <reference field="12" count="1">
            <x v="7"/>
          </reference>
        </references>
      </pivotArea>
    </format>
    <format dxfId="731">
      <pivotArea dataOnly="0" labelOnly="1" fieldPosition="0">
        <references count="5">
          <reference field="0" count="1" selected="0">
            <x v="7"/>
          </reference>
          <reference field="1" count="1" selected="0">
            <x v="118"/>
          </reference>
          <reference field="2" count="1" selected="0">
            <x v="171"/>
          </reference>
          <reference field="3" count="1" selected="0">
            <x v="0"/>
          </reference>
          <reference field="12" count="1">
            <x v="0"/>
          </reference>
        </references>
      </pivotArea>
    </format>
    <format dxfId="730">
      <pivotArea dataOnly="0" labelOnly="1" fieldPosition="0">
        <references count="5">
          <reference field="0" count="1" selected="0">
            <x v="16"/>
          </reference>
          <reference field="1" count="1" selected="0">
            <x v="64"/>
          </reference>
          <reference field="2" count="1" selected="0">
            <x v="157"/>
          </reference>
          <reference field="3" count="1" selected="0">
            <x v="0"/>
          </reference>
          <reference field="12" count="1">
            <x v="7"/>
          </reference>
        </references>
      </pivotArea>
    </format>
    <format dxfId="729">
      <pivotArea dataOnly="0" labelOnly="1" fieldPosition="0">
        <references count="5">
          <reference field="0" count="1" selected="0">
            <x v="22"/>
          </reference>
          <reference field="1" count="1" selected="0">
            <x v="19"/>
          </reference>
          <reference field="2" count="1" selected="0">
            <x v="39"/>
          </reference>
          <reference field="3" count="1" selected="0">
            <x v="0"/>
          </reference>
          <reference field="12" count="1">
            <x v="9"/>
          </reference>
        </references>
      </pivotArea>
    </format>
    <format dxfId="728">
      <pivotArea dataOnly="0" labelOnly="1" fieldPosition="0">
        <references count="5">
          <reference field="0" count="1" selected="0">
            <x v="26"/>
          </reference>
          <reference field="1" count="1" selected="0">
            <x v="23"/>
          </reference>
          <reference field="2" count="1" selected="0">
            <x v="217"/>
          </reference>
          <reference field="3" count="1" selected="0">
            <x v="0"/>
          </reference>
          <reference field="12" count="1">
            <x v="5"/>
          </reference>
        </references>
      </pivotArea>
    </format>
    <format dxfId="727">
      <pivotArea dataOnly="0" labelOnly="1" fieldPosition="0">
        <references count="5">
          <reference field="0" count="1" selected="0">
            <x v="28"/>
          </reference>
          <reference field="1" count="1" selected="0">
            <x v="25"/>
          </reference>
          <reference field="2" count="1" selected="0">
            <x v="52"/>
          </reference>
          <reference field="3" count="1" selected="0">
            <x v="0"/>
          </reference>
          <reference field="12" count="1">
            <x v="0"/>
          </reference>
        </references>
      </pivotArea>
    </format>
    <format dxfId="726">
      <pivotArea dataOnly="0" labelOnly="1" fieldPosition="0">
        <references count="5">
          <reference field="0" count="1" selected="0">
            <x v="29"/>
          </reference>
          <reference field="1" count="1" selected="0">
            <x v="26"/>
          </reference>
          <reference field="2" count="1" selected="0">
            <x v="62"/>
          </reference>
          <reference field="3" count="1" selected="0">
            <x v="0"/>
          </reference>
          <reference field="12" count="1">
            <x v="15"/>
          </reference>
        </references>
      </pivotArea>
    </format>
    <format dxfId="725">
      <pivotArea dataOnly="0" labelOnly="1" fieldPosition="0">
        <references count="5">
          <reference field="0" count="1" selected="0">
            <x v="31"/>
          </reference>
          <reference field="1" count="1" selected="0">
            <x v="28"/>
          </reference>
          <reference field="2" count="1" selected="0">
            <x v="53"/>
          </reference>
          <reference field="3" count="1" selected="0">
            <x v="0"/>
          </reference>
          <reference field="12" count="1">
            <x v="7"/>
          </reference>
        </references>
      </pivotArea>
    </format>
    <format dxfId="724">
      <pivotArea dataOnly="0" labelOnly="1" fieldPosition="0">
        <references count="5">
          <reference field="0" count="1" selected="0">
            <x v="35"/>
          </reference>
          <reference field="1" count="1" selected="0">
            <x v="32"/>
          </reference>
          <reference field="2" count="1" selected="0">
            <x v="51"/>
          </reference>
          <reference field="3" count="1" selected="0">
            <x v="0"/>
          </reference>
          <reference field="12" count="1">
            <x v="9"/>
          </reference>
        </references>
      </pivotArea>
    </format>
    <format dxfId="723">
      <pivotArea dataOnly="0" labelOnly="1" fieldPosition="0">
        <references count="5">
          <reference field="0" count="1" selected="0">
            <x v="36"/>
          </reference>
          <reference field="1" count="1" selected="0">
            <x v="33"/>
          </reference>
          <reference field="2" count="1" selected="0">
            <x v="130"/>
          </reference>
          <reference field="3" count="1" selected="0">
            <x v="0"/>
          </reference>
          <reference field="12" count="1">
            <x v="22"/>
          </reference>
        </references>
      </pivotArea>
    </format>
    <format dxfId="722">
      <pivotArea dataOnly="0" labelOnly="1" fieldPosition="0">
        <references count="5">
          <reference field="0" count="1" selected="0">
            <x v="37"/>
          </reference>
          <reference field="1" count="1" selected="0">
            <x v="34"/>
          </reference>
          <reference field="2" count="1" selected="0">
            <x v="70"/>
          </reference>
          <reference field="3" count="1" selected="0">
            <x v="0"/>
          </reference>
          <reference field="12" count="1">
            <x v="10"/>
          </reference>
        </references>
      </pivotArea>
    </format>
    <format dxfId="721">
      <pivotArea dataOnly="0" labelOnly="1" fieldPosition="0">
        <references count="5">
          <reference field="0" count="1" selected="0">
            <x v="55"/>
          </reference>
          <reference field="1" count="1" selected="0">
            <x v="35"/>
          </reference>
          <reference field="2" count="1" selected="0">
            <x v="65"/>
          </reference>
          <reference field="3" count="1" selected="0">
            <x v="0"/>
          </reference>
          <reference field="12" count="1">
            <x v="3"/>
          </reference>
        </references>
      </pivotArea>
    </format>
    <format dxfId="720">
      <pivotArea dataOnly="0" labelOnly="1" fieldPosition="0">
        <references count="5">
          <reference field="0" count="1" selected="0">
            <x v="81"/>
          </reference>
          <reference field="1" count="1" selected="0">
            <x v="68"/>
          </reference>
          <reference field="2" count="1" selected="0">
            <x v="112"/>
          </reference>
          <reference field="3" count="1" selected="0">
            <x v="0"/>
          </reference>
          <reference field="12" count="1">
            <x v="0"/>
          </reference>
        </references>
      </pivotArea>
    </format>
    <format dxfId="719">
      <pivotArea dataOnly="0" labelOnly="1" fieldPosition="0">
        <references count="5">
          <reference field="0" count="1" selected="0">
            <x v="82"/>
          </reference>
          <reference field="1" count="1" selected="0">
            <x v="69"/>
          </reference>
          <reference field="2" count="1" selected="0">
            <x v="226"/>
          </reference>
          <reference field="3" count="1" selected="0">
            <x v="0"/>
          </reference>
          <reference field="12" count="1">
            <x v="5"/>
          </reference>
        </references>
      </pivotArea>
    </format>
    <format dxfId="718">
      <pivotArea dataOnly="0" labelOnly="1" fieldPosition="0">
        <references count="5">
          <reference field="0" count="1" selected="0">
            <x v="84"/>
          </reference>
          <reference field="1" count="1" selected="0">
            <x v="71"/>
          </reference>
          <reference field="2" count="1" selected="0">
            <x v="192"/>
          </reference>
          <reference field="3" count="1" selected="0">
            <x v="0"/>
          </reference>
          <reference field="12" count="1">
            <x v="7"/>
          </reference>
        </references>
      </pivotArea>
    </format>
    <format dxfId="717">
      <pivotArea dataOnly="0" labelOnly="1" fieldPosition="0">
        <references count="5">
          <reference field="0" count="1" selected="0">
            <x v="88"/>
          </reference>
          <reference field="1" count="1" selected="0">
            <x v="75"/>
          </reference>
          <reference field="2" count="1" selected="0">
            <x v="38"/>
          </reference>
          <reference field="3" count="1" selected="0">
            <x v="0"/>
          </reference>
          <reference field="12" count="1">
            <x v="2"/>
          </reference>
        </references>
      </pivotArea>
    </format>
    <format dxfId="716">
      <pivotArea dataOnly="0" labelOnly="1" fieldPosition="0">
        <references count="5">
          <reference field="0" count="1" selected="0">
            <x v="89"/>
          </reference>
          <reference field="1" count="1" selected="0">
            <x v="76"/>
          </reference>
          <reference field="2" count="1" selected="0">
            <x v="232"/>
          </reference>
          <reference field="3" count="1" selected="0">
            <x v="0"/>
          </reference>
          <reference field="12" count="1">
            <x v="7"/>
          </reference>
        </references>
      </pivotArea>
    </format>
    <format dxfId="715">
      <pivotArea dataOnly="0" labelOnly="1" fieldPosition="0">
        <references count="5">
          <reference field="0" count="1" selected="0">
            <x v="95"/>
          </reference>
          <reference field="1" count="1" selected="0">
            <x v="82"/>
          </reference>
          <reference field="2" count="1" selected="0">
            <x v="5"/>
          </reference>
          <reference field="3" count="1" selected="0">
            <x v="0"/>
          </reference>
          <reference field="12" count="1">
            <x v="1"/>
          </reference>
        </references>
      </pivotArea>
    </format>
    <format dxfId="714">
      <pivotArea dataOnly="0" labelOnly="1" fieldPosition="0">
        <references count="5">
          <reference field="0" count="1" selected="0">
            <x v="96"/>
          </reference>
          <reference field="1" count="1" selected="0">
            <x v="83"/>
          </reference>
          <reference field="2" count="1" selected="0">
            <x v="173"/>
          </reference>
          <reference field="3" count="1" selected="0">
            <x v="0"/>
          </reference>
          <reference field="12" count="1">
            <x v="3"/>
          </reference>
        </references>
      </pivotArea>
    </format>
    <format dxfId="713">
      <pivotArea dataOnly="0" labelOnly="1" fieldPosition="0">
        <references count="5">
          <reference field="0" count="1" selected="0">
            <x v="105"/>
          </reference>
          <reference field="1" count="1" selected="0">
            <x v="92"/>
          </reference>
          <reference field="2" count="1" selected="0">
            <x v="134"/>
          </reference>
          <reference field="3" count="1" selected="0">
            <x v="0"/>
          </reference>
          <reference field="12" count="1">
            <x v="7"/>
          </reference>
        </references>
      </pivotArea>
    </format>
    <format dxfId="712">
      <pivotArea dataOnly="0" labelOnly="1" fieldPosition="0">
        <references count="5">
          <reference field="0" count="1" selected="0">
            <x v="122"/>
          </reference>
          <reference field="1" count="1" selected="0">
            <x v="109"/>
          </reference>
          <reference field="2" count="1" selected="0">
            <x v="35"/>
          </reference>
          <reference field="3" count="1" selected="0">
            <x v="0"/>
          </reference>
          <reference field="12" count="1">
            <x v="3"/>
          </reference>
        </references>
      </pivotArea>
    </format>
    <format dxfId="711">
      <pivotArea dataOnly="0" labelOnly="1" fieldPosition="0">
        <references count="5">
          <reference field="0" count="1" selected="0">
            <x v="123"/>
          </reference>
          <reference field="1" count="1" selected="0">
            <x v="110"/>
          </reference>
          <reference field="2" count="1" selected="0">
            <x v="176"/>
          </reference>
          <reference field="3" count="1" selected="0">
            <x v="0"/>
          </reference>
          <reference field="12" count="1">
            <x v="5"/>
          </reference>
        </references>
      </pivotArea>
    </format>
    <format dxfId="710">
      <pivotArea dataOnly="0" labelOnly="1" fieldPosition="0">
        <references count="5">
          <reference field="0" count="1" selected="0">
            <x v="124"/>
          </reference>
          <reference field="1" count="1" selected="0">
            <x v="111"/>
          </reference>
          <reference field="2" count="1" selected="0">
            <x v="218"/>
          </reference>
          <reference field="3" count="1" selected="0">
            <x v="0"/>
          </reference>
          <reference field="12" count="1">
            <x v="0"/>
          </reference>
        </references>
      </pivotArea>
    </format>
    <format dxfId="709">
      <pivotArea dataOnly="0" labelOnly="1" fieldPosition="0">
        <references count="5">
          <reference field="0" count="1" selected="0">
            <x v="125"/>
          </reference>
          <reference field="1" count="1" selected="0">
            <x v="112"/>
          </reference>
          <reference field="2" count="1" selected="0">
            <x v="197"/>
          </reference>
          <reference field="3" count="1" selected="0">
            <x v="0"/>
          </reference>
          <reference field="12" count="1">
            <x v="3"/>
          </reference>
        </references>
      </pivotArea>
    </format>
    <format dxfId="708">
      <pivotArea dataOnly="0" labelOnly="1" fieldPosition="0">
        <references count="5">
          <reference field="0" count="1" selected="0">
            <x v="126"/>
          </reference>
          <reference field="1" count="1" selected="0">
            <x v="113"/>
          </reference>
          <reference field="2" count="1" selected="0">
            <x v="191"/>
          </reference>
          <reference field="3" count="1" selected="0">
            <x v="0"/>
          </reference>
          <reference field="12" count="1">
            <x v="0"/>
          </reference>
        </references>
      </pivotArea>
    </format>
    <format dxfId="707">
      <pivotArea dataOnly="0" labelOnly="1" fieldPosition="0">
        <references count="5">
          <reference field="0" count="1" selected="0">
            <x v="129"/>
          </reference>
          <reference field="1" count="1" selected="0">
            <x v="116"/>
          </reference>
          <reference field="2" count="1" selected="0">
            <x v="212"/>
          </reference>
          <reference field="3" count="1" selected="0">
            <x v="0"/>
          </reference>
          <reference field="12" count="1">
            <x v="3"/>
          </reference>
        </references>
      </pivotArea>
    </format>
    <format dxfId="706">
      <pivotArea dataOnly="0" labelOnly="1" fieldPosition="0">
        <references count="5">
          <reference field="0" count="1" selected="0">
            <x v="130"/>
          </reference>
          <reference field="1" count="1" selected="0">
            <x v="117"/>
          </reference>
          <reference field="2" count="1" selected="0">
            <x v="118"/>
          </reference>
          <reference field="3" count="1" selected="0">
            <x v="0"/>
          </reference>
          <reference field="12" count="1">
            <x v="7"/>
          </reference>
        </references>
      </pivotArea>
    </format>
    <format dxfId="705">
      <pivotArea dataOnly="0" labelOnly="1" fieldPosition="0">
        <references count="5">
          <reference field="0" count="1" selected="0">
            <x v="134"/>
          </reference>
          <reference field="1" count="1" selected="0">
            <x v="127"/>
          </reference>
          <reference field="2" count="1" selected="0">
            <x v="2"/>
          </reference>
          <reference field="3" count="1" selected="0">
            <x v="0"/>
          </reference>
          <reference field="12" count="1">
            <x v="4"/>
          </reference>
        </references>
      </pivotArea>
    </format>
    <format dxfId="704">
      <pivotArea dataOnly="0" labelOnly="1" fieldPosition="0">
        <references count="5">
          <reference field="0" count="1" selected="0">
            <x v="135"/>
          </reference>
          <reference field="1" count="1" selected="0">
            <x v="128"/>
          </reference>
          <reference field="2" count="1" selected="0">
            <x v="151"/>
          </reference>
          <reference field="3" count="1" selected="0">
            <x v="0"/>
          </reference>
          <reference field="12" count="1">
            <x v="3"/>
          </reference>
        </references>
      </pivotArea>
    </format>
    <format dxfId="703">
      <pivotArea dataOnly="0" labelOnly="1" fieldPosition="0">
        <references count="5">
          <reference field="0" count="1" selected="0">
            <x v="144"/>
          </reference>
          <reference field="1" count="1" selected="0">
            <x v="137"/>
          </reference>
          <reference field="2" count="1" selected="0">
            <x v="79"/>
          </reference>
          <reference field="3" count="1" selected="0">
            <x v="0"/>
          </reference>
          <reference field="12" count="1">
            <x v="0"/>
          </reference>
        </references>
      </pivotArea>
    </format>
    <format dxfId="702">
      <pivotArea dataOnly="0" labelOnly="1" fieldPosition="0">
        <references count="5">
          <reference field="0" count="1" selected="0">
            <x v="146"/>
          </reference>
          <reference field="1" count="1" selected="0">
            <x v="139"/>
          </reference>
          <reference field="2" count="1" selected="0">
            <x v="30"/>
          </reference>
          <reference field="3" count="1" selected="0">
            <x v="0"/>
          </reference>
          <reference field="12" count="1">
            <x v="26"/>
          </reference>
        </references>
      </pivotArea>
    </format>
    <format dxfId="701">
      <pivotArea dataOnly="0" labelOnly="1" fieldPosition="0">
        <references count="5">
          <reference field="0" count="1" selected="0">
            <x v="149"/>
          </reference>
          <reference field="1" count="1" selected="0">
            <x v="142"/>
          </reference>
          <reference field="2" count="1" selected="0">
            <x v="165"/>
          </reference>
          <reference field="3" count="1" selected="0">
            <x v="0"/>
          </reference>
          <reference field="12" count="1">
            <x v="14"/>
          </reference>
        </references>
      </pivotArea>
    </format>
    <format dxfId="700">
      <pivotArea dataOnly="0" labelOnly="1" fieldPosition="0">
        <references count="5">
          <reference field="0" count="1" selected="0">
            <x v="155"/>
          </reference>
          <reference field="1" count="1" selected="0">
            <x v="148"/>
          </reference>
          <reference field="2" count="1" selected="0">
            <x v="3"/>
          </reference>
          <reference field="3" count="1" selected="0">
            <x v="0"/>
          </reference>
          <reference field="12" count="1">
            <x v="23"/>
          </reference>
        </references>
      </pivotArea>
    </format>
    <format dxfId="699">
      <pivotArea dataOnly="0" labelOnly="1" fieldPosition="0">
        <references count="5">
          <reference field="0" count="1" selected="0">
            <x v="159"/>
          </reference>
          <reference field="1" count="1" selected="0">
            <x v="183"/>
          </reference>
          <reference field="2" count="1" selected="0">
            <x v="122"/>
          </reference>
          <reference field="3" count="1" selected="0">
            <x v="0"/>
          </reference>
          <reference field="12" count="1">
            <x v="8"/>
          </reference>
        </references>
      </pivotArea>
    </format>
    <format dxfId="698">
      <pivotArea dataOnly="0" labelOnly="1" fieldPosition="0">
        <references count="5">
          <reference field="0" count="1" selected="0">
            <x v="160"/>
          </reference>
          <reference field="1" count="1" selected="0">
            <x v="184"/>
          </reference>
          <reference field="2" count="1" selected="0">
            <x v="187"/>
          </reference>
          <reference field="3" count="1" selected="0">
            <x v="0"/>
          </reference>
          <reference field="12" count="1">
            <x v="7"/>
          </reference>
        </references>
      </pivotArea>
    </format>
    <format dxfId="697">
      <pivotArea dataOnly="0" labelOnly="1" fieldPosition="0">
        <references count="5">
          <reference field="0" count="1" selected="0">
            <x v="161"/>
          </reference>
          <reference field="1" count="1" selected="0">
            <x v="185"/>
          </reference>
          <reference field="2" count="1" selected="0">
            <x v="186"/>
          </reference>
          <reference field="3" count="1" selected="0">
            <x v="0"/>
          </reference>
          <reference field="12" count="1">
            <x v="9"/>
          </reference>
        </references>
      </pivotArea>
    </format>
    <format dxfId="696">
      <pivotArea dataOnly="0" labelOnly="1" fieldPosition="0">
        <references count="5">
          <reference field="0" count="1" selected="0">
            <x v="162"/>
          </reference>
          <reference field="1" count="1" selected="0">
            <x v="186"/>
          </reference>
          <reference field="2" count="1" selected="0">
            <x v="125"/>
          </reference>
          <reference field="3" count="1" selected="0">
            <x v="0"/>
          </reference>
          <reference field="12" count="1">
            <x v="10"/>
          </reference>
        </references>
      </pivotArea>
    </format>
    <format dxfId="695">
      <pivotArea dataOnly="0" labelOnly="1" fieldPosition="0">
        <references count="5">
          <reference field="0" count="1" selected="0">
            <x v="164"/>
          </reference>
          <reference field="1" count="1" selected="0">
            <x v="188"/>
          </reference>
          <reference field="2" count="1" selected="0">
            <x v="119"/>
          </reference>
          <reference field="3" count="1" selected="0">
            <x v="0"/>
          </reference>
          <reference field="12" count="1">
            <x v="13"/>
          </reference>
        </references>
      </pivotArea>
    </format>
    <format dxfId="694">
      <pivotArea dataOnly="0" labelOnly="1" fieldPosition="0">
        <references count="5">
          <reference field="0" count="1" selected="0">
            <x v="167"/>
          </reference>
          <reference field="1" count="1" selected="0">
            <x v="199"/>
          </reference>
          <reference field="2" count="1" selected="0">
            <x v="56"/>
          </reference>
          <reference field="3" count="1" selected="0">
            <x v="0"/>
          </reference>
          <reference field="12" count="1">
            <x v="18"/>
          </reference>
        </references>
      </pivotArea>
    </format>
    <format dxfId="693">
      <pivotArea dataOnly="0" labelOnly="1" fieldPosition="0">
        <references count="5">
          <reference field="0" count="1" selected="0">
            <x v="168"/>
          </reference>
          <reference field="1" count="1" selected="0">
            <x v="200"/>
          </reference>
          <reference field="2" count="1" selected="0">
            <x v="9"/>
          </reference>
          <reference field="3" count="1" selected="0">
            <x v="0"/>
          </reference>
          <reference field="12" count="1">
            <x v="7"/>
          </reference>
        </references>
      </pivotArea>
    </format>
    <format dxfId="692">
      <pivotArea dataOnly="0" labelOnly="1" fieldPosition="0">
        <references count="5">
          <reference field="0" count="1" selected="0">
            <x v="171"/>
          </reference>
          <reference field="1" count="1" selected="0">
            <x v="203"/>
          </reference>
          <reference field="2" count="1" selected="0">
            <x v="10"/>
          </reference>
          <reference field="3" count="1" selected="0">
            <x v="0"/>
          </reference>
          <reference field="12" count="1">
            <x v="9"/>
          </reference>
        </references>
      </pivotArea>
    </format>
    <format dxfId="691">
      <pivotArea dataOnly="0" labelOnly="1" fieldPosition="0">
        <references count="5">
          <reference field="0" count="1" selected="0">
            <x v="172"/>
          </reference>
          <reference field="1" count="1" selected="0">
            <x v="204"/>
          </reference>
          <reference field="2" count="1" selected="0">
            <x v="216"/>
          </reference>
          <reference field="3" count="1" selected="0">
            <x v="0"/>
          </reference>
          <reference field="12" count="1">
            <x v="2"/>
          </reference>
        </references>
      </pivotArea>
    </format>
    <format dxfId="690">
      <pivotArea dataOnly="0" labelOnly="1" fieldPosition="0">
        <references count="5">
          <reference field="0" count="1" selected="0">
            <x v="173"/>
          </reference>
          <reference field="1" count="1" selected="0">
            <x v="205"/>
          </reference>
          <reference field="2" count="1" selected="0">
            <x v="94"/>
          </reference>
          <reference field="3" count="1" selected="0">
            <x v="0"/>
          </reference>
          <reference field="12" count="1">
            <x v="20"/>
          </reference>
        </references>
      </pivotArea>
    </format>
    <format dxfId="689">
      <pivotArea dataOnly="0" labelOnly="1" fieldPosition="0">
        <references count="5">
          <reference field="0" count="1" selected="0">
            <x v="175"/>
          </reference>
          <reference field="1" count="1" selected="0">
            <x v="207"/>
          </reference>
          <reference field="2" count="1" selected="0">
            <x v="172"/>
          </reference>
          <reference field="3" count="1" selected="0">
            <x v="0"/>
          </reference>
          <reference field="12" count="1">
            <x v="21"/>
          </reference>
        </references>
      </pivotArea>
    </format>
    <format dxfId="688">
      <pivotArea dataOnly="0" labelOnly="1" fieldPosition="0">
        <references count="5">
          <reference field="0" count="1" selected="0">
            <x v="176"/>
          </reference>
          <reference field="1" count="1" selected="0">
            <x v="208"/>
          </reference>
          <reference field="2" count="1" selected="0">
            <x v="215"/>
          </reference>
          <reference field="3" count="1" selected="0">
            <x v="0"/>
          </reference>
          <reference field="12" count="1">
            <x v="20"/>
          </reference>
        </references>
      </pivotArea>
    </format>
    <format dxfId="687">
      <pivotArea dataOnly="0" labelOnly="1" fieldPosition="0">
        <references count="5">
          <reference field="0" count="1" selected="0">
            <x v="180"/>
          </reference>
          <reference field="1" count="1" selected="0">
            <x v="212"/>
          </reference>
          <reference field="2" count="1" selected="0">
            <x v="97"/>
          </reference>
          <reference field="3" count="1" selected="0">
            <x v="0"/>
          </reference>
          <reference field="12" count="1">
            <x v="14"/>
          </reference>
        </references>
      </pivotArea>
    </format>
    <format dxfId="686">
      <pivotArea dataOnly="0" labelOnly="1" fieldPosition="0">
        <references count="5">
          <reference field="0" count="1" selected="0">
            <x v="182"/>
          </reference>
          <reference field="1" count="1" selected="0">
            <x v="214"/>
          </reference>
          <reference field="2" count="1" selected="0">
            <x v="235"/>
          </reference>
          <reference field="3" count="1" selected="0">
            <x v="0"/>
          </reference>
          <reference field="12" count="1">
            <x v="7"/>
          </reference>
        </references>
      </pivotArea>
    </format>
    <format dxfId="685">
      <pivotArea dataOnly="0" labelOnly="1" fieldPosition="0">
        <references count="5">
          <reference field="0" count="1" selected="0">
            <x v="183"/>
          </reference>
          <reference field="1" count="1" selected="0">
            <x v="215"/>
          </reference>
          <reference field="2" count="1" selected="0">
            <x v="206"/>
          </reference>
          <reference field="3" count="1" selected="0">
            <x v="0"/>
          </reference>
          <reference field="12" count="1">
            <x v="14"/>
          </reference>
        </references>
      </pivotArea>
    </format>
    <format dxfId="684">
      <pivotArea dataOnly="0" labelOnly="1" fieldPosition="0">
        <references count="5">
          <reference field="0" count="1" selected="0">
            <x v="184"/>
          </reference>
          <reference field="1" count="1" selected="0">
            <x v="216"/>
          </reference>
          <reference field="2" count="1" selected="0">
            <x v="111"/>
          </reference>
          <reference field="3" count="1" selected="0">
            <x v="0"/>
          </reference>
          <reference field="12" count="1">
            <x v="22"/>
          </reference>
        </references>
      </pivotArea>
    </format>
    <format dxfId="683">
      <pivotArea dataOnly="0" labelOnly="1" fieldPosition="0">
        <references count="5">
          <reference field="0" count="1" selected="0">
            <x v="185"/>
          </reference>
          <reference field="1" count="1" selected="0">
            <x v="217"/>
          </reference>
          <reference field="2" count="1" selected="0">
            <x v="113"/>
          </reference>
          <reference field="3" count="1" selected="0">
            <x v="0"/>
          </reference>
          <reference field="12" count="1">
            <x v="12"/>
          </reference>
        </references>
      </pivotArea>
    </format>
    <format dxfId="682">
      <pivotArea dataOnly="0" labelOnly="1" fieldPosition="0">
        <references count="5">
          <reference field="0" count="1" selected="0">
            <x v="192"/>
          </reference>
          <reference field="1" count="1" selected="0">
            <x v="224"/>
          </reference>
          <reference field="2" count="1" selected="0">
            <x v="80"/>
          </reference>
          <reference field="3" count="1" selected="0">
            <x v="0"/>
          </reference>
          <reference field="12" count="1">
            <x v="7"/>
          </reference>
        </references>
      </pivotArea>
    </format>
    <format dxfId="681">
      <pivotArea dataOnly="0" labelOnly="1" fieldPosition="0">
        <references count="5">
          <reference field="0" count="1" selected="0">
            <x v="197"/>
          </reference>
          <reference field="1" count="1" selected="0">
            <x v="236"/>
          </reference>
          <reference field="2" count="1" selected="0">
            <x v="102"/>
          </reference>
          <reference field="3" count="1" selected="0">
            <x v="0"/>
          </reference>
          <reference field="12" count="1">
            <x v="18"/>
          </reference>
        </references>
      </pivotArea>
    </format>
    <format dxfId="680">
      <pivotArea dataOnly="0" labelOnly="1" fieldPosition="0">
        <references count="5">
          <reference field="0" count="1" selected="0">
            <x v="199"/>
          </reference>
          <reference field="1" count="1" selected="0">
            <x v="238"/>
          </reference>
          <reference field="2" count="1" selected="0">
            <x v="33"/>
          </reference>
          <reference field="3" count="1" selected="0">
            <x v="0"/>
          </reference>
          <reference field="12" count="1">
            <x v="20"/>
          </reference>
        </references>
      </pivotArea>
    </format>
    <format dxfId="679">
      <pivotArea dataOnly="0" labelOnly="1" fieldPosition="0">
        <references count="5">
          <reference field="0" count="1" selected="0">
            <x v="204"/>
          </reference>
          <reference field="1" count="1" selected="0">
            <x v="149"/>
          </reference>
          <reference field="2" count="1" selected="0">
            <x v="117"/>
          </reference>
          <reference field="3" count="1" selected="0">
            <x v="0"/>
          </reference>
          <reference field="12" count="1">
            <x v="12"/>
          </reference>
        </references>
      </pivotArea>
    </format>
    <format dxfId="678">
      <pivotArea dataOnly="0" labelOnly="1" fieldPosition="0">
        <references count="5">
          <reference field="0" count="1" selected="0">
            <x v="207"/>
          </reference>
          <reference field="1" count="1" selected="0">
            <x v="152"/>
          </reference>
          <reference field="2" count="1" selected="0">
            <x v="81"/>
          </reference>
          <reference field="3" count="1" selected="0">
            <x v="0"/>
          </reference>
          <reference field="12" count="1">
            <x v="7"/>
          </reference>
        </references>
      </pivotArea>
    </format>
    <format dxfId="677">
      <pivotArea dataOnly="0" labelOnly="1" fieldPosition="0">
        <references count="5">
          <reference field="0" count="1" selected="0">
            <x v="208"/>
          </reference>
          <reference field="1" count="1" selected="0">
            <x v="153"/>
          </reference>
          <reference field="2" count="1" selected="0">
            <x v="103"/>
          </reference>
          <reference field="3" count="1" selected="0">
            <x v="0"/>
          </reference>
          <reference field="12" count="1">
            <x v="14"/>
          </reference>
        </references>
      </pivotArea>
    </format>
    <format dxfId="676">
      <pivotArea dataOnly="0" labelOnly="1" fieldPosition="0">
        <references count="5">
          <reference field="0" count="1" selected="0">
            <x v="210"/>
          </reference>
          <reference field="1" count="1" selected="0">
            <x v="155"/>
          </reference>
          <reference field="2" count="1" selected="0">
            <x v="162"/>
          </reference>
          <reference field="3" count="1" selected="0">
            <x v="0"/>
          </reference>
          <reference field="12" count="1">
            <x v="7"/>
          </reference>
        </references>
      </pivotArea>
    </format>
    <format dxfId="675">
      <pivotArea dataOnly="0" labelOnly="1" fieldPosition="0">
        <references count="5">
          <reference field="0" count="1" selected="0">
            <x v="211"/>
          </reference>
          <reference field="1" count="1" selected="0">
            <x v="156"/>
          </reference>
          <reference field="2" count="1" selected="0">
            <x v="164"/>
          </reference>
          <reference field="3" count="1" selected="0">
            <x v="0"/>
          </reference>
          <reference field="12" count="1">
            <x v="20"/>
          </reference>
        </references>
      </pivotArea>
    </format>
    <format dxfId="674">
      <pivotArea dataOnly="0" labelOnly="1" fieldPosition="0">
        <references count="5">
          <reference field="0" count="1" selected="0">
            <x v="214"/>
          </reference>
          <reference field="1" count="1" selected="0">
            <x v="159"/>
          </reference>
          <reference field="2" count="1" selected="0">
            <x v="139"/>
          </reference>
          <reference field="3" count="1" selected="0">
            <x v="0"/>
          </reference>
          <reference field="12" count="1">
            <x v="10"/>
          </reference>
        </references>
      </pivotArea>
    </format>
    <format dxfId="673">
      <pivotArea dataOnly="0" labelOnly="1" fieldPosition="0">
        <references count="5">
          <reference field="0" count="1" selected="0">
            <x v="220"/>
          </reference>
          <reference field="1" count="1" selected="0">
            <x v="165"/>
          </reference>
          <reference field="2" count="1" selected="0">
            <x v="142"/>
          </reference>
          <reference field="3" count="1" selected="0">
            <x v="0"/>
          </reference>
          <reference field="12" count="1">
            <x v="11"/>
          </reference>
        </references>
      </pivotArea>
    </format>
    <format dxfId="672">
      <pivotArea dataOnly="0" labelOnly="1" fieldPosition="0">
        <references count="5">
          <reference field="0" count="1" selected="0">
            <x v="221"/>
          </reference>
          <reference field="1" count="1" selected="0">
            <x v="166"/>
          </reference>
          <reference field="2" count="1" selected="0">
            <x v="143"/>
          </reference>
          <reference field="3" count="1" selected="0">
            <x v="0"/>
          </reference>
          <reference field="12" count="1">
            <x v="10"/>
          </reference>
        </references>
      </pivotArea>
    </format>
    <format dxfId="671">
      <pivotArea dataOnly="0" labelOnly="1" fieldPosition="0">
        <references count="5">
          <reference field="0" count="1" selected="0">
            <x v="223"/>
          </reference>
          <reference field="1" count="1" selected="0">
            <x v="168"/>
          </reference>
          <reference field="2" count="1" selected="0">
            <x v="71"/>
          </reference>
          <reference field="3" count="1" selected="0">
            <x v="0"/>
          </reference>
          <reference field="12" count="1">
            <x v="24"/>
          </reference>
        </references>
      </pivotArea>
    </format>
    <format dxfId="670">
      <pivotArea dataOnly="0" labelOnly="1" fieldPosition="0">
        <references count="5">
          <reference field="0" count="1" selected="0">
            <x v="224"/>
          </reference>
          <reference field="1" count="1" selected="0">
            <x v="169"/>
          </reference>
          <reference field="2" count="1" selected="0">
            <x v="121"/>
          </reference>
          <reference field="3" count="1" selected="0">
            <x v="0"/>
          </reference>
          <reference field="12" count="1">
            <x v="23"/>
          </reference>
        </references>
      </pivotArea>
    </format>
    <format dxfId="669">
      <pivotArea dataOnly="0" labelOnly="1" fieldPosition="0">
        <references count="5">
          <reference field="0" count="1" selected="0">
            <x v="228"/>
          </reference>
          <reference field="1" count="1" selected="0">
            <x v="173"/>
          </reference>
          <reference field="2" count="1" selected="0">
            <x v="145"/>
          </reference>
          <reference field="3" count="1" selected="0">
            <x v="0"/>
          </reference>
          <reference field="12" count="1">
            <x v="3"/>
          </reference>
        </references>
      </pivotArea>
    </format>
    <format dxfId="668">
      <pivotArea dataOnly="0" labelOnly="1" fieldPosition="0">
        <references count="5">
          <reference field="0" count="1" selected="0">
            <x v="234"/>
          </reference>
          <reference field="1" count="1" selected="0">
            <x v="179"/>
          </reference>
          <reference field="2" count="1" selected="0">
            <x v="163"/>
          </reference>
          <reference field="3" count="1" selected="0">
            <x v="0"/>
          </reference>
          <reference field="12" count="1">
            <x v="28"/>
          </reference>
        </references>
      </pivotArea>
    </format>
    <format dxfId="667">
      <pivotArea dataOnly="0" labelOnly="1" fieldPosition="0">
        <references count="5">
          <reference field="0" count="1" selected="0">
            <x v="235"/>
          </reference>
          <reference field="1" count="1" selected="0">
            <x v="191"/>
          </reference>
          <reference field="2" count="1" selected="0">
            <x v="155"/>
          </reference>
          <reference field="3" count="1" selected="0">
            <x v="0"/>
          </reference>
          <reference field="12" count="1">
            <x v="3"/>
          </reference>
        </references>
      </pivotArea>
    </format>
    <format dxfId="666">
      <pivotArea dataOnly="0" labelOnly="1" fieldPosition="0">
        <references count="5">
          <reference field="0" count="1" selected="0">
            <x v="238"/>
          </reference>
          <reference field="1" count="1" selected="0">
            <x v="194"/>
          </reference>
          <reference field="2" count="1" selected="0">
            <x v="25"/>
          </reference>
          <reference field="3" count="1" selected="0">
            <x v="0"/>
          </reference>
          <reference field="12" count="1">
            <x v="0"/>
          </reference>
        </references>
      </pivotArea>
    </format>
    <format dxfId="665">
      <pivotArea dataOnly="0" labelOnly="1" fieldPosition="0">
        <references count="5">
          <reference field="0" count="1" selected="0">
            <x v="240"/>
          </reference>
          <reference field="1" count="1" selected="0">
            <x v="196"/>
          </reference>
          <reference field="2" count="1" selected="0">
            <x v="40"/>
          </reference>
          <reference field="3" count="1" selected="0">
            <x v="0"/>
          </reference>
          <reference field="12" count="1">
            <x v="3"/>
          </reference>
        </references>
      </pivotArea>
    </format>
    <format dxfId="664">
      <pivotArea dataOnly="0" labelOnly="1" fieldPosition="0">
        <references count="5">
          <reference field="0" count="1" selected="0">
            <x v="241"/>
          </reference>
          <reference field="1" count="1" selected="0">
            <x v="197"/>
          </reference>
          <reference field="2" count="1" selected="0">
            <x v="195"/>
          </reference>
          <reference field="3" count="1" selected="0">
            <x v="0"/>
          </reference>
          <reference field="12" count="1">
            <x v="0"/>
          </reference>
        </references>
      </pivotArea>
    </format>
    <format dxfId="663">
      <pivotArea dataOnly="0" labelOnly="1" fieldPosition="0">
        <references count="5">
          <reference field="0" count="1" selected="0">
            <x v="242"/>
          </reference>
          <reference field="1" count="1" selected="0">
            <x v="198"/>
          </reference>
          <reference field="2" count="1" selected="0">
            <x v="132"/>
          </reference>
          <reference field="3" count="1" selected="0">
            <x v="0"/>
          </reference>
          <reference field="12" count="1">
            <x v="6"/>
          </reference>
        </references>
      </pivotArea>
    </format>
    <format dxfId="662">
      <pivotArea dataOnly="0" labelOnly="1" fieldPosition="0">
        <references count="6">
          <reference field="0" count="1" selected="0">
            <x v="0"/>
          </reference>
          <reference field="1" count="1" selected="0">
            <x v="228"/>
          </reference>
          <reference field="2" count="1" selected="0">
            <x v="153"/>
          </reference>
          <reference field="3" count="1" selected="0">
            <x v="0"/>
          </reference>
          <reference field="12" count="1" selected="0">
            <x v="7"/>
          </reference>
          <reference field="13" count="1">
            <x v="24"/>
          </reference>
        </references>
      </pivotArea>
    </format>
    <format dxfId="661">
      <pivotArea dataOnly="0" labelOnly="1" fieldPosition="0">
        <references count="6">
          <reference field="0" count="1" selected="0">
            <x v="2"/>
          </reference>
          <reference field="1" count="1" selected="0">
            <x v="230"/>
          </reference>
          <reference field="2" count="1" selected="0">
            <x v="225"/>
          </reference>
          <reference field="3" count="1" selected="0">
            <x v="0"/>
          </reference>
          <reference field="12" count="1" selected="0">
            <x v="7"/>
          </reference>
          <reference field="13" count="1">
            <x v="0"/>
          </reference>
        </references>
      </pivotArea>
    </format>
    <format dxfId="660">
      <pivotArea dataOnly="0" labelOnly="1" fieldPosition="0">
        <references count="6">
          <reference field="0" count="1" selected="0">
            <x v="12"/>
          </reference>
          <reference field="1" count="1" selected="0">
            <x v="123"/>
          </reference>
          <reference field="2" count="1" selected="0">
            <x v="150"/>
          </reference>
          <reference field="3" count="1" selected="0">
            <x v="0"/>
          </reference>
          <reference field="12" count="1" selected="0">
            <x v="0"/>
          </reference>
          <reference field="13" count="1">
            <x v="2"/>
          </reference>
        </references>
      </pivotArea>
    </format>
    <format dxfId="659">
      <pivotArea dataOnly="0" labelOnly="1" fieldPosition="0">
        <references count="6">
          <reference field="0" count="1" selected="0">
            <x v="16"/>
          </reference>
          <reference field="1" count="1" selected="0">
            <x v="64"/>
          </reference>
          <reference field="2" count="1" selected="0">
            <x v="157"/>
          </reference>
          <reference field="3" count="1" selected="0">
            <x v="0"/>
          </reference>
          <reference field="12" count="1" selected="0">
            <x v="7"/>
          </reference>
          <reference field="13" count="1">
            <x v="0"/>
          </reference>
        </references>
      </pivotArea>
    </format>
    <format dxfId="658">
      <pivotArea dataOnly="0" labelOnly="1" fieldPosition="0">
        <references count="6">
          <reference field="0" count="1" selected="0">
            <x v="186"/>
          </reference>
          <reference field="1" count="1" selected="0">
            <x v="218"/>
          </reference>
          <reference field="2" count="1" selected="0">
            <x v="93"/>
          </reference>
          <reference field="3" count="1" selected="0">
            <x v="0"/>
          </reference>
          <reference field="12" count="1" selected="0">
            <x v="12"/>
          </reference>
          <reference field="13" count="1">
            <x v="2"/>
          </reference>
        </references>
      </pivotArea>
    </format>
    <format dxfId="657">
      <pivotArea dataOnly="0" labelOnly="1" fieldPosition="0">
        <references count="6">
          <reference field="0" count="1" selected="0">
            <x v="187"/>
          </reference>
          <reference field="1" count="1" selected="0">
            <x v="219"/>
          </reference>
          <reference field="2" count="1" selected="0">
            <x v="104"/>
          </reference>
          <reference field="3" count="1" selected="0">
            <x v="0"/>
          </reference>
          <reference field="12" count="1" selected="0">
            <x v="12"/>
          </reference>
          <reference field="13" count="1">
            <x v="14"/>
          </reference>
        </references>
      </pivotArea>
    </format>
    <format dxfId="656">
      <pivotArea dataOnly="0" labelOnly="1" fieldPosition="0">
        <references count="6">
          <reference field="0" count="1" selected="0">
            <x v="189"/>
          </reference>
          <reference field="1" count="1" selected="0">
            <x v="221"/>
          </reference>
          <reference field="2" count="1" selected="0">
            <x v="182"/>
          </reference>
          <reference field="3" count="1" selected="0">
            <x v="0"/>
          </reference>
          <reference field="12" count="1" selected="0">
            <x v="12"/>
          </reference>
          <reference field="13" count="1">
            <x v="0"/>
          </reference>
        </references>
      </pivotArea>
    </format>
    <format dxfId="655">
      <pivotArea dataOnly="0" labelOnly="1" fieldPosition="0">
        <references count="6">
          <reference field="0" count="1" selected="0">
            <x v="204"/>
          </reference>
          <reference field="1" count="1" selected="0">
            <x v="149"/>
          </reference>
          <reference field="2" count="1" selected="0">
            <x v="117"/>
          </reference>
          <reference field="3" count="1" selected="0">
            <x v="0"/>
          </reference>
          <reference field="12" count="1" selected="0">
            <x v="12"/>
          </reference>
          <reference field="13" count="1">
            <x v="14"/>
          </reference>
        </references>
      </pivotArea>
    </format>
    <format dxfId="654">
      <pivotArea dataOnly="0" labelOnly="1" fieldPosition="0">
        <references count="6">
          <reference field="0" count="1" selected="0">
            <x v="206"/>
          </reference>
          <reference field="1" count="1" selected="0">
            <x v="151"/>
          </reference>
          <reference field="2" count="1" selected="0">
            <x v="159"/>
          </reference>
          <reference field="3" count="1" selected="0">
            <x v="0"/>
          </reference>
          <reference field="12" count="1" selected="0">
            <x v="12"/>
          </reference>
          <reference field="13" count="1">
            <x v="5"/>
          </reference>
        </references>
      </pivotArea>
    </format>
    <format dxfId="653">
      <pivotArea dataOnly="0" labelOnly="1" fieldPosition="0">
        <references count="6">
          <reference field="0" count="1" selected="0">
            <x v="207"/>
          </reference>
          <reference field="1" count="1" selected="0">
            <x v="152"/>
          </reference>
          <reference field="2" count="1" selected="0">
            <x v="81"/>
          </reference>
          <reference field="3" count="1" selected="0">
            <x v="0"/>
          </reference>
          <reference field="12" count="1" selected="0">
            <x v="7"/>
          </reference>
          <reference field="13" count="1">
            <x v="0"/>
          </reference>
        </references>
      </pivotArea>
    </format>
    <format dxfId="652">
      <pivotArea dataOnly="0" labelOnly="1" fieldPosition="0">
        <references count="6">
          <reference field="0" count="1" selected="0">
            <x v="208"/>
          </reference>
          <reference field="1" count="1" selected="0">
            <x v="153"/>
          </reference>
          <reference field="2" count="1" selected="0">
            <x v="103"/>
          </reference>
          <reference field="3" count="1" selected="0">
            <x v="0"/>
          </reference>
          <reference field="12" count="1" selected="0">
            <x v="14"/>
          </reference>
          <reference field="13" count="1">
            <x v="16"/>
          </reference>
        </references>
      </pivotArea>
    </format>
    <format dxfId="651">
      <pivotArea dataOnly="0" labelOnly="1" fieldPosition="0">
        <references count="6">
          <reference field="0" count="1" selected="0">
            <x v="209"/>
          </reference>
          <reference field="1" count="1" selected="0">
            <x v="154"/>
          </reference>
          <reference field="2" count="1" selected="0">
            <x v="98"/>
          </reference>
          <reference field="3" count="1" selected="0">
            <x v="0"/>
          </reference>
          <reference field="12" count="1" selected="0">
            <x v="14"/>
          </reference>
          <reference field="13" count="1">
            <x v="17"/>
          </reference>
        </references>
      </pivotArea>
    </format>
    <format dxfId="650">
      <pivotArea dataOnly="0" labelOnly="1" fieldPosition="0">
        <references count="6">
          <reference field="0" count="1" selected="0">
            <x v="210"/>
          </reference>
          <reference field="1" count="1" selected="0">
            <x v="155"/>
          </reference>
          <reference field="2" count="1" selected="0">
            <x v="162"/>
          </reference>
          <reference field="3" count="1" selected="0">
            <x v="0"/>
          </reference>
          <reference field="12" count="1" selected="0">
            <x v="7"/>
          </reference>
          <reference field="13" count="1">
            <x v="2"/>
          </reference>
        </references>
      </pivotArea>
    </format>
    <format dxfId="649">
      <pivotArea dataOnly="0" labelOnly="1" fieldPosition="0">
        <references count="6">
          <reference field="0" count="1" selected="0">
            <x v="211"/>
          </reference>
          <reference field="1" count="1" selected="0">
            <x v="156"/>
          </reference>
          <reference field="2" count="1" selected="0">
            <x v="164"/>
          </reference>
          <reference field="3" count="1" selected="0">
            <x v="0"/>
          </reference>
          <reference field="12" count="1" selected="0">
            <x v="20"/>
          </reference>
          <reference field="13" count="1">
            <x v="3"/>
          </reference>
        </references>
      </pivotArea>
    </format>
    <format dxfId="648">
      <pivotArea dataOnly="0" labelOnly="1" fieldPosition="0">
        <references count="6">
          <reference field="0" count="1" selected="0">
            <x v="212"/>
          </reference>
          <reference field="1" count="1" selected="0">
            <x v="157"/>
          </reference>
          <reference field="2" count="1" selected="0">
            <x v="170"/>
          </reference>
          <reference field="3" count="1" selected="0">
            <x v="0"/>
          </reference>
          <reference field="12" count="1" selected="0">
            <x v="20"/>
          </reference>
          <reference field="13" count="1">
            <x v="4"/>
          </reference>
        </references>
      </pivotArea>
    </format>
    <format dxfId="647">
      <pivotArea dataOnly="0" labelOnly="1" fieldPosition="0">
        <references count="6">
          <reference field="0" count="1" selected="0">
            <x v="214"/>
          </reference>
          <reference field="1" count="1" selected="0">
            <x v="159"/>
          </reference>
          <reference field="2" count="1" selected="0">
            <x v="139"/>
          </reference>
          <reference field="3" count="1" selected="0">
            <x v="0"/>
          </reference>
          <reference field="12" count="1" selected="0">
            <x v="10"/>
          </reference>
          <reference field="13" count="1">
            <x v="15"/>
          </reference>
        </references>
      </pivotArea>
    </format>
    <format dxfId="646">
      <pivotArea dataOnly="0" labelOnly="1" fieldPosition="0">
        <references count="6">
          <reference field="0" count="1" selected="0">
            <x v="215"/>
          </reference>
          <reference field="1" count="1" selected="0">
            <x v="160"/>
          </reference>
          <reference field="2" count="1" selected="0">
            <x v="137"/>
          </reference>
          <reference field="3" count="1" selected="0">
            <x v="0"/>
          </reference>
          <reference field="12" count="1" selected="0">
            <x v="10"/>
          </reference>
          <reference field="13" count="1">
            <x v="11"/>
          </reference>
        </references>
      </pivotArea>
    </format>
    <format dxfId="645">
      <pivotArea dataOnly="0" labelOnly="1" fieldPosition="0">
        <references count="6">
          <reference field="0" count="1" selected="0">
            <x v="216"/>
          </reference>
          <reference field="1" count="1" selected="0">
            <x v="161"/>
          </reference>
          <reference field="2" count="1" selected="0">
            <x v="136"/>
          </reference>
          <reference field="3" count="1" selected="0">
            <x v="0"/>
          </reference>
          <reference field="12" count="1" selected="0">
            <x v="10"/>
          </reference>
          <reference field="13" count="1">
            <x v="13"/>
          </reference>
        </references>
      </pivotArea>
    </format>
    <format dxfId="644">
      <pivotArea dataOnly="0" labelOnly="1" fieldPosition="0">
        <references count="6">
          <reference field="0" count="1" selected="0">
            <x v="217"/>
          </reference>
          <reference field="1" count="1" selected="0">
            <x v="162"/>
          </reference>
          <reference field="2" count="1" selected="0">
            <x v="13"/>
          </reference>
          <reference field="3" count="1" selected="0">
            <x v="0"/>
          </reference>
          <reference field="12" count="1" selected="0">
            <x v="10"/>
          </reference>
          <reference field="13" count="1">
            <x v="10"/>
          </reference>
        </references>
      </pivotArea>
    </format>
    <format dxfId="643">
      <pivotArea dataOnly="0" labelOnly="1" fieldPosition="0">
        <references count="6">
          <reference field="0" count="1" selected="0">
            <x v="219"/>
          </reference>
          <reference field="1" count="1" selected="0">
            <x v="164"/>
          </reference>
          <reference field="2" count="1" selected="0">
            <x v="138"/>
          </reference>
          <reference field="3" count="1" selected="0">
            <x v="0"/>
          </reference>
          <reference field="12" count="1" selected="0">
            <x v="10"/>
          </reference>
          <reference field="13" count="1">
            <x v="8"/>
          </reference>
        </references>
      </pivotArea>
    </format>
    <format dxfId="642">
      <pivotArea dataOnly="0" labelOnly="1" fieldPosition="0">
        <references count="6">
          <reference field="0" count="1" selected="0">
            <x v="220"/>
          </reference>
          <reference field="1" count="1" selected="0">
            <x v="165"/>
          </reference>
          <reference field="2" count="1" selected="0">
            <x v="142"/>
          </reference>
          <reference field="3" count="1" selected="0">
            <x v="0"/>
          </reference>
          <reference field="12" count="1" selected="0">
            <x v="11"/>
          </reference>
          <reference field="13" count="1">
            <x v="12"/>
          </reference>
        </references>
      </pivotArea>
    </format>
    <format dxfId="641">
      <pivotArea dataOnly="0" labelOnly="1" fieldPosition="0">
        <references count="6">
          <reference field="0" count="1" selected="0">
            <x v="221"/>
          </reference>
          <reference field="1" count="1" selected="0">
            <x v="166"/>
          </reference>
          <reference field="2" count="1" selected="0">
            <x v="143"/>
          </reference>
          <reference field="3" count="1" selected="0">
            <x v="0"/>
          </reference>
          <reference field="12" count="1" selected="0">
            <x v="10"/>
          </reference>
          <reference field="13" count="1">
            <x v="9"/>
          </reference>
        </references>
      </pivotArea>
    </format>
    <format dxfId="640">
      <pivotArea dataOnly="0" labelOnly="1" fieldPosition="0">
        <references count="6">
          <reference field="0" count="1" selected="0">
            <x v="223"/>
          </reference>
          <reference field="1" count="1" selected="0">
            <x v="168"/>
          </reference>
          <reference field="2" count="1" selected="0">
            <x v="71"/>
          </reference>
          <reference field="3" count="1" selected="0">
            <x v="0"/>
          </reference>
          <reference field="12" count="1" selected="0">
            <x v="24"/>
          </reference>
          <reference field="13" count="1">
            <x v="7"/>
          </reference>
        </references>
      </pivotArea>
    </format>
    <format dxfId="639">
      <pivotArea dataOnly="0" labelOnly="1" fieldPosition="0">
        <references count="6">
          <reference field="0" count="1" selected="0">
            <x v="224"/>
          </reference>
          <reference field="1" count="1" selected="0">
            <x v="169"/>
          </reference>
          <reference field="2" count="1" selected="0">
            <x v="121"/>
          </reference>
          <reference field="3" count="1" selected="0">
            <x v="0"/>
          </reference>
          <reference field="12" count="1" selected="0">
            <x v="23"/>
          </reference>
          <reference field="13" count="1">
            <x v="1"/>
          </reference>
        </references>
      </pivotArea>
    </format>
    <format dxfId="638">
      <pivotArea dataOnly="0" labelOnly="1" fieldPosition="0">
        <references count="6">
          <reference field="0" count="1" selected="0">
            <x v="225"/>
          </reference>
          <reference field="1" count="1" selected="0">
            <x v="170"/>
          </reference>
          <reference field="2" count="1" selected="0">
            <x v="120"/>
          </reference>
          <reference field="3" count="1" selected="0">
            <x v="0"/>
          </reference>
          <reference field="12" count="1" selected="0">
            <x v="23"/>
          </reference>
          <reference field="13" count="1">
            <x v="22"/>
          </reference>
        </references>
      </pivotArea>
    </format>
    <format dxfId="637">
      <pivotArea dataOnly="0" labelOnly="1" fieldPosition="0">
        <references count="6">
          <reference field="0" count="1" selected="0">
            <x v="228"/>
          </reference>
          <reference field="1" count="1" selected="0">
            <x v="173"/>
          </reference>
          <reference field="2" count="1" selected="0">
            <x v="145"/>
          </reference>
          <reference field="3" count="1" selected="0">
            <x v="0"/>
          </reference>
          <reference field="12" count="1" selected="0">
            <x v="3"/>
          </reference>
          <reference field="13" count="1">
            <x v="21"/>
          </reference>
        </references>
      </pivotArea>
    </format>
    <format dxfId="636">
      <pivotArea dataOnly="0" labelOnly="1" fieldPosition="0">
        <references count="6">
          <reference field="0" count="1" selected="0">
            <x v="229"/>
          </reference>
          <reference field="1" count="1" selected="0">
            <x v="174"/>
          </reference>
          <reference field="2" count="1" selected="0">
            <x v="91"/>
          </reference>
          <reference field="3" count="1" selected="0">
            <x v="0"/>
          </reference>
          <reference field="12" count="1" selected="0">
            <x v="3"/>
          </reference>
          <reference field="13" count="1">
            <x v="18"/>
          </reference>
        </references>
      </pivotArea>
    </format>
    <format dxfId="635">
      <pivotArea dataOnly="0" labelOnly="1" fieldPosition="0">
        <references count="6">
          <reference field="0" count="1" selected="0">
            <x v="231"/>
          </reference>
          <reference field="1" count="1" selected="0">
            <x v="176"/>
          </reference>
          <reference field="2" count="1" selected="0">
            <x v="42"/>
          </reference>
          <reference field="3" count="1" selected="0">
            <x v="0"/>
          </reference>
          <reference field="12" count="1" selected="0">
            <x v="3"/>
          </reference>
          <reference field="13" count="1">
            <x v="20"/>
          </reference>
        </references>
      </pivotArea>
    </format>
    <format dxfId="634">
      <pivotArea dataOnly="0" labelOnly="1" fieldPosition="0">
        <references count="6">
          <reference field="0" count="1" selected="0">
            <x v="232"/>
          </reference>
          <reference field="1" count="1" selected="0">
            <x v="177"/>
          </reference>
          <reference field="2" count="1" selected="0">
            <x v="47"/>
          </reference>
          <reference field="3" count="1" selected="0">
            <x v="0"/>
          </reference>
          <reference field="12" count="1" selected="0">
            <x v="3"/>
          </reference>
          <reference field="13" count="1">
            <x v="19"/>
          </reference>
        </references>
      </pivotArea>
    </format>
    <format dxfId="633">
      <pivotArea dataOnly="0" labelOnly="1" fieldPosition="0">
        <references count="6">
          <reference field="0" count="1" selected="0">
            <x v="233"/>
          </reference>
          <reference field="1" count="1" selected="0">
            <x v="178"/>
          </reference>
          <reference field="2" count="1" selected="0">
            <x v="32"/>
          </reference>
          <reference field="3" count="1" selected="0">
            <x v="0"/>
          </reference>
          <reference field="12" count="1" selected="0">
            <x v="3"/>
          </reference>
          <reference field="13" count="1">
            <x v="6"/>
          </reference>
        </references>
      </pivotArea>
    </format>
    <format dxfId="632">
      <pivotArea dataOnly="0" labelOnly="1" fieldPosition="0">
        <references count="6">
          <reference field="0" count="1" selected="0">
            <x v="234"/>
          </reference>
          <reference field="1" count="1" selected="0">
            <x v="179"/>
          </reference>
          <reference field="2" count="1" selected="0">
            <x v="163"/>
          </reference>
          <reference field="3" count="1" selected="0">
            <x v="0"/>
          </reference>
          <reference field="12" count="1" selected="0">
            <x v="28"/>
          </reference>
          <reference field="13" count="1">
            <x v="25"/>
          </reference>
        </references>
      </pivotArea>
    </format>
    <format dxfId="631">
      <pivotArea dataOnly="0" labelOnly="1" fieldPosition="0">
        <references count="6">
          <reference field="0" count="1" selected="0">
            <x v="235"/>
          </reference>
          <reference field="1" count="1" selected="0">
            <x v="191"/>
          </reference>
          <reference field="2" count="1" selected="0">
            <x v="155"/>
          </reference>
          <reference field="3" count="1" selected="0">
            <x v="0"/>
          </reference>
          <reference field="12" count="1" selected="0">
            <x v="3"/>
          </reference>
          <reference field="13" count="1">
            <x v="0"/>
          </reference>
        </references>
      </pivotArea>
    </format>
    <format dxfId="630">
      <pivotArea dataOnly="0" labelOnly="1" fieldPosition="0">
        <references count="7">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x v="38"/>
          </reference>
        </references>
      </pivotArea>
    </format>
    <format dxfId="629">
      <pivotArea dataOnly="0" labelOnly="1" fieldPosition="0">
        <references count="7">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x v="0"/>
          </reference>
        </references>
      </pivotArea>
    </format>
    <format dxfId="628">
      <pivotArea dataOnly="0" labelOnly="1" fieldPosition="0">
        <references count="7">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x v="35"/>
          </reference>
        </references>
      </pivotArea>
    </format>
    <format dxfId="627">
      <pivotArea dataOnly="0" labelOnly="1" fieldPosition="0">
        <references count="7">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x v="38"/>
          </reference>
        </references>
      </pivotArea>
    </format>
    <format dxfId="626">
      <pivotArea dataOnly="0" labelOnly="1" fieldPosition="0">
        <references count="7">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x v="28"/>
          </reference>
        </references>
      </pivotArea>
    </format>
    <format dxfId="625">
      <pivotArea dataOnly="0" labelOnly="1" fieldPosition="0">
        <references count="7">
          <reference field="0" count="1" selected="0">
            <x v="10"/>
          </reference>
          <reference field="1" count="1" selected="0">
            <x v="121"/>
          </reference>
          <reference field="2" count="1" selected="0">
            <x v="82"/>
          </reference>
          <reference field="3" count="1" selected="0">
            <x v="0"/>
          </reference>
          <reference field="12" count="1" selected="0">
            <x v="0"/>
          </reference>
          <reference field="13" count="1" selected="0">
            <x v="0"/>
          </reference>
          <reference field="14" count="1">
            <x v="38"/>
          </reference>
        </references>
      </pivotArea>
    </format>
    <format dxfId="624">
      <pivotArea dataOnly="0" labelOnly="1" fieldPosition="0">
        <references count="7">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x v="40"/>
          </reference>
        </references>
      </pivotArea>
    </format>
    <format dxfId="623">
      <pivotArea dataOnly="0" labelOnly="1" fieldPosition="0">
        <references count="7">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x v="38"/>
          </reference>
        </references>
      </pivotArea>
    </format>
    <format dxfId="622">
      <pivotArea dataOnly="0" labelOnly="1" fieldPosition="0">
        <references count="7">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x v="1"/>
          </reference>
        </references>
      </pivotArea>
    </format>
    <format dxfId="621">
      <pivotArea dataOnly="0" labelOnly="1" fieldPosition="0">
        <references count="7">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x v="3"/>
          </reference>
        </references>
      </pivotArea>
    </format>
    <format dxfId="620">
      <pivotArea dataOnly="0" labelOnly="1" fieldPosition="0">
        <references count="7">
          <reference field="0" count="1" selected="0">
            <x v="29"/>
          </reference>
          <reference field="1" count="1" selected="0">
            <x v="26"/>
          </reference>
          <reference field="2" count="1" selected="0">
            <x v="62"/>
          </reference>
          <reference field="3" count="1" selected="0">
            <x v="0"/>
          </reference>
          <reference field="12" count="1" selected="0">
            <x v="15"/>
          </reference>
          <reference field="13" count="1" selected="0">
            <x v="0"/>
          </reference>
          <reference field="14" count="1">
            <x v="19"/>
          </reference>
        </references>
      </pivotArea>
    </format>
    <format dxfId="619">
      <pivotArea dataOnly="0" labelOnly="1" fieldPosition="0">
        <references count="7">
          <reference field="0" count="1" selected="0">
            <x v="30"/>
          </reference>
          <reference field="1" count="1" selected="0">
            <x v="27"/>
          </reference>
          <reference field="2" count="1" selected="0">
            <x v="7"/>
          </reference>
          <reference field="3" count="1" selected="0">
            <x v="0"/>
          </reference>
          <reference field="12" count="1" selected="0">
            <x v="15"/>
          </reference>
          <reference field="13" count="1" selected="0">
            <x v="0"/>
          </reference>
          <reference field="14" count="1">
            <x v="13"/>
          </reference>
        </references>
      </pivotArea>
    </format>
    <format dxfId="618">
      <pivotArea dataOnly="0" labelOnly="1" fieldPosition="0">
        <references count="7">
          <reference field="0" count="1" selected="0">
            <x v="31"/>
          </reference>
          <reference field="1" count="1" selected="0">
            <x v="28"/>
          </reference>
          <reference field="2" count="1" selected="0">
            <x v="53"/>
          </reference>
          <reference field="3" count="1" selected="0">
            <x v="0"/>
          </reference>
          <reference field="12" count="1" selected="0">
            <x v="7"/>
          </reference>
          <reference field="13" count="1" selected="0">
            <x v="0"/>
          </reference>
          <reference field="14" count="1">
            <x v="15"/>
          </reference>
        </references>
      </pivotArea>
    </format>
    <format dxfId="617">
      <pivotArea dataOnly="0" labelOnly="1" fieldPosition="0">
        <references count="7">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x v="61"/>
          </reference>
        </references>
      </pivotArea>
    </format>
    <format dxfId="616">
      <pivotArea dataOnly="0" labelOnly="1" fieldPosition="0">
        <references count="7">
          <reference field="0" count="1" selected="0">
            <x v="36"/>
          </reference>
          <reference field="1" count="1" selected="0">
            <x v="33"/>
          </reference>
          <reference field="2" count="1" selected="0">
            <x v="130"/>
          </reference>
          <reference field="3" count="1" selected="0">
            <x v="0"/>
          </reference>
          <reference field="12" count="1" selected="0">
            <x v="22"/>
          </reference>
          <reference field="13" count="1" selected="0">
            <x v="0"/>
          </reference>
          <reference field="14" count="1">
            <x v="2"/>
          </reference>
        </references>
      </pivotArea>
    </format>
    <format dxfId="615">
      <pivotArea dataOnly="0" labelOnly="1" fieldPosition="0">
        <references count="7">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x v="62"/>
          </reference>
        </references>
      </pivotArea>
    </format>
    <format dxfId="614">
      <pivotArea dataOnly="0" labelOnly="1" fieldPosition="0">
        <references count="7">
          <reference field="0" count="1" selected="0">
            <x v="42"/>
          </reference>
          <reference field="1" count="1" selected="0">
            <x v="4"/>
          </reference>
          <reference field="2" count="1" selected="0">
            <x v="64"/>
          </reference>
          <reference field="3" count="1" selected="0">
            <x v="0"/>
          </reference>
          <reference field="12" count="1" selected="0">
            <x v="10"/>
          </reference>
          <reference field="13" count="1" selected="0">
            <x v="0"/>
          </reference>
          <reference field="14" count="1">
            <x v="58"/>
          </reference>
        </references>
      </pivotArea>
    </format>
    <format dxfId="613">
      <pivotArea dataOnly="0" labelOnly="1" fieldPosition="0">
        <references count="7">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x v="56"/>
          </reference>
        </references>
      </pivotArea>
    </format>
    <format dxfId="612">
      <pivotArea dataOnly="0" labelOnly="1" fieldPosition="0">
        <references count="7">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x v="66"/>
          </reference>
        </references>
      </pivotArea>
    </format>
    <format dxfId="611">
      <pivotArea dataOnly="0" labelOnly="1" fieldPosition="0">
        <references count="7">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x v="34"/>
          </reference>
        </references>
      </pivotArea>
    </format>
    <format dxfId="610">
      <pivotArea dataOnly="0" labelOnly="1" fieldPosition="0">
        <references count="7">
          <reference field="0" count="1" selected="0">
            <x v="62"/>
          </reference>
          <reference field="1" count="1" selected="0">
            <x v="42"/>
          </reference>
          <reference field="2" count="1" selected="0">
            <x v="15"/>
          </reference>
          <reference field="3" count="1" selected="0">
            <x v="0"/>
          </reference>
          <reference field="12" count="1" selected="0">
            <x v="3"/>
          </reference>
          <reference field="13" count="1" selected="0">
            <x v="0"/>
          </reference>
          <reference field="14" count="1">
            <x v="47"/>
          </reference>
        </references>
      </pivotArea>
    </format>
    <format dxfId="609">
      <pivotArea dataOnly="0" labelOnly="1" fieldPosition="0">
        <references count="7">
          <reference field="0" count="1" selected="0">
            <x v="63"/>
          </reference>
          <reference field="1" count="1" selected="0">
            <x v="43"/>
          </reference>
          <reference field="2" count="1" selected="0">
            <x v="152"/>
          </reference>
          <reference field="3" count="1" selected="0">
            <x v="0"/>
          </reference>
          <reference field="12" count="1" selected="0">
            <x v="3"/>
          </reference>
          <reference field="13" count="1" selected="0">
            <x v="0"/>
          </reference>
          <reference field="14" count="1">
            <x v="37"/>
          </reference>
        </references>
      </pivotArea>
    </format>
    <format dxfId="608">
      <pivotArea dataOnly="0" labelOnly="1" fieldPosition="0">
        <references count="7">
          <reference field="0" count="1" selected="0">
            <x v="64"/>
          </reference>
          <reference field="1" count="1" selected="0">
            <x v="44"/>
          </reference>
          <reference field="2" count="1" selected="0">
            <x v="146"/>
          </reference>
          <reference field="3" count="1" selected="0">
            <x v="0"/>
          </reference>
          <reference field="12" count="1" selected="0">
            <x v="3"/>
          </reference>
          <reference field="13" count="1" selected="0">
            <x v="0"/>
          </reference>
          <reference field="14" count="1">
            <x v="36"/>
          </reference>
        </references>
      </pivotArea>
    </format>
    <format dxfId="607">
      <pivotArea dataOnly="0" labelOnly="1" fieldPosition="0">
        <references count="7">
          <reference field="0" count="1" selected="0">
            <x v="65"/>
          </reference>
          <reference field="1" count="1" selected="0">
            <x v="45"/>
          </reference>
          <reference field="2" count="1" selected="0">
            <x v="204"/>
          </reference>
          <reference field="3" count="1" selected="0">
            <x v="0"/>
          </reference>
          <reference field="12" count="1" selected="0">
            <x v="3"/>
          </reference>
          <reference field="13" count="1" selected="0">
            <x v="0"/>
          </reference>
          <reference field="14" count="1">
            <x v="0"/>
          </reference>
        </references>
      </pivotArea>
    </format>
    <format dxfId="606">
      <pivotArea dataOnly="0" labelOnly="1" fieldPosition="0">
        <references count="7">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x v="14"/>
          </reference>
        </references>
      </pivotArea>
    </format>
    <format dxfId="605">
      <pivotArea dataOnly="0" labelOnly="1" fieldPosition="0">
        <references count="7">
          <reference field="0" count="1" selected="0">
            <x v="79"/>
          </reference>
          <reference field="1" count="1" selected="0">
            <x v="59"/>
          </reference>
          <reference field="2" count="1" selected="0">
            <x v="21"/>
          </reference>
          <reference field="3" count="1" selected="0">
            <x v="0"/>
          </reference>
          <reference field="12" count="1" selected="0">
            <x v="3"/>
          </reference>
          <reference field="13" count="1" selected="0">
            <x v="0"/>
          </reference>
          <reference field="14" count="1">
            <x v="0"/>
          </reference>
        </references>
      </pivotArea>
    </format>
    <format dxfId="604">
      <pivotArea dataOnly="0" labelOnly="1" fieldPosition="0">
        <references count="7">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x v="0"/>
          </reference>
        </references>
      </pivotArea>
    </format>
    <format dxfId="603">
      <pivotArea dataOnly="0" labelOnly="1" fieldPosition="0">
        <references count="7">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x v="4"/>
          </reference>
        </references>
      </pivotArea>
    </format>
    <format dxfId="602">
      <pivotArea dataOnly="0" labelOnly="1" fieldPosition="0">
        <references count="7">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x v="53"/>
          </reference>
        </references>
      </pivotArea>
    </format>
    <format dxfId="601">
      <pivotArea dataOnly="0" labelOnly="1" fieldPosition="0">
        <references count="7">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x v="25"/>
          </reference>
        </references>
      </pivotArea>
    </format>
    <format dxfId="600">
      <pivotArea dataOnly="0" labelOnly="1" fieldPosition="0">
        <references count="7">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x v="0"/>
          </reference>
        </references>
      </pivotArea>
    </format>
    <format dxfId="599">
      <pivotArea dataOnly="0" labelOnly="1" fieldPosition="0">
        <references count="7">
          <reference field="0" count="1" selected="0">
            <x v="89"/>
          </reference>
          <reference field="1" count="1" selected="0">
            <x v="76"/>
          </reference>
          <reference field="2" count="1" selected="0">
            <x v="232"/>
          </reference>
          <reference field="3" count="1" selected="0">
            <x v="0"/>
          </reference>
          <reference field="12" count="1" selected="0">
            <x v="7"/>
          </reference>
          <reference field="13" count="1" selected="0">
            <x v="0"/>
          </reference>
          <reference field="14" count="1">
            <x v="50"/>
          </reference>
        </references>
      </pivotArea>
    </format>
    <format dxfId="598">
      <pivotArea dataOnly="0" labelOnly="1" fieldPosition="0">
        <references count="7">
          <reference field="0" count="1" selected="0">
            <x v="93"/>
          </reference>
          <reference field="1" count="1" selected="0">
            <x v="80"/>
          </reference>
          <reference field="2" count="1" selected="0">
            <x v="180"/>
          </reference>
          <reference field="3" count="1" selected="0">
            <x v="0"/>
          </reference>
          <reference field="12" count="1" selected="0">
            <x v="7"/>
          </reference>
          <reference field="13" count="1" selected="0">
            <x v="0"/>
          </reference>
          <reference field="14" count="1">
            <x v="49"/>
          </reference>
        </references>
      </pivotArea>
    </format>
    <format dxfId="597">
      <pivotArea dataOnly="0" labelOnly="1" fieldPosition="0">
        <references count="7">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x v="16"/>
          </reference>
        </references>
      </pivotArea>
    </format>
    <format dxfId="596">
      <pivotArea dataOnly="0" labelOnly="1" fieldPosition="0">
        <references count="7">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x v="6"/>
          </reference>
        </references>
      </pivotArea>
    </format>
    <format dxfId="595">
      <pivotArea dataOnly="0" labelOnly="1" fieldPosition="0">
        <references count="7">
          <reference field="0" count="1" selected="0">
            <x v="102"/>
          </reference>
          <reference field="1" count="1" selected="0">
            <x v="89"/>
          </reference>
          <reference field="2" count="1" selected="0">
            <x v="14"/>
          </reference>
          <reference field="3" count="1" selected="0">
            <x v="0"/>
          </reference>
          <reference field="12" count="1" selected="0">
            <x v="3"/>
          </reference>
          <reference field="13" count="1" selected="0">
            <x v="0"/>
          </reference>
          <reference field="14" count="1">
            <x v="16"/>
          </reference>
        </references>
      </pivotArea>
    </format>
    <format dxfId="594">
      <pivotArea dataOnly="0" labelOnly="1" fieldPosition="0">
        <references count="7">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x v="54"/>
          </reference>
        </references>
      </pivotArea>
    </format>
    <format dxfId="593">
      <pivotArea dataOnly="0" labelOnly="1" fieldPosition="0">
        <references count="7">
          <reference field="0" count="1" selected="0">
            <x v="107"/>
          </reference>
          <reference field="1" count="1" selected="0">
            <x v="94"/>
          </reference>
          <reference field="2" count="1" selected="0">
            <x v="190"/>
          </reference>
          <reference field="3" count="1" selected="0">
            <x v="0"/>
          </reference>
          <reference field="12" count="1" selected="0">
            <x v="7"/>
          </reference>
          <reference field="13" count="1" selected="0">
            <x v="0"/>
          </reference>
          <reference field="14" count="1">
            <x v="55"/>
          </reference>
        </references>
      </pivotArea>
    </format>
    <format dxfId="592">
      <pivotArea dataOnly="0" labelOnly="1" fieldPosition="0">
        <references count="7">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x v="4"/>
          </reference>
        </references>
      </pivotArea>
    </format>
    <format dxfId="591">
      <pivotArea dataOnly="0" labelOnly="1" fieldPosition="0">
        <references count="7">
          <reference field="0" count="1" selected="0">
            <x v="113"/>
          </reference>
          <reference field="1" count="1" selected="0">
            <x v="100"/>
          </reference>
          <reference field="2" count="1" selected="0">
            <x v="124"/>
          </reference>
          <reference field="3" count="1" selected="0">
            <x v="0"/>
          </reference>
          <reference field="12" count="1" selected="0">
            <x v="7"/>
          </reference>
          <reference field="13" count="1" selected="0">
            <x v="0"/>
          </reference>
          <reference field="14" count="1">
            <x v="7"/>
          </reference>
        </references>
      </pivotArea>
    </format>
    <format dxfId="590">
      <pivotArea dataOnly="0" labelOnly="1" fieldPosition="0">
        <references count="7">
          <reference field="0" count="1" selected="0">
            <x v="122"/>
          </reference>
          <reference field="1" count="1" selected="0">
            <x v="109"/>
          </reference>
          <reference field="2" count="1" selected="0">
            <x v="35"/>
          </reference>
          <reference field="3" count="1" selected="0">
            <x v="0"/>
          </reference>
          <reference field="12" count="1" selected="0">
            <x v="3"/>
          </reference>
          <reference field="13" count="1" selected="0">
            <x v="0"/>
          </reference>
          <reference field="14" count="1">
            <x v="11"/>
          </reference>
        </references>
      </pivotArea>
    </format>
    <format dxfId="589">
      <pivotArea dataOnly="0" labelOnly="1" fieldPosition="0">
        <references count="7">
          <reference field="0" count="1" selected="0">
            <x v="123"/>
          </reference>
          <reference field="1" count="1" selected="0">
            <x v="110"/>
          </reference>
          <reference field="2" count="1" selected="0">
            <x v="176"/>
          </reference>
          <reference field="3" count="1" selected="0">
            <x v="0"/>
          </reference>
          <reference field="12" count="1" selected="0">
            <x v="5"/>
          </reference>
          <reference field="13" count="1" selected="0">
            <x v="0"/>
          </reference>
          <reference field="14" count="1">
            <x v="38"/>
          </reference>
        </references>
      </pivotArea>
    </format>
    <format dxfId="588">
      <pivotArea dataOnly="0" labelOnly="1" fieldPosition="0">
        <references count="7">
          <reference field="0" count="1" selected="0">
            <x v="124"/>
          </reference>
          <reference field="1" count="1" selected="0">
            <x v="111"/>
          </reference>
          <reference field="2" count="1" selected="0">
            <x v="218"/>
          </reference>
          <reference field="3" count="1" selected="0">
            <x v="0"/>
          </reference>
          <reference field="12" count="1" selected="0">
            <x v="0"/>
          </reference>
          <reference field="13" count="1" selected="0">
            <x v="0"/>
          </reference>
          <reference field="14" count="1">
            <x v="34"/>
          </reference>
        </references>
      </pivotArea>
    </format>
    <format dxfId="587">
      <pivotArea dataOnly="0" labelOnly="1" fieldPosition="0">
        <references count="7">
          <reference field="0" count="1" selected="0">
            <x v="126"/>
          </reference>
          <reference field="1" count="1" selected="0">
            <x v="113"/>
          </reference>
          <reference field="2" count="1" selected="0">
            <x v="191"/>
          </reference>
          <reference field="3" count="1" selected="0">
            <x v="0"/>
          </reference>
          <reference field="12" count="1" selected="0">
            <x v="0"/>
          </reference>
          <reference field="13" count="1" selected="0">
            <x v="0"/>
          </reference>
          <reference field="14" count="1">
            <x v="37"/>
          </reference>
        </references>
      </pivotArea>
    </format>
    <format dxfId="586">
      <pivotArea dataOnly="0" labelOnly="1" fieldPosition="0">
        <references count="7">
          <reference field="0" count="1" selected="0">
            <x v="127"/>
          </reference>
          <reference field="1" count="1" selected="0">
            <x v="114"/>
          </reference>
          <reference field="2" count="1" selected="0">
            <x v="174"/>
          </reference>
          <reference field="3" count="1" selected="0">
            <x v="0"/>
          </reference>
          <reference field="12" count="1" selected="0">
            <x v="0"/>
          </reference>
          <reference field="13" count="1" selected="0">
            <x v="0"/>
          </reference>
          <reference field="14" count="1">
            <x v="36"/>
          </reference>
        </references>
      </pivotArea>
    </format>
    <format dxfId="585">
      <pivotArea dataOnly="0" labelOnly="1" fieldPosition="0">
        <references count="7">
          <reference field="0" count="1" selected="0">
            <x v="128"/>
          </reference>
          <reference field="1" count="1" selected="0">
            <x v="115"/>
          </reference>
          <reference field="2" count="1" selected="0">
            <x v="59"/>
          </reference>
          <reference field="3" count="1" selected="0">
            <x v="0"/>
          </reference>
          <reference field="12" count="1" selected="0">
            <x v="0"/>
          </reference>
          <reference field="13" count="1" selected="0">
            <x v="0"/>
          </reference>
          <reference field="14" count="1">
            <x v="37"/>
          </reference>
        </references>
      </pivotArea>
    </format>
    <format dxfId="584">
      <pivotArea dataOnly="0" labelOnly="1" fieldPosition="0">
        <references count="7">
          <reference field="0" count="1" selected="0">
            <x v="134"/>
          </reference>
          <reference field="1" count="1" selected="0">
            <x v="127"/>
          </reference>
          <reference field="2" count="1" selected="0">
            <x v="2"/>
          </reference>
          <reference field="3" count="1" selected="0">
            <x v="0"/>
          </reference>
          <reference field="12" count="1" selected="0">
            <x v="4"/>
          </reference>
          <reference field="13" count="1" selected="0">
            <x v="0"/>
          </reference>
          <reference field="14" count="1">
            <x v="34"/>
          </reference>
        </references>
      </pivotArea>
    </format>
    <format dxfId="583">
      <pivotArea dataOnly="0" labelOnly="1" fieldPosition="0">
        <references count="7">
          <reference field="0" count="1" selected="0">
            <x v="135"/>
          </reference>
          <reference field="1" count="1" selected="0">
            <x v="128"/>
          </reference>
          <reference field="2" count="1" selected="0">
            <x v="151"/>
          </reference>
          <reference field="3" count="1" selected="0">
            <x v="0"/>
          </reference>
          <reference field="12" count="1" selected="0">
            <x v="3"/>
          </reference>
          <reference field="13" count="1" selected="0">
            <x v="0"/>
          </reference>
          <reference field="14" count="1">
            <x v="37"/>
          </reference>
        </references>
      </pivotArea>
    </format>
    <format dxfId="582">
      <pivotArea dataOnly="0" labelOnly="1" fieldPosition="0">
        <references count="7">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x v="0"/>
          </reference>
        </references>
      </pivotArea>
    </format>
    <format dxfId="581">
      <pivotArea dataOnly="0" labelOnly="1" fieldPosition="0">
        <references count="7">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x v="23"/>
          </reference>
        </references>
      </pivotArea>
    </format>
    <format dxfId="580">
      <pivotArea dataOnly="0" labelOnly="1" fieldPosition="0">
        <references count="7">
          <reference field="0" count="1" selected="0">
            <x v="147"/>
          </reference>
          <reference field="1" count="1" selected="0">
            <x v="140"/>
          </reference>
          <reference field="2" count="1" selected="0">
            <x v="211"/>
          </reference>
          <reference field="3" count="1" selected="0">
            <x v="0"/>
          </reference>
          <reference field="12" count="1" selected="0">
            <x v="26"/>
          </reference>
          <reference field="13" count="1" selected="0">
            <x v="0"/>
          </reference>
          <reference field="14" count="1">
            <x v="22"/>
          </reference>
        </references>
      </pivotArea>
    </format>
    <format dxfId="579">
      <pivotArea dataOnly="0" labelOnly="1" fieldPosition="0">
        <references count="7">
          <reference field="0" count="1" selected="0">
            <x v="148"/>
          </reference>
          <reference field="1" count="1" selected="0">
            <x v="141"/>
          </reference>
          <reference field="2" count="1" selected="0">
            <x v="95"/>
          </reference>
          <reference field="3" count="1" selected="0">
            <x v="0"/>
          </reference>
          <reference field="12" count="1" selected="0">
            <x v="26"/>
          </reference>
          <reference field="13" count="1" selected="0">
            <x v="0"/>
          </reference>
          <reference field="14" count="1">
            <x v="14"/>
          </reference>
        </references>
      </pivotArea>
    </format>
    <format dxfId="578">
      <pivotArea dataOnly="0" labelOnly="1" fieldPosition="0">
        <references count="7">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x v="24"/>
          </reference>
        </references>
      </pivotArea>
    </format>
    <format dxfId="577">
      <pivotArea dataOnly="0" labelOnly="1" fieldPosition="0">
        <references count="7">
          <reference field="0" count="1" selected="0">
            <x v="153"/>
          </reference>
          <reference field="1" count="1" selected="0">
            <x v="146"/>
          </reference>
          <reference field="2" count="1" selected="0">
            <x v="54"/>
          </reference>
          <reference field="3" count="1" selected="0">
            <x v="0"/>
          </reference>
          <reference field="12" count="1" selected="0">
            <x v="14"/>
          </reference>
          <reference field="13" count="1" selected="0">
            <x v="0"/>
          </reference>
          <reference field="14" count="1">
            <x v="18"/>
          </reference>
        </references>
      </pivotArea>
    </format>
    <format dxfId="576">
      <pivotArea dataOnly="0" labelOnly="1" fieldPosition="0">
        <references count="7">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x v="51"/>
          </reference>
        </references>
      </pivotArea>
    </format>
    <format dxfId="575">
      <pivotArea dataOnly="0" labelOnly="1" fieldPosition="0">
        <references count="7">
          <reference field="0" count="1" selected="0">
            <x v="160"/>
          </reference>
          <reference field="1" count="1" selected="0">
            <x v="184"/>
          </reference>
          <reference field="2" count="1" selected="0">
            <x v="187"/>
          </reference>
          <reference field="3" count="1" selected="0">
            <x v="0"/>
          </reference>
          <reference field="12" count="1" selected="0">
            <x v="7"/>
          </reference>
          <reference field="13" count="1" selected="0">
            <x v="0"/>
          </reference>
          <reference field="14" count="1">
            <x v="52"/>
          </reference>
        </references>
      </pivotArea>
    </format>
    <format dxfId="574">
      <pivotArea dataOnly="0" labelOnly="1" fieldPosition="0">
        <references count="7">
          <reference field="0" count="1" selected="0">
            <x v="162"/>
          </reference>
          <reference field="1" count="1" selected="0">
            <x v="186"/>
          </reference>
          <reference field="2" count="1" selected="0">
            <x v="125"/>
          </reference>
          <reference field="3" count="1" selected="0">
            <x v="0"/>
          </reference>
          <reference field="12" count="1" selected="0">
            <x v="10"/>
          </reference>
          <reference field="13" count="1" selected="0">
            <x v="0"/>
          </reference>
          <reference field="14" count="1">
            <x v="65"/>
          </reference>
        </references>
      </pivotArea>
    </format>
    <format dxfId="573">
      <pivotArea dataOnly="0" labelOnly="1" fieldPosition="0">
        <references count="7">
          <reference field="0" count="1" selected="0">
            <x v="164"/>
          </reference>
          <reference field="1" count="1" selected="0">
            <x v="188"/>
          </reference>
          <reference field="2" count="1" selected="0">
            <x v="119"/>
          </reference>
          <reference field="3" count="1" selected="0">
            <x v="0"/>
          </reference>
          <reference field="12" count="1" selected="0">
            <x v="13"/>
          </reference>
          <reference field="13" count="1" selected="0">
            <x v="0"/>
          </reference>
          <reference field="14" count="1">
            <x v="26"/>
          </reference>
        </references>
      </pivotArea>
    </format>
    <format dxfId="572">
      <pivotArea dataOnly="0" labelOnly="1" fieldPosition="0">
        <references count="7">
          <reference field="0" count="1" selected="0">
            <x v="165"/>
          </reference>
          <reference field="1" count="1" selected="0">
            <x v="189"/>
          </reference>
          <reference field="2" count="1" selected="0">
            <x v="156"/>
          </reference>
          <reference field="3" count="1" selected="0">
            <x v="0"/>
          </reference>
          <reference field="12" count="1" selected="0">
            <x v="13"/>
          </reference>
          <reference field="13" count="1" selected="0">
            <x v="0"/>
          </reference>
          <reference field="14" count="1">
            <x v="21"/>
          </reference>
        </references>
      </pivotArea>
    </format>
    <format dxfId="571">
      <pivotArea dataOnly="0" labelOnly="1" fieldPosition="0">
        <references count="7">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x v="7"/>
          </reference>
        </references>
      </pivotArea>
    </format>
    <format dxfId="570">
      <pivotArea dataOnly="0" labelOnly="1" fieldPosition="0">
        <references count="7">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x v="52"/>
          </reference>
        </references>
      </pivotArea>
    </format>
    <format dxfId="569">
      <pivotArea dataOnly="0" labelOnly="1" fieldPosition="0">
        <references count="7">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x v="8"/>
          </reference>
        </references>
      </pivotArea>
    </format>
    <format dxfId="568">
      <pivotArea dataOnly="0" labelOnly="1" fieldPosition="0">
        <references count="7">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x v="20"/>
          </reference>
        </references>
      </pivotArea>
    </format>
    <format dxfId="567">
      <pivotArea dataOnly="0" labelOnly="1" fieldPosition="0">
        <references count="7">
          <reference field="0" count="1" selected="0">
            <x v="175"/>
          </reference>
          <reference field="1" count="1" selected="0">
            <x v="207"/>
          </reference>
          <reference field="2" count="1" selected="0">
            <x v="172"/>
          </reference>
          <reference field="3" count="1" selected="0">
            <x v="0"/>
          </reference>
          <reference field="12" count="1" selected="0">
            <x v="21"/>
          </reference>
          <reference field="13" count="1" selected="0">
            <x v="0"/>
          </reference>
          <reference field="14" count="1">
            <x v="26"/>
          </reference>
        </references>
      </pivotArea>
    </format>
    <format dxfId="566">
      <pivotArea dataOnly="0" labelOnly="1" fieldPosition="0">
        <references count="7">
          <reference field="0" count="1" selected="0">
            <x v="177"/>
          </reference>
          <reference field="1" count="1" selected="0">
            <x v="209"/>
          </reference>
          <reference field="2" count="1" selected="0">
            <x v="114"/>
          </reference>
          <reference field="3" count="1" selected="0">
            <x v="0"/>
          </reference>
          <reference field="12" count="1" selected="0">
            <x v="20"/>
          </reference>
          <reference field="13" count="1" selected="0">
            <x v="0"/>
          </reference>
          <reference field="14" count="1">
            <x v="27"/>
          </reference>
        </references>
      </pivotArea>
    </format>
    <format dxfId="565">
      <pivotArea dataOnly="0" labelOnly="1" fieldPosition="0">
        <references count="7">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x v="26"/>
          </reference>
        </references>
      </pivotArea>
    </format>
    <format dxfId="564">
      <pivotArea dataOnly="0" labelOnly="1" fieldPosition="0">
        <references count="7">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x v="32"/>
          </reference>
        </references>
      </pivotArea>
    </format>
    <format dxfId="563">
      <pivotArea dataOnly="0" labelOnly="1" fieldPosition="0">
        <references count="7">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x v="38"/>
          </reference>
        </references>
      </pivotArea>
    </format>
    <format dxfId="562">
      <pivotArea dataOnly="0" labelOnly="1" fieldPosition="0">
        <references count="7">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x v="44"/>
          </reference>
        </references>
      </pivotArea>
    </format>
    <format dxfId="561">
      <pivotArea dataOnly="0" labelOnly="1" fieldPosition="0">
        <references count="7">
          <reference field="0" count="1" selected="0">
            <x v="185"/>
          </reference>
          <reference field="1" count="1" selected="0">
            <x v="217"/>
          </reference>
          <reference field="2" count="1" selected="0">
            <x v="113"/>
          </reference>
          <reference field="3" count="1" selected="0">
            <x v="0"/>
          </reference>
          <reference field="12" count="1" selected="0">
            <x v="12"/>
          </reference>
          <reference field="13" count="1" selected="0">
            <x v="0"/>
          </reference>
          <reference field="14" count="1">
            <x v="45"/>
          </reference>
        </references>
      </pivotArea>
    </format>
    <format dxfId="560">
      <pivotArea dataOnly="0" labelOnly="1" fieldPosition="0">
        <references count="7">
          <reference field="0" count="1" selected="0">
            <x v="186"/>
          </reference>
          <reference field="1" count="1" selected="0">
            <x v="218"/>
          </reference>
          <reference field="2" count="1" selected="0">
            <x v="93"/>
          </reference>
          <reference field="3" count="1" selected="0">
            <x v="0"/>
          </reference>
          <reference field="12" count="1" selected="0">
            <x v="12"/>
          </reference>
          <reference field="13" count="1" selected="0">
            <x v="2"/>
          </reference>
          <reference field="14" count="1">
            <x v="42"/>
          </reference>
        </references>
      </pivotArea>
    </format>
    <format dxfId="559">
      <pivotArea dataOnly="0" labelOnly="1" fieldPosition="0">
        <references count="7">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x v="46"/>
          </reference>
        </references>
      </pivotArea>
    </format>
    <format dxfId="558">
      <pivotArea dataOnly="0" labelOnly="1" fieldPosition="0">
        <references count="7">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x v="63"/>
          </reference>
        </references>
      </pivotArea>
    </format>
    <format dxfId="557">
      <pivotArea dataOnly="0" labelOnly="1" fieldPosition="0">
        <references count="7">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x v="38"/>
          </reference>
        </references>
      </pivotArea>
    </format>
    <format dxfId="556">
      <pivotArea dataOnly="0" labelOnly="1" fieldPosition="0">
        <references count="7">
          <reference field="0" count="1" selected="0">
            <x v="193"/>
          </reference>
          <reference field="1" count="1" selected="0">
            <x v="225"/>
          </reference>
          <reference field="2" count="1" selected="0">
            <x v="238"/>
          </reference>
          <reference field="3" count="1" selected="0">
            <x v="0"/>
          </reference>
          <reference field="12" count="1" selected="0">
            <x v="7"/>
          </reference>
          <reference field="13" count="1" selected="0">
            <x v="0"/>
          </reference>
          <reference field="14" count="1">
            <x v="0"/>
          </reference>
        </references>
      </pivotArea>
    </format>
    <format dxfId="555">
      <pivotArea dataOnly="0" labelOnly="1" fieldPosition="0">
        <references count="7">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x v="20"/>
          </reference>
        </references>
      </pivotArea>
    </format>
    <format dxfId="554">
      <pivotArea dataOnly="0" labelOnly="1" fieldPosition="0">
        <references count="7">
          <reference field="0" count="1" selected="0">
            <x v="200"/>
          </reference>
          <reference field="1" count="1" selected="0">
            <x v="239"/>
          </reference>
          <reference field="2" count="1" selected="0">
            <x v="34"/>
          </reference>
          <reference field="3" count="1" selected="0">
            <x v="0"/>
          </reference>
          <reference field="12" count="1" selected="0">
            <x v="20"/>
          </reference>
          <reference field="13" count="1" selected="0">
            <x v="0"/>
          </reference>
          <reference field="14" count="1">
            <x v="0"/>
          </reference>
        </references>
      </pivotArea>
    </format>
    <format dxfId="553">
      <pivotArea dataOnly="0" labelOnly="1" fieldPosition="0">
        <references count="7">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x v="39"/>
          </reference>
        </references>
      </pivotArea>
    </format>
    <format dxfId="552">
      <pivotArea dataOnly="0" labelOnly="1" fieldPosition="0">
        <references count="7">
          <reference field="0" count="1" selected="0">
            <x v="206"/>
          </reference>
          <reference field="1" count="1" selected="0">
            <x v="151"/>
          </reference>
          <reference field="2" count="1" selected="0">
            <x v="159"/>
          </reference>
          <reference field="3" count="1" selected="0">
            <x v="0"/>
          </reference>
          <reference field="12" count="1" selected="0">
            <x v="12"/>
          </reference>
          <reference field="13" count="1" selected="0">
            <x v="5"/>
          </reference>
          <reference field="14" count="1">
            <x v="38"/>
          </reference>
        </references>
      </pivotArea>
    </format>
    <format dxfId="551">
      <pivotArea dataOnly="0" labelOnly="1" fieldPosition="0">
        <references count="7">
          <reference field="0" count="1" selected="0">
            <x v="208"/>
          </reference>
          <reference field="1" count="1" selected="0">
            <x v="153"/>
          </reference>
          <reference field="2" count="1" selected="0">
            <x v="103"/>
          </reference>
          <reference field="3" count="1" selected="0">
            <x v="0"/>
          </reference>
          <reference field="12" count="1" selected="0">
            <x v="14"/>
          </reference>
          <reference field="13" count="1" selected="0">
            <x v="16"/>
          </reference>
          <reference field="14" count="1">
            <x v="29"/>
          </reference>
        </references>
      </pivotArea>
    </format>
    <format dxfId="550">
      <pivotArea dataOnly="0" labelOnly="1" fieldPosition="0">
        <references count="7">
          <reference field="0" count="1" selected="0">
            <x v="209"/>
          </reference>
          <reference field="1" count="1" selected="0">
            <x v="154"/>
          </reference>
          <reference field="2" count="1" selected="0">
            <x v="98"/>
          </reference>
          <reference field="3" count="1" selected="0">
            <x v="0"/>
          </reference>
          <reference field="12" count="1" selected="0">
            <x v="14"/>
          </reference>
          <reference field="13" count="1" selected="0">
            <x v="17"/>
          </reference>
          <reference field="14" count="1">
            <x v="31"/>
          </reference>
        </references>
      </pivotArea>
    </format>
    <format dxfId="549">
      <pivotArea dataOnly="0" labelOnly="1" fieldPosition="0">
        <references count="7">
          <reference field="0" count="1" selected="0">
            <x v="210"/>
          </reference>
          <reference field="1" count="1" selected="0">
            <x v="155"/>
          </reference>
          <reference field="2" count="1" selected="0">
            <x v="162"/>
          </reference>
          <reference field="3" count="1" selected="0">
            <x v="0"/>
          </reference>
          <reference field="12" count="1" selected="0">
            <x v="7"/>
          </reference>
          <reference field="13" count="1" selected="0">
            <x v="2"/>
          </reference>
          <reference field="14" count="1">
            <x v="0"/>
          </reference>
        </references>
      </pivotArea>
    </format>
    <format dxfId="548">
      <pivotArea dataOnly="0" labelOnly="1" fieldPosition="0">
        <references count="7">
          <reference field="0" count="1" selected="0">
            <x v="214"/>
          </reference>
          <reference field="1" count="1" selected="0">
            <x v="159"/>
          </reference>
          <reference field="2" count="1" selected="0">
            <x v="139"/>
          </reference>
          <reference field="3" count="1" selected="0">
            <x v="0"/>
          </reference>
          <reference field="12" count="1" selected="0">
            <x v="10"/>
          </reference>
          <reference field="13" count="1" selected="0">
            <x v="15"/>
          </reference>
          <reference field="14" count="1">
            <x v="66"/>
          </reference>
        </references>
      </pivotArea>
    </format>
    <format dxfId="547">
      <pivotArea dataOnly="0" labelOnly="1" fieldPosition="0">
        <references count="7">
          <reference field="0" count="1" selected="0">
            <x v="218"/>
          </reference>
          <reference field="1" count="1" selected="0">
            <x v="163"/>
          </reference>
          <reference field="2" count="1" selected="0">
            <x v="179"/>
          </reference>
          <reference field="3" count="1" selected="0">
            <x v="0"/>
          </reference>
          <reference field="12" count="1" selected="0">
            <x v="10"/>
          </reference>
          <reference field="13" count="1" selected="0">
            <x v="10"/>
          </reference>
          <reference field="14" count="1">
            <x v="0"/>
          </reference>
        </references>
      </pivotArea>
    </format>
    <format dxfId="546">
      <pivotArea dataOnly="0" labelOnly="1" fieldPosition="0">
        <references count="7">
          <reference field="0" count="1" selected="0">
            <x v="220"/>
          </reference>
          <reference field="1" count="1" selected="0">
            <x v="165"/>
          </reference>
          <reference field="2" count="1" selected="0">
            <x v="142"/>
          </reference>
          <reference field="3" count="1" selected="0">
            <x v="0"/>
          </reference>
          <reference field="12" count="1" selected="0">
            <x v="11"/>
          </reference>
          <reference field="13" count="1" selected="0">
            <x v="12"/>
          </reference>
          <reference field="14" count="1">
            <x v="57"/>
          </reference>
        </references>
      </pivotArea>
    </format>
    <format dxfId="545">
      <pivotArea dataOnly="0" labelOnly="1" fieldPosition="0">
        <references count="7">
          <reference field="0" count="1" selected="0">
            <x v="221"/>
          </reference>
          <reference field="1" count="1" selected="0">
            <x v="166"/>
          </reference>
          <reference field="2" count="1" selected="0">
            <x v="143"/>
          </reference>
          <reference field="3" count="1" selected="0">
            <x v="0"/>
          </reference>
          <reference field="12" count="1" selected="0">
            <x v="10"/>
          </reference>
          <reference field="13" count="1" selected="0">
            <x v="9"/>
          </reference>
          <reference field="14" count="1">
            <x v="60"/>
          </reference>
        </references>
      </pivotArea>
    </format>
    <format dxfId="544">
      <pivotArea dataOnly="0" labelOnly="1" fieldPosition="0">
        <references count="7">
          <reference field="0" count="1" selected="0">
            <x v="223"/>
          </reference>
          <reference field="1" count="1" selected="0">
            <x v="168"/>
          </reference>
          <reference field="2" count="1" selected="0">
            <x v="71"/>
          </reference>
          <reference field="3" count="1" selected="0">
            <x v="0"/>
          </reference>
          <reference field="12" count="1" selected="0">
            <x v="24"/>
          </reference>
          <reference field="13" count="1" selected="0">
            <x v="7"/>
          </reference>
          <reference field="14" count="1">
            <x v="0"/>
          </reference>
        </references>
      </pivotArea>
    </format>
    <format dxfId="543">
      <pivotArea dataOnly="0" labelOnly="1" fieldPosition="0">
        <references count="7">
          <reference field="0" count="1" selected="0">
            <x v="224"/>
          </reference>
          <reference field="1" count="1" selected="0">
            <x v="169"/>
          </reference>
          <reference field="2" count="1" selected="0">
            <x v="121"/>
          </reference>
          <reference field="3" count="1" selected="0">
            <x v="0"/>
          </reference>
          <reference field="12" count="1" selected="0">
            <x v="23"/>
          </reference>
          <reference field="13" count="1" selected="0">
            <x v="1"/>
          </reference>
          <reference field="14" count="1">
            <x v="18"/>
          </reference>
        </references>
      </pivotArea>
    </format>
    <format dxfId="542">
      <pivotArea dataOnly="0" labelOnly="1" fieldPosition="0">
        <references count="7">
          <reference field="0" count="1" selected="0">
            <x v="228"/>
          </reference>
          <reference field="1" count="1" selected="0">
            <x v="173"/>
          </reference>
          <reference field="2" count="1" selected="0">
            <x v="145"/>
          </reference>
          <reference field="3" count="1" selected="0">
            <x v="0"/>
          </reference>
          <reference field="12" count="1" selected="0">
            <x v="3"/>
          </reference>
          <reference field="13" count="1" selected="0">
            <x v="21"/>
          </reference>
          <reference field="14" count="1">
            <x v="38"/>
          </reference>
        </references>
      </pivotArea>
    </format>
    <format dxfId="541">
      <pivotArea dataOnly="0" labelOnly="1" fieldPosition="0">
        <references count="7">
          <reference field="0" count="1" selected="0">
            <x v="229"/>
          </reference>
          <reference field="1" count="1" selected="0">
            <x v="174"/>
          </reference>
          <reference field="2" count="1" selected="0">
            <x v="91"/>
          </reference>
          <reference field="3" count="1" selected="0">
            <x v="0"/>
          </reference>
          <reference field="12" count="1" selected="0">
            <x v="3"/>
          </reference>
          <reference field="13" count="1" selected="0">
            <x v="18"/>
          </reference>
          <reference field="14" count="1">
            <x v="34"/>
          </reference>
        </references>
      </pivotArea>
    </format>
    <format dxfId="540">
      <pivotArea dataOnly="0" labelOnly="1" fieldPosition="0">
        <references count="7">
          <reference field="0" count="1" selected="0">
            <x v="230"/>
          </reference>
          <reference field="1" count="1" selected="0">
            <x v="175"/>
          </reference>
          <reference field="2" count="1" selected="0">
            <x v="160"/>
          </reference>
          <reference field="3" count="1" selected="0">
            <x v="0"/>
          </reference>
          <reference field="12" count="1" selected="0">
            <x v="3"/>
          </reference>
          <reference field="13" count="1" selected="0">
            <x v="18"/>
          </reference>
          <reference field="14" count="1">
            <x v="36"/>
          </reference>
        </references>
      </pivotArea>
    </format>
    <format dxfId="539">
      <pivotArea dataOnly="0" labelOnly="1" fieldPosition="0">
        <references count="7">
          <reference field="0" count="1" selected="0">
            <x v="231"/>
          </reference>
          <reference field="1" count="1" selected="0">
            <x v="176"/>
          </reference>
          <reference field="2" count="1" selected="0">
            <x v="42"/>
          </reference>
          <reference field="3" count="1" selected="0">
            <x v="0"/>
          </reference>
          <reference field="12" count="1" selected="0">
            <x v="3"/>
          </reference>
          <reference field="13" count="1" selected="0">
            <x v="20"/>
          </reference>
          <reference field="14" count="1">
            <x v="38"/>
          </reference>
        </references>
      </pivotArea>
    </format>
    <format dxfId="538">
      <pivotArea dataOnly="0" labelOnly="1" fieldPosition="0">
        <references count="7">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x v="67"/>
          </reference>
        </references>
      </pivotArea>
    </format>
    <format dxfId="537">
      <pivotArea dataOnly="0" labelOnly="1" fieldPosition="0">
        <references count="7">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x v="38"/>
          </reference>
        </references>
      </pivotArea>
    </format>
    <format dxfId="536">
      <pivotArea dataOnly="0" labelOnly="1" fieldPosition="0">
        <references count="7">
          <reference field="0" count="1" selected="0">
            <x v="238"/>
          </reference>
          <reference field="1" count="1" selected="0">
            <x v="194"/>
          </reference>
          <reference field="2" count="1" selected="0">
            <x v="25"/>
          </reference>
          <reference field="3" count="1" selected="0">
            <x v="0"/>
          </reference>
          <reference field="12" count="1" selected="0">
            <x v="0"/>
          </reference>
          <reference field="13" count="1" selected="0">
            <x v="0"/>
          </reference>
          <reference field="14" count="1">
            <x v="0"/>
          </reference>
        </references>
      </pivotArea>
    </format>
    <format dxfId="535">
      <pivotArea dataOnly="0" labelOnly="1" fieldPosition="0">
        <references count="8">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selected="0">
            <x v="38"/>
          </reference>
          <reference field="15" count="1">
            <x v="15"/>
          </reference>
        </references>
      </pivotArea>
    </format>
    <format dxfId="534">
      <pivotArea dataOnly="0" labelOnly="1" fieldPosition="0">
        <references count="8">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selected="0">
            <x v="0"/>
          </reference>
          <reference field="15" count="1">
            <x v="14"/>
          </reference>
        </references>
      </pivotArea>
    </format>
    <format dxfId="533">
      <pivotArea dataOnly="0" labelOnly="1" fieldPosition="0">
        <references count="8">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selected="0">
            <x v="35"/>
          </reference>
          <reference field="15" count="1">
            <x v="43"/>
          </reference>
        </references>
      </pivotArea>
    </format>
    <format dxfId="532">
      <pivotArea dataOnly="0" labelOnly="1" fieldPosition="0">
        <references count="8">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selected="0">
            <x v="38"/>
          </reference>
          <reference field="15" count="1">
            <x v="15"/>
          </reference>
        </references>
      </pivotArea>
    </format>
    <format dxfId="531">
      <pivotArea dataOnly="0" labelOnly="1" fieldPosition="0">
        <references count="8">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selected="0">
            <x v="28"/>
          </reference>
          <reference field="15" count="1">
            <x v="0"/>
          </reference>
        </references>
      </pivotArea>
    </format>
    <format dxfId="530">
      <pivotArea dataOnly="0" labelOnly="1" fieldPosition="0">
        <references count="8">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selected="0">
            <x v="40"/>
          </reference>
          <reference field="15" count="1">
            <x v="15"/>
          </reference>
        </references>
      </pivotArea>
    </format>
    <format dxfId="529">
      <pivotArea dataOnly="0" labelOnly="1" fieldPosition="0">
        <references count="8">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selected="0">
            <x v="38"/>
          </reference>
          <reference field="15" count="1">
            <x v="14"/>
          </reference>
        </references>
      </pivotArea>
    </format>
    <format dxfId="528">
      <pivotArea dataOnly="0" labelOnly="1" fieldPosition="0">
        <references count="8">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selected="0">
            <x v="1"/>
          </reference>
          <reference field="15" count="1">
            <x v="21"/>
          </reference>
        </references>
      </pivotArea>
    </format>
    <format dxfId="527">
      <pivotArea dataOnly="0" labelOnly="1" fieldPosition="0">
        <references count="8">
          <reference field="0" count="1" selected="0">
            <x v="26"/>
          </reference>
          <reference field="1" count="1" selected="0">
            <x v="23"/>
          </reference>
          <reference field="2" count="1" selected="0">
            <x v="217"/>
          </reference>
          <reference field="3" count="1" selected="0">
            <x v="0"/>
          </reference>
          <reference field="12" count="1" selected="0">
            <x v="5"/>
          </reference>
          <reference field="13" count="1" selected="0">
            <x v="0"/>
          </reference>
          <reference field="14" count="1" selected="0">
            <x v="1"/>
          </reference>
          <reference field="15" count="1">
            <x v="45"/>
          </reference>
        </references>
      </pivotArea>
    </format>
    <format dxfId="526">
      <pivotArea dataOnly="0" labelOnly="1" fieldPosition="0">
        <references count="8">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selected="0">
            <x v="3"/>
          </reference>
          <reference field="15" count="1">
            <x v="0"/>
          </reference>
        </references>
      </pivotArea>
    </format>
    <format dxfId="525">
      <pivotArea dataOnly="0" labelOnly="1" fieldPosition="0">
        <references count="8">
          <reference field="0" count="1" selected="0">
            <x v="29"/>
          </reference>
          <reference field="1" count="1" selected="0">
            <x v="26"/>
          </reference>
          <reference field="2" count="1" selected="0">
            <x v="62"/>
          </reference>
          <reference field="3" count="1" selected="0">
            <x v="0"/>
          </reference>
          <reference field="12" count="1" selected="0">
            <x v="15"/>
          </reference>
          <reference field="13" count="1" selected="0">
            <x v="0"/>
          </reference>
          <reference field="14" count="1" selected="0">
            <x v="19"/>
          </reference>
          <reference field="15" count="1">
            <x v="12"/>
          </reference>
        </references>
      </pivotArea>
    </format>
    <format dxfId="524">
      <pivotArea dataOnly="0" labelOnly="1" fieldPosition="0">
        <references count="8">
          <reference field="0" count="1" selected="0">
            <x v="30"/>
          </reference>
          <reference field="1" count="1" selected="0">
            <x v="27"/>
          </reference>
          <reference field="2" count="1" selected="0">
            <x v="7"/>
          </reference>
          <reference field="3" count="1" selected="0">
            <x v="0"/>
          </reference>
          <reference field="12" count="1" selected="0">
            <x v="15"/>
          </reference>
          <reference field="13" count="1" selected="0">
            <x v="0"/>
          </reference>
          <reference field="14" count="1" selected="0">
            <x v="13"/>
          </reference>
          <reference field="15" count="1">
            <x v="11"/>
          </reference>
        </references>
      </pivotArea>
    </format>
    <format dxfId="523">
      <pivotArea dataOnly="0" labelOnly="1" fieldPosition="0">
        <references count="8">
          <reference field="0" count="1" selected="0">
            <x v="31"/>
          </reference>
          <reference field="1" count="1" selected="0">
            <x v="28"/>
          </reference>
          <reference field="2" count="1" selected="0">
            <x v="53"/>
          </reference>
          <reference field="3" count="1" selected="0">
            <x v="0"/>
          </reference>
          <reference field="12" count="1" selected="0">
            <x v="7"/>
          </reference>
          <reference field="13" count="1" selected="0">
            <x v="0"/>
          </reference>
          <reference field="14" count="1" selected="0">
            <x v="15"/>
          </reference>
          <reference field="15" count="1">
            <x v="0"/>
          </reference>
        </references>
      </pivotArea>
    </format>
    <format dxfId="522">
      <pivotArea dataOnly="0" labelOnly="1" fieldPosition="0">
        <references count="8">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selected="0">
            <x v="61"/>
          </reference>
          <reference field="15" count="1">
            <x v="23"/>
          </reference>
        </references>
      </pivotArea>
    </format>
    <format dxfId="521">
      <pivotArea dataOnly="0" labelOnly="1" fieldPosition="0">
        <references count="8">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selected="0">
            <x v="62"/>
          </reference>
          <reference field="15" count="1">
            <x v="16"/>
          </reference>
        </references>
      </pivotArea>
    </format>
    <format dxfId="520">
      <pivotArea dataOnly="0" labelOnly="1" fieldPosition="0">
        <references count="8">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selected="0">
            <x v="56"/>
          </reference>
          <reference field="15" count="1">
            <x v="0"/>
          </reference>
        </references>
      </pivotArea>
    </format>
    <format dxfId="519">
      <pivotArea dataOnly="0" labelOnly="1" fieldPosition="0">
        <references count="8">
          <reference field="0" count="1" selected="0">
            <x v="44"/>
          </reference>
          <reference field="1" count="1" selected="0">
            <x v="6"/>
          </reference>
          <reference field="2" count="1" selected="0">
            <x v="23"/>
          </reference>
          <reference field="3" count="1" selected="0">
            <x v="0"/>
          </reference>
          <reference field="12" count="1" selected="0">
            <x v="10"/>
          </reference>
          <reference field="13" count="1" selected="0">
            <x v="0"/>
          </reference>
          <reference field="14" count="1" selected="0">
            <x v="56"/>
          </reference>
          <reference field="15" count="1">
            <x v="16"/>
          </reference>
        </references>
      </pivotArea>
    </format>
    <format dxfId="518">
      <pivotArea dataOnly="0" labelOnly="1" fieldPosition="0">
        <references count="8">
          <reference field="0" count="1" selected="0">
            <x v="47"/>
          </reference>
          <reference field="1" count="1" selected="0">
            <x v="9"/>
          </reference>
          <reference field="2" count="1" selected="0">
            <x v="141"/>
          </reference>
          <reference field="3" count="1" selected="0">
            <x v="0"/>
          </reference>
          <reference field="12" count="1" selected="0">
            <x v="10"/>
          </reference>
          <reference field="13" count="1" selected="0">
            <x v="0"/>
          </reference>
          <reference field="14" count="1" selected="0">
            <x v="56"/>
          </reference>
          <reference field="15" count="1">
            <x v="22"/>
          </reference>
        </references>
      </pivotArea>
    </format>
    <format dxfId="517">
      <pivotArea dataOnly="0" labelOnly="1" fieldPosition="0">
        <references count="8">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selected="0">
            <x v="66"/>
          </reference>
          <reference field="15" count="1">
            <x v="17"/>
          </reference>
        </references>
      </pivotArea>
    </format>
    <format dxfId="516">
      <pivotArea dataOnly="0" labelOnly="1" fieldPosition="0">
        <references count="8">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selected="0">
            <x v="34"/>
          </reference>
          <reference field="15" count="1">
            <x v="43"/>
          </reference>
        </references>
      </pivotArea>
    </format>
    <format dxfId="515">
      <pivotArea dataOnly="0" labelOnly="1" fieldPosition="0">
        <references count="8">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selected="0">
            <x v="14"/>
          </reference>
          <reference field="15" count="1">
            <x v="40"/>
          </reference>
        </references>
      </pivotArea>
    </format>
    <format dxfId="514">
      <pivotArea dataOnly="0" labelOnly="1" fieldPosition="0">
        <references count="8">
          <reference field="0" count="1" selected="0">
            <x v="67"/>
          </reference>
          <reference field="1" count="1" selected="0">
            <x v="47"/>
          </reference>
          <reference field="2" count="1" selected="0">
            <x v="181"/>
          </reference>
          <reference field="3" count="1" selected="0">
            <x v="0"/>
          </reference>
          <reference field="12" count="1" selected="0">
            <x v="3"/>
          </reference>
          <reference field="13" count="1" selected="0">
            <x v="0"/>
          </reference>
          <reference field="14" count="1" selected="0">
            <x v="14"/>
          </reference>
          <reference field="15" count="1">
            <x v="41"/>
          </reference>
        </references>
      </pivotArea>
    </format>
    <format dxfId="513">
      <pivotArea dataOnly="0" labelOnly="1" fieldPosition="0">
        <references count="8">
          <reference field="0" count="1" selected="0">
            <x v="68"/>
          </reference>
          <reference field="1" count="1" selected="0">
            <x v="48"/>
          </reference>
          <reference field="2" count="1" selected="0">
            <x v="231"/>
          </reference>
          <reference field="3" count="1" selected="0">
            <x v="0"/>
          </reference>
          <reference field="12" count="1" selected="0">
            <x v="3"/>
          </reference>
          <reference field="13" count="1" selected="0">
            <x v="0"/>
          </reference>
          <reference field="14" count="1" selected="0">
            <x v="14"/>
          </reference>
          <reference field="15" count="1">
            <x v="0"/>
          </reference>
        </references>
      </pivotArea>
    </format>
    <format dxfId="512">
      <pivotArea dataOnly="0" labelOnly="1" fieldPosition="0">
        <references count="8">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selected="0">
            <x v="0"/>
          </reference>
          <reference field="15" count="1">
            <x v="20"/>
          </reference>
        </references>
      </pivotArea>
    </format>
    <format dxfId="511">
      <pivotArea dataOnly="0" labelOnly="1" fieldPosition="0">
        <references count="8">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selected="0">
            <x v="4"/>
          </reference>
          <reference field="15" count="1">
            <x v="29"/>
          </reference>
        </references>
      </pivotArea>
    </format>
    <format dxfId="510">
      <pivotArea dataOnly="0" labelOnly="1" fieldPosition="0">
        <references count="8">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selected="0">
            <x v="53"/>
          </reference>
          <reference field="15" count="1">
            <x v="26"/>
          </reference>
        </references>
      </pivotArea>
    </format>
    <format dxfId="509">
      <pivotArea dataOnly="0" labelOnly="1" fieldPosition="0">
        <references count="8">
          <reference field="0" count="1" selected="0">
            <x v="86"/>
          </reference>
          <reference field="1" count="1" selected="0">
            <x v="73"/>
          </reference>
          <reference field="2" count="1" selected="0">
            <x v="154"/>
          </reference>
          <reference field="3" count="1" selected="0">
            <x v="0"/>
          </reference>
          <reference field="12" count="1" selected="0">
            <x v="7"/>
          </reference>
          <reference field="13" count="1" selected="0">
            <x v="0"/>
          </reference>
          <reference field="14" count="1" selected="0">
            <x v="53"/>
          </reference>
          <reference field="15" count="1">
            <x v="0"/>
          </reference>
        </references>
      </pivotArea>
    </format>
    <format dxfId="508">
      <pivotArea dataOnly="0" labelOnly="1" fieldPosition="0">
        <references count="8">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selected="0">
            <x v="25"/>
          </reference>
          <reference field="15" count="1">
            <x v="29"/>
          </reference>
        </references>
      </pivotArea>
    </format>
    <format dxfId="507">
      <pivotArea dataOnly="0" labelOnly="1" fieldPosition="0">
        <references count="8">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selected="0">
            <x v="0"/>
          </reference>
          <reference field="15" count="1">
            <x v="0"/>
          </reference>
        </references>
      </pivotArea>
    </format>
    <format dxfId="506">
      <pivotArea dataOnly="0" labelOnly="1" fieldPosition="0">
        <references count="8">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505">
      <pivotArea dataOnly="0" labelOnly="1" fieldPosition="0">
        <references count="8">
          <reference field="0" count="1" selected="0">
            <x v="99"/>
          </reference>
          <reference field="1" count="1" selected="0">
            <x v="86"/>
          </reference>
          <reference field="2" count="1" selected="0">
            <x v="66"/>
          </reference>
          <reference field="3" count="1" selected="0">
            <x v="0"/>
          </reference>
          <reference field="12" count="1" selected="0">
            <x v="3"/>
          </reference>
          <reference field="13" count="1" selected="0">
            <x v="0"/>
          </reference>
          <reference field="14" count="1" selected="0">
            <x v="16"/>
          </reference>
          <reference field="15" count="1">
            <x v="28"/>
          </reference>
        </references>
      </pivotArea>
    </format>
    <format dxfId="504">
      <pivotArea dataOnly="0" labelOnly="1" fieldPosition="0">
        <references count="8">
          <reference field="0" count="1" selected="0">
            <x v="100"/>
          </reference>
          <reference field="1" count="1" selected="0">
            <x v="87"/>
          </reference>
          <reference field="2" count="1" selected="0">
            <x v="75"/>
          </reference>
          <reference field="3" count="1" selected="0">
            <x v="0"/>
          </reference>
          <reference field="12" count="1" selected="0">
            <x v="3"/>
          </reference>
          <reference field="13" count="1" selected="0">
            <x v="0"/>
          </reference>
          <reference field="14" count="1" selected="0">
            <x v="16"/>
          </reference>
          <reference field="15" count="1">
            <x v="26"/>
          </reference>
        </references>
      </pivotArea>
    </format>
    <format dxfId="503">
      <pivotArea dataOnly="0" labelOnly="1" fieldPosition="0">
        <references count="8">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selected="0">
            <x v="6"/>
          </reference>
          <reference field="15" count="1">
            <x v="0"/>
          </reference>
        </references>
      </pivotArea>
    </format>
    <format dxfId="502">
      <pivotArea dataOnly="0" labelOnly="1" fieldPosition="0">
        <references count="8">
          <reference field="0" count="1" selected="0">
            <x v="103"/>
          </reference>
          <reference field="1" count="1" selected="0">
            <x v="90"/>
          </reference>
          <reference field="2" count="1" selected="0">
            <x v="73"/>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501">
      <pivotArea dataOnly="0" labelOnly="1" fieldPosition="0">
        <references count="8">
          <reference field="0" count="1" selected="0">
            <x v="105"/>
          </reference>
          <reference field="1" count="1" selected="0">
            <x v="92"/>
          </reference>
          <reference field="2" count="1" selected="0">
            <x v="134"/>
          </reference>
          <reference field="3" count="1" selected="0">
            <x v="0"/>
          </reference>
          <reference field="12" count="1" selected="0">
            <x v="7"/>
          </reference>
          <reference field="13" count="1" selected="0">
            <x v="0"/>
          </reference>
          <reference field="14" count="1" selected="0">
            <x v="16"/>
          </reference>
          <reference field="15" count="1">
            <x v="0"/>
          </reference>
        </references>
      </pivotArea>
    </format>
    <format dxfId="500">
      <pivotArea dataOnly="0" labelOnly="1" fieldPosition="0">
        <references count="8">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selected="0">
            <x v="54"/>
          </reference>
          <reference field="15" count="1">
            <x v="30"/>
          </reference>
        </references>
      </pivotArea>
    </format>
    <format dxfId="499">
      <pivotArea dataOnly="0" labelOnly="1" fieldPosition="0">
        <references count="8">
          <reference field="0" count="1" selected="0">
            <x v="108"/>
          </reference>
          <reference field="1" count="1" selected="0">
            <x v="95"/>
          </reference>
          <reference field="2" count="1" selected="0">
            <x v="236"/>
          </reference>
          <reference field="3" count="1" selected="0">
            <x v="0"/>
          </reference>
          <reference field="12" count="1" selected="0">
            <x v="7"/>
          </reference>
          <reference field="13" count="1" selected="0">
            <x v="0"/>
          </reference>
          <reference field="14" count="1" selected="0">
            <x v="55"/>
          </reference>
          <reference field="15" count="1">
            <x v="31"/>
          </reference>
        </references>
      </pivotArea>
    </format>
    <format dxfId="498">
      <pivotArea dataOnly="0" labelOnly="1" fieldPosition="0">
        <references count="8">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selected="0">
            <x v="4"/>
          </reference>
          <reference field="15" count="1">
            <x v="26"/>
          </reference>
        </references>
      </pivotArea>
    </format>
    <format dxfId="497">
      <pivotArea dataOnly="0" labelOnly="1" fieldPosition="0">
        <references count="8">
          <reference field="0" count="1" selected="0">
            <x v="111"/>
          </reference>
          <reference field="1" count="1" selected="0">
            <x v="98"/>
          </reference>
          <reference field="2" count="1" selected="0">
            <x v="83"/>
          </reference>
          <reference field="3" count="1" selected="0">
            <x v="0"/>
          </reference>
          <reference field="12" count="1" selected="0">
            <x v="7"/>
          </reference>
          <reference field="13" count="1" selected="0">
            <x v="0"/>
          </reference>
          <reference field="14" count="1" selected="0">
            <x v="4"/>
          </reference>
          <reference field="15" count="1">
            <x v="27"/>
          </reference>
        </references>
      </pivotArea>
    </format>
    <format dxfId="496">
      <pivotArea dataOnly="0" labelOnly="1" fieldPosition="0">
        <references count="8">
          <reference field="0" count="1" selected="0">
            <x v="113"/>
          </reference>
          <reference field="1" count="1" selected="0">
            <x v="100"/>
          </reference>
          <reference field="2" count="1" selected="0">
            <x v="124"/>
          </reference>
          <reference field="3" count="1" selected="0">
            <x v="0"/>
          </reference>
          <reference field="12" count="1" selected="0">
            <x v="7"/>
          </reference>
          <reference field="13" count="1" selected="0">
            <x v="0"/>
          </reference>
          <reference field="14" count="1" selected="0">
            <x v="7"/>
          </reference>
          <reference field="15" count="1">
            <x v="0"/>
          </reference>
        </references>
      </pivotArea>
    </format>
    <format dxfId="495">
      <pivotArea dataOnly="0" labelOnly="1" fieldPosition="0">
        <references count="8">
          <reference field="0" count="1" selected="0">
            <x v="125"/>
          </reference>
          <reference field="1" count="1" selected="0">
            <x v="112"/>
          </reference>
          <reference field="2" count="1" selected="0">
            <x v="197"/>
          </reference>
          <reference field="3" count="1" selected="0">
            <x v="0"/>
          </reference>
          <reference field="12" count="1" selected="0">
            <x v="3"/>
          </reference>
          <reference field="13" count="1" selected="0">
            <x v="0"/>
          </reference>
          <reference field="14" count="1" selected="0">
            <x v="34"/>
          </reference>
          <reference field="15" count="1">
            <x v="32"/>
          </reference>
        </references>
      </pivotArea>
    </format>
    <format dxfId="494">
      <pivotArea dataOnly="0" labelOnly="1" fieldPosition="0">
        <references count="8">
          <reference field="0" count="1" selected="0">
            <x v="128"/>
          </reference>
          <reference field="1" count="1" selected="0">
            <x v="115"/>
          </reference>
          <reference field="2" count="1" selected="0">
            <x v="59"/>
          </reference>
          <reference field="3" count="1" selected="0">
            <x v="0"/>
          </reference>
          <reference field="12" count="1" selected="0">
            <x v="0"/>
          </reference>
          <reference field="13" count="1" selected="0">
            <x v="0"/>
          </reference>
          <reference field="14" count="1" selected="0">
            <x v="37"/>
          </reference>
          <reference field="15" count="1">
            <x v="0"/>
          </reference>
        </references>
      </pivotArea>
    </format>
    <format dxfId="493">
      <pivotArea dataOnly="0" labelOnly="1" fieldPosition="0">
        <references count="8">
          <reference field="0" count="1" selected="0">
            <x v="129"/>
          </reference>
          <reference field="1" count="1" selected="0">
            <x v="116"/>
          </reference>
          <reference field="2" count="1" selected="0">
            <x v="212"/>
          </reference>
          <reference field="3" count="1" selected="0">
            <x v="0"/>
          </reference>
          <reference field="12" count="1" selected="0">
            <x v="3"/>
          </reference>
          <reference field="13" count="1" selected="0">
            <x v="0"/>
          </reference>
          <reference field="14" count="1" selected="0">
            <x v="37"/>
          </reference>
          <reference field="15" count="1">
            <x v="32"/>
          </reference>
        </references>
      </pivotArea>
    </format>
    <format dxfId="492">
      <pivotArea dataOnly="0" labelOnly="1" fieldPosition="0">
        <references count="8">
          <reference field="0" count="1" selected="0">
            <x v="134"/>
          </reference>
          <reference field="1" count="1" selected="0">
            <x v="127"/>
          </reference>
          <reference field="2" count="1" selected="0">
            <x v="2"/>
          </reference>
          <reference field="3" count="1" selected="0">
            <x v="0"/>
          </reference>
          <reference field="12" count="1" selected="0">
            <x v="4"/>
          </reference>
          <reference field="13" count="1" selected="0">
            <x v="0"/>
          </reference>
          <reference field="14" count="1" selected="0">
            <x v="34"/>
          </reference>
          <reference field="15" count="1">
            <x v="43"/>
          </reference>
        </references>
      </pivotArea>
    </format>
    <format dxfId="491">
      <pivotArea dataOnly="0" labelOnly="1" fieldPosition="0">
        <references count="8">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selected="0">
            <x v="0"/>
          </reference>
          <reference field="15" count="1">
            <x v="0"/>
          </reference>
        </references>
      </pivotArea>
    </format>
    <format dxfId="490">
      <pivotArea dataOnly="0" labelOnly="1" fieldPosition="0">
        <references count="8">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selected="0">
            <x v="23"/>
          </reference>
          <reference field="15" count="1">
            <x v="33"/>
          </reference>
        </references>
      </pivotArea>
    </format>
    <format dxfId="489">
      <pivotArea dataOnly="0" labelOnly="1" fieldPosition="0">
        <references count="8">
          <reference field="0" count="1" selected="0">
            <x v="147"/>
          </reference>
          <reference field="1" count="1" selected="0">
            <x v="140"/>
          </reference>
          <reference field="2" count="1" selected="0">
            <x v="211"/>
          </reference>
          <reference field="3" count="1" selected="0">
            <x v="0"/>
          </reference>
          <reference field="12" count="1" selected="0">
            <x v="26"/>
          </reference>
          <reference field="13" count="1" selected="0">
            <x v="0"/>
          </reference>
          <reference field="14" count="1" selected="0">
            <x v="22"/>
          </reference>
          <reference field="15" count="1">
            <x v="24"/>
          </reference>
        </references>
      </pivotArea>
    </format>
    <format dxfId="488">
      <pivotArea dataOnly="0" labelOnly="1" fieldPosition="0">
        <references count="8">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selected="0">
            <x v="24"/>
          </reference>
          <reference field="15" count="1">
            <x v="2"/>
          </reference>
        </references>
      </pivotArea>
    </format>
    <format dxfId="487">
      <pivotArea dataOnly="0" labelOnly="1" fieldPosition="0">
        <references count="8">
          <reference field="0" count="1" selected="0">
            <x v="153"/>
          </reference>
          <reference field="1" count="1" selected="0">
            <x v="146"/>
          </reference>
          <reference field="2" count="1" selected="0">
            <x v="54"/>
          </reference>
          <reference field="3" count="1" selected="0">
            <x v="0"/>
          </reference>
          <reference field="12" count="1" selected="0">
            <x v="14"/>
          </reference>
          <reference field="13" count="1" selected="0">
            <x v="0"/>
          </reference>
          <reference field="14" count="1" selected="0">
            <x v="18"/>
          </reference>
          <reference field="15" count="1">
            <x v="0"/>
          </reference>
        </references>
      </pivotArea>
    </format>
    <format dxfId="486">
      <pivotArea dataOnly="0" labelOnly="1" fieldPosition="0">
        <references count="8">
          <reference field="0" count="1" selected="0">
            <x v="154"/>
          </reference>
          <reference field="1" count="1" selected="0">
            <x v="147"/>
          </reference>
          <reference field="2" count="1" selected="0">
            <x v="109"/>
          </reference>
          <reference field="3" count="1" selected="0">
            <x v="0"/>
          </reference>
          <reference field="12" count="1" selected="0">
            <x v="14"/>
          </reference>
          <reference field="13" count="1" selected="0">
            <x v="0"/>
          </reference>
          <reference field="14" count="1" selected="0">
            <x v="18"/>
          </reference>
          <reference field="15" count="1">
            <x v="3"/>
          </reference>
        </references>
      </pivotArea>
    </format>
    <format dxfId="485">
      <pivotArea dataOnly="0" labelOnly="1" fieldPosition="0">
        <references count="8">
          <reference field="0" count="1" selected="0">
            <x v="155"/>
          </reference>
          <reference field="1" count="1" selected="0">
            <x v="148"/>
          </reference>
          <reference field="2" count="1" selected="0">
            <x v="3"/>
          </reference>
          <reference field="3" count="1" selected="0">
            <x v="0"/>
          </reference>
          <reference field="12" count="1" selected="0">
            <x v="23"/>
          </reference>
          <reference field="13" count="1" selected="0">
            <x v="0"/>
          </reference>
          <reference field="14" count="1" selected="0">
            <x v="18"/>
          </reference>
          <reference field="15" count="1">
            <x v="1"/>
          </reference>
        </references>
      </pivotArea>
    </format>
    <format dxfId="484">
      <pivotArea dataOnly="0" labelOnly="1" fieldPosition="0">
        <references count="8">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selected="0">
            <x v="51"/>
          </reference>
          <reference field="15" count="1">
            <x v="8"/>
          </reference>
        </references>
      </pivotArea>
    </format>
    <format dxfId="483">
      <pivotArea dataOnly="0" labelOnly="1" fieldPosition="0">
        <references count="8">
          <reference field="0" count="1" selected="0">
            <x v="161"/>
          </reference>
          <reference field="1" count="1" selected="0">
            <x v="185"/>
          </reference>
          <reference field="2" count="1" selected="0">
            <x v="186"/>
          </reference>
          <reference field="3" count="1" selected="0">
            <x v="0"/>
          </reference>
          <reference field="12" count="1" selected="0">
            <x v="9"/>
          </reference>
          <reference field="13" count="1" selected="0">
            <x v="0"/>
          </reference>
          <reference field="14" count="1" selected="0">
            <x v="52"/>
          </reference>
          <reference field="15" count="1">
            <x v="7"/>
          </reference>
        </references>
      </pivotArea>
    </format>
    <format dxfId="482">
      <pivotArea dataOnly="0" labelOnly="1" fieldPosition="0">
        <references count="8">
          <reference field="0" count="1" selected="0">
            <x v="162"/>
          </reference>
          <reference field="1" count="1" selected="0">
            <x v="186"/>
          </reference>
          <reference field="2" count="1" selected="0">
            <x v="125"/>
          </reference>
          <reference field="3" count="1" selected="0">
            <x v="0"/>
          </reference>
          <reference field="12" count="1" selected="0">
            <x v="10"/>
          </reference>
          <reference field="13" count="1" selected="0">
            <x v="0"/>
          </reference>
          <reference field="14" count="1" selected="0">
            <x v="65"/>
          </reference>
          <reference field="15" count="1">
            <x v="0"/>
          </reference>
        </references>
      </pivotArea>
    </format>
    <format dxfId="481">
      <pivotArea dataOnly="0" labelOnly="1" fieldPosition="0">
        <references count="8">
          <reference field="0" count="1" selected="0">
            <x v="164"/>
          </reference>
          <reference field="1" count="1" selected="0">
            <x v="188"/>
          </reference>
          <reference field="2" count="1" selected="0">
            <x v="119"/>
          </reference>
          <reference field="3" count="1" selected="0">
            <x v="0"/>
          </reference>
          <reference field="12" count="1" selected="0">
            <x v="13"/>
          </reference>
          <reference field="13" count="1" selected="0">
            <x v="0"/>
          </reference>
          <reference field="14" count="1" selected="0">
            <x v="26"/>
          </reference>
          <reference field="15" count="1">
            <x v="5"/>
          </reference>
        </references>
      </pivotArea>
    </format>
    <format dxfId="480">
      <pivotArea dataOnly="0" labelOnly="1" fieldPosition="0">
        <references count="8">
          <reference field="0" count="1" selected="0">
            <x v="165"/>
          </reference>
          <reference field="1" count="1" selected="0">
            <x v="189"/>
          </reference>
          <reference field="2" count="1" selected="0">
            <x v="156"/>
          </reference>
          <reference field="3" count="1" selected="0">
            <x v="0"/>
          </reference>
          <reference field="12" count="1" selected="0">
            <x v="13"/>
          </reference>
          <reference field="13" count="1" selected="0">
            <x v="0"/>
          </reference>
          <reference field="14" count="1" selected="0">
            <x v="21"/>
          </reference>
          <reference field="15" count="1">
            <x v="6"/>
          </reference>
        </references>
      </pivotArea>
    </format>
    <format dxfId="479">
      <pivotArea dataOnly="0" labelOnly="1" fieldPosition="0">
        <references count="8">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selected="0">
            <x v="7"/>
          </reference>
          <reference field="15" count="1">
            <x v="19"/>
          </reference>
        </references>
      </pivotArea>
    </format>
    <format dxfId="478">
      <pivotArea dataOnly="0" labelOnly="1" fieldPosition="0">
        <references count="8">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selected="0">
            <x v="52"/>
          </reference>
          <reference field="15" count="1">
            <x v="18"/>
          </reference>
        </references>
      </pivotArea>
    </format>
    <format dxfId="477">
      <pivotArea dataOnly="0" labelOnly="1" fieldPosition="0">
        <references count="8">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selected="0">
            <x v="8"/>
          </reference>
          <reference field="15" count="1">
            <x v="30"/>
          </reference>
        </references>
      </pivotArea>
    </format>
    <format dxfId="476">
      <pivotArea dataOnly="0" labelOnly="1" fieldPosition="0">
        <references count="8">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selected="0">
            <x v="20"/>
          </reference>
          <reference field="15" count="1">
            <x v="38"/>
          </reference>
        </references>
      </pivotArea>
    </format>
    <format dxfId="475">
      <pivotArea dataOnly="0" labelOnly="1" fieldPosition="0">
        <references count="8">
          <reference field="0" count="1" selected="0">
            <x v="175"/>
          </reference>
          <reference field="1" count="1" selected="0">
            <x v="207"/>
          </reference>
          <reference field="2" count="1" selected="0">
            <x v="172"/>
          </reference>
          <reference field="3" count="1" selected="0">
            <x v="0"/>
          </reference>
          <reference field="12" count="1" selected="0">
            <x v="21"/>
          </reference>
          <reference field="13" count="1" selected="0">
            <x v="0"/>
          </reference>
          <reference field="14" count="1" selected="0">
            <x v="26"/>
          </reference>
          <reference field="15" count="1">
            <x v="0"/>
          </reference>
        </references>
      </pivotArea>
    </format>
    <format dxfId="474">
      <pivotArea dataOnly="0" labelOnly="1" fieldPosition="0">
        <references count="8">
          <reference field="0" count="1" selected="0">
            <x v="177"/>
          </reference>
          <reference field="1" count="1" selected="0">
            <x v="209"/>
          </reference>
          <reference field="2" count="1" selected="0">
            <x v="114"/>
          </reference>
          <reference field="3" count="1" selected="0">
            <x v="0"/>
          </reference>
          <reference field="12" count="1" selected="0">
            <x v="20"/>
          </reference>
          <reference field="13" count="1" selected="0">
            <x v="0"/>
          </reference>
          <reference field="14" count="1" selected="0">
            <x v="27"/>
          </reference>
          <reference field="15" count="1">
            <x v="10"/>
          </reference>
        </references>
      </pivotArea>
    </format>
    <format dxfId="473">
      <pivotArea dataOnly="0" labelOnly="1" fieldPosition="0">
        <references count="8">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selected="0">
            <x v="26"/>
          </reference>
          <reference field="15" count="1">
            <x v="0"/>
          </reference>
        </references>
      </pivotArea>
    </format>
    <format dxfId="472">
      <pivotArea dataOnly="0" labelOnly="1" fieldPosition="0">
        <references count="8">
          <reference field="0" count="1" selected="0">
            <x v="179"/>
          </reference>
          <reference field="1" count="1" selected="0">
            <x v="211"/>
          </reference>
          <reference field="2" count="1" selected="0">
            <x v="96"/>
          </reference>
          <reference field="3" count="1" selected="0">
            <x v="0"/>
          </reference>
          <reference field="12" count="1" selected="0">
            <x v="20"/>
          </reference>
          <reference field="13" count="1" selected="0">
            <x v="0"/>
          </reference>
          <reference field="14" count="1" selected="0">
            <x v="26"/>
          </reference>
          <reference field="15" count="1">
            <x v="39"/>
          </reference>
        </references>
      </pivotArea>
    </format>
    <format dxfId="471">
      <pivotArea dataOnly="0" labelOnly="1" fieldPosition="0">
        <references count="8">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selected="0">
            <x v="32"/>
          </reference>
          <reference field="15" count="1">
            <x v="43"/>
          </reference>
        </references>
      </pivotArea>
    </format>
    <format dxfId="470">
      <pivotArea dataOnly="0" labelOnly="1" fieldPosition="0">
        <references count="8">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selected="0">
            <x v="38"/>
          </reference>
          <reference field="15" count="1">
            <x v="15"/>
          </reference>
        </references>
      </pivotArea>
    </format>
    <format dxfId="469">
      <pivotArea dataOnly="0" labelOnly="1" fieldPosition="0">
        <references count="8">
          <reference field="0" count="1" selected="0">
            <x v="182"/>
          </reference>
          <reference field="1" count="1" selected="0">
            <x v="214"/>
          </reference>
          <reference field="2" count="1" selected="0">
            <x v="235"/>
          </reference>
          <reference field="3" count="1" selected="0">
            <x v="0"/>
          </reference>
          <reference field="12" count="1" selected="0">
            <x v="7"/>
          </reference>
          <reference field="13" count="1" selected="0">
            <x v="0"/>
          </reference>
          <reference field="14" count="1" selected="0">
            <x v="38"/>
          </reference>
          <reference field="15" count="1">
            <x v="0"/>
          </reference>
        </references>
      </pivotArea>
    </format>
    <format dxfId="468">
      <pivotArea dataOnly="0" labelOnly="1" fieldPosition="0">
        <references count="8">
          <reference field="0" count="1" selected="0">
            <x v="183"/>
          </reference>
          <reference field="1" count="1" selected="0">
            <x v="215"/>
          </reference>
          <reference field="2" count="1" selected="0">
            <x v="206"/>
          </reference>
          <reference field="3" count="1" selected="0">
            <x v="0"/>
          </reference>
          <reference field="12" count="1" selected="0">
            <x v="14"/>
          </reference>
          <reference field="13" count="1" selected="0">
            <x v="0"/>
          </reference>
          <reference field="14" count="1" selected="0">
            <x v="38"/>
          </reference>
          <reference field="15" count="1">
            <x v="15"/>
          </reference>
        </references>
      </pivotArea>
    </format>
    <format dxfId="467">
      <pivotArea dataOnly="0" labelOnly="1" fieldPosition="0">
        <references count="8">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selected="0">
            <x v="44"/>
          </reference>
          <reference field="15" count="1">
            <x v="37"/>
          </reference>
        </references>
      </pivotArea>
    </format>
    <format dxfId="466">
      <pivotArea dataOnly="0" labelOnly="1" fieldPosition="0">
        <references count="8">
          <reference field="0" count="1" selected="0">
            <x v="186"/>
          </reference>
          <reference field="1" count="1" selected="0">
            <x v="218"/>
          </reference>
          <reference field="2" count="1" selected="0">
            <x v="93"/>
          </reference>
          <reference field="3" count="1" selected="0">
            <x v="0"/>
          </reference>
          <reference field="12" count="1" selected="0">
            <x v="12"/>
          </reference>
          <reference field="13" count="1" selected="0">
            <x v="2"/>
          </reference>
          <reference field="14" count="1" selected="0">
            <x v="42"/>
          </reference>
          <reference field="15" count="1">
            <x v="15"/>
          </reference>
        </references>
      </pivotArea>
    </format>
    <format dxfId="465">
      <pivotArea dataOnly="0" labelOnly="1" fieldPosition="0">
        <references count="8">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selected="0">
            <x v="46"/>
          </reference>
          <reference field="15" count="1">
            <x v="25"/>
          </reference>
        </references>
      </pivotArea>
    </format>
    <format dxfId="464">
      <pivotArea dataOnly="0" labelOnly="1" fieldPosition="0">
        <references count="8">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selected="0">
            <x v="63"/>
          </reference>
          <reference field="15" count="1">
            <x v="23"/>
          </reference>
        </references>
      </pivotArea>
    </format>
    <format dxfId="463">
      <pivotArea dataOnly="0" labelOnly="1" fieldPosition="0">
        <references count="8">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selected="0">
            <x v="38"/>
          </reference>
          <reference field="15" count="1">
            <x v="0"/>
          </reference>
        </references>
      </pivotArea>
    </format>
    <format dxfId="462">
      <pivotArea dataOnly="0" labelOnly="1" fieldPosition="0">
        <references count="8">
          <reference field="0" count="1" selected="0">
            <x v="197"/>
          </reference>
          <reference field="1" count="1" selected="0">
            <x v="236"/>
          </reference>
          <reference field="2" count="1" selected="0">
            <x v="102"/>
          </reference>
          <reference field="3" count="1" selected="0">
            <x v="0"/>
          </reference>
          <reference field="12" count="1" selected="0">
            <x v="18"/>
          </reference>
          <reference field="13" count="1" selected="0">
            <x v="0"/>
          </reference>
          <reference field="14" count="1" selected="0">
            <x v="0"/>
          </reference>
          <reference field="15" count="1">
            <x v="36"/>
          </reference>
        </references>
      </pivotArea>
    </format>
    <format dxfId="461">
      <pivotArea dataOnly="0" labelOnly="1" fieldPosition="0">
        <references count="8">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selected="0">
            <x v="20"/>
          </reference>
          <reference field="15" count="1">
            <x v="9"/>
          </reference>
        </references>
      </pivotArea>
    </format>
    <format dxfId="460">
      <pivotArea dataOnly="0" labelOnly="1" fieldPosition="0">
        <references count="8">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selected="0">
            <x v="39"/>
          </reference>
          <reference field="15" count="1">
            <x v="15"/>
          </reference>
        </references>
      </pivotArea>
    </format>
    <format dxfId="459">
      <pivotArea dataOnly="0" labelOnly="1" fieldPosition="0">
        <references count="8">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selected="0">
            <x v="67"/>
          </reference>
          <reference field="15" count="1">
            <x v="47"/>
          </reference>
        </references>
      </pivotArea>
    </format>
    <format dxfId="458">
      <pivotArea dataOnly="0" labelOnly="1" fieldPosition="0">
        <references count="8">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selected="0">
            <x v="38"/>
          </reference>
          <reference field="15" count="1">
            <x v="15"/>
          </reference>
        </references>
      </pivotArea>
    </format>
    <format dxfId="457">
      <pivotArea dataOnly="0" labelOnly="1" fieldPosition="0">
        <references count="9">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selected="0">
            <x v="38"/>
          </reference>
          <reference field="15" count="1" selected="0">
            <x v="15"/>
          </reference>
          <reference field="16" count="1">
            <x v="63"/>
          </reference>
        </references>
      </pivotArea>
    </format>
    <format dxfId="456">
      <pivotArea dataOnly="0" labelOnly="1" fieldPosition="0">
        <references count="9">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selected="0">
            <x v="0"/>
          </reference>
          <reference field="15" count="1" selected="0">
            <x v="14"/>
          </reference>
          <reference field="16" count="1">
            <x v="62"/>
          </reference>
        </references>
      </pivotArea>
    </format>
    <format dxfId="455">
      <pivotArea dataOnly="0" labelOnly="1" fieldPosition="0">
        <references count="9">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selected="0">
            <x v="35"/>
          </reference>
          <reference field="15" count="1" selected="0">
            <x v="43"/>
          </reference>
          <reference field="16" count="1">
            <x v="64"/>
          </reference>
        </references>
      </pivotArea>
    </format>
    <format dxfId="454">
      <pivotArea dataOnly="0" labelOnly="1" fieldPosition="0">
        <references count="9">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selected="0">
            <x v="38"/>
          </reference>
          <reference field="15" count="1" selected="0">
            <x v="15"/>
          </reference>
          <reference field="16" count="1">
            <x v="63"/>
          </reference>
        </references>
      </pivotArea>
    </format>
    <format dxfId="453">
      <pivotArea dataOnly="0" labelOnly="1" fieldPosition="0">
        <references count="9">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selected="0">
            <x v="28"/>
          </reference>
          <reference field="15" count="1" selected="0">
            <x v="0"/>
          </reference>
          <reference field="16" count="1">
            <x v="0"/>
          </reference>
        </references>
      </pivotArea>
    </format>
    <format dxfId="452">
      <pivotArea dataOnly="0" labelOnly="1" fieldPosition="0">
        <references count="9">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selected="0">
            <x v="40"/>
          </reference>
          <reference field="15" count="1" selected="0">
            <x v="15"/>
          </reference>
          <reference field="16" count="1">
            <x v="63"/>
          </reference>
        </references>
      </pivotArea>
    </format>
    <format dxfId="451">
      <pivotArea dataOnly="0" labelOnly="1" fieldPosition="0">
        <references count="9">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selected="0">
            <x v="38"/>
          </reference>
          <reference field="15" count="1" selected="0">
            <x v="14"/>
          </reference>
          <reference field="16" count="1">
            <x v="0"/>
          </reference>
        </references>
      </pivotArea>
    </format>
    <format dxfId="450">
      <pivotArea dataOnly="0" labelOnly="1" fieldPosition="0">
        <references count="9">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selected="0">
            <x v="1"/>
          </reference>
          <reference field="15" count="1" selected="0">
            <x v="21"/>
          </reference>
          <reference field="16" count="1">
            <x v="7"/>
          </reference>
        </references>
      </pivotArea>
    </format>
    <format dxfId="449">
      <pivotArea dataOnly="0" labelOnly="1" fieldPosition="0">
        <references count="9">
          <reference field="0" count="1" selected="0">
            <x v="26"/>
          </reference>
          <reference field="1" count="1" selected="0">
            <x v="23"/>
          </reference>
          <reference field="2" count="1" selected="0">
            <x v="217"/>
          </reference>
          <reference field="3" count="1" selected="0">
            <x v="0"/>
          </reference>
          <reference field="12" count="1" selected="0">
            <x v="5"/>
          </reference>
          <reference field="13" count="1" selected="0">
            <x v="0"/>
          </reference>
          <reference field="14" count="1" selected="0">
            <x v="1"/>
          </reference>
          <reference field="15" count="1" selected="0">
            <x v="45"/>
          </reference>
          <reference field="16" count="1">
            <x v="4"/>
          </reference>
        </references>
      </pivotArea>
    </format>
    <format dxfId="448">
      <pivotArea dataOnly="0" labelOnly="1" fieldPosition="0">
        <references count="9">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selected="0">
            <x v="3"/>
          </reference>
          <reference field="15" count="1" selected="0">
            <x v="0"/>
          </reference>
          <reference field="16" count="1">
            <x v="0"/>
          </reference>
        </references>
      </pivotArea>
    </format>
    <format dxfId="447">
      <pivotArea dataOnly="0" labelOnly="1" fieldPosition="0">
        <references count="9">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selected="0">
            <x v="61"/>
          </reference>
          <reference field="15" count="1" selected="0">
            <x v="23"/>
          </reference>
          <reference field="16" count="1">
            <x v="13"/>
          </reference>
        </references>
      </pivotArea>
    </format>
    <format dxfId="446">
      <pivotArea dataOnly="0" labelOnly="1" fieldPosition="0">
        <references count="9">
          <reference field="0" count="1" selected="0">
            <x v="36"/>
          </reference>
          <reference field="1" count="1" selected="0">
            <x v="33"/>
          </reference>
          <reference field="2" count="1" selected="0">
            <x v="130"/>
          </reference>
          <reference field="3" count="1" selected="0">
            <x v="0"/>
          </reference>
          <reference field="12" count="1" selected="0">
            <x v="22"/>
          </reference>
          <reference field="13" count="1" selected="0">
            <x v="0"/>
          </reference>
          <reference field="14" count="1" selected="0">
            <x v="2"/>
          </reference>
          <reference field="15" count="1" selected="0">
            <x v="23"/>
          </reference>
          <reference field="16" count="1">
            <x v="2"/>
          </reference>
        </references>
      </pivotArea>
    </format>
    <format dxfId="445">
      <pivotArea dataOnly="0" labelOnly="1" fieldPosition="0">
        <references count="9">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selected="0">
            <x v="62"/>
          </reference>
          <reference field="15" count="1" selected="0">
            <x v="16"/>
          </reference>
          <reference field="16" count="1">
            <x v="39"/>
          </reference>
        </references>
      </pivotArea>
    </format>
    <format dxfId="444">
      <pivotArea dataOnly="0" labelOnly="1" fieldPosition="0">
        <references count="9">
          <reference field="0" count="1" selected="0">
            <x v="39"/>
          </reference>
          <reference field="1" count="1" selected="0">
            <x v="1"/>
          </reference>
          <reference field="2" count="1" selected="0">
            <x v="46"/>
          </reference>
          <reference field="3" count="1" selected="0">
            <x v="0"/>
          </reference>
          <reference field="12" count="1" selected="0">
            <x v="10"/>
          </reference>
          <reference field="13" count="1" selected="0">
            <x v="0"/>
          </reference>
          <reference field="14" count="1" selected="0">
            <x v="62"/>
          </reference>
          <reference field="15" count="1" selected="0">
            <x v="16"/>
          </reference>
          <reference field="16" count="1">
            <x v="40"/>
          </reference>
        </references>
      </pivotArea>
    </format>
    <format dxfId="443">
      <pivotArea dataOnly="0" labelOnly="1" fieldPosition="0">
        <references count="9">
          <reference field="0" count="1" selected="0">
            <x v="42"/>
          </reference>
          <reference field="1" count="1" selected="0">
            <x v="4"/>
          </reference>
          <reference field="2" count="1" selected="0">
            <x v="64"/>
          </reference>
          <reference field="3" count="1" selected="0">
            <x v="0"/>
          </reference>
          <reference field="12" count="1" selected="0">
            <x v="10"/>
          </reference>
          <reference field="13" count="1" selected="0">
            <x v="0"/>
          </reference>
          <reference field="14" count="1" selected="0">
            <x v="58"/>
          </reference>
          <reference field="15" count="1" selected="0">
            <x v="16"/>
          </reference>
          <reference field="16" count="1">
            <x v="35"/>
          </reference>
        </references>
      </pivotArea>
    </format>
    <format dxfId="442">
      <pivotArea dataOnly="0" labelOnly="1" fieldPosition="0">
        <references count="9">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selected="0">
            <x v="56"/>
          </reference>
          <reference field="15" count="1" selected="0">
            <x v="0"/>
          </reference>
          <reference field="16" count="1">
            <x v="0"/>
          </reference>
        </references>
      </pivotArea>
    </format>
    <format dxfId="441">
      <pivotArea dataOnly="0" labelOnly="1" fieldPosition="0">
        <references count="9">
          <reference field="0" count="1" selected="0">
            <x v="45"/>
          </reference>
          <reference field="1" count="1" selected="0">
            <x v="7"/>
          </reference>
          <reference field="2" count="1" selected="0">
            <x v="22"/>
          </reference>
          <reference field="3" count="1" selected="0">
            <x v="0"/>
          </reference>
          <reference field="12" count="1" selected="0">
            <x v="10"/>
          </reference>
          <reference field="13" count="1" selected="0">
            <x v="0"/>
          </reference>
          <reference field="14" count="1" selected="0">
            <x v="56"/>
          </reference>
          <reference field="15" count="1" selected="0">
            <x v="16"/>
          </reference>
          <reference field="16" count="1">
            <x v="36"/>
          </reference>
        </references>
      </pivotArea>
    </format>
    <format dxfId="440">
      <pivotArea dataOnly="0" labelOnly="1" fieldPosition="0">
        <references count="9">
          <reference field="0" count="1" selected="0">
            <x v="46"/>
          </reference>
          <reference field="1" count="1" selected="0">
            <x v="8"/>
          </reference>
          <reference field="2" count="1" selected="0">
            <x v="135"/>
          </reference>
          <reference field="3" count="1" selected="0">
            <x v="0"/>
          </reference>
          <reference field="12" count="1" selected="0">
            <x v="10"/>
          </reference>
          <reference field="13" count="1" selected="0">
            <x v="0"/>
          </reference>
          <reference field="14" count="1" selected="0">
            <x v="56"/>
          </reference>
          <reference field="15" count="1" selected="0">
            <x v="16"/>
          </reference>
          <reference field="16" count="1">
            <x v="0"/>
          </reference>
        </references>
      </pivotArea>
    </format>
    <format dxfId="439">
      <pivotArea dataOnly="0" labelOnly="1" fieldPosition="0">
        <references count="9">
          <reference field="0" count="1" selected="0">
            <x v="47"/>
          </reference>
          <reference field="1" count="1" selected="0">
            <x v="9"/>
          </reference>
          <reference field="2" count="1" selected="0">
            <x v="141"/>
          </reference>
          <reference field="3" count="1" selected="0">
            <x v="0"/>
          </reference>
          <reference field="12" count="1" selected="0">
            <x v="10"/>
          </reference>
          <reference field="13" count="1" selected="0">
            <x v="0"/>
          </reference>
          <reference field="14" count="1" selected="0">
            <x v="56"/>
          </reference>
          <reference field="15" count="1" selected="0">
            <x v="22"/>
          </reference>
          <reference field="16" count="1">
            <x v="37"/>
          </reference>
        </references>
      </pivotArea>
    </format>
    <format dxfId="438">
      <pivotArea dataOnly="0" labelOnly="1" fieldPosition="0">
        <references count="9">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selected="0">
            <x v="66"/>
          </reference>
          <reference field="15" count="1" selected="0">
            <x v="17"/>
          </reference>
          <reference field="16" count="1">
            <x v="0"/>
          </reference>
        </references>
      </pivotArea>
    </format>
    <format dxfId="437">
      <pivotArea dataOnly="0" labelOnly="1" fieldPosition="0">
        <references count="9">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selected="0">
            <x v="34"/>
          </reference>
          <reference field="15" count="1" selected="0">
            <x v="43"/>
          </reference>
          <reference field="16" count="1">
            <x v="19"/>
          </reference>
        </references>
      </pivotArea>
    </format>
    <format dxfId="436">
      <pivotArea dataOnly="0" labelOnly="1" fieldPosition="0">
        <references count="9">
          <reference field="0" count="1" selected="0">
            <x v="62"/>
          </reference>
          <reference field="1" count="1" selected="0">
            <x v="42"/>
          </reference>
          <reference field="2" count="1" selected="0">
            <x v="15"/>
          </reference>
          <reference field="3" count="1" selected="0">
            <x v="0"/>
          </reference>
          <reference field="12" count="1" selected="0">
            <x v="3"/>
          </reference>
          <reference field="13" count="1" selected="0">
            <x v="0"/>
          </reference>
          <reference field="14" count="1" selected="0">
            <x v="47"/>
          </reference>
          <reference field="15" count="1" selected="0">
            <x v="43"/>
          </reference>
          <reference field="16" count="1">
            <x v="0"/>
          </reference>
        </references>
      </pivotArea>
    </format>
    <format dxfId="435">
      <pivotArea dataOnly="0" labelOnly="1" fieldPosition="0">
        <references count="9">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selected="0">
            <x v="14"/>
          </reference>
          <reference field="15" count="1" selected="0">
            <x v="40"/>
          </reference>
          <reference field="16" count="1">
            <x v="31"/>
          </reference>
        </references>
      </pivotArea>
    </format>
    <format dxfId="434">
      <pivotArea dataOnly="0" labelOnly="1" fieldPosition="0">
        <references count="9">
          <reference field="0" count="1" selected="0">
            <x v="67"/>
          </reference>
          <reference field="1" count="1" selected="0">
            <x v="47"/>
          </reference>
          <reference field="2" count="1" selected="0">
            <x v="181"/>
          </reference>
          <reference field="3" count="1" selected="0">
            <x v="0"/>
          </reference>
          <reference field="12" count="1" selected="0">
            <x v="3"/>
          </reference>
          <reference field="13" count="1" selected="0">
            <x v="0"/>
          </reference>
          <reference field="14" count="1" selected="0">
            <x v="14"/>
          </reference>
          <reference field="15" count="1" selected="0">
            <x v="41"/>
          </reference>
          <reference field="16" count="1">
            <x v="32"/>
          </reference>
        </references>
      </pivotArea>
    </format>
    <format dxfId="433">
      <pivotArea dataOnly="0" labelOnly="1" fieldPosition="0">
        <references count="9">
          <reference field="0" count="1" selected="0">
            <x v="68"/>
          </reference>
          <reference field="1" count="1" selected="0">
            <x v="48"/>
          </reference>
          <reference field="2" count="1" selected="0">
            <x v="231"/>
          </reference>
          <reference field="3" count="1" selected="0">
            <x v="0"/>
          </reference>
          <reference field="12" count="1" selected="0">
            <x v="3"/>
          </reference>
          <reference field="13" count="1" selected="0">
            <x v="0"/>
          </reference>
          <reference field="14" count="1" selected="0">
            <x v="14"/>
          </reference>
          <reference field="15" count="1" selected="0">
            <x v="0"/>
          </reference>
          <reference field="16" count="1">
            <x v="0"/>
          </reference>
        </references>
      </pivotArea>
    </format>
    <format dxfId="432">
      <pivotArea dataOnly="0" labelOnly="1" fieldPosition="0">
        <references count="9">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selected="0">
            <x v="0"/>
          </reference>
          <reference field="15" count="1" selected="0">
            <x v="20"/>
          </reference>
          <reference field="16" count="1">
            <x v="12"/>
          </reference>
        </references>
      </pivotArea>
    </format>
    <format dxfId="431">
      <pivotArea dataOnly="0" labelOnly="1" fieldPosition="0">
        <references count="9">
          <reference field="0" count="1" selected="0">
            <x v="83"/>
          </reference>
          <reference field="1" count="1" selected="0">
            <x v="70"/>
          </reference>
          <reference field="2" count="1" selected="0">
            <x v="193"/>
          </reference>
          <reference field="3" count="1" selected="0">
            <x v="0"/>
          </reference>
          <reference field="12" count="1" selected="0">
            <x v="5"/>
          </reference>
          <reference field="13" count="1" selected="0">
            <x v="0"/>
          </reference>
          <reference field="14" count="1" selected="0">
            <x v="0"/>
          </reference>
          <reference field="15" count="1" selected="0">
            <x v="20"/>
          </reference>
          <reference field="16" count="1">
            <x v="10"/>
          </reference>
        </references>
      </pivotArea>
    </format>
    <format dxfId="430">
      <pivotArea dataOnly="0" labelOnly="1" fieldPosition="0">
        <references count="9">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selected="0">
            <x v="4"/>
          </reference>
          <reference field="15" count="1" selected="0">
            <x v="29"/>
          </reference>
          <reference field="16" count="1">
            <x v="0"/>
          </reference>
        </references>
      </pivotArea>
    </format>
    <format dxfId="429">
      <pivotArea dataOnly="0" labelOnly="1" fieldPosition="0">
        <references count="9">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selected="0">
            <x v="53"/>
          </reference>
          <reference field="15" count="1" selected="0">
            <x v="26"/>
          </reference>
          <reference field="16" count="1">
            <x v="6"/>
          </reference>
        </references>
      </pivotArea>
    </format>
    <format dxfId="428">
      <pivotArea dataOnly="0" labelOnly="1" fieldPosition="0">
        <references count="9">
          <reference field="0" count="1" selected="0">
            <x v="86"/>
          </reference>
          <reference field="1" count="1" selected="0">
            <x v="73"/>
          </reference>
          <reference field="2" count="1" selected="0">
            <x v="154"/>
          </reference>
          <reference field="3" count="1" selected="0">
            <x v="0"/>
          </reference>
          <reference field="12" count="1" selected="0">
            <x v="7"/>
          </reference>
          <reference field="13" count="1" selected="0">
            <x v="0"/>
          </reference>
          <reference field="14" count="1" selected="0">
            <x v="53"/>
          </reference>
          <reference field="15" count="1" selected="0">
            <x v="0"/>
          </reference>
          <reference field="16" count="1">
            <x v="59"/>
          </reference>
        </references>
      </pivotArea>
    </format>
    <format dxfId="427">
      <pivotArea dataOnly="0" labelOnly="1" fieldPosition="0">
        <references count="9">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selected="0">
            <x v="25"/>
          </reference>
          <reference field="15" count="1" selected="0">
            <x v="29"/>
          </reference>
          <reference field="16" count="1">
            <x v="0"/>
          </reference>
        </references>
      </pivotArea>
    </format>
    <format dxfId="426">
      <pivotArea dataOnly="0" labelOnly="1" fieldPosition="0">
        <references count="9">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selected="0">
            <x v="0"/>
          </reference>
          <reference field="15" count="1" selected="0">
            <x v="0"/>
          </reference>
          <reference field="16" count="1">
            <x v="52"/>
          </reference>
        </references>
      </pivotArea>
    </format>
    <format dxfId="425">
      <pivotArea dataOnly="0" labelOnly="1" fieldPosition="0">
        <references count="9">
          <reference field="0" count="1" selected="0">
            <x v="91"/>
          </reference>
          <reference field="1" count="1" selected="0">
            <x v="78"/>
          </reference>
          <reference field="2" count="1" selected="0">
            <x v="12"/>
          </reference>
          <reference field="3" count="1" selected="0">
            <x v="0"/>
          </reference>
          <reference field="12" count="1" selected="0">
            <x v="7"/>
          </reference>
          <reference field="13" count="1" selected="0">
            <x v="0"/>
          </reference>
          <reference field="14" count="1" selected="0">
            <x v="50"/>
          </reference>
          <reference field="15" count="1" selected="0">
            <x v="0"/>
          </reference>
          <reference field="16" count="1">
            <x v="0"/>
          </reference>
        </references>
      </pivotArea>
    </format>
    <format dxfId="424">
      <pivotArea dataOnly="0" labelOnly="1" fieldPosition="0">
        <references count="9">
          <reference field="0" count="1" selected="0">
            <x v="93"/>
          </reference>
          <reference field="1" count="1" selected="0">
            <x v="80"/>
          </reference>
          <reference field="2" count="1" selected="0">
            <x v="180"/>
          </reference>
          <reference field="3" count="1" selected="0">
            <x v="0"/>
          </reference>
          <reference field="12" count="1" selected="0">
            <x v="7"/>
          </reference>
          <reference field="13" count="1" selected="0">
            <x v="0"/>
          </reference>
          <reference field="14" count="1" selected="0">
            <x v="49"/>
          </reference>
          <reference field="15" count="1" selected="0">
            <x v="0"/>
          </reference>
          <reference field="16" count="1">
            <x v="52"/>
          </reference>
        </references>
      </pivotArea>
    </format>
    <format dxfId="423">
      <pivotArea dataOnly="0" labelOnly="1" fieldPosition="0">
        <references count="9">
          <reference field="0" count="1" selected="0">
            <x v="94"/>
          </reference>
          <reference field="1" count="1" selected="0">
            <x v="81"/>
          </reference>
          <reference field="2" count="1" selected="0">
            <x v="60"/>
          </reference>
          <reference field="3" count="1" selected="0">
            <x v="0"/>
          </reference>
          <reference field="12" count="1" selected="0">
            <x v="7"/>
          </reference>
          <reference field="13" count="1" selected="0">
            <x v="0"/>
          </reference>
          <reference field="14" count="1" selected="0">
            <x v="49"/>
          </reference>
          <reference field="15" count="1" selected="0">
            <x v="0"/>
          </reference>
          <reference field="16" count="1">
            <x v="57"/>
          </reference>
        </references>
      </pivotArea>
    </format>
    <format dxfId="422">
      <pivotArea dataOnly="0" labelOnly="1" fieldPosition="0">
        <references count="9">
          <reference field="0" count="1" selected="0">
            <x v="95"/>
          </reference>
          <reference field="1" count="1" selected="0">
            <x v="82"/>
          </reference>
          <reference field="2" count="1" selected="0">
            <x v="5"/>
          </reference>
          <reference field="3" count="1" selected="0">
            <x v="0"/>
          </reference>
          <reference field="12" count="1" selected="0">
            <x v="1"/>
          </reference>
          <reference field="13" count="1" selected="0">
            <x v="0"/>
          </reference>
          <reference field="14" count="1" selected="0">
            <x v="49"/>
          </reference>
          <reference field="15" count="1" selected="0">
            <x v="0"/>
          </reference>
          <reference field="16" count="1">
            <x v="52"/>
          </reference>
        </references>
      </pivotArea>
    </format>
    <format dxfId="421">
      <pivotArea dataOnly="0" labelOnly="1" fieldPosition="0">
        <references count="9">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60"/>
          </reference>
        </references>
      </pivotArea>
    </format>
    <format dxfId="420">
      <pivotArea dataOnly="0" labelOnly="1" fieldPosition="0">
        <references count="9">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selected="0">
            <x v="6"/>
          </reference>
          <reference field="15" count="1" selected="0">
            <x v="0"/>
          </reference>
          <reference field="16" count="1">
            <x v="20"/>
          </reference>
        </references>
      </pivotArea>
    </format>
    <format dxfId="419">
      <pivotArea dataOnly="0" labelOnly="1" fieldPosition="0">
        <references count="9">
          <reference field="0" count="1" selected="0">
            <x v="103"/>
          </reference>
          <reference field="1" count="1" selected="0">
            <x v="90"/>
          </reference>
          <reference field="2" count="1" selected="0">
            <x v="73"/>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56"/>
          </reference>
        </references>
      </pivotArea>
    </format>
    <format dxfId="418">
      <pivotArea dataOnly="0" labelOnly="1" fieldPosition="0">
        <references count="9">
          <reference field="0" count="1" selected="0">
            <x v="104"/>
          </reference>
          <reference field="1" count="1" selected="0">
            <x v="91"/>
          </reference>
          <reference field="2" count="1" selected="0">
            <x v="68"/>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55"/>
          </reference>
        </references>
      </pivotArea>
    </format>
    <format dxfId="417">
      <pivotArea dataOnly="0" labelOnly="1" fieldPosition="0">
        <references count="9">
          <reference field="0" count="1" selected="0">
            <x v="105"/>
          </reference>
          <reference field="1" count="1" selected="0">
            <x v="92"/>
          </reference>
          <reference field="2" count="1" selected="0">
            <x v="134"/>
          </reference>
          <reference field="3" count="1" selected="0">
            <x v="0"/>
          </reference>
          <reference field="12" count="1" selected="0">
            <x v="7"/>
          </reference>
          <reference field="13" count="1" selected="0">
            <x v="0"/>
          </reference>
          <reference field="14" count="1" selected="0">
            <x v="16"/>
          </reference>
          <reference field="15" count="1" selected="0">
            <x v="0"/>
          </reference>
          <reference field="16" count="1">
            <x v="60"/>
          </reference>
        </references>
      </pivotArea>
    </format>
    <format dxfId="416">
      <pivotArea dataOnly="0" labelOnly="1" fieldPosition="0">
        <references count="9">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selected="0">
            <x v="54"/>
          </reference>
          <reference field="15" count="1" selected="0">
            <x v="30"/>
          </reference>
          <reference field="16" count="1">
            <x v="49"/>
          </reference>
        </references>
      </pivotArea>
    </format>
    <format dxfId="415">
      <pivotArea dataOnly="0" labelOnly="1" fieldPosition="0">
        <references count="9">
          <reference field="0" count="1" selected="0">
            <x v="107"/>
          </reference>
          <reference field="1" count="1" selected="0">
            <x v="94"/>
          </reference>
          <reference field="2" count="1" selected="0">
            <x v="190"/>
          </reference>
          <reference field="3" count="1" selected="0">
            <x v="0"/>
          </reference>
          <reference field="12" count="1" selected="0">
            <x v="7"/>
          </reference>
          <reference field="13" count="1" selected="0">
            <x v="0"/>
          </reference>
          <reference field="14" count="1" selected="0">
            <x v="55"/>
          </reference>
          <reference field="15" count="1" selected="0">
            <x v="30"/>
          </reference>
          <reference field="16" count="1">
            <x v="51"/>
          </reference>
        </references>
      </pivotArea>
    </format>
    <format dxfId="414">
      <pivotArea dataOnly="0" labelOnly="1" fieldPosition="0">
        <references count="9">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selected="0">
            <x v="4"/>
          </reference>
          <reference field="15" count="1" selected="0">
            <x v="26"/>
          </reference>
          <reference field="16" count="1">
            <x v="0"/>
          </reference>
        </references>
      </pivotArea>
    </format>
    <format dxfId="413">
      <pivotArea dataOnly="0" labelOnly="1" fieldPosition="0">
        <references count="9">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selected="0">
            <x v="0"/>
          </reference>
          <reference field="15" count="1" selected="0">
            <x v="0"/>
          </reference>
          <reference field="16" count="1">
            <x v="45"/>
          </reference>
        </references>
      </pivotArea>
    </format>
    <format dxfId="412">
      <pivotArea dataOnly="0" labelOnly="1" fieldPosition="0">
        <references count="9">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selected="0">
            <x v="23"/>
          </reference>
          <reference field="15" count="1" selected="0">
            <x v="33"/>
          </reference>
          <reference field="16" count="1">
            <x v="0"/>
          </reference>
        </references>
      </pivotArea>
    </format>
    <format dxfId="411">
      <pivotArea dataOnly="0" labelOnly="1" fieldPosition="0">
        <references count="9">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selected="0">
            <x v="24"/>
          </reference>
          <reference field="15" count="1" selected="0">
            <x v="2"/>
          </reference>
          <reference field="16" count="1">
            <x v="44"/>
          </reference>
        </references>
      </pivotArea>
    </format>
    <format dxfId="410">
      <pivotArea dataOnly="0" labelOnly="1" fieldPosition="0">
        <references count="9">
          <reference field="0" count="1" selected="0">
            <x v="155"/>
          </reference>
          <reference field="1" count="1" selected="0">
            <x v="148"/>
          </reference>
          <reference field="2" count="1" selected="0">
            <x v="3"/>
          </reference>
          <reference field="3" count="1" selected="0">
            <x v="0"/>
          </reference>
          <reference field="12" count="1" selected="0">
            <x v="23"/>
          </reference>
          <reference field="13" count="1" selected="0">
            <x v="0"/>
          </reference>
          <reference field="14" count="1" selected="0">
            <x v="18"/>
          </reference>
          <reference field="15" count="1" selected="0">
            <x v="1"/>
          </reference>
          <reference field="16" count="1">
            <x v="28"/>
          </reference>
        </references>
      </pivotArea>
    </format>
    <format dxfId="409">
      <pivotArea dataOnly="0" labelOnly="1" fieldPosition="0">
        <references count="9">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selected="0">
            <x v="51"/>
          </reference>
          <reference field="15" count="1" selected="0">
            <x v="8"/>
          </reference>
          <reference field="16" count="1">
            <x v="0"/>
          </reference>
        </references>
      </pivotArea>
    </format>
    <format dxfId="408">
      <pivotArea dataOnly="0" labelOnly="1" fieldPosition="0">
        <references count="9">
          <reference field="0" count="1" selected="0">
            <x v="160"/>
          </reference>
          <reference field="1" count="1" selected="0">
            <x v="184"/>
          </reference>
          <reference field="2" count="1" selected="0">
            <x v="187"/>
          </reference>
          <reference field="3" count="1" selected="0">
            <x v="0"/>
          </reference>
          <reference field="12" count="1" selected="0">
            <x v="7"/>
          </reference>
          <reference field="13" count="1" selected="0">
            <x v="0"/>
          </reference>
          <reference field="14" count="1" selected="0">
            <x v="52"/>
          </reference>
          <reference field="15" count="1" selected="0">
            <x v="8"/>
          </reference>
          <reference field="16" count="1">
            <x v="5"/>
          </reference>
        </references>
      </pivotArea>
    </format>
    <format dxfId="407">
      <pivotArea dataOnly="0" labelOnly="1" fieldPosition="0">
        <references count="9">
          <reference field="0" count="1" selected="0">
            <x v="161"/>
          </reference>
          <reference field="1" count="1" selected="0">
            <x v="185"/>
          </reference>
          <reference field="2" count="1" selected="0">
            <x v="186"/>
          </reference>
          <reference field="3" count="1" selected="0">
            <x v="0"/>
          </reference>
          <reference field="12" count="1" selected="0">
            <x v="9"/>
          </reference>
          <reference field="13" count="1" selected="0">
            <x v="0"/>
          </reference>
          <reference field="14" count="1" selected="0">
            <x v="52"/>
          </reference>
          <reference field="15" count="1" selected="0">
            <x v="7"/>
          </reference>
          <reference field="16" count="1">
            <x v="0"/>
          </reference>
        </references>
      </pivotArea>
    </format>
    <format dxfId="406">
      <pivotArea dataOnly="0" labelOnly="1" fieldPosition="0">
        <references count="9">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selected="0">
            <x v="7"/>
          </reference>
          <reference field="15" count="1" selected="0">
            <x v="19"/>
          </reference>
          <reference field="16" count="1">
            <x v="58"/>
          </reference>
        </references>
      </pivotArea>
    </format>
    <format dxfId="405">
      <pivotArea dataOnly="0" labelOnly="1" fieldPosition="0">
        <references count="9">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selected="0">
            <x v="52"/>
          </reference>
          <reference field="15" count="1" selected="0">
            <x v="18"/>
          </reference>
          <reference field="16" count="1">
            <x v="54"/>
          </reference>
        </references>
      </pivotArea>
    </format>
    <format dxfId="404">
      <pivotArea dataOnly="0" labelOnly="1" fieldPosition="0">
        <references count="9">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selected="0">
            <x v="8"/>
          </reference>
          <reference field="15" count="1" selected="0">
            <x v="30"/>
          </reference>
          <reference field="16" count="1">
            <x v="50"/>
          </reference>
        </references>
      </pivotArea>
    </format>
    <format dxfId="403">
      <pivotArea dataOnly="0" labelOnly="1" fieldPosition="0">
        <references count="9">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selected="0">
            <x v="20"/>
          </reference>
          <reference field="15" count="1" selected="0">
            <x v="38"/>
          </reference>
          <reference field="16" count="1">
            <x v="0"/>
          </reference>
        </references>
      </pivotArea>
    </format>
    <format dxfId="402">
      <pivotArea dataOnly="0" labelOnly="1" fieldPosition="0">
        <references count="9">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selected="0">
            <x v="26"/>
          </reference>
          <reference field="15" count="1" selected="0">
            <x v="0"/>
          </reference>
          <reference field="16" count="1">
            <x v="22"/>
          </reference>
        </references>
      </pivotArea>
    </format>
    <format dxfId="401">
      <pivotArea dataOnly="0" labelOnly="1" fieldPosition="0">
        <references count="9">
          <reference field="0" count="1" selected="0">
            <x v="179"/>
          </reference>
          <reference field="1" count="1" selected="0">
            <x v="211"/>
          </reference>
          <reference field="2" count="1" selected="0">
            <x v="96"/>
          </reference>
          <reference field="3" count="1" selected="0">
            <x v="0"/>
          </reference>
          <reference field="12" count="1" selected="0">
            <x v="20"/>
          </reference>
          <reference field="13" count="1" selected="0">
            <x v="0"/>
          </reference>
          <reference field="14" count="1" selected="0">
            <x v="26"/>
          </reference>
          <reference field="15" count="1" selected="0">
            <x v="39"/>
          </reference>
          <reference field="16" count="1">
            <x v="0"/>
          </reference>
        </references>
      </pivotArea>
    </format>
    <format dxfId="400">
      <pivotArea dataOnly="0" labelOnly="1" fieldPosition="0">
        <references count="9">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selected="0">
            <x v="32"/>
          </reference>
          <reference field="15" count="1" selected="0">
            <x v="43"/>
          </reference>
          <reference field="16" count="1">
            <x v="42"/>
          </reference>
        </references>
      </pivotArea>
    </format>
    <format dxfId="399">
      <pivotArea dataOnly="0" labelOnly="1" fieldPosition="0">
        <references count="9">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selected="0">
            <x v="38"/>
          </reference>
          <reference field="15" count="1" selected="0">
            <x v="15"/>
          </reference>
          <reference field="16" count="1">
            <x v="46"/>
          </reference>
        </references>
      </pivotArea>
    </format>
    <format dxfId="398">
      <pivotArea dataOnly="0" labelOnly="1" fieldPosition="0">
        <references count="9">
          <reference field="0" count="1" selected="0">
            <x v="182"/>
          </reference>
          <reference field="1" count="1" selected="0">
            <x v="214"/>
          </reference>
          <reference field="2" count="1" selected="0">
            <x v="235"/>
          </reference>
          <reference field="3" count="1" selected="0">
            <x v="0"/>
          </reference>
          <reference field="12" count="1" selected="0">
            <x v="7"/>
          </reference>
          <reference field="13" count="1" selected="0">
            <x v="0"/>
          </reference>
          <reference field="14" count="1" selected="0">
            <x v="38"/>
          </reference>
          <reference field="15" count="1" selected="0">
            <x v="0"/>
          </reference>
          <reference field="16" count="1">
            <x v="45"/>
          </reference>
        </references>
      </pivotArea>
    </format>
    <format dxfId="397">
      <pivotArea dataOnly="0" labelOnly="1" fieldPosition="0">
        <references count="9">
          <reference field="0" count="1" selected="0">
            <x v="183"/>
          </reference>
          <reference field="1" count="1" selected="0">
            <x v="215"/>
          </reference>
          <reference field="2" count="1" selected="0">
            <x v="206"/>
          </reference>
          <reference field="3" count="1" selected="0">
            <x v="0"/>
          </reference>
          <reference field="12" count="1" selected="0">
            <x v="14"/>
          </reference>
          <reference field="13" count="1" selected="0">
            <x v="0"/>
          </reference>
          <reference field="14" count="1" selected="0">
            <x v="38"/>
          </reference>
          <reference field="15" count="1" selected="0">
            <x v="15"/>
          </reference>
          <reference field="16" count="1">
            <x v="0"/>
          </reference>
        </references>
      </pivotArea>
    </format>
    <format dxfId="396">
      <pivotArea dataOnly="0" labelOnly="1" fieldPosition="0">
        <references count="9">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selected="0">
            <x v="44"/>
          </reference>
          <reference field="15" count="1" selected="0">
            <x v="37"/>
          </reference>
          <reference field="16" count="1">
            <x v="61"/>
          </reference>
        </references>
      </pivotArea>
    </format>
    <format dxfId="395">
      <pivotArea dataOnly="0" labelOnly="1" fieldPosition="0">
        <references count="9">
          <reference field="0" count="1" selected="0">
            <x v="185"/>
          </reference>
          <reference field="1" count="1" selected="0">
            <x v="217"/>
          </reference>
          <reference field="2" count="1" selected="0">
            <x v="113"/>
          </reference>
          <reference field="3" count="1" selected="0">
            <x v="0"/>
          </reference>
          <reference field="12" count="1" selected="0">
            <x v="12"/>
          </reference>
          <reference field="13" count="1" selected="0">
            <x v="0"/>
          </reference>
          <reference field="14" count="1" selected="0">
            <x v="45"/>
          </reference>
          <reference field="15" count="1" selected="0">
            <x v="37"/>
          </reference>
          <reference field="16" count="1">
            <x v="0"/>
          </reference>
        </references>
      </pivotArea>
    </format>
    <format dxfId="394">
      <pivotArea dataOnly="0" labelOnly="1" fieldPosition="0">
        <references count="9">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selected="0">
            <x v="46"/>
          </reference>
          <reference field="15" count="1" selected="0">
            <x v="25"/>
          </reference>
          <reference field="16" count="1">
            <x v="24"/>
          </reference>
        </references>
      </pivotArea>
    </format>
    <format dxfId="393">
      <pivotArea dataOnly="0" labelOnly="1" fieldPosition="0">
        <references count="9">
          <reference field="0" count="1" selected="0">
            <x v="188"/>
          </reference>
          <reference field="1" count="1" selected="0">
            <x v="220"/>
          </reference>
          <reference field="2" count="1" selected="0">
            <x v="196"/>
          </reference>
          <reference field="3" count="1" selected="0">
            <x v="0"/>
          </reference>
          <reference field="12" count="1" selected="0">
            <x v="12"/>
          </reference>
          <reference field="13" count="1" selected="0">
            <x v="14"/>
          </reference>
          <reference field="14" count="1" selected="0">
            <x v="46"/>
          </reference>
          <reference field="15" count="1" selected="0">
            <x v="25"/>
          </reference>
          <reference field="16" count="1">
            <x v="26"/>
          </reference>
        </references>
      </pivotArea>
    </format>
    <format dxfId="392">
      <pivotArea dataOnly="0" labelOnly="1" fieldPosition="0">
        <references count="9">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selected="0">
            <x v="63"/>
          </reference>
          <reference field="15" count="1" selected="0">
            <x v="23"/>
          </reference>
          <reference field="16" count="1">
            <x v="14"/>
          </reference>
        </references>
      </pivotArea>
    </format>
    <format dxfId="391">
      <pivotArea dataOnly="0" labelOnly="1" fieldPosition="0">
        <references count="9">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selected="0">
            <x v="38"/>
          </reference>
          <reference field="15" count="1" selected="0">
            <x v="0"/>
          </reference>
          <reference field="16" count="1">
            <x v="0"/>
          </reference>
        </references>
      </pivotArea>
    </format>
    <format dxfId="390">
      <pivotArea dataOnly="0" labelOnly="1" fieldPosition="0">
        <references count="9">
          <reference field="0" count="1" selected="0">
            <x v="197"/>
          </reference>
          <reference field="1" count="1" selected="0">
            <x v="236"/>
          </reference>
          <reference field="2" count="1" selected="0">
            <x v="102"/>
          </reference>
          <reference field="3" count="1" selected="0">
            <x v="0"/>
          </reference>
          <reference field="12" count="1" selected="0">
            <x v="18"/>
          </reference>
          <reference field="13" count="1" selected="0">
            <x v="0"/>
          </reference>
          <reference field="14" count="1" selected="0">
            <x v="0"/>
          </reference>
          <reference field="15" count="1" selected="0">
            <x v="36"/>
          </reference>
          <reference field="16" count="1">
            <x v="30"/>
          </reference>
        </references>
      </pivotArea>
    </format>
    <format dxfId="389">
      <pivotArea dataOnly="0" labelOnly="1" fieldPosition="0">
        <references count="9">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selected="0">
            <x v="20"/>
          </reference>
          <reference field="15" count="1" selected="0">
            <x v="9"/>
          </reference>
          <reference field="16" count="1">
            <x v="18"/>
          </reference>
        </references>
      </pivotArea>
    </format>
    <format dxfId="388">
      <pivotArea dataOnly="0" labelOnly="1" fieldPosition="0">
        <references count="9">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selected="0">
            <x v="39"/>
          </reference>
          <reference field="15" count="1" selected="0">
            <x v="15"/>
          </reference>
          <reference field="16" count="1">
            <x v="27"/>
          </reference>
        </references>
      </pivotArea>
    </format>
    <format dxfId="387">
      <pivotArea dataOnly="0" labelOnly="1" fieldPosition="0">
        <references count="9">
          <reference field="0" count="1" selected="0">
            <x v="206"/>
          </reference>
          <reference field="1" count="1" selected="0">
            <x v="151"/>
          </reference>
          <reference field="2" count="1" selected="0">
            <x v="159"/>
          </reference>
          <reference field="3" count="1" selected="0">
            <x v="0"/>
          </reference>
          <reference field="12" count="1" selected="0">
            <x v="12"/>
          </reference>
          <reference field="13" count="1" selected="0">
            <x v="5"/>
          </reference>
          <reference field="14" count="1" selected="0">
            <x v="38"/>
          </reference>
          <reference field="15" count="1" selected="0">
            <x v="15"/>
          </reference>
          <reference field="16" count="1">
            <x v="0"/>
          </reference>
        </references>
      </pivotArea>
    </format>
    <format dxfId="386">
      <pivotArea dataOnly="0" labelOnly="1" fieldPosition="0">
        <references count="9">
          <reference field="0" count="1" selected="0">
            <x v="208"/>
          </reference>
          <reference field="1" count="1" selected="0">
            <x v="153"/>
          </reference>
          <reference field="2" count="1" selected="0">
            <x v="103"/>
          </reference>
          <reference field="3" count="1" selected="0">
            <x v="0"/>
          </reference>
          <reference field="12" count="1" selected="0">
            <x v="14"/>
          </reference>
          <reference field="13" count="1" selected="0">
            <x v="16"/>
          </reference>
          <reference field="14" count="1" selected="0">
            <x v="29"/>
          </reference>
          <reference field="15" count="1" selected="0">
            <x v="15"/>
          </reference>
          <reference field="16" count="1">
            <x v="43"/>
          </reference>
        </references>
      </pivotArea>
    </format>
    <format dxfId="385">
      <pivotArea dataOnly="0" labelOnly="1" fieldPosition="0">
        <references count="9">
          <reference field="0" count="1" selected="0">
            <x v="209"/>
          </reference>
          <reference field="1" count="1" selected="0">
            <x v="154"/>
          </reference>
          <reference field="2" count="1" selected="0">
            <x v="98"/>
          </reference>
          <reference field="3" count="1" selected="0">
            <x v="0"/>
          </reference>
          <reference field="12" count="1" selected="0">
            <x v="14"/>
          </reference>
          <reference field="13" count="1" selected="0">
            <x v="17"/>
          </reference>
          <reference field="14" count="1" selected="0">
            <x v="31"/>
          </reference>
          <reference field="15" count="1" selected="0">
            <x v="15"/>
          </reference>
          <reference field="16" count="1">
            <x v="47"/>
          </reference>
        </references>
      </pivotArea>
    </format>
    <format dxfId="384">
      <pivotArea dataOnly="0" labelOnly="1" fieldPosition="0">
        <references count="9">
          <reference field="0" count="1" selected="0">
            <x v="210"/>
          </reference>
          <reference field="1" count="1" selected="0">
            <x v="155"/>
          </reference>
          <reference field="2" count="1" selected="0">
            <x v="162"/>
          </reference>
          <reference field="3" count="1" selected="0">
            <x v="0"/>
          </reference>
          <reference field="12" count="1" selected="0">
            <x v="7"/>
          </reference>
          <reference field="13" count="1" selected="0">
            <x v="2"/>
          </reference>
          <reference field="14" count="1" selected="0">
            <x v="0"/>
          </reference>
          <reference field="15" count="1" selected="0">
            <x v="15"/>
          </reference>
          <reference field="16" count="1">
            <x v="0"/>
          </reference>
        </references>
      </pivotArea>
    </format>
    <format dxfId="383">
      <pivotArea dataOnly="0" labelOnly="1" fieldPosition="0">
        <references count="9">
          <reference field="0" count="1" selected="0">
            <x v="214"/>
          </reference>
          <reference field="1" count="1" selected="0">
            <x v="159"/>
          </reference>
          <reference field="2" count="1" selected="0">
            <x v="139"/>
          </reference>
          <reference field="3" count="1" selected="0">
            <x v="0"/>
          </reference>
          <reference field="12" count="1" selected="0">
            <x v="10"/>
          </reference>
          <reference field="13" count="1" selected="0">
            <x v="15"/>
          </reference>
          <reference field="14" count="1" selected="0">
            <x v="66"/>
          </reference>
          <reference field="15" count="1" selected="0">
            <x v="15"/>
          </reference>
          <reference field="16" count="1">
            <x v="41"/>
          </reference>
        </references>
      </pivotArea>
    </format>
    <format dxfId="382">
      <pivotArea dataOnly="0" labelOnly="1" fieldPosition="0">
        <references count="9">
          <reference field="0" count="1" selected="0">
            <x v="215"/>
          </reference>
          <reference field="1" count="1" selected="0">
            <x v="160"/>
          </reference>
          <reference field="2" count="1" selected="0">
            <x v="137"/>
          </reference>
          <reference field="3" count="1" selected="0">
            <x v="0"/>
          </reference>
          <reference field="12" count="1" selected="0">
            <x v="10"/>
          </reference>
          <reference field="13" count="1" selected="0">
            <x v="11"/>
          </reference>
          <reference field="14" count="1" selected="0">
            <x v="66"/>
          </reference>
          <reference field="15" count="1" selected="0">
            <x v="15"/>
          </reference>
          <reference field="16" count="1">
            <x v="16"/>
          </reference>
        </references>
      </pivotArea>
    </format>
    <format dxfId="381">
      <pivotArea dataOnly="0" labelOnly="1" fieldPosition="0">
        <references count="9">
          <reference field="0" count="1" selected="0">
            <x v="216"/>
          </reference>
          <reference field="1" count="1" selected="0">
            <x v="161"/>
          </reference>
          <reference field="2" count="1" selected="0">
            <x v="136"/>
          </reference>
          <reference field="3" count="1" selected="0">
            <x v="0"/>
          </reference>
          <reference field="12" count="1" selected="0">
            <x v="10"/>
          </reference>
          <reference field="13" count="1" selected="0">
            <x v="13"/>
          </reference>
          <reference field="14" count="1" selected="0">
            <x v="66"/>
          </reference>
          <reference field="15" count="1" selected="0">
            <x v="15"/>
          </reference>
          <reference field="16" count="1">
            <x v="3"/>
          </reference>
        </references>
      </pivotArea>
    </format>
    <format dxfId="380">
      <pivotArea dataOnly="0" labelOnly="1" fieldPosition="0">
        <references count="9">
          <reference field="0" count="1" selected="0">
            <x v="217"/>
          </reference>
          <reference field="1" count="1" selected="0">
            <x v="162"/>
          </reference>
          <reference field="2" count="1" selected="0">
            <x v="13"/>
          </reference>
          <reference field="3" count="1" selected="0">
            <x v="0"/>
          </reference>
          <reference field="12" count="1" selected="0">
            <x v="10"/>
          </reference>
          <reference field="13" count="1" selected="0">
            <x v="10"/>
          </reference>
          <reference field="14" count="1" selected="0">
            <x v="66"/>
          </reference>
          <reference field="15" count="1" selected="0">
            <x v="15"/>
          </reference>
          <reference field="16" count="1">
            <x v="36"/>
          </reference>
        </references>
      </pivotArea>
    </format>
    <format dxfId="379">
      <pivotArea dataOnly="0" labelOnly="1" fieldPosition="0">
        <references count="9">
          <reference field="0" count="1" selected="0">
            <x v="218"/>
          </reference>
          <reference field="1" count="1" selected="0">
            <x v="163"/>
          </reference>
          <reference field="2" count="1" selected="0">
            <x v="179"/>
          </reference>
          <reference field="3" count="1" selected="0">
            <x v="0"/>
          </reference>
          <reference field="12" count="1" selected="0">
            <x v="10"/>
          </reference>
          <reference field="13" count="1" selected="0">
            <x v="10"/>
          </reference>
          <reference field="14" count="1" selected="0">
            <x v="0"/>
          </reference>
          <reference field="15" count="1" selected="0">
            <x v="15"/>
          </reference>
          <reference field="16" count="1">
            <x v="0"/>
          </reference>
        </references>
      </pivotArea>
    </format>
    <format dxfId="378">
      <pivotArea dataOnly="0" labelOnly="1" fieldPosition="0">
        <references count="9">
          <reference field="0" count="1" selected="0">
            <x v="219"/>
          </reference>
          <reference field="1" count="1" selected="0">
            <x v="164"/>
          </reference>
          <reference field="2" count="1" selected="0">
            <x v="138"/>
          </reference>
          <reference field="3" count="1" selected="0">
            <x v="0"/>
          </reference>
          <reference field="12" count="1" selected="0">
            <x v="10"/>
          </reference>
          <reference field="13" count="1" selected="0">
            <x v="8"/>
          </reference>
          <reference field="14" count="1" selected="0">
            <x v="0"/>
          </reference>
          <reference field="15" count="1" selected="0">
            <x v="15"/>
          </reference>
          <reference field="16" count="1">
            <x v="7"/>
          </reference>
        </references>
      </pivotArea>
    </format>
    <format dxfId="377">
      <pivotArea dataOnly="0" labelOnly="1" fieldPosition="0">
        <references count="9">
          <reference field="0" count="1" selected="0">
            <x v="220"/>
          </reference>
          <reference field="1" count="1" selected="0">
            <x v="165"/>
          </reference>
          <reference field="2" count="1" selected="0">
            <x v="142"/>
          </reference>
          <reference field="3" count="1" selected="0">
            <x v="0"/>
          </reference>
          <reference field="12" count="1" selected="0">
            <x v="11"/>
          </reference>
          <reference field="13" count="1" selected="0">
            <x v="12"/>
          </reference>
          <reference field="14" count="1" selected="0">
            <x v="57"/>
          </reference>
          <reference field="15" count="1" selected="0">
            <x v="15"/>
          </reference>
          <reference field="16" count="1">
            <x v="9"/>
          </reference>
        </references>
      </pivotArea>
    </format>
    <format dxfId="376">
      <pivotArea dataOnly="0" labelOnly="1" fieldPosition="0">
        <references count="9">
          <reference field="0" count="1" selected="0">
            <x v="221"/>
          </reference>
          <reference field="1" count="1" selected="0">
            <x v="166"/>
          </reference>
          <reference field="2" count="1" selected="0">
            <x v="143"/>
          </reference>
          <reference field="3" count="1" selected="0">
            <x v="0"/>
          </reference>
          <reference field="12" count="1" selected="0">
            <x v="10"/>
          </reference>
          <reference field="13" count="1" selected="0">
            <x v="9"/>
          </reference>
          <reference field="14" count="1" selected="0">
            <x v="60"/>
          </reference>
          <reference field="15" count="1" selected="0">
            <x v="15"/>
          </reference>
          <reference field="16" count="1">
            <x v="7"/>
          </reference>
        </references>
      </pivotArea>
    </format>
    <format dxfId="375">
      <pivotArea dataOnly="0" labelOnly="1" fieldPosition="0">
        <references count="9">
          <reference field="0" count="1" selected="0">
            <x v="223"/>
          </reference>
          <reference field="1" count="1" selected="0">
            <x v="168"/>
          </reference>
          <reference field="2" count="1" selected="0">
            <x v="71"/>
          </reference>
          <reference field="3" count="1" selected="0">
            <x v="0"/>
          </reference>
          <reference field="12" count="1" selected="0">
            <x v="24"/>
          </reference>
          <reference field="13" count="1" selected="0">
            <x v="7"/>
          </reference>
          <reference field="14" count="1" selected="0">
            <x v="0"/>
          </reference>
          <reference field="15" count="1" selected="0">
            <x v="15"/>
          </reference>
          <reference field="16" count="1">
            <x v="28"/>
          </reference>
        </references>
      </pivotArea>
    </format>
    <format dxfId="374">
      <pivotArea dataOnly="0" labelOnly="1" fieldPosition="0">
        <references count="9">
          <reference field="0" count="1" selected="0">
            <x v="224"/>
          </reference>
          <reference field="1" count="1" selected="0">
            <x v="169"/>
          </reference>
          <reference field="2" count="1" selected="0">
            <x v="121"/>
          </reference>
          <reference field="3" count="1" selected="0">
            <x v="0"/>
          </reference>
          <reference field="12" count="1" selected="0">
            <x v="23"/>
          </reference>
          <reference field="13" count="1" selected="0">
            <x v="1"/>
          </reference>
          <reference field="14" count="1" selected="0">
            <x v="18"/>
          </reference>
          <reference field="15" count="1" selected="0">
            <x v="15"/>
          </reference>
          <reference field="16" count="1">
            <x v="29"/>
          </reference>
        </references>
      </pivotArea>
    </format>
    <format dxfId="373">
      <pivotArea dataOnly="0" labelOnly="1" fieldPosition="0">
        <references count="9">
          <reference field="0" count="1" selected="0">
            <x v="225"/>
          </reference>
          <reference field="1" count="1" selected="0">
            <x v="170"/>
          </reference>
          <reference field="2" count="1" selected="0">
            <x v="120"/>
          </reference>
          <reference field="3" count="1" selected="0">
            <x v="0"/>
          </reference>
          <reference field="12" count="1" selected="0">
            <x v="23"/>
          </reference>
          <reference field="13" count="1" selected="0">
            <x v="22"/>
          </reference>
          <reference field="14" count="1" selected="0">
            <x v="18"/>
          </reference>
          <reference field="15" count="1" selected="0">
            <x v="15"/>
          </reference>
          <reference field="16" count="1">
            <x v="0"/>
          </reference>
        </references>
      </pivotArea>
    </format>
    <format dxfId="372">
      <pivotArea dataOnly="0" labelOnly="1" fieldPosition="0">
        <references count="9">
          <reference field="0" count="1" selected="0">
            <x v="229"/>
          </reference>
          <reference field="1" count="1" selected="0">
            <x v="174"/>
          </reference>
          <reference field="2" count="1" selected="0">
            <x v="91"/>
          </reference>
          <reference field="3" count="1" selected="0">
            <x v="0"/>
          </reference>
          <reference field="12" count="1" selected="0">
            <x v="3"/>
          </reference>
          <reference field="13" count="1" selected="0">
            <x v="18"/>
          </reference>
          <reference field="14" count="1" selected="0">
            <x v="34"/>
          </reference>
          <reference field="15" count="1" selected="0">
            <x v="15"/>
          </reference>
          <reference field="16" count="1">
            <x v="19"/>
          </reference>
        </references>
      </pivotArea>
    </format>
    <format dxfId="371">
      <pivotArea dataOnly="0" labelOnly="1" fieldPosition="0">
        <references count="9">
          <reference field="0" count="1" selected="0">
            <x v="230"/>
          </reference>
          <reference field="1" count="1" selected="0">
            <x v="175"/>
          </reference>
          <reference field="2" count="1" selected="0">
            <x v="160"/>
          </reference>
          <reference field="3" count="1" selected="0">
            <x v="0"/>
          </reference>
          <reference field="12" count="1" selected="0">
            <x v="3"/>
          </reference>
          <reference field="13" count="1" selected="0">
            <x v="18"/>
          </reference>
          <reference field="14" count="1" selected="0">
            <x v="36"/>
          </reference>
          <reference field="15" count="1" selected="0">
            <x v="15"/>
          </reference>
          <reference field="16" count="1">
            <x v="48"/>
          </reference>
        </references>
      </pivotArea>
    </format>
    <format dxfId="370">
      <pivotArea dataOnly="0" labelOnly="1" fieldPosition="0">
        <references count="9">
          <reference field="0" count="1" selected="0">
            <x v="231"/>
          </reference>
          <reference field="1" count="1" selected="0">
            <x v="176"/>
          </reference>
          <reference field="2" count="1" selected="0">
            <x v="42"/>
          </reference>
          <reference field="3" count="1" selected="0">
            <x v="0"/>
          </reference>
          <reference field="12" count="1" selected="0">
            <x v="3"/>
          </reference>
          <reference field="13" count="1" selected="0">
            <x v="20"/>
          </reference>
          <reference field="14" count="1" selected="0">
            <x v="38"/>
          </reference>
          <reference field="15" count="1" selected="0">
            <x v="15"/>
          </reference>
          <reference field="16" count="1">
            <x v="0"/>
          </reference>
        </references>
      </pivotArea>
    </format>
    <format dxfId="369">
      <pivotArea dataOnly="0" labelOnly="1" fieldPosition="0">
        <references count="9">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selected="0">
            <x v="67"/>
          </reference>
          <reference field="15" count="1" selected="0">
            <x v="47"/>
          </reference>
          <reference field="16" count="1">
            <x v="65"/>
          </reference>
        </references>
      </pivotArea>
    </format>
    <format dxfId="368">
      <pivotArea dataOnly="0" labelOnly="1" fieldPosition="0">
        <references count="9">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selected="0">
            <x v="38"/>
          </reference>
          <reference field="15" count="1" selected="0">
            <x v="15"/>
          </reference>
          <reference field="16" count="1">
            <x v="0"/>
          </reference>
        </references>
      </pivotArea>
    </format>
    <format dxfId="367">
      <pivotArea dataOnly="0" labelOnly="1" outline="0" fieldPosition="0">
        <references count="1">
          <reference field="3" count="0"/>
        </references>
      </pivotArea>
    </format>
    <format dxfId="366">
      <pivotArea dataOnly="0" labelOnly="1" fieldPosition="0">
        <references count="5">
          <reference field="0" count="1" selected="0">
            <x v="0"/>
          </reference>
          <reference field="1" count="1" selected="0">
            <x v="228"/>
          </reference>
          <reference field="2" count="1" selected="0">
            <x v="153"/>
          </reference>
          <reference field="3" count="1" selected="0">
            <x v="0"/>
          </reference>
          <reference field="12" count="1">
            <x v="7"/>
          </reference>
        </references>
      </pivotArea>
    </format>
    <format dxfId="365">
      <pivotArea dataOnly="0" labelOnly="1" fieldPosition="0">
        <references count="5">
          <reference field="0" count="1" selected="0">
            <x v="3"/>
          </reference>
          <reference field="1" count="1" selected="0">
            <x v="231"/>
          </reference>
          <reference field="2" count="1" selected="0">
            <x v="88"/>
          </reference>
          <reference field="3" count="1" selected="0">
            <x v="0"/>
          </reference>
          <reference field="12" count="1">
            <x v="3"/>
          </reference>
        </references>
      </pivotArea>
    </format>
    <format dxfId="364">
      <pivotArea dataOnly="0" labelOnly="1" fieldPosition="0">
        <references count="5">
          <reference field="0" count="1" selected="0">
            <x v="5"/>
          </reference>
          <reference field="1" count="1" selected="0">
            <x v="233"/>
          </reference>
          <reference field="2" count="1" selected="0">
            <x v="224"/>
          </reference>
          <reference field="3" count="1" selected="0">
            <x v="0"/>
          </reference>
          <reference field="12" count="1">
            <x v="7"/>
          </reference>
        </references>
      </pivotArea>
    </format>
    <format dxfId="363">
      <pivotArea dataOnly="0" labelOnly="1" fieldPosition="0">
        <references count="5">
          <reference field="0" count="1" selected="0">
            <x v="7"/>
          </reference>
          <reference field="1" count="1" selected="0">
            <x v="118"/>
          </reference>
          <reference field="2" count="1" selected="0">
            <x v="171"/>
          </reference>
          <reference field="3" count="1" selected="0">
            <x v="0"/>
          </reference>
          <reference field="12" count="1">
            <x v="0"/>
          </reference>
        </references>
      </pivotArea>
    </format>
    <format dxfId="362">
      <pivotArea dataOnly="0" labelOnly="1" fieldPosition="0">
        <references count="5">
          <reference field="0" count="1" selected="0">
            <x v="16"/>
          </reference>
          <reference field="1" count="1" selected="0">
            <x v="64"/>
          </reference>
          <reference field="2" count="1" selected="0">
            <x v="157"/>
          </reference>
          <reference field="3" count="1" selected="0">
            <x v="0"/>
          </reference>
          <reference field="12" count="1">
            <x v="7"/>
          </reference>
        </references>
      </pivotArea>
    </format>
    <format dxfId="361">
      <pivotArea dataOnly="0" labelOnly="1" fieldPosition="0">
        <references count="5">
          <reference field="0" count="1" selected="0">
            <x v="22"/>
          </reference>
          <reference field="1" count="1" selected="0">
            <x v="19"/>
          </reference>
          <reference field="2" count="1" selected="0">
            <x v="39"/>
          </reference>
          <reference field="3" count="1" selected="0">
            <x v="0"/>
          </reference>
          <reference field="12" count="1">
            <x v="9"/>
          </reference>
        </references>
      </pivotArea>
    </format>
    <format dxfId="360">
      <pivotArea dataOnly="0" labelOnly="1" fieldPosition="0">
        <references count="5">
          <reference field="0" count="1" selected="0">
            <x v="26"/>
          </reference>
          <reference field="1" count="1" selected="0">
            <x v="23"/>
          </reference>
          <reference field="2" count="1" selected="0">
            <x v="217"/>
          </reference>
          <reference field="3" count="1" selected="0">
            <x v="0"/>
          </reference>
          <reference field="12" count="1">
            <x v="5"/>
          </reference>
        </references>
      </pivotArea>
    </format>
    <format dxfId="359">
      <pivotArea dataOnly="0" labelOnly="1" fieldPosition="0">
        <references count="5">
          <reference field="0" count="1" selected="0">
            <x v="28"/>
          </reference>
          <reference field="1" count="1" selected="0">
            <x v="25"/>
          </reference>
          <reference field="2" count="1" selected="0">
            <x v="52"/>
          </reference>
          <reference field="3" count="1" selected="0">
            <x v="0"/>
          </reference>
          <reference field="12" count="1">
            <x v="0"/>
          </reference>
        </references>
      </pivotArea>
    </format>
    <format dxfId="358">
      <pivotArea dataOnly="0" labelOnly="1" fieldPosition="0">
        <references count="5">
          <reference field="0" count="1" selected="0">
            <x v="29"/>
          </reference>
          <reference field="1" count="1" selected="0">
            <x v="26"/>
          </reference>
          <reference field="2" count="1" selected="0">
            <x v="62"/>
          </reference>
          <reference field="3" count="1" selected="0">
            <x v="0"/>
          </reference>
          <reference field="12" count="1">
            <x v="15"/>
          </reference>
        </references>
      </pivotArea>
    </format>
    <format dxfId="357">
      <pivotArea dataOnly="0" labelOnly="1" fieldPosition="0">
        <references count="5">
          <reference field="0" count="1" selected="0">
            <x v="31"/>
          </reference>
          <reference field="1" count="1" selected="0">
            <x v="28"/>
          </reference>
          <reference field="2" count="1" selected="0">
            <x v="53"/>
          </reference>
          <reference field="3" count="1" selected="0">
            <x v="0"/>
          </reference>
          <reference field="12" count="1">
            <x v="7"/>
          </reference>
        </references>
      </pivotArea>
    </format>
    <format dxfId="356">
      <pivotArea dataOnly="0" labelOnly="1" fieldPosition="0">
        <references count="5">
          <reference field="0" count="1" selected="0">
            <x v="35"/>
          </reference>
          <reference field="1" count="1" selected="0">
            <x v="32"/>
          </reference>
          <reference field="2" count="1" selected="0">
            <x v="51"/>
          </reference>
          <reference field="3" count="1" selected="0">
            <x v="0"/>
          </reference>
          <reference field="12" count="1">
            <x v="9"/>
          </reference>
        </references>
      </pivotArea>
    </format>
    <format dxfId="355">
      <pivotArea dataOnly="0" labelOnly="1" fieldPosition="0">
        <references count="5">
          <reference field="0" count="1" selected="0">
            <x v="36"/>
          </reference>
          <reference field="1" count="1" selected="0">
            <x v="33"/>
          </reference>
          <reference field="2" count="1" selected="0">
            <x v="130"/>
          </reference>
          <reference field="3" count="1" selected="0">
            <x v="0"/>
          </reference>
          <reference field="12" count="1">
            <x v="22"/>
          </reference>
        </references>
      </pivotArea>
    </format>
    <format dxfId="354">
      <pivotArea dataOnly="0" labelOnly="1" fieldPosition="0">
        <references count="5">
          <reference field="0" count="1" selected="0">
            <x v="37"/>
          </reference>
          <reference field="1" count="1" selected="0">
            <x v="34"/>
          </reference>
          <reference field="2" count="1" selected="0">
            <x v="70"/>
          </reference>
          <reference field="3" count="1" selected="0">
            <x v="0"/>
          </reference>
          <reference field="12" count="1">
            <x v="10"/>
          </reference>
        </references>
      </pivotArea>
    </format>
    <format dxfId="353">
      <pivotArea dataOnly="0" labelOnly="1" fieldPosition="0">
        <references count="5">
          <reference field="0" count="1" selected="0">
            <x v="55"/>
          </reference>
          <reference field="1" count="1" selected="0">
            <x v="35"/>
          </reference>
          <reference field="2" count="1" selected="0">
            <x v="65"/>
          </reference>
          <reference field="3" count="1" selected="0">
            <x v="0"/>
          </reference>
          <reference field="12" count="1">
            <x v="3"/>
          </reference>
        </references>
      </pivotArea>
    </format>
    <format dxfId="352">
      <pivotArea dataOnly="0" labelOnly="1" fieldPosition="0">
        <references count="5">
          <reference field="0" count="1" selected="0">
            <x v="81"/>
          </reference>
          <reference field="1" count="1" selected="0">
            <x v="68"/>
          </reference>
          <reference field="2" count="1" selected="0">
            <x v="112"/>
          </reference>
          <reference field="3" count="1" selected="0">
            <x v="0"/>
          </reference>
          <reference field="12" count="1">
            <x v="0"/>
          </reference>
        </references>
      </pivotArea>
    </format>
    <format dxfId="351">
      <pivotArea dataOnly="0" labelOnly="1" fieldPosition="0">
        <references count="5">
          <reference field="0" count="1" selected="0">
            <x v="82"/>
          </reference>
          <reference field="1" count="1" selected="0">
            <x v="69"/>
          </reference>
          <reference field="2" count="1" selected="0">
            <x v="226"/>
          </reference>
          <reference field="3" count="1" selected="0">
            <x v="0"/>
          </reference>
          <reference field="12" count="1">
            <x v="5"/>
          </reference>
        </references>
      </pivotArea>
    </format>
    <format dxfId="350">
      <pivotArea dataOnly="0" labelOnly="1" fieldPosition="0">
        <references count="5">
          <reference field="0" count="1" selected="0">
            <x v="84"/>
          </reference>
          <reference field="1" count="1" selected="0">
            <x v="71"/>
          </reference>
          <reference field="2" count="1" selected="0">
            <x v="192"/>
          </reference>
          <reference field="3" count="1" selected="0">
            <x v="0"/>
          </reference>
          <reference field="12" count="1">
            <x v="7"/>
          </reference>
        </references>
      </pivotArea>
    </format>
    <format dxfId="349">
      <pivotArea dataOnly="0" labelOnly="1" fieldPosition="0">
        <references count="5">
          <reference field="0" count="1" selected="0">
            <x v="88"/>
          </reference>
          <reference field="1" count="1" selected="0">
            <x v="75"/>
          </reference>
          <reference field="2" count="1" selected="0">
            <x v="38"/>
          </reference>
          <reference field="3" count="1" selected="0">
            <x v="0"/>
          </reference>
          <reference field="12" count="1">
            <x v="2"/>
          </reference>
        </references>
      </pivotArea>
    </format>
    <format dxfId="348">
      <pivotArea dataOnly="0" labelOnly="1" fieldPosition="0">
        <references count="5">
          <reference field="0" count="1" selected="0">
            <x v="89"/>
          </reference>
          <reference field="1" count="1" selected="0">
            <x v="76"/>
          </reference>
          <reference field="2" count="1" selected="0">
            <x v="232"/>
          </reference>
          <reference field="3" count="1" selected="0">
            <x v="0"/>
          </reference>
          <reference field="12" count="1">
            <x v="7"/>
          </reference>
        </references>
      </pivotArea>
    </format>
    <format dxfId="347">
      <pivotArea dataOnly="0" labelOnly="1" fieldPosition="0">
        <references count="5">
          <reference field="0" count="1" selected="0">
            <x v="95"/>
          </reference>
          <reference field="1" count="1" selected="0">
            <x v="82"/>
          </reference>
          <reference field="2" count="1" selected="0">
            <x v="5"/>
          </reference>
          <reference field="3" count="1" selected="0">
            <x v="0"/>
          </reference>
          <reference field="12" count="1">
            <x v="1"/>
          </reference>
        </references>
      </pivotArea>
    </format>
    <format dxfId="346">
      <pivotArea dataOnly="0" labelOnly="1" fieldPosition="0">
        <references count="5">
          <reference field="0" count="1" selected="0">
            <x v="96"/>
          </reference>
          <reference field="1" count="1" selected="0">
            <x v="83"/>
          </reference>
          <reference field="2" count="1" selected="0">
            <x v="173"/>
          </reference>
          <reference field="3" count="1" selected="0">
            <x v="0"/>
          </reference>
          <reference field="12" count="1">
            <x v="3"/>
          </reference>
        </references>
      </pivotArea>
    </format>
    <format dxfId="345">
      <pivotArea dataOnly="0" labelOnly="1" fieldPosition="0">
        <references count="5">
          <reference field="0" count="1" selected="0">
            <x v="105"/>
          </reference>
          <reference field="1" count="1" selected="0">
            <x v="92"/>
          </reference>
          <reference field="2" count="1" selected="0">
            <x v="134"/>
          </reference>
          <reference field="3" count="1" selected="0">
            <x v="0"/>
          </reference>
          <reference field="12" count="1">
            <x v="7"/>
          </reference>
        </references>
      </pivotArea>
    </format>
    <format dxfId="344">
      <pivotArea dataOnly="0" labelOnly="1" fieldPosition="0">
        <references count="5">
          <reference field="0" count="1" selected="0">
            <x v="122"/>
          </reference>
          <reference field="1" count="1" selected="0">
            <x v="109"/>
          </reference>
          <reference field="2" count="1" selected="0">
            <x v="35"/>
          </reference>
          <reference field="3" count="1" selected="0">
            <x v="0"/>
          </reference>
          <reference field="12" count="1">
            <x v="3"/>
          </reference>
        </references>
      </pivotArea>
    </format>
    <format dxfId="343">
      <pivotArea dataOnly="0" labelOnly="1" fieldPosition="0">
        <references count="5">
          <reference field="0" count="1" selected="0">
            <x v="123"/>
          </reference>
          <reference field="1" count="1" selected="0">
            <x v="110"/>
          </reference>
          <reference field="2" count="1" selected="0">
            <x v="176"/>
          </reference>
          <reference field="3" count="1" selected="0">
            <x v="0"/>
          </reference>
          <reference field="12" count="1">
            <x v="5"/>
          </reference>
        </references>
      </pivotArea>
    </format>
    <format dxfId="342">
      <pivotArea dataOnly="0" labelOnly="1" fieldPosition="0">
        <references count="5">
          <reference field="0" count="1" selected="0">
            <x v="124"/>
          </reference>
          <reference field="1" count="1" selected="0">
            <x v="111"/>
          </reference>
          <reference field="2" count="1" selected="0">
            <x v="218"/>
          </reference>
          <reference field="3" count="1" selected="0">
            <x v="0"/>
          </reference>
          <reference field="12" count="1">
            <x v="0"/>
          </reference>
        </references>
      </pivotArea>
    </format>
    <format dxfId="341">
      <pivotArea dataOnly="0" labelOnly="1" fieldPosition="0">
        <references count="5">
          <reference field="0" count="1" selected="0">
            <x v="125"/>
          </reference>
          <reference field="1" count="1" selected="0">
            <x v="112"/>
          </reference>
          <reference field="2" count="1" selected="0">
            <x v="197"/>
          </reference>
          <reference field="3" count="1" selected="0">
            <x v="0"/>
          </reference>
          <reference field="12" count="1">
            <x v="3"/>
          </reference>
        </references>
      </pivotArea>
    </format>
    <format dxfId="340">
      <pivotArea dataOnly="0" labelOnly="1" fieldPosition="0">
        <references count="5">
          <reference field="0" count="1" selected="0">
            <x v="126"/>
          </reference>
          <reference field="1" count="1" selected="0">
            <x v="113"/>
          </reference>
          <reference field="2" count="1" selected="0">
            <x v="191"/>
          </reference>
          <reference field="3" count="1" selected="0">
            <x v="0"/>
          </reference>
          <reference field="12" count="1">
            <x v="0"/>
          </reference>
        </references>
      </pivotArea>
    </format>
    <format dxfId="339">
      <pivotArea dataOnly="0" labelOnly="1" fieldPosition="0">
        <references count="5">
          <reference field="0" count="1" selected="0">
            <x v="129"/>
          </reference>
          <reference field="1" count="1" selected="0">
            <x v="116"/>
          </reference>
          <reference field="2" count="1" selected="0">
            <x v="212"/>
          </reference>
          <reference field="3" count="1" selected="0">
            <x v="0"/>
          </reference>
          <reference field="12" count="1">
            <x v="3"/>
          </reference>
        </references>
      </pivotArea>
    </format>
    <format dxfId="338">
      <pivotArea dataOnly="0" labelOnly="1" fieldPosition="0">
        <references count="5">
          <reference field="0" count="1" selected="0">
            <x v="130"/>
          </reference>
          <reference field="1" count="1" selected="0">
            <x v="117"/>
          </reference>
          <reference field="2" count="1" selected="0">
            <x v="118"/>
          </reference>
          <reference field="3" count="1" selected="0">
            <x v="0"/>
          </reference>
          <reference field="12" count="1">
            <x v="7"/>
          </reference>
        </references>
      </pivotArea>
    </format>
    <format dxfId="337">
      <pivotArea dataOnly="0" labelOnly="1" fieldPosition="0">
        <references count="5">
          <reference field="0" count="1" selected="0">
            <x v="134"/>
          </reference>
          <reference field="1" count="1" selected="0">
            <x v="127"/>
          </reference>
          <reference field="2" count="1" selected="0">
            <x v="2"/>
          </reference>
          <reference field="3" count="1" selected="0">
            <x v="0"/>
          </reference>
          <reference field="12" count="1">
            <x v="4"/>
          </reference>
        </references>
      </pivotArea>
    </format>
    <format dxfId="336">
      <pivotArea dataOnly="0" labelOnly="1" fieldPosition="0">
        <references count="5">
          <reference field="0" count="1" selected="0">
            <x v="135"/>
          </reference>
          <reference field="1" count="1" selected="0">
            <x v="128"/>
          </reference>
          <reference field="2" count="1" selected="0">
            <x v="151"/>
          </reference>
          <reference field="3" count="1" selected="0">
            <x v="0"/>
          </reference>
          <reference field="12" count="1">
            <x v="3"/>
          </reference>
        </references>
      </pivotArea>
    </format>
    <format dxfId="335">
      <pivotArea dataOnly="0" labelOnly="1" fieldPosition="0">
        <references count="5">
          <reference field="0" count="1" selected="0">
            <x v="144"/>
          </reference>
          <reference field="1" count="1" selected="0">
            <x v="137"/>
          </reference>
          <reference field="2" count="1" selected="0">
            <x v="79"/>
          </reference>
          <reference field="3" count="1" selected="0">
            <x v="0"/>
          </reference>
          <reference field="12" count="1">
            <x v="0"/>
          </reference>
        </references>
      </pivotArea>
    </format>
    <format dxfId="334">
      <pivotArea dataOnly="0" labelOnly="1" fieldPosition="0">
        <references count="5">
          <reference field="0" count="1" selected="0">
            <x v="146"/>
          </reference>
          <reference field="1" count="1" selected="0">
            <x v="139"/>
          </reference>
          <reference field="2" count="1" selected="0">
            <x v="30"/>
          </reference>
          <reference field="3" count="1" selected="0">
            <x v="0"/>
          </reference>
          <reference field="12" count="1">
            <x v="26"/>
          </reference>
        </references>
      </pivotArea>
    </format>
    <format dxfId="333">
      <pivotArea dataOnly="0" labelOnly="1" fieldPosition="0">
        <references count="5">
          <reference field="0" count="1" selected="0">
            <x v="149"/>
          </reference>
          <reference field="1" count="1" selected="0">
            <x v="142"/>
          </reference>
          <reference field="2" count="1" selected="0">
            <x v="165"/>
          </reference>
          <reference field="3" count="1" selected="0">
            <x v="0"/>
          </reference>
          <reference field="12" count="1">
            <x v="14"/>
          </reference>
        </references>
      </pivotArea>
    </format>
    <format dxfId="332">
      <pivotArea dataOnly="0" labelOnly="1" fieldPosition="0">
        <references count="5">
          <reference field="0" count="1" selected="0">
            <x v="155"/>
          </reference>
          <reference field="1" count="1" selected="0">
            <x v="148"/>
          </reference>
          <reference field="2" count="1" selected="0">
            <x v="3"/>
          </reference>
          <reference field="3" count="1" selected="0">
            <x v="0"/>
          </reference>
          <reference field="12" count="1">
            <x v="23"/>
          </reference>
        </references>
      </pivotArea>
    </format>
    <format dxfId="331">
      <pivotArea dataOnly="0" labelOnly="1" fieldPosition="0">
        <references count="5">
          <reference field="0" count="1" selected="0">
            <x v="159"/>
          </reference>
          <reference field="1" count="1" selected="0">
            <x v="183"/>
          </reference>
          <reference field="2" count="1" selected="0">
            <x v="122"/>
          </reference>
          <reference field="3" count="1" selected="0">
            <x v="0"/>
          </reference>
          <reference field="12" count="1">
            <x v="8"/>
          </reference>
        </references>
      </pivotArea>
    </format>
    <format dxfId="330">
      <pivotArea dataOnly="0" labelOnly="1" fieldPosition="0">
        <references count="5">
          <reference field="0" count="1" selected="0">
            <x v="160"/>
          </reference>
          <reference field="1" count="1" selected="0">
            <x v="184"/>
          </reference>
          <reference field="2" count="1" selected="0">
            <x v="187"/>
          </reference>
          <reference field="3" count="1" selected="0">
            <x v="0"/>
          </reference>
          <reference field="12" count="1">
            <x v="7"/>
          </reference>
        </references>
      </pivotArea>
    </format>
    <format dxfId="329">
      <pivotArea dataOnly="0" labelOnly="1" fieldPosition="0">
        <references count="5">
          <reference field="0" count="1" selected="0">
            <x v="161"/>
          </reference>
          <reference field="1" count="1" selected="0">
            <x v="185"/>
          </reference>
          <reference field="2" count="1" selected="0">
            <x v="186"/>
          </reference>
          <reference field="3" count="1" selected="0">
            <x v="0"/>
          </reference>
          <reference field="12" count="1">
            <x v="9"/>
          </reference>
        </references>
      </pivotArea>
    </format>
    <format dxfId="328">
      <pivotArea dataOnly="0" labelOnly="1" fieldPosition="0">
        <references count="5">
          <reference field="0" count="1" selected="0">
            <x v="162"/>
          </reference>
          <reference field="1" count="1" selected="0">
            <x v="186"/>
          </reference>
          <reference field="2" count="1" selected="0">
            <x v="125"/>
          </reference>
          <reference field="3" count="1" selected="0">
            <x v="0"/>
          </reference>
          <reference field="12" count="1">
            <x v="10"/>
          </reference>
        </references>
      </pivotArea>
    </format>
    <format dxfId="327">
      <pivotArea dataOnly="0" labelOnly="1" fieldPosition="0">
        <references count="5">
          <reference field="0" count="1" selected="0">
            <x v="164"/>
          </reference>
          <reference field="1" count="1" selected="0">
            <x v="188"/>
          </reference>
          <reference field="2" count="1" selected="0">
            <x v="119"/>
          </reference>
          <reference field="3" count="1" selected="0">
            <x v="0"/>
          </reference>
          <reference field="12" count="1">
            <x v="13"/>
          </reference>
        </references>
      </pivotArea>
    </format>
    <format dxfId="326">
      <pivotArea dataOnly="0" labelOnly="1" fieldPosition="0">
        <references count="5">
          <reference field="0" count="1" selected="0">
            <x v="167"/>
          </reference>
          <reference field="1" count="1" selected="0">
            <x v="199"/>
          </reference>
          <reference field="2" count="1" selected="0">
            <x v="56"/>
          </reference>
          <reference field="3" count="1" selected="0">
            <x v="0"/>
          </reference>
          <reference field="12" count="1">
            <x v="18"/>
          </reference>
        </references>
      </pivotArea>
    </format>
    <format dxfId="325">
      <pivotArea dataOnly="0" labelOnly="1" fieldPosition="0">
        <references count="5">
          <reference field="0" count="1" selected="0">
            <x v="168"/>
          </reference>
          <reference field="1" count="1" selected="0">
            <x v="200"/>
          </reference>
          <reference field="2" count="1" selected="0">
            <x v="9"/>
          </reference>
          <reference field="3" count="1" selected="0">
            <x v="0"/>
          </reference>
          <reference field="12" count="1">
            <x v="7"/>
          </reference>
        </references>
      </pivotArea>
    </format>
    <format dxfId="324">
      <pivotArea dataOnly="0" labelOnly="1" fieldPosition="0">
        <references count="5">
          <reference field="0" count="1" selected="0">
            <x v="171"/>
          </reference>
          <reference field="1" count="1" selected="0">
            <x v="203"/>
          </reference>
          <reference field="2" count="1" selected="0">
            <x v="10"/>
          </reference>
          <reference field="3" count="1" selected="0">
            <x v="0"/>
          </reference>
          <reference field="12" count="1">
            <x v="9"/>
          </reference>
        </references>
      </pivotArea>
    </format>
    <format dxfId="323">
      <pivotArea dataOnly="0" labelOnly="1" fieldPosition="0">
        <references count="5">
          <reference field="0" count="1" selected="0">
            <x v="172"/>
          </reference>
          <reference field="1" count="1" selected="0">
            <x v="204"/>
          </reference>
          <reference field="2" count="1" selected="0">
            <x v="216"/>
          </reference>
          <reference field="3" count="1" selected="0">
            <x v="0"/>
          </reference>
          <reference field="12" count="1">
            <x v="2"/>
          </reference>
        </references>
      </pivotArea>
    </format>
    <format dxfId="322">
      <pivotArea dataOnly="0" labelOnly="1" fieldPosition="0">
        <references count="5">
          <reference field="0" count="1" selected="0">
            <x v="173"/>
          </reference>
          <reference field="1" count="1" selected="0">
            <x v="205"/>
          </reference>
          <reference field="2" count="1" selected="0">
            <x v="94"/>
          </reference>
          <reference field="3" count="1" selected="0">
            <x v="0"/>
          </reference>
          <reference field="12" count="1">
            <x v="20"/>
          </reference>
        </references>
      </pivotArea>
    </format>
    <format dxfId="321">
      <pivotArea dataOnly="0" labelOnly="1" fieldPosition="0">
        <references count="5">
          <reference field="0" count="1" selected="0">
            <x v="175"/>
          </reference>
          <reference field="1" count="1" selected="0">
            <x v="207"/>
          </reference>
          <reference field="2" count="1" selected="0">
            <x v="172"/>
          </reference>
          <reference field="3" count="1" selected="0">
            <x v="0"/>
          </reference>
          <reference field="12" count="1">
            <x v="21"/>
          </reference>
        </references>
      </pivotArea>
    </format>
    <format dxfId="320">
      <pivotArea dataOnly="0" labelOnly="1" fieldPosition="0">
        <references count="5">
          <reference field="0" count="1" selected="0">
            <x v="176"/>
          </reference>
          <reference field="1" count="1" selected="0">
            <x v="208"/>
          </reference>
          <reference field="2" count="1" selected="0">
            <x v="215"/>
          </reference>
          <reference field="3" count="1" selected="0">
            <x v="0"/>
          </reference>
          <reference field="12" count="1">
            <x v="20"/>
          </reference>
        </references>
      </pivotArea>
    </format>
    <format dxfId="319">
      <pivotArea dataOnly="0" labelOnly="1" fieldPosition="0">
        <references count="5">
          <reference field="0" count="1" selected="0">
            <x v="180"/>
          </reference>
          <reference field="1" count="1" selected="0">
            <x v="212"/>
          </reference>
          <reference field="2" count="1" selected="0">
            <x v="97"/>
          </reference>
          <reference field="3" count="1" selected="0">
            <x v="0"/>
          </reference>
          <reference field="12" count="1">
            <x v="14"/>
          </reference>
        </references>
      </pivotArea>
    </format>
    <format dxfId="318">
      <pivotArea dataOnly="0" labelOnly="1" fieldPosition="0">
        <references count="5">
          <reference field="0" count="1" selected="0">
            <x v="182"/>
          </reference>
          <reference field="1" count="1" selected="0">
            <x v="214"/>
          </reference>
          <reference field="2" count="1" selected="0">
            <x v="235"/>
          </reference>
          <reference field="3" count="1" selected="0">
            <x v="0"/>
          </reference>
          <reference field="12" count="1">
            <x v="7"/>
          </reference>
        </references>
      </pivotArea>
    </format>
    <format dxfId="317">
      <pivotArea dataOnly="0" labelOnly="1" fieldPosition="0">
        <references count="5">
          <reference field="0" count="1" selected="0">
            <x v="183"/>
          </reference>
          <reference field="1" count="1" selected="0">
            <x v="215"/>
          </reference>
          <reference field="2" count="1" selected="0">
            <x v="206"/>
          </reference>
          <reference field="3" count="1" selected="0">
            <x v="0"/>
          </reference>
          <reference field="12" count="1">
            <x v="14"/>
          </reference>
        </references>
      </pivotArea>
    </format>
    <format dxfId="316">
      <pivotArea dataOnly="0" labelOnly="1" fieldPosition="0">
        <references count="5">
          <reference field="0" count="1" selected="0">
            <x v="184"/>
          </reference>
          <reference field="1" count="1" selected="0">
            <x v="216"/>
          </reference>
          <reference field="2" count="1" selected="0">
            <x v="111"/>
          </reference>
          <reference field="3" count="1" selected="0">
            <x v="0"/>
          </reference>
          <reference field="12" count="1">
            <x v="22"/>
          </reference>
        </references>
      </pivotArea>
    </format>
    <format dxfId="315">
      <pivotArea dataOnly="0" labelOnly="1" fieldPosition="0">
        <references count="5">
          <reference field="0" count="1" selected="0">
            <x v="185"/>
          </reference>
          <reference field="1" count="1" selected="0">
            <x v="217"/>
          </reference>
          <reference field="2" count="1" selected="0">
            <x v="113"/>
          </reference>
          <reference field="3" count="1" selected="0">
            <x v="0"/>
          </reference>
          <reference field="12" count="1">
            <x v="12"/>
          </reference>
        </references>
      </pivotArea>
    </format>
    <format dxfId="314">
      <pivotArea dataOnly="0" labelOnly="1" fieldPosition="0">
        <references count="5">
          <reference field="0" count="1" selected="0">
            <x v="192"/>
          </reference>
          <reference field="1" count="1" selected="0">
            <x v="224"/>
          </reference>
          <reference field="2" count="1" selected="0">
            <x v="80"/>
          </reference>
          <reference field="3" count="1" selected="0">
            <x v="0"/>
          </reference>
          <reference field="12" count="1">
            <x v="7"/>
          </reference>
        </references>
      </pivotArea>
    </format>
    <format dxfId="313">
      <pivotArea dataOnly="0" labelOnly="1" fieldPosition="0">
        <references count="5">
          <reference field="0" count="1" selected="0">
            <x v="197"/>
          </reference>
          <reference field="1" count="1" selected="0">
            <x v="236"/>
          </reference>
          <reference field="2" count="1" selected="0">
            <x v="102"/>
          </reference>
          <reference field="3" count="1" selected="0">
            <x v="0"/>
          </reference>
          <reference field="12" count="1">
            <x v="18"/>
          </reference>
        </references>
      </pivotArea>
    </format>
    <format dxfId="312">
      <pivotArea dataOnly="0" labelOnly="1" fieldPosition="0">
        <references count="5">
          <reference field="0" count="1" selected="0">
            <x v="199"/>
          </reference>
          <reference field="1" count="1" selected="0">
            <x v="238"/>
          </reference>
          <reference field="2" count="1" selected="0">
            <x v="33"/>
          </reference>
          <reference field="3" count="1" selected="0">
            <x v="0"/>
          </reference>
          <reference field="12" count="1">
            <x v="20"/>
          </reference>
        </references>
      </pivotArea>
    </format>
    <format dxfId="311">
      <pivotArea dataOnly="0" labelOnly="1" fieldPosition="0">
        <references count="5">
          <reference field="0" count="1" selected="0">
            <x v="204"/>
          </reference>
          <reference field="1" count="1" selected="0">
            <x v="149"/>
          </reference>
          <reference field="2" count="1" selected="0">
            <x v="117"/>
          </reference>
          <reference field="3" count="1" selected="0">
            <x v="0"/>
          </reference>
          <reference field="12" count="1">
            <x v="12"/>
          </reference>
        </references>
      </pivotArea>
    </format>
    <format dxfId="310">
      <pivotArea dataOnly="0" labelOnly="1" fieldPosition="0">
        <references count="5">
          <reference field="0" count="1" selected="0">
            <x v="207"/>
          </reference>
          <reference field="1" count="1" selected="0">
            <x v="152"/>
          </reference>
          <reference field="2" count="1" selected="0">
            <x v="81"/>
          </reference>
          <reference field="3" count="1" selected="0">
            <x v="0"/>
          </reference>
          <reference field="12" count="1">
            <x v="7"/>
          </reference>
        </references>
      </pivotArea>
    </format>
    <format dxfId="309">
      <pivotArea dataOnly="0" labelOnly="1" fieldPosition="0">
        <references count="5">
          <reference field="0" count="1" selected="0">
            <x v="208"/>
          </reference>
          <reference field="1" count="1" selected="0">
            <x v="153"/>
          </reference>
          <reference field="2" count="1" selected="0">
            <x v="103"/>
          </reference>
          <reference field="3" count="1" selected="0">
            <x v="0"/>
          </reference>
          <reference field="12" count="1">
            <x v="14"/>
          </reference>
        </references>
      </pivotArea>
    </format>
    <format dxfId="308">
      <pivotArea dataOnly="0" labelOnly="1" fieldPosition="0">
        <references count="5">
          <reference field="0" count="1" selected="0">
            <x v="210"/>
          </reference>
          <reference field="1" count="1" selected="0">
            <x v="155"/>
          </reference>
          <reference field="2" count="1" selected="0">
            <x v="162"/>
          </reference>
          <reference field="3" count="1" selected="0">
            <x v="0"/>
          </reference>
          <reference field="12" count="1">
            <x v="7"/>
          </reference>
        </references>
      </pivotArea>
    </format>
    <format dxfId="307">
      <pivotArea dataOnly="0" labelOnly="1" fieldPosition="0">
        <references count="5">
          <reference field="0" count="1" selected="0">
            <x v="211"/>
          </reference>
          <reference field="1" count="1" selected="0">
            <x v="156"/>
          </reference>
          <reference field="2" count="1" selected="0">
            <x v="164"/>
          </reference>
          <reference field="3" count="1" selected="0">
            <x v="0"/>
          </reference>
          <reference field="12" count="1">
            <x v="20"/>
          </reference>
        </references>
      </pivotArea>
    </format>
    <format dxfId="306">
      <pivotArea dataOnly="0" labelOnly="1" fieldPosition="0">
        <references count="5">
          <reference field="0" count="1" selected="0">
            <x v="214"/>
          </reference>
          <reference field="1" count="1" selected="0">
            <x v="159"/>
          </reference>
          <reference field="2" count="1" selected="0">
            <x v="139"/>
          </reference>
          <reference field="3" count="1" selected="0">
            <x v="0"/>
          </reference>
          <reference field="12" count="1">
            <x v="10"/>
          </reference>
        </references>
      </pivotArea>
    </format>
    <format dxfId="305">
      <pivotArea dataOnly="0" labelOnly="1" fieldPosition="0">
        <references count="5">
          <reference field="0" count="1" selected="0">
            <x v="220"/>
          </reference>
          <reference field="1" count="1" selected="0">
            <x v="165"/>
          </reference>
          <reference field="2" count="1" selected="0">
            <x v="142"/>
          </reference>
          <reference field="3" count="1" selected="0">
            <x v="0"/>
          </reference>
          <reference field="12" count="1">
            <x v="11"/>
          </reference>
        </references>
      </pivotArea>
    </format>
    <format dxfId="304">
      <pivotArea dataOnly="0" labelOnly="1" fieldPosition="0">
        <references count="5">
          <reference field="0" count="1" selected="0">
            <x v="221"/>
          </reference>
          <reference field="1" count="1" selected="0">
            <x v="166"/>
          </reference>
          <reference field="2" count="1" selected="0">
            <x v="143"/>
          </reference>
          <reference field="3" count="1" selected="0">
            <x v="0"/>
          </reference>
          <reference field="12" count="1">
            <x v="10"/>
          </reference>
        </references>
      </pivotArea>
    </format>
    <format dxfId="303">
      <pivotArea dataOnly="0" labelOnly="1" fieldPosition="0">
        <references count="5">
          <reference field="0" count="1" selected="0">
            <x v="223"/>
          </reference>
          <reference field="1" count="1" selected="0">
            <x v="168"/>
          </reference>
          <reference field="2" count="1" selected="0">
            <x v="71"/>
          </reference>
          <reference field="3" count="1" selected="0">
            <x v="0"/>
          </reference>
          <reference field="12" count="1">
            <x v="24"/>
          </reference>
        </references>
      </pivotArea>
    </format>
    <format dxfId="302">
      <pivotArea dataOnly="0" labelOnly="1" fieldPosition="0">
        <references count="5">
          <reference field="0" count="1" selected="0">
            <x v="224"/>
          </reference>
          <reference field="1" count="1" selected="0">
            <x v="169"/>
          </reference>
          <reference field="2" count="1" selected="0">
            <x v="121"/>
          </reference>
          <reference field="3" count="1" selected="0">
            <x v="0"/>
          </reference>
          <reference field="12" count="1">
            <x v="23"/>
          </reference>
        </references>
      </pivotArea>
    </format>
    <format dxfId="301">
      <pivotArea dataOnly="0" labelOnly="1" fieldPosition="0">
        <references count="5">
          <reference field="0" count="1" selected="0">
            <x v="228"/>
          </reference>
          <reference field="1" count="1" selected="0">
            <x v="173"/>
          </reference>
          <reference field="2" count="1" selected="0">
            <x v="145"/>
          </reference>
          <reference field="3" count="1" selected="0">
            <x v="0"/>
          </reference>
          <reference field="12" count="1">
            <x v="3"/>
          </reference>
        </references>
      </pivotArea>
    </format>
    <format dxfId="300">
      <pivotArea dataOnly="0" labelOnly="1" fieldPosition="0">
        <references count="5">
          <reference field="0" count="1" selected="0">
            <x v="234"/>
          </reference>
          <reference field="1" count="1" selected="0">
            <x v="179"/>
          </reference>
          <reference field="2" count="1" selected="0">
            <x v="163"/>
          </reference>
          <reference field="3" count="1" selected="0">
            <x v="0"/>
          </reference>
          <reference field="12" count="1">
            <x v="28"/>
          </reference>
        </references>
      </pivotArea>
    </format>
    <format dxfId="299">
      <pivotArea dataOnly="0" labelOnly="1" fieldPosition="0">
        <references count="5">
          <reference field="0" count="1" selected="0">
            <x v="235"/>
          </reference>
          <reference field="1" count="1" selected="0">
            <x v="191"/>
          </reference>
          <reference field="2" count="1" selected="0">
            <x v="155"/>
          </reference>
          <reference field="3" count="1" selected="0">
            <x v="0"/>
          </reference>
          <reference field="12" count="1">
            <x v="3"/>
          </reference>
        </references>
      </pivotArea>
    </format>
    <format dxfId="298">
      <pivotArea dataOnly="0" labelOnly="1" fieldPosition="0">
        <references count="5">
          <reference field="0" count="1" selected="0">
            <x v="238"/>
          </reference>
          <reference field="1" count="1" selected="0">
            <x v="194"/>
          </reference>
          <reference field="2" count="1" selected="0">
            <x v="25"/>
          </reference>
          <reference field="3" count="1" selected="0">
            <x v="0"/>
          </reference>
          <reference field="12" count="1">
            <x v="0"/>
          </reference>
        </references>
      </pivotArea>
    </format>
    <format dxfId="297">
      <pivotArea dataOnly="0" labelOnly="1" fieldPosition="0">
        <references count="5">
          <reference field="0" count="1" selected="0">
            <x v="240"/>
          </reference>
          <reference field="1" count="1" selected="0">
            <x v="196"/>
          </reference>
          <reference field="2" count="1" selected="0">
            <x v="40"/>
          </reference>
          <reference field="3" count="1" selected="0">
            <x v="0"/>
          </reference>
          <reference field="12" count="1">
            <x v="3"/>
          </reference>
        </references>
      </pivotArea>
    </format>
    <format dxfId="296">
      <pivotArea dataOnly="0" labelOnly="1" fieldPosition="0">
        <references count="5">
          <reference field="0" count="1" selected="0">
            <x v="241"/>
          </reference>
          <reference field="1" count="1" selected="0">
            <x v="197"/>
          </reference>
          <reference field="2" count="1" selected="0">
            <x v="195"/>
          </reference>
          <reference field="3" count="1" selected="0">
            <x v="0"/>
          </reference>
          <reference field="12" count="1">
            <x v="0"/>
          </reference>
        </references>
      </pivotArea>
    </format>
    <format dxfId="295">
      <pivotArea dataOnly="0" labelOnly="1" fieldPosition="0">
        <references count="5">
          <reference field="0" count="1" selected="0">
            <x v="242"/>
          </reference>
          <reference field="1" count="1" selected="0">
            <x v="198"/>
          </reference>
          <reference field="2" count="1" selected="0">
            <x v="132"/>
          </reference>
          <reference field="3" count="1" selected="0">
            <x v="0"/>
          </reference>
          <reference field="12" count="1">
            <x v="6"/>
          </reference>
        </references>
      </pivotArea>
    </format>
    <format dxfId="294">
      <pivotArea dataOnly="0" labelOnly="1" fieldPosition="0">
        <references count="6">
          <reference field="0" count="1" selected="0">
            <x v="0"/>
          </reference>
          <reference field="1" count="1" selected="0">
            <x v="228"/>
          </reference>
          <reference field="2" count="1" selected="0">
            <x v="153"/>
          </reference>
          <reference field="3" count="1" selected="0">
            <x v="0"/>
          </reference>
          <reference field="12" count="1" selected="0">
            <x v="7"/>
          </reference>
          <reference field="13" count="1">
            <x v="24"/>
          </reference>
        </references>
      </pivotArea>
    </format>
    <format dxfId="293">
      <pivotArea dataOnly="0" labelOnly="1" fieldPosition="0">
        <references count="6">
          <reference field="0" count="1" selected="0">
            <x v="2"/>
          </reference>
          <reference field="1" count="1" selected="0">
            <x v="230"/>
          </reference>
          <reference field="2" count="1" selected="0">
            <x v="225"/>
          </reference>
          <reference field="3" count="1" selected="0">
            <x v="0"/>
          </reference>
          <reference field="12" count="1" selected="0">
            <x v="7"/>
          </reference>
          <reference field="13" count="1">
            <x v="0"/>
          </reference>
        </references>
      </pivotArea>
    </format>
    <format dxfId="292">
      <pivotArea dataOnly="0" labelOnly="1" fieldPosition="0">
        <references count="6">
          <reference field="0" count="1" selected="0">
            <x v="12"/>
          </reference>
          <reference field="1" count="1" selected="0">
            <x v="123"/>
          </reference>
          <reference field="2" count="1" selected="0">
            <x v="150"/>
          </reference>
          <reference field="3" count="1" selected="0">
            <x v="0"/>
          </reference>
          <reference field="12" count="1" selected="0">
            <x v="0"/>
          </reference>
          <reference field="13" count="1">
            <x v="2"/>
          </reference>
        </references>
      </pivotArea>
    </format>
    <format dxfId="291">
      <pivotArea dataOnly="0" labelOnly="1" fieldPosition="0">
        <references count="6">
          <reference field="0" count="1" selected="0">
            <x v="16"/>
          </reference>
          <reference field="1" count="1" selected="0">
            <x v="64"/>
          </reference>
          <reference field="2" count="1" selected="0">
            <x v="157"/>
          </reference>
          <reference field="3" count="1" selected="0">
            <x v="0"/>
          </reference>
          <reference field="12" count="1" selected="0">
            <x v="7"/>
          </reference>
          <reference field="13" count="1">
            <x v="0"/>
          </reference>
        </references>
      </pivotArea>
    </format>
    <format dxfId="290">
      <pivotArea dataOnly="0" labelOnly="1" fieldPosition="0">
        <references count="6">
          <reference field="0" count="1" selected="0">
            <x v="186"/>
          </reference>
          <reference field="1" count="1" selected="0">
            <x v="218"/>
          </reference>
          <reference field="2" count="1" selected="0">
            <x v="93"/>
          </reference>
          <reference field="3" count="1" selected="0">
            <x v="0"/>
          </reference>
          <reference field="12" count="1" selected="0">
            <x v="12"/>
          </reference>
          <reference field="13" count="1">
            <x v="2"/>
          </reference>
        </references>
      </pivotArea>
    </format>
    <format dxfId="289">
      <pivotArea dataOnly="0" labelOnly="1" fieldPosition="0">
        <references count="6">
          <reference field="0" count="1" selected="0">
            <x v="187"/>
          </reference>
          <reference field="1" count="1" selected="0">
            <x v="219"/>
          </reference>
          <reference field="2" count="1" selected="0">
            <x v="104"/>
          </reference>
          <reference field="3" count="1" selected="0">
            <x v="0"/>
          </reference>
          <reference field="12" count="1" selected="0">
            <x v="12"/>
          </reference>
          <reference field="13" count="1">
            <x v="14"/>
          </reference>
        </references>
      </pivotArea>
    </format>
    <format dxfId="288">
      <pivotArea dataOnly="0" labelOnly="1" fieldPosition="0">
        <references count="6">
          <reference field="0" count="1" selected="0">
            <x v="189"/>
          </reference>
          <reference field="1" count="1" selected="0">
            <x v="221"/>
          </reference>
          <reference field="2" count="1" selected="0">
            <x v="182"/>
          </reference>
          <reference field="3" count="1" selected="0">
            <x v="0"/>
          </reference>
          <reference field="12" count="1" selected="0">
            <x v="12"/>
          </reference>
          <reference field="13" count="1">
            <x v="0"/>
          </reference>
        </references>
      </pivotArea>
    </format>
    <format dxfId="287">
      <pivotArea dataOnly="0" labelOnly="1" fieldPosition="0">
        <references count="6">
          <reference field="0" count="1" selected="0">
            <x v="204"/>
          </reference>
          <reference field="1" count="1" selected="0">
            <x v="149"/>
          </reference>
          <reference field="2" count="1" selected="0">
            <x v="117"/>
          </reference>
          <reference field="3" count="1" selected="0">
            <x v="0"/>
          </reference>
          <reference field="12" count="1" selected="0">
            <x v="12"/>
          </reference>
          <reference field="13" count="1">
            <x v="14"/>
          </reference>
        </references>
      </pivotArea>
    </format>
    <format dxfId="286">
      <pivotArea dataOnly="0" labelOnly="1" fieldPosition="0">
        <references count="6">
          <reference field="0" count="1" selected="0">
            <x v="206"/>
          </reference>
          <reference field="1" count="1" selected="0">
            <x v="151"/>
          </reference>
          <reference field="2" count="1" selected="0">
            <x v="159"/>
          </reference>
          <reference field="3" count="1" selected="0">
            <x v="0"/>
          </reference>
          <reference field="12" count="1" selected="0">
            <x v="12"/>
          </reference>
          <reference field="13" count="1">
            <x v="5"/>
          </reference>
        </references>
      </pivotArea>
    </format>
    <format dxfId="285">
      <pivotArea dataOnly="0" labelOnly="1" fieldPosition="0">
        <references count="6">
          <reference field="0" count="1" selected="0">
            <x v="207"/>
          </reference>
          <reference field="1" count="1" selected="0">
            <x v="152"/>
          </reference>
          <reference field="2" count="1" selected="0">
            <x v="81"/>
          </reference>
          <reference field="3" count="1" selected="0">
            <x v="0"/>
          </reference>
          <reference field="12" count="1" selected="0">
            <x v="7"/>
          </reference>
          <reference field="13" count="1">
            <x v="0"/>
          </reference>
        </references>
      </pivotArea>
    </format>
    <format dxfId="284">
      <pivotArea dataOnly="0" labelOnly="1" fieldPosition="0">
        <references count="6">
          <reference field="0" count="1" selected="0">
            <x v="208"/>
          </reference>
          <reference field="1" count="1" selected="0">
            <x v="153"/>
          </reference>
          <reference field="2" count="1" selected="0">
            <x v="103"/>
          </reference>
          <reference field="3" count="1" selected="0">
            <x v="0"/>
          </reference>
          <reference field="12" count="1" selected="0">
            <x v="14"/>
          </reference>
          <reference field="13" count="1">
            <x v="16"/>
          </reference>
        </references>
      </pivotArea>
    </format>
    <format dxfId="283">
      <pivotArea dataOnly="0" labelOnly="1" fieldPosition="0">
        <references count="6">
          <reference field="0" count="1" selected="0">
            <x v="209"/>
          </reference>
          <reference field="1" count="1" selected="0">
            <x v="154"/>
          </reference>
          <reference field="2" count="1" selected="0">
            <x v="98"/>
          </reference>
          <reference field="3" count="1" selected="0">
            <x v="0"/>
          </reference>
          <reference field="12" count="1" selected="0">
            <x v="14"/>
          </reference>
          <reference field="13" count="1">
            <x v="17"/>
          </reference>
        </references>
      </pivotArea>
    </format>
    <format dxfId="282">
      <pivotArea dataOnly="0" labelOnly="1" fieldPosition="0">
        <references count="6">
          <reference field="0" count="1" selected="0">
            <x v="210"/>
          </reference>
          <reference field="1" count="1" selected="0">
            <x v="155"/>
          </reference>
          <reference field="2" count="1" selected="0">
            <x v="162"/>
          </reference>
          <reference field="3" count="1" selected="0">
            <x v="0"/>
          </reference>
          <reference field="12" count="1" selected="0">
            <x v="7"/>
          </reference>
          <reference field="13" count="1">
            <x v="2"/>
          </reference>
        </references>
      </pivotArea>
    </format>
    <format dxfId="281">
      <pivotArea dataOnly="0" labelOnly="1" fieldPosition="0">
        <references count="6">
          <reference field="0" count="1" selected="0">
            <x v="211"/>
          </reference>
          <reference field="1" count="1" selected="0">
            <x v="156"/>
          </reference>
          <reference field="2" count="1" selected="0">
            <x v="164"/>
          </reference>
          <reference field="3" count="1" selected="0">
            <x v="0"/>
          </reference>
          <reference field="12" count="1" selected="0">
            <x v="20"/>
          </reference>
          <reference field="13" count="1">
            <x v="3"/>
          </reference>
        </references>
      </pivotArea>
    </format>
    <format dxfId="280">
      <pivotArea dataOnly="0" labelOnly="1" fieldPosition="0">
        <references count="6">
          <reference field="0" count="1" selected="0">
            <x v="212"/>
          </reference>
          <reference field="1" count="1" selected="0">
            <x v="157"/>
          </reference>
          <reference field="2" count="1" selected="0">
            <x v="170"/>
          </reference>
          <reference field="3" count="1" selected="0">
            <x v="0"/>
          </reference>
          <reference field="12" count="1" selected="0">
            <x v="20"/>
          </reference>
          <reference field="13" count="1">
            <x v="4"/>
          </reference>
        </references>
      </pivotArea>
    </format>
    <format dxfId="279">
      <pivotArea dataOnly="0" labelOnly="1" fieldPosition="0">
        <references count="6">
          <reference field="0" count="1" selected="0">
            <x v="214"/>
          </reference>
          <reference field="1" count="1" selected="0">
            <x v="159"/>
          </reference>
          <reference field="2" count="1" selected="0">
            <x v="139"/>
          </reference>
          <reference field="3" count="1" selected="0">
            <x v="0"/>
          </reference>
          <reference field="12" count="1" selected="0">
            <x v="10"/>
          </reference>
          <reference field="13" count="1">
            <x v="15"/>
          </reference>
        </references>
      </pivotArea>
    </format>
    <format dxfId="278">
      <pivotArea dataOnly="0" labelOnly="1" fieldPosition="0">
        <references count="6">
          <reference field="0" count="1" selected="0">
            <x v="215"/>
          </reference>
          <reference field="1" count="1" selected="0">
            <x v="160"/>
          </reference>
          <reference field="2" count="1" selected="0">
            <x v="137"/>
          </reference>
          <reference field="3" count="1" selected="0">
            <x v="0"/>
          </reference>
          <reference field="12" count="1" selected="0">
            <x v="10"/>
          </reference>
          <reference field="13" count="1">
            <x v="11"/>
          </reference>
        </references>
      </pivotArea>
    </format>
    <format dxfId="277">
      <pivotArea dataOnly="0" labelOnly="1" fieldPosition="0">
        <references count="6">
          <reference field="0" count="1" selected="0">
            <x v="216"/>
          </reference>
          <reference field="1" count="1" selected="0">
            <x v="161"/>
          </reference>
          <reference field="2" count="1" selected="0">
            <x v="136"/>
          </reference>
          <reference field="3" count="1" selected="0">
            <x v="0"/>
          </reference>
          <reference field="12" count="1" selected="0">
            <x v="10"/>
          </reference>
          <reference field="13" count="1">
            <x v="13"/>
          </reference>
        </references>
      </pivotArea>
    </format>
    <format dxfId="276">
      <pivotArea dataOnly="0" labelOnly="1" fieldPosition="0">
        <references count="6">
          <reference field="0" count="1" selected="0">
            <x v="217"/>
          </reference>
          <reference field="1" count="1" selected="0">
            <x v="162"/>
          </reference>
          <reference field="2" count="1" selected="0">
            <x v="13"/>
          </reference>
          <reference field="3" count="1" selected="0">
            <x v="0"/>
          </reference>
          <reference field="12" count="1" selected="0">
            <x v="10"/>
          </reference>
          <reference field="13" count="1">
            <x v="10"/>
          </reference>
        </references>
      </pivotArea>
    </format>
    <format dxfId="275">
      <pivotArea dataOnly="0" labelOnly="1" fieldPosition="0">
        <references count="6">
          <reference field="0" count="1" selected="0">
            <x v="219"/>
          </reference>
          <reference field="1" count="1" selected="0">
            <x v="164"/>
          </reference>
          <reference field="2" count="1" selected="0">
            <x v="138"/>
          </reference>
          <reference field="3" count="1" selected="0">
            <x v="0"/>
          </reference>
          <reference field="12" count="1" selected="0">
            <x v="10"/>
          </reference>
          <reference field="13" count="1">
            <x v="8"/>
          </reference>
        </references>
      </pivotArea>
    </format>
    <format dxfId="274">
      <pivotArea dataOnly="0" labelOnly="1" fieldPosition="0">
        <references count="6">
          <reference field="0" count="1" selected="0">
            <x v="220"/>
          </reference>
          <reference field="1" count="1" selected="0">
            <x v="165"/>
          </reference>
          <reference field="2" count="1" selected="0">
            <x v="142"/>
          </reference>
          <reference field="3" count="1" selected="0">
            <x v="0"/>
          </reference>
          <reference field="12" count="1" selected="0">
            <x v="11"/>
          </reference>
          <reference field="13" count="1">
            <x v="12"/>
          </reference>
        </references>
      </pivotArea>
    </format>
    <format dxfId="273">
      <pivotArea dataOnly="0" labelOnly="1" fieldPosition="0">
        <references count="6">
          <reference field="0" count="1" selected="0">
            <x v="221"/>
          </reference>
          <reference field="1" count="1" selected="0">
            <x v="166"/>
          </reference>
          <reference field="2" count="1" selected="0">
            <x v="143"/>
          </reference>
          <reference field="3" count="1" selected="0">
            <x v="0"/>
          </reference>
          <reference field="12" count="1" selected="0">
            <x v="10"/>
          </reference>
          <reference field="13" count="1">
            <x v="9"/>
          </reference>
        </references>
      </pivotArea>
    </format>
    <format dxfId="272">
      <pivotArea dataOnly="0" labelOnly="1" fieldPosition="0">
        <references count="6">
          <reference field="0" count="1" selected="0">
            <x v="223"/>
          </reference>
          <reference field="1" count="1" selected="0">
            <x v="168"/>
          </reference>
          <reference field="2" count="1" selected="0">
            <x v="71"/>
          </reference>
          <reference field="3" count="1" selected="0">
            <x v="0"/>
          </reference>
          <reference field="12" count="1" selected="0">
            <x v="24"/>
          </reference>
          <reference field="13" count="1">
            <x v="7"/>
          </reference>
        </references>
      </pivotArea>
    </format>
    <format dxfId="271">
      <pivotArea dataOnly="0" labelOnly="1" fieldPosition="0">
        <references count="6">
          <reference field="0" count="1" selected="0">
            <x v="224"/>
          </reference>
          <reference field="1" count="1" selected="0">
            <x v="169"/>
          </reference>
          <reference field="2" count="1" selected="0">
            <x v="121"/>
          </reference>
          <reference field="3" count="1" selected="0">
            <x v="0"/>
          </reference>
          <reference field="12" count="1" selected="0">
            <x v="23"/>
          </reference>
          <reference field="13" count="1">
            <x v="1"/>
          </reference>
        </references>
      </pivotArea>
    </format>
    <format dxfId="270">
      <pivotArea dataOnly="0" labelOnly="1" fieldPosition="0">
        <references count="6">
          <reference field="0" count="1" selected="0">
            <x v="225"/>
          </reference>
          <reference field="1" count="1" selected="0">
            <x v="170"/>
          </reference>
          <reference field="2" count="1" selected="0">
            <x v="120"/>
          </reference>
          <reference field="3" count="1" selected="0">
            <x v="0"/>
          </reference>
          <reference field="12" count="1" selected="0">
            <x v="23"/>
          </reference>
          <reference field="13" count="1">
            <x v="22"/>
          </reference>
        </references>
      </pivotArea>
    </format>
    <format dxfId="269">
      <pivotArea dataOnly="0" labelOnly="1" fieldPosition="0">
        <references count="6">
          <reference field="0" count="1" selected="0">
            <x v="228"/>
          </reference>
          <reference field="1" count="1" selected="0">
            <x v="173"/>
          </reference>
          <reference field="2" count="1" selected="0">
            <x v="145"/>
          </reference>
          <reference field="3" count="1" selected="0">
            <x v="0"/>
          </reference>
          <reference field="12" count="1" selected="0">
            <x v="3"/>
          </reference>
          <reference field="13" count="1">
            <x v="21"/>
          </reference>
        </references>
      </pivotArea>
    </format>
    <format dxfId="268">
      <pivotArea dataOnly="0" labelOnly="1" fieldPosition="0">
        <references count="6">
          <reference field="0" count="1" selected="0">
            <x v="229"/>
          </reference>
          <reference field="1" count="1" selected="0">
            <x v="174"/>
          </reference>
          <reference field="2" count="1" selected="0">
            <x v="91"/>
          </reference>
          <reference field="3" count="1" selected="0">
            <x v="0"/>
          </reference>
          <reference field="12" count="1" selected="0">
            <x v="3"/>
          </reference>
          <reference field="13" count="1">
            <x v="18"/>
          </reference>
        </references>
      </pivotArea>
    </format>
    <format dxfId="267">
      <pivotArea dataOnly="0" labelOnly="1" fieldPosition="0">
        <references count="6">
          <reference field="0" count="1" selected="0">
            <x v="231"/>
          </reference>
          <reference field="1" count="1" selected="0">
            <x v="176"/>
          </reference>
          <reference field="2" count="1" selected="0">
            <x v="42"/>
          </reference>
          <reference field="3" count="1" selected="0">
            <x v="0"/>
          </reference>
          <reference field="12" count="1" selected="0">
            <x v="3"/>
          </reference>
          <reference field="13" count="1">
            <x v="20"/>
          </reference>
        </references>
      </pivotArea>
    </format>
    <format dxfId="266">
      <pivotArea dataOnly="0" labelOnly="1" fieldPosition="0">
        <references count="6">
          <reference field="0" count="1" selected="0">
            <x v="232"/>
          </reference>
          <reference field="1" count="1" selected="0">
            <x v="177"/>
          </reference>
          <reference field="2" count="1" selected="0">
            <x v="47"/>
          </reference>
          <reference field="3" count="1" selected="0">
            <x v="0"/>
          </reference>
          <reference field="12" count="1" selected="0">
            <x v="3"/>
          </reference>
          <reference field="13" count="1">
            <x v="19"/>
          </reference>
        </references>
      </pivotArea>
    </format>
    <format dxfId="265">
      <pivotArea dataOnly="0" labelOnly="1" fieldPosition="0">
        <references count="6">
          <reference field="0" count="1" selected="0">
            <x v="233"/>
          </reference>
          <reference field="1" count="1" selected="0">
            <x v="178"/>
          </reference>
          <reference field="2" count="1" selected="0">
            <x v="32"/>
          </reference>
          <reference field="3" count="1" selected="0">
            <x v="0"/>
          </reference>
          <reference field="12" count="1" selected="0">
            <x v="3"/>
          </reference>
          <reference field="13" count="1">
            <x v="6"/>
          </reference>
        </references>
      </pivotArea>
    </format>
    <format dxfId="264">
      <pivotArea dataOnly="0" labelOnly="1" fieldPosition="0">
        <references count="6">
          <reference field="0" count="1" selected="0">
            <x v="234"/>
          </reference>
          <reference field="1" count="1" selected="0">
            <x v="179"/>
          </reference>
          <reference field="2" count="1" selected="0">
            <x v="163"/>
          </reference>
          <reference field="3" count="1" selected="0">
            <x v="0"/>
          </reference>
          <reference field="12" count="1" selected="0">
            <x v="28"/>
          </reference>
          <reference field="13" count="1">
            <x v="25"/>
          </reference>
        </references>
      </pivotArea>
    </format>
    <format dxfId="263">
      <pivotArea dataOnly="0" labelOnly="1" fieldPosition="0">
        <references count="6">
          <reference field="0" count="1" selected="0">
            <x v="235"/>
          </reference>
          <reference field="1" count="1" selected="0">
            <x v="191"/>
          </reference>
          <reference field="2" count="1" selected="0">
            <x v="155"/>
          </reference>
          <reference field="3" count="1" selected="0">
            <x v="0"/>
          </reference>
          <reference field="12" count="1" selected="0">
            <x v="3"/>
          </reference>
          <reference field="13" count="1">
            <x v="0"/>
          </reference>
        </references>
      </pivotArea>
    </format>
    <format dxfId="262">
      <pivotArea dataOnly="0" labelOnly="1" fieldPosition="0">
        <references count="7">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x v="38"/>
          </reference>
        </references>
      </pivotArea>
    </format>
    <format dxfId="261">
      <pivotArea dataOnly="0" labelOnly="1" fieldPosition="0">
        <references count="7">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x v="0"/>
          </reference>
        </references>
      </pivotArea>
    </format>
    <format dxfId="260">
      <pivotArea dataOnly="0" labelOnly="1" fieldPosition="0">
        <references count="7">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x v="35"/>
          </reference>
        </references>
      </pivotArea>
    </format>
    <format dxfId="259">
      <pivotArea dataOnly="0" labelOnly="1" fieldPosition="0">
        <references count="7">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x v="38"/>
          </reference>
        </references>
      </pivotArea>
    </format>
    <format dxfId="258">
      <pivotArea dataOnly="0" labelOnly="1" fieldPosition="0">
        <references count="7">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x v="28"/>
          </reference>
        </references>
      </pivotArea>
    </format>
    <format dxfId="257">
      <pivotArea dataOnly="0" labelOnly="1" fieldPosition="0">
        <references count="7">
          <reference field="0" count="1" selected="0">
            <x v="10"/>
          </reference>
          <reference field="1" count="1" selected="0">
            <x v="121"/>
          </reference>
          <reference field="2" count="1" selected="0">
            <x v="82"/>
          </reference>
          <reference field="3" count="1" selected="0">
            <x v="0"/>
          </reference>
          <reference field="12" count="1" selected="0">
            <x v="0"/>
          </reference>
          <reference field="13" count="1" selected="0">
            <x v="0"/>
          </reference>
          <reference field="14" count="1">
            <x v="38"/>
          </reference>
        </references>
      </pivotArea>
    </format>
    <format dxfId="256">
      <pivotArea dataOnly="0" labelOnly="1" fieldPosition="0">
        <references count="7">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x v="40"/>
          </reference>
        </references>
      </pivotArea>
    </format>
    <format dxfId="255">
      <pivotArea dataOnly="0" labelOnly="1" fieldPosition="0">
        <references count="7">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x v="38"/>
          </reference>
        </references>
      </pivotArea>
    </format>
    <format dxfId="254">
      <pivotArea dataOnly="0" labelOnly="1" fieldPosition="0">
        <references count="7">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x v="1"/>
          </reference>
        </references>
      </pivotArea>
    </format>
    <format dxfId="253">
      <pivotArea dataOnly="0" labelOnly="1" fieldPosition="0">
        <references count="7">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x v="3"/>
          </reference>
        </references>
      </pivotArea>
    </format>
    <format dxfId="252">
      <pivotArea dataOnly="0" labelOnly="1" fieldPosition="0">
        <references count="7">
          <reference field="0" count="1" selected="0">
            <x v="29"/>
          </reference>
          <reference field="1" count="1" selected="0">
            <x v="26"/>
          </reference>
          <reference field="2" count="1" selected="0">
            <x v="62"/>
          </reference>
          <reference field="3" count="1" selected="0">
            <x v="0"/>
          </reference>
          <reference field="12" count="1" selected="0">
            <x v="15"/>
          </reference>
          <reference field="13" count="1" selected="0">
            <x v="0"/>
          </reference>
          <reference field="14" count="1">
            <x v="19"/>
          </reference>
        </references>
      </pivotArea>
    </format>
    <format dxfId="251">
      <pivotArea dataOnly="0" labelOnly="1" fieldPosition="0">
        <references count="7">
          <reference field="0" count="1" selected="0">
            <x v="30"/>
          </reference>
          <reference field="1" count="1" selected="0">
            <x v="27"/>
          </reference>
          <reference field="2" count="1" selected="0">
            <x v="7"/>
          </reference>
          <reference field="3" count="1" selected="0">
            <x v="0"/>
          </reference>
          <reference field="12" count="1" selected="0">
            <x v="15"/>
          </reference>
          <reference field="13" count="1" selected="0">
            <x v="0"/>
          </reference>
          <reference field="14" count="1">
            <x v="13"/>
          </reference>
        </references>
      </pivotArea>
    </format>
    <format dxfId="250">
      <pivotArea dataOnly="0" labelOnly="1" fieldPosition="0">
        <references count="7">
          <reference field="0" count="1" selected="0">
            <x v="31"/>
          </reference>
          <reference field="1" count="1" selected="0">
            <x v="28"/>
          </reference>
          <reference field="2" count="1" selected="0">
            <x v="53"/>
          </reference>
          <reference field="3" count="1" selected="0">
            <x v="0"/>
          </reference>
          <reference field="12" count="1" selected="0">
            <x v="7"/>
          </reference>
          <reference field="13" count="1" selected="0">
            <x v="0"/>
          </reference>
          <reference field="14" count="1">
            <x v="15"/>
          </reference>
        </references>
      </pivotArea>
    </format>
    <format dxfId="249">
      <pivotArea dataOnly="0" labelOnly="1" fieldPosition="0">
        <references count="7">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x v="61"/>
          </reference>
        </references>
      </pivotArea>
    </format>
    <format dxfId="248">
      <pivotArea dataOnly="0" labelOnly="1" fieldPosition="0">
        <references count="7">
          <reference field="0" count="1" selected="0">
            <x v="36"/>
          </reference>
          <reference field="1" count="1" selected="0">
            <x v="33"/>
          </reference>
          <reference field="2" count="1" selected="0">
            <x v="130"/>
          </reference>
          <reference field="3" count="1" selected="0">
            <x v="0"/>
          </reference>
          <reference field="12" count="1" selected="0">
            <x v="22"/>
          </reference>
          <reference field="13" count="1" selected="0">
            <x v="0"/>
          </reference>
          <reference field="14" count="1">
            <x v="2"/>
          </reference>
        </references>
      </pivotArea>
    </format>
    <format dxfId="247">
      <pivotArea dataOnly="0" labelOnly="1" fieldPosition="0">
        <references count="7">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x v="62"/>
          </reference>
        </references>
      </pivotArea>
    </format>
    <format dxfId="246">
      <pivotArea dataOnly="0" labelOnly="1" fieldPosition="0">
        <references count="7">
          <reference field="0" count="1" selected="0">
            <x v="42"/>
          </reference>
          <reference field="1" count="1" selected="0">
            <x v="4"/>
          </reference>
          <reference field="2" count="1" selected="0">
            <x v="64"/>
          </reference>
          <reference field="3" count="1" selected="0">
            <x v="0"/>
          </reference>
          <reference field="12" count="1" selected="0">
            <x v="10"/>
          </reference>
          <reference field="13" count="1" selected="0">
            <x v="0"/>
          </reference>
          <reference field="14" count="1">
            <x v="58"/>
          </reference>
        </references>
      </pivotArea>
    </format>
    <format dxfId="245">
      <pivotArea dataOnly="0" labelOnly="1" fieldPosition="0">
        <references count="7">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x v="56"/>
          </reference>
        </references>
      </pivotArea>
    </format>
    <format dxfId="244">
      <pivotArea dataOnly="0" labelOnly="1" fieldPosition="0">
        <references count="7">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x v="66"/>
          </reference>
        </references>
      </pivotArea>
    </format>
    <format dxfId="243">
      <pivotArea dataOnly="0" labelOnly="1" fieldPosition="0">
        <references count="7">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x v="34"/>
          </reference>
        </references>
      </pivotArea>
    </format>
    <format dxfId="242">
      <pivotArea dataOnly="0" labelOnly="1" fieldPosition="0">
        <references count="7">
          <reference field="0" count="1" selected="0">
            <x v="62"/>
          </reference>
          <reference field="1" count="1" selected="0">
            <x v="42"/>
          </reference>
          <reference field="2" count="1" selected="0">
            <x v="15"/>
          </reference>
          <reference field="3" count="1" selected="0">
            <x v="0"/>
          </reference>
          <reference field="12" count="1" selected="0">
            <x v="3"/>
          </reference>
          <reference field="13" count="1" selected="0">
            <x v="0"/>
          </reference>
          <reference field="14" count="1">
            <x v="47"/>
          </reference>
        </references>
      </pivotArea>
    </format>
    <format dxfId="241">
      <pivotArea dataOnly="0" labelOnly="1" fieldPosition="0">
        <references count="7">
          <reference field="0" count="1" selected="0">
            <x v="63"/>
          </reference>
          <reference field="1" count="1" selected="0">
            <x v="43"/>
          </reference>
          <reference field="2" count="1" selected="0">
            <x v="152"/>
          </reference>
          <reference field="3" count="1" selected="0">
            <x v="0"/>
          </reference>
          <reference field="12" count="1" selected="0">
            <x v="3"/>
          </reference>
          <reference field="13" count="1" selected="0">
            <x v="0"/>
          </reference>
          <reference field="14" count="1">
            <x v="37"/>
          </reference>
        </references>
      </pivotArea>
    </format>
    <format dxfId="240">
      <pivotArea dataOnly="0" labelOnly="1" fieldPosition="0">
        <references count="7">
          <reference field="0" count="1" selected="0">
            <x v="64"/>
          </reference>
          <reference field="1" count="1" selected="0">
            <x v="44"/>
          </reference>
          <reference field="2" count="1" selected="0">
            <x v="146"/>
          </reference>
          <reference field="3" count="1" selected="0">
            <x v="0"/>
          </reference>
          <reference field="12" count="1" selected="0">
            <x v="3"/>
          </reference>
          <reference field="13" count="1" selected="0">
            <x v="0"/>
          </reference>
          <reference field="14" count="1">
            <x v="36"/>
          </reference>
        </references>
      </pivotArea>
    </format>
    <format dxfId="239">
      <pivotArea dataOnly="0" labelOnly="1" fieldPosition="0">
        <references count="7">
          <reference field="0" count="1" selected="0">
            <x v="65"/>
          </reference>
          <reference field="1" count="1" selected="0">
            <x v="45"/>
          </reference>
          <reference field="2" count="1" selected="0">
            <x v="204"/>
          </reference>
          <reference field="3" count="1" selected="0">
            <x v="0"/>
          </reference>
          <reference field="12" count="1" selected="0">
            <x v="3"/>
          </reference>
          <reference field="13" count="1" selected="0">
            <x v="0"/>
          </reference>
          <reference field="14" count="1">
            <x v="0"/>
          </reference>
        </references>
      </pivotArea>
    </format>
    <format dxfId="238">
      <pivotArea dataOnly="0" labelOnly="1" fieldPosition="0">
        <references count="7">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x v="14"/>
          </reference>
        </references>
      </pivotArea>
    </format>
    <format dxfId="237">
      <pivotArea dataOnly="0" labelOnly="1" fieldPosition="0">
        <references count="7">
          <reference field="0" count="1" selected="0">
            <x v="79"/>
          </reference>
          <reference field="1" count="1" selected="0">
            <x v="59"/>
          </reference>
          <reference field="2" count="1" selected="0">
            <x v="21"/>
          </reference>
          <reference field="3" count="1" selected="0">
            <x v="0"/>
          </reference>
          <reference field="12" count="1" selected="0">
            <x v="3"/>
          </reference>
          <reference field="13" count="1" selected="0">
            <x v="0"/>
          </reference>
          <reference field="14" count="1">
            <x v="0"/>
          </reference>
        </references>
      </pivotArea>
    </format>
    <format dxfId="236">
      <pivotArea dataOnly="0" labelOnly="1" fieldPosition="0">
        <references count="7">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x v="0"/>
          </reference>
        </references>
      </pivotArea>
    </format>
    <format dxfId="235">
      <pivotArea dataOnly="0" labelOnly="1" fieldPosition="0">
        <references count="7">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x v="4"/>
          </reference>
        </references>
      </pivotArea>
    </format>
    <format dxfId="234">
      <pivotArea dataOnly="0" labelOnly="1" fieldPosition="0">
        <references count="7">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x v="53"/>
          </reference>
        </references>
      </pivotArea>
    </format>
    <format dxfId="233">
      <pivotArea dataOnly="0" labelOnly="1" fieldPosition="0">
        <references count="7">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x v="25"/>
          </reference>
        </references>
      </pivotArea>
    </format>
    <format dxfId="232">
      <pivotArea dataOnly="0" labelOnly="1" fieldPosition="0">
        <references count="7">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x v="0"/>
          </reference>
        </references>
      </pivotArea>
    </format>
    <format dxfId="231">
      <pivotArea dataOnly="0" labelOnly="1" fieldPosition="0">
        <references count="7">
          <reference field="0" count="1" selected="0">
            <x v="89"/>
          </reference>
          <reference field="1" count="1" selected="0">
            <x v="76"/>
          </reference>
          <reference field="2" count="1" selected="0">
            <x v="232"/>
          </reference>
          <reference field="3" count="1" selected="0">
            <x v="0"/>
          </reference>
          <reference field="12" count="1" selected="0">
            <x v="7"/>
          </reference>
          <reference field="13" count="1" selected="0">
            <x v="0"/>
          </reference>
          <reference field="14" count="1">
            <x v="50"/>
          </reference>
        </references>
      </pivotArea>
    </format>
    <format dxfId="230">
      <pivotArea dataOnly="0" labelOnly="1" fieldPosition="0">
        <references count="7">
          <reference field="0" count="1" selected="0">
            <x v="93"/>
          </reference>
          <reference field="1" count="1" selected="0">
            <x v="80"/>
          </reference>
          <reference field="2" count="1" selected="0">
            <x v="180"/>
          </reference>
          <reference field="3" count="1" selected="0">
            <x v="0"/>
          </reference>
          <reference field="12" count="1" selected="0">
            <x v="7"/>
          </reference>
          <reference field="13" count="1" selected="0">
            <x v="0"/>
          </reference>
          <reference field="14" count="1">
            <x v="49"/>
          </reference>
        </references>
      </pivotArea>
    </format>
    <format dxfId="229">
      <pivotArea dataOnly="0" labelOnly="1" fieldPosition="0">
        <references count="7">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x v="16"/>
          </reference>
        </references>
      </pivotArea>
    </format>
    <format dxfId="228">
      <pivotArea dataOnly="0" labelOnly="1" fieldPosition="0">
        <references count="7">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x v="6"/>
          </reference>
        </references>
      </pivotArea>
    </format>
    <format dxfId="227">
      <pivotArea dataOnly="0" labelOnly="1" fieldPosition="0">
        <references count="7">
          <reference field="0" count="1" selected="0">
            <x v="102"/>
          </reference>
          <reference field="1" count="1" selected="0">
            <x v="89"/>
          </reference>
          <reference field="2" count="1" selected="0">
            <x v="14"/>
          </reference>
          <reference field="3" count="1" selected="0">
            <x v="0"/>
          </reference>
          <reference field="12" count="1" selected="0">
            <x v="3"/>
          </reference>
          <reference field="13" count="1" selected="0">
            <x v="0"/>
          </reference>
          <reference field="14" count="1">
            <x v="16"/>
          </reference>
        </references>
      </pivotArea>
    </format>
    <format dxfId="226">
      <pivotArea dataOnly="0" labelOnly="1" fieldPosition="0">
        <references count="7">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x v="54"/>
          </reference>
        </references>
      </pivotArea>
    </format>
    <format dxfId="225">
      <pivotArea dataOnly="0" labelOnly="1" fieldPosition="0">
        <references count="7">
          <reference field="0" count="1" selected="0">
            <x v="107"/>
          </reference>
          <reference field="1" count="1" selected="0">
            <x v="94"/>
          </reference>
          <reference field="2" count="1" selected="0">
            <x v="190"/>
          </reference>
          <reference field="3" count="1" selected="0">
            <x v="0"/>
          </reference>
          <reference field="12" count="1" selected="0">
            <x v="7"/>
          </reference>
          <reference field="13" count="1" selected="0">
            <x v="0"/>
          </reference>
          <reference field="14" count="1">
            <x v="55"/>
          </reference>
        </references>
      </pivotArea>
    </format>
    <format dxfId="224">
      <pivotArea dataOnly="0" labelOnly="1" fieldPosition="0">
        <references count="7">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x v="4"/>
          </reference>
        </references>
      </pivotArea>
    </format>
    <format dxfId="223">
      <pivotArea dataOnly="0" labelOnly="1" fieldPosition="0">
        <references count="7">
          <reference field="0" count="1" selected="0">
            <x v="113"/>
          </reference>
          <reference field="1" count="1" selected="0">
            <x v="100"/>
          </reference>
          <reference field="2" count="1" selected="0">
            <x v="124"/>
          </reference>
          <reference field="3" count="1" selected="0">
            <x v="0"/>
          </reference>
          <reference field="12" count="1" selected="0">
            <x v="7"/>
          </reference>
          <reference field="13" count="1" selected="0">
            <x v="0"/>
          </reference>
          <reference field="14" count="1">
            <x v="7"/>
          </reference>
        </references>
      </pivotArea>
    </format>
    <format dxfId="222">
      <pivotArea dataOnly="0" labelOnly="1" fieldPosition="0">
        <references count="7">
          <reference field="0" count="1" selected="0">
            <x v="122"/>
          </reference>
          <reference field="1" count="1" selected="0">
            <x v="109"/>
          </reference>
          <reference field="2" count="1" selected="0">
            <x v="35"/>
          </reference>
          <reference field="3" count="1" selected="0">
            <x v="0"/>
          </reference>
          <reference field="12" count="1" selected="0">
            <x v="3"/>
          </reference>
          <reference field="13" count="1" selected="0">
            <x v="0"/>
          </reference>
          <reference field="14" count="1">
            <x v="11"/>
          </reference>
        </references>
      </pivotArea>
    </format>
    <format dxfId="221">
      <pivotArea dataOnly="0" labelOnly="1" fieldPosition="0">
        <references count="7">
          <reference field="0" count="1" selected="0">
            <x v="123"/>
          </reference>
          <reference field="1" count="1" selected="0">
            <x v="110"/>
          </reference>
          <reference field="2" count="1" selected="0">
            <x v="176"/>
          </reference>
          <reference field="3" count="1" selected="0">
            <x v="0"/>
          </reference>
          <reference field="12" count="1" selected="0">
            <x v="5"/>
          </reference>
          <reference field="13" count="1" selected="0">
            <x v="0"/>
          </reference>
          <reference field="14" count="1">
            <x v="38"/>
          </reference>
        </references>
      </pivotArea>
    </format>
    <format dxfId="220">
      <pivotArea dataOnly="0" labelOnly="1" fieldPosition="0">
        <references count="7">
          <reference field="0" count="1" selected="0">
            <x v="124"/>
          </reference>
          <reference field="1" count="1" selected="0">
            <x v="111"/>
          </reference>
          <reference field="2" count="1" selected="0">
            <x v="218"/>
          </reference>
          <reference field="3" count="1" selected="0">
            <x v="0"/>
          </reference>
          <reference field="12" count="1" selected="0">
            <x v="0"/>
          </reference>
          <reference field="13" count="1" selected="0">
            <x v="0"/>
          </reference>
          <reference field="14" count="1">
            <x v="34"/>
          </reference>
        </references>
      </pivotArea>
    </format>
    <format dxfId="219">
      <pivotArea dataOnly="0" labelOnly="1" fieldPosition="0">
        <references count="7">
          <reference field="0" count="1" selected="0">
            <x v="126"/>
          </reference>
          <reference field="1" count="1" selected="0">
            <x v="113"/>
          </reference>
          <reference field="2" count="1" selected="0">
            <x v="191"/>
          </reference>
          <reference field="3" count="1" selected="0">
            <x v="0"/>
          </reference>
          <reference field="12" count="1" selected="0">
            <x v="0"/>
          </reference>
          <reference field="13" count="1" selected="0">
            <x v="0"/>
          </reference>
          <reference field="14" count="1">
            <x v="37"/>
          </reference>
        </references>
      </pivotArea>
    </format>
    <format dxfId="218">
      <pivotArea dataOnly="0" labelOnly="1" fieldPosition="0">
        <references count="7">
          <reference field="0" count="1" selected="0">
            <x v="127"/>
          </reference>
          <reference field="1" count="1" selected="0">
            <x v="114"/>
          </reference>
          <reference field="2" count="1" selected="0">
            <x v="174"/>
          </reference>
          <reference field="3" count="1" selected="0">
            <x v="0"/>
          </reference>
          <reference field="12" count="1" selected="0">
            <x v="0"/>
          </reference>
          <reference field="13" count="1" selected="0">
            <x v="0"/>
          </reference>
          <reference field="14" count="1">
            <x v="36"/>
          </reference>
        </references>
      </pivotArea>
    </format>
    <format dxfId="217">
      <pivotArea dataOnly="0" labelOnly="1" fieldPosition="0">
        <references count="7">
          <reference field="0" count="1" selected="0">
            <x v="128"/>
          </reference>
          <reference field="1" count="1" selected="0">
            <x v="115"/>
          </reference>
          <reference field="2" count="1" selected="0">
            <x v="59"/>
          </reference>
          <reference field="3" count="1" selected="0">
            <x v="0"/>
          </reference>
          <reference field="12" count="1" selected="0">
            <x v="0"/>
          </reference>
          <reference field="13" count="1" selected="0">
            <x v="0"/>
          </reference>
          <reference field="14" count="1">
            <x v="37"/>
          </reference>
        </references>
      </pivotArea>
    </format>
    <format dxfId="216">
      <pivotArea dataOnly="0" labelOnly="1" fieldPosition="0">
        <references count="7">
          <reference field="0" count="1" selected="0">
            <x v="134"/>
          </reference>
          <reference field="1" count="1" selected="0">
            <x v="127"/>
          </reference>
          <reference field="2" count="1" selected="0">
            <x v="2"/>
          </reference>
          <reference field="3" count="1" selected="0">
            <x v="0"/>
          </reference>
          <reference field="12" count="1" selected="0">
            <x v="4"/>
          </reference>
          <reference field="13" count="1" selected="0">
            <x v="0"/>
          </reference>
          <reference field="14" count="1">
            <x v="34"/>
          </reference>
        </references>
      </pivotArea>
    </format>
    <format dxfId="215">
      <pivotArea dataOnly="0" labelOnly="1" fieldPosition="0">
        <references count="7">
          <reference field="0" count="1" selected="0">
            <x v="135"/>
          </reference>
          <reference field="1" count="1" selected="0">
            <x v="128"/>
          </reference>
          <reference field="2" count="1" selected="0">
            <x v="151"/>
          </reference>
          <reference field="3" count="1" selected="0">
            <x v="0"/>
          </reference>
          <reference field="12" count="1" selected="0">
            <x v="3"/>
          </reference>
          <reference field="13" count="1" selected="0">
            <x v="0"/>
          </reference>
          <reference field="14" count="1">
            <x v="37"/>
          </reference>
        </references>
      </pivotArea>
    </format>
    <format dxfId="214">
      <pivotArea dataOnly="0" labelOnly="1" fieldPosition="0">
        <references count="7">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x v="0"/>
          </reference>
        </references>
      </pivotArea>
    </format>
    <format dxfId="213">
      <pivotArea dataOnly="0" labelOnly="1" fieldPosition="0">
        <references count="7">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x v="23"/>
          </reference>
        </references>
      </pivotArea>
    </format>
    <format dxfId="212">
      <pivotArea dataOnly="0" labelOnly="1" fieldPosition="0">
        <references count="7">
          <reference field="0" count="1" selected="0">
            <x v="147"/>
          </reference>
          <reference field="1" count="1" selected="0">
            <x v="140"/>
          </reference>
          <reference field="2" count="1" selected="0">
            <x v="211"/>
          </reference>
          <reference field="3" count="1" selected="0">
            <x v="0"/>
          </reference>
          <reference field="12" count="1" selected="0">
            <x v="26"/>
          </reference>
          <reference field="13" count="1" selected="0">
            <x v="0"/>
          </reference>
          <reference field="14" count="1">
            <x v="22"/>
          </reference>
        </references>
      </pivotArea>
    </format>
    <format dxfId="211">
      <pivotArea dataOnly="0" labelOnly="1" fieldPosition="0">
        <references count="7">
          <reference field="0" count="1" selected="0">
            <x v="148"/>
          </reference>
          <reference field="1" count="1" selected="0">
            <x v="141"/>
          </reference>
          <reference field="2" count="1" selected="0">
            <x v="95"/>
          </reference>
          <reference field="3" count="1" selected="0">
            <x v="0"/>
          </reference>
          <reference field="12" count="1" selected="0">
            <x v="26"/>
          </reference>
          <reference field="13" count="1" selected="0">
            <x v="0"/>
          </reference>
          <reference field="14" count="1">
            <x v="14"/>
          </reference>
        </references>
      </pivotArea>
    </format>
    <format dxfId="210">
      <pivotArea dataOnly="0" labelOnly="1" fieldPosition="0">
        <references count="7">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x v="24"/>
          </reference>
        </references>
      </pivotArea>
    </format>
    <format dxfId="209">
      <pivotArea dataOnly="0" labelOnly="1" fieldPosition="0">
        <references count="7">
          <reference field="0" count="1" selected="0">
            <x v="153"/>
          </reference>
          <reference field="1" count="1" selected="0">
            <x v="146"/>
          </reference>
          <reference field="2" count="1" selected="0">
            <x v="54"/>
          </reference>
          <reference field="3" count="1" selected="0">
            <x v="0"/>
          </reference>
          <reference field="12" count="1" selected="0">
            <x v="14"/>
          </reference>
          <reference field="13" count="1" selected="0">
            <x v="0"/>
          </reference>
          <reference field="14" count="1">
            <x v="18"/>
          </reference>
        </references>
      </pivotArea>
    </format>
    <format dxfId="208">
      <pivotArea dataOnly="0" labelOnly="1" fieldPosition="0">
        <references count="7">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x v="51"/>
          </reference>
        </references>
      </pivotArea>
    </format>
    <format dxfId="207">
      <pivotArea dataOnly="0" labelOnly="1" fieldPosition="0">
        <references count="7">
          <reference field="0" count="1" selected="0">
            <x v="160"/>
          </reference>
          <reference field="1" count="1" selected="0">
            <x v="184"/>
          </reference>
          <reference field="2" count="1" selected="0">
            <x v="187"/>
          </reference>
          <reference field="3" count="1" selected="0">
            <x v="0"/>
          </reference>
          <reference field="12" count="1" selected="0">
            <x v="7"/>
          </reference>
          <reference field="13" count="1" selected="0">
            <x v="0"/>
          </reference>
          <reference field="14" count="1">
            <x v="52"/>
          </reference>
        </references>
      </pivotArea>
    </format>
    <format dxfId="206">
      <pivotArea dataOnly="0" labelOnly="1" fieldPosition="0">
        <references count="7">
          <reference field="0" count="1" selected="0">
            <x v="162"/>
          </reference>
          <reference field="1" count="1" selected="0">
            <x v="186"/>
          </reference>
          <reference field="2" count="1" selected="0">
            <x v="125"/>
          </reference>
          <reference field="3" count="1" selected="0">
            <x v="0"/>
          </reference>
          <reference field="12" count="1" selected="0">
            <x v="10"/>
          </reference>
          <reference field="13" count="1" selected="0">
            <x v="0"/>
          </reference>
          <reference field="14" count="1">
            <x v="65"/>
          </reference>
        </references>
      </pivotArea>
    </format>
    <format dxfId="205">
      <pivotArea dataOnly="0" labelOnly="1" fieldPosition="0">
        <references count="7">
          <reference field="0" count="1" selected="0">
            <x v="164"/>
          </reference>
          <reference field="1" count="1" selected="0">
            <x v="188"/>
          </reference>
          <reference field="2" count="1" selected="0">
            <x v="119"/>
          </reference>
          <reference field="3" count="1" selected="0">
            <x v="0"/>
          </reference>
          <reference field="12" count="1" selected="0">
            <x v="13"/>
          </reference>
          <reference field="13" count="1" selected="0">
            <x v="0"/>
          </reference>
          <reference field="14" count="1">
            <x v="26"/>
          </reference>
        </references>
      </pivotArea>
    </format>
    <format dxfId="204">
      <pivotArea dataOnly="0" labelOnly="1" fieldPosition="0">
        <references count="7">
          <reference field="0" count="1" selected="0">
            <x v="165"/>
          </reference>
          <reference field="1" count="1" selected="0">
            <x v="189"/>
          </reference>
          <reference field="2" count="1" selected="0">
            <x v="156"/>
          </reference>
          <reference field="3" count="1" selected="0">
            <x v="0"/>
          </reference>
          <reference field="12" count="1" selected="0">
            <x v="13"/>
          </reference>
          <reference field="13" count="1" selected="0">
            <x v="0"/>
          </reference>
          <reference field="14" count="1">
            <x v="21"/>
          </reference>
        </references>
      </pivotArea>
    </format>
    <format dxfId="203">
      <pivotArea dataOnly="0" labelOnly="1" fieldPosition="0">
        <references count="7">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x v="7"/>
          </reference>
        </references>
      </pivotArea>
    </format>
    <format dxfId="202">
      <pivotArea dataOnly="0" labelOnly="1" fieldPosition="0">
        <references count="7">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x v="52"/>
          </reference>
        </references>
      </pivotArea>
    </format>
    <format dxfId="201">
      <pivotArea dataOnly="0" labelOnly="1" fieldPosition="0">
        <references count="7">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x v="8"/>
          </reference>
        </references>
      </pivotArea>
    </format>
    <format dxfId="200">
      <pivotArea dataOnly="0" labelOnly="1" fieldPosition="0">
        <references count="7">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x v="20"/>
          </reference>
        </references>
      </pivotArea>
    </format>
    <format dxfId="199">
      <pivotArea dataOnly="0" labelOnly="1" fieldPosition="0">
        <references count="7">
          <reference field="0" count="1" selected="0">
            <x v="175"/>
          </reference>
          <reference field="1" count="1" selected="0">
            <x v="207"/>
          </reference>
          <reference field="2" count="1" selected="0">
            <x v="172"/>
          </reference>
          <reference field="3" count="1" selected="0">
            <x v="0"/>
          </reference>
          <reference field="12" count="1" selected="0">
            <x v="21"/>
          </reference>
          <reference field="13" count="1" selected="0">
            <x v="0"/>
          </reference>
          <reference field="14" count="1">
            <x v="26"/>
          </reference>
        </references>
      </pivotArea>
    </format>
    <format dxfId="198">
      <pivotArea dataOnly="0" labelOnly="1" fieldPosition="0">
        <references count="7">
          <reference field="0" count="1" selected="0">
            <x v="177"/>
          </reference>
          <reference field="1" count="1" selected="0">
            <x v="209"/>
          </reference>
          <reference field="2" count="1" selected="0">
            <x v="114"/>
          </reference>
          <reference field="3" count="1" selected="0">
            <x v="0"/>
          </reference>
          <reference field="12" count="1" selected="0">
            <x v="20"/>
          </reference>
          <reference field="13" count="1" selected="0">
            <x v="0"/>
          </reference>
          <reference field="14" count="1">
            <x v="27"/>
          </reference>
        </references>
      </pivotArea>
    </format>
    <format dxfId="197">
      <pivotArea dataOnly="0" labelOnly="1" fieldPosition="0">
        <references count="7">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x v="26"/>
          </reference>
        </references>
      </pivotArea>
    </format>
    <format dxfId="196">
      <pivotArea dataOnly="0" labelOnly="1" fieldPosition="0">
        <references count="7">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x v="32"/>
          </reference>
        </references>
      </pivotArea>
    </format>
    <format dxfId="195">
      <pivotArea dataOnly="0" labelOnly="1" fieldPosition="0">
        <references count="7">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x v="38"/>
          </reference>
        </references>
      </pivotArea>
    </format>
    <format dxfId="194">
      <pivotArea dataOnly="0" labelOnly="1" fieldPosition="0">
        <references count="7">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x v="44"/>
          </reference>
        </references>
      </pivotArea>
    </format>
    <format dxfId="193">
      <pivotArea dataOnly="0" labelOnly="1" fieldPosition="0">
        <references count="7">
          <reference field="0" count="1" selected="0">
            <x v="185"/>
          </reference>
          <reference field="1" count="1" selected="0">
            <x v="217"/>
          </reference>
          <reference field="2" count="1" selected="0">
            <x v="113"/>
          </reference>
          <reference field="3" count="1" selected="0">
            <x v="0"/>
          </reference>
          <reference field="12" count="1" selected="0">
            <x v="12"/>
          </reference>
          <reference field="13" count="1" selected="0">
            <x v="0"/>
          </reference>
          <reference field="14" count="1">
            <x v="45"/>
          </reference>
        </references>
      </pivotArea>
    </format>
    <format dxfId="192">
      <pivotArea dataOnly="0" labelOnly="1" fieldPosition="0">
        <references count="7">
          <reference field="0" count="1" selected="0">
            <x v="186"/>
          </reference>
          <reference field="1" count="1" selected="0">
            <x v="218"/>
          </reference>
          <reference field="2" count="1" selected="0">
            <x v="93"/>
          </reference>
          <reference field="3" count="1" selected="0">
            <x v="0"/>
          </reference>
          <reference field="12" count="1" selected="0">
            <x v="12"/>
          </reference>
          <reference field="13" count="1" selected="0">
            <x v="2"/>
          </reference>
          <reference field="14" count="1">
            <x v="42"/>
          </reference>
        </references>
      </pivotArea>
    </format>
    <format dxfId="191">
      <pivotArea dataOnly="0" labelOnly="1" fieldPosition="0">
        <references count="7">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x v="46"/>
          </reference>
        </references>
      </pivotArea>
    </format>
    <format dxfId="190">
      <pivotArea dataOnly="0" labelOnly="1" fieldPosition="0">
        <references count="7">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x v="63"/>
          </reference>
        </references>
      </pivotArea>
    </format>
    <format dxfId="189">
      <pivotArea dataOnly="0" labelOnly="1" fieldPosition="0">
        <references count="7">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x v="38"/>
          </reference>
        </references>
      </pivotArea>
    </format>
    <format dxfId="188">
      <pivotArea dataOnly="0" labelOnly="1" fieldPosition="0">
        <references count="7">
          <reference field="0" count="1" selected="0">
            <x v="193"/>
          </reference>
          <reference field="1" count="1" selected="0">
            <x v="225"/>
          </reference>
          <reference field="2" count="1" selected="0">
            <x v="238"/>
          </reference>
          <reference field="3" count="1" selected="0">
            <x v="0"/>
          </reference>
          <reference field="12" count="1" selected="0">
            <x v="7"/>
          </reference>
          <reference field="13" count="1" selected="0">
            <x v="0"/>
          </reference>
          <reference field="14" count="1">
            <x v="0"/>
          </reference>
        </references>
      </pivotArea>
    </format>
    <format dxfId="187">
      <pivotArea dataOnly="0" labelOnly="1" fieldPosition="0">
        <references count="7">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x v="20"/>
          </reference>
        </references>
      </pivotArea>
    </format>
    <format dxfId="186">
      <pivotArea dataOnly="0" labelOnly="1" fieldPosition="0">
        <references count="7">
          <reference field="0" count="1" selected="0">
            <x v="200"/>
          </reference>
          <reference field="1" count="1" selected="0">
            <x v="239"/>
          </reference>
          <reference field="2" count="1" selected="0">
            <x v="34"/>
          </reference>
          <reference field="3" count="1" selected="0">
            <x v="0"/>
          </reference>
          <reference field="12" count="1" selected="0">
            <x v="20"/>
          </reference>
          <reference field="13" count="1" selected="0">
            <x v="0"/>
          </reference>
          <reference field="14" count="1">
            <x v="0"/>
          </reference>
        </references>
      </pivotArea>
    </format>
    <format dxfId="185">
      <pivotArea dataOnly="0" labelOnly="1" fieldPosition="0">
        <references count="7">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x v="39"/>
          </reference>
        </references>
      </pivotArea>
    </format>
    <format dxfId="184">
      <pivotArea dataOnly="0" labelOnly="1" fieldPosition="0">
        <references count="7">
          <reference field="0" count="1" selected="0">
            <x v="206"/>
          </reference>
          <reference field="1" count="1" selected="0">
            <x v="151"/>
          </reference>
          <reference field="2" count="1" selected="0">
            <x v="159"/>
          </reference>
          <reference field="3" count="1" selected="0">
            <x v="0"/>
          </reference>
          <reference field="12" count="1" selected="0">
            <x v="12"/>
          </reference>
          <reference field="13" count="1" selected="0">
            <x v="5"/>
          </reference>
          <reference field="14" count="1">
            <x v="38"/>
          </reference>
        </references>
      </pivotArea>
    </format>
    <format dxfId="183">
      <pivotArea dataOnly="0" labelOnly="1" fieldPosition="0">
        <references count="7">
          <reference field="0" count="1" selected="0">
            <x v="208"/>
          </reference>
          <reference field="1" count="1" selected="0">
            <x v="153"/>
          </reference>
          <reference field="2" count="1" selected="0">
            <x v="103"/>
          </reference>
          <reference field="3" count="1" selected="0">
            <x v="0"/>
          </reference>
          <reference field="12" count="1" selected="0">
            <x v="14"/>
          </reference>
          <reference field="13" count="1" selected="0">
            <x v="16"/>
          </reference>
          <reference field="14" count="1">
            <x v="29"/>
          </reference>
        </references>
      </pivotArea>
    </format>
    <format dxfId="182">
      <pivotArea dataOnly="0" labelOnly="1" fieldPosition="0">
        <references count="7">
          <reference field="0" count="1" selected="0">
            <x v="209"/>
          </reference>
          <reference field="1" count="1" selected="0">
            <x v="154"/>
          </reference>
          <reference field="2" count="1" selected="0">
            <x v="98"/>
          </reference>
          <reference field="3" count="1" selected="0">
            <x v="0"/>
          </reference>
          <reference field="12" count="1" selected="0">
            <x v="14"/>
          </reference>
          <reference field="13" count="1" selected="0">
            <x v="17"/>
          </reference>
          <reference field="14" count="1">
            <x v="31"/>
          </reference>
        </references>
      </pivotArea>
    </format>
    <format dxfId="181">
      <pivotArea dataOnly="0" labelOnly="1" fieldPosition="0">
        <references count="7">
          <reference field="0" count="1" selected="0">
            <x v="210"/>
          </reference>
          <reference field="1" count="1" selected="0">
            <x v="155"/>
          </reference>
          <reference field="2" count="1" selected="0">
            <x v="162"/>
          </reference>
          <reference field="3" count="1" selected="0">
            <x v="0"/>
          </reference>
          <reference field="12" count="1" selected="0">
            <x v="7"/>
          </reference>
          <reference field="13" count="1" selected="0">
            <x v="2"/>
          </reference>
          <reference field="14" count="1">
            <x v="0"/>
          </reference>
        </references>
      </pivotArea>
    </format>
    <format dxfId="180">
      <pivotArea dataOnly="0" labelOnly="1" fieldPosition="0">
        <references count="7">
          <reference field="0" count="1" selected="0">
            <x v="214"/>
          </reference>
          <reference field="1" count="1" selected="0">
            <x v="159"/>
          </reference>
          <reference field="2" count="1" selected="0">
            <x v="139"/>
          </reference>
          <reference field="3" count="1" selected="0">
            <x v="0"/>
          </reference>
          <reference field="12" count="1" selected="0">
            <x v="10"/>
          </reference>
          <reference field="13" count="1" selected="0">
            <x v="15"/>
          </reference>
          <reference field="14" count="1">
            <x v="66"/>
          </reference>
        </references>
      </pivotArea>
    </format>
    <format dxfId="179">
      <pivotArea dataOnly="0" labelOnly="1" fieldPosition="0">
        <references count="7">
          <reference field="0" count="1" selected="0">
            <x v="218"/>
          </reference>
          <reference field="1" count="1" selected="0">
            <x v="163"/>
          </reference>
          <reference field="2" count="1" selected="0">
            <x v="179"/>
          </reference>
          <reference field="3" count="1" selected="0">
            <x v="0"/>
          </reference>
          <reference field="12" count="1" selected="0">
            <x v="10"/>
          </reference>
          <reference field="13" count="1" selected="0">
            <x v="10"/>
          </reference>
          <reference field="14" count="1">
            <x v="0"/>
          </reference>
        </references>
      </pivotArea>
    </format>
    <format dxfId="178">
      <pivotArea dataOnly="0" labelOnly="1" fieldPosition="0">
        <references count="7">
          <reference field="0" count="1" selected="0">
            <x v="220"/>
          </reference>
          <reference field="1" count="1" selected="0">
            <x v="165"/>
          </reference>
          <reference field="2" count="1" selected="0">
            <x v="142"/>
          </reference>
          <reference field="3" count="1" selected="0">
            <x v="0"/>
          </reference>
          <reference field="12" count="1" selected="0">
            <x v="11"/>
          </reference>
          <reference field="13" count="1" selected="0">
            <x v="12"/>
          </reference>
          <reference field="14" count="1">
            <x v="57"/>
          </reference>
        </references>
      </pivotArea>
    </format>
    <format dxfId="177">
      <pivotArea dataOnly="0" labelOnly="1" fieldPosition="0">
        <references count="7">
          <reference field="0" count="1" selected="0">
            <x v="221"/>
          </reference>
          <reference field="1" count="1" selected="0">
            <x v="166"/>
          </reference>
          <reference field="2" count="1" selected="0">
            <x v="143"/>
          </reference>
          <reference field="3" count="1" selected="0">
            <x v="0"/>
          </reference>
          <reference field="12" count="1" selected="0">
            <x v="10"/>
          </reference>
          <reference field="13" count="1" selected="0">
            <x v="9"/>
          </reference>
          <reference field="14" count="1">
            <x v="60"/>
          </reference>
        </references>
      </pivotArea>
    </format>
    <format dxfId="176">
      <pivotArea dataOnly="0" labelOnly="1" fieldPosition="0">
        <references count="7">
          <reference field="0" count="1" selected="0">
            <x v="223"/>
          </reference>
          <reference field="1" count="1" selected="0">
            <x v="168"/>
          </reference>
          <reference field="2" count="1" selected="0">
            <x v="71"/>
          </reference>
          <reference field="3" count="1" selected="0">
            <x v="0"/>
          </reference>
          <reference field="12" count="1" selected="0">
            <x v="24"/>
          </reference>
          <reference field="13" count="1" selected="0">
            <x v="7"/>
          </reference>
          <reference field="14" count="1">
            <x v="0"/>
          </reference>
        </references>
      </pivotArea>
    </format>
    <format dxfId="175">
      <pivotArea dataOnly="0" labelOnly="1" fieldPosition="0">
        <references count="7">
          <reference field="0" count="1" selected="0">
            <x v="224"/>
          </reference>
          <reference field="1" count="1" selected="0">
            <x v="169"/>
          </reference>
          <reference field="2" count="1" selected="0">
            <x v="121"/>
          </reference>
          <reference field="3" count="1" selected="0">
            <x v="0"/>
          </reference>
          <reference field="12" count="1" selected="0">
            <x v="23"/>
          </reference>
          <reference field="13" count="1" selected="0">
            <x v="1"/>
          </reference>
          <reference field="14" count="1">
            <x v="18"/>
          </reference>
        </references>
      </pivotArea>
    </format>
    <format dxfId="174">
      <pivotArea dataOnly="0" labelOnly="1" fieldPosition="0">
        <references count="7">
          <reference field="0" count="1" selected="0">
            <x v="228"/>
          </reference>
          <reference field="1" count="1" selected="0">
            <x v="173"/>
          </reference>
          <reference field="2" count="1" selected="0">
            <x v="145"/>
          </reference>
          <reference field="3" count="1" selected="0">
            <x v="0"/>
          </reference>
          <reference field="12" count="1" selected="0">
            <x v="3"/>
          </reference>
          <reference field="13" count="1" selected="0">
            <x v="21"/>
          </reference>
          <reference field="14" count="1">
            <x v="38"/>
          </reference>
        </references>
      </pivotArea>
    </format>
    <format dxfId="173">
      <pivotArea dataOnly="0" labelOnly="1" fieldPosition="0">
        <references count="7">
          <reference field="0" count="1" selected="0">
            <x v="229"/>
          </reference>
          <reference field="1" count="1" selected="0">
            <x v="174"/>
          </reference>
          <reference field="2" count="1" selected="0">
            <x v="91"/>
          </reference>
          <reference field="3" count="1" selected="0">
            <x v="0"/>
          </reference>
          <reference field="12" count="1" selected="0">
            <x v="3"/>
          </reference>
          <reference field="13" count="1" selected="0">
            <x v="18"/>
          </reference>
          <reference field="14" count="1">
            <x v="34"/>
          </reference>
        </references>
      </pivotArea>
    </format>
    <format dxfId="172">
      <pivotArea dataOnly="0" labelOnly="1" fieldPosition="0">
        <references count="7">
          <reference field="0" count="1" selected="0">
            <x v="230"/>
          </reference>
          <reference field="1" count="1" selected="0">
            <x v="175"/>
          </reference>
          <reference field="2" count="1" selected="0">
            <x v="160"/>
          </reference>
          <reference field="3" count="1" selected="0">
            <x v="0"/>
          </reference>
          <reference field="12" count="1" selected="0">
            <x v="3"/>
          </reference>
          <reference field="13" count="1" selected="0">
            <x v="18"/>
          </reference>
          <reference field="14" count="1">
            <x v="36"/>
          </reference>
        </references>
      </pivotArea>
    </format>
    <format dxfId="171">
      <pivotArea dataOnly="0" labelOnly="1" fieldPosition="0">
        <references count="7">
          <reference field="0" count="1" selected="0">
            <x v="231"/>
          </reference>
          <reference field="1" count="1" selected="0">
            <x v="176"/>
          </reference>
          <reference field="2" count="1" selected="0">
            <x v="42"/>
          </reference>
          <reference field="3" count="1" selected="0">
            <x v="0"/>
          </reference>
          <reference field="12" count="1" selected="0">
            <x v="3"/>
          </reference>
          <reference field="13" count="1" selected="0">
            <x v="20"/>
          </reference>
          <reference field="14" count="1">
            <x v="38"/>
          </reference>
        </references>
      </pivotArea>
    </format>
    <format dxfId="170">
      <pivotArea dataOnly="0" labelOnly="1" fieldPosition="0">
        <references count="7">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x v="67"/>
          </reference>
        </references>
      </pivotArea>
    </format>
    <format dxfId="169">
      <pivotArea dataOnly="0" labelOnly="1" fieldPosition="0">
        <references count="7">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x v="38"/>
          </reference>
        </references>
      </pivotArea>
    </format>
    <format dxfId="168">
      <pivotArea dataOnly="0" labelOnly="1" fieldPosition="0">
        <references count="7">
          <reference field="0" count="1" selected="0">
            <x v="238"/>
          </reference>
          <reference field="1" count="1" selected="0">
            <x v="194"/>
          </reference>
          <reference field="2" count="1" selected="0">
            <x v="25"/>
          </reference>
          <reference field="3" count="1" selected="0">
            <x v="0"/>
          </reference>
          <reference field="12" count="1" selected="0">
            <x v="0"/>
          </reference>
          <reference field="13" count="1" selected="0">
            <x v="0"/>
          </reference>
          <reference field="14" count="1">
            <x v="0"/>
          </reference>
        </references>
      </pivotArea>
    </format>
    <format dxfId="167">
      <pivotArea dataOnly="0" labelOnly="1" fieldPosition="0">
        <references count="8">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selected="0">
            <x v="38"/>
          </reference>
          <reference field="15" count="1">
            <x v="15"/>
          </reference>
        </references>
      </pivotArea>
    </format>
    <format dxfId="166">
      <pivotArea dataOnly="0" labelOnly="1" fieldPosition="0">
        <references count="8">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selected="0">
            <x v="0"/>
          </reference>
          <reference field="15" count="1">
            <x v="14"/>
          </reference>
        </references>
      </pivotArea>
    </format>
    <format dxfId="165">
      <pivotArea dataOnly="0" labelOnly="1" fieldPosition="0">
        <references count="8">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selected="0">
            <x v="35"/>
          </reference>
          <reference field="15" count="1">
            <x v="43"/>
          </reference>
        </references>
      </pivotArea>
    </format>
    <format dxfId="164">
      <pivotArea dataOnly="0" labelOnly="1" fieldPosition="0">
        <references count="8">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selected="0">
            <x v="38"/>
          </reference>
          <reference field="15" count="1">
            <x v="15"/>
          </reference>
        </references>
      </pivotArea>
    </format>
    <format dxfId="163">
      <pivotArea dataOnly="0" labelOnly="1" fieldPosition="0">
        <references count="8">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selected="0">
            <x v="28"/>
          </reference>
          <reference field="15" count="1">
            <x v="0"/>
          </reference>
        </references>
      </pivotArea>
    </format>
    <format dxfId="162">
      <pivotArea dataOnly="0" labelOnly="1" fieldPosition="0">
        <references count="8">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selected="0">
            <x v="40"/>
          </reference>
          <reference field="15" count="1">
            <x v="15"/>
          </reference>
        </references>
      </pivotArea>
    </format>
    <format dxfId="161">
      <pivotArea dataOnly="0" labelOnly="1" fieldPosition="0">
        <references count="8">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selected="0">
            <x v="38"/>
          </reference>
          <reference field="15" count="1">
            <x v="14"/>
          </reference>
        </references>
      </pivotArea>
    </format>
    <format dxfId="160">
      <pivotArea dataOnly="0" labelOnly="1" fieldPosition="0">
        <references count="8">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selected="0">
            <x v="1"/>
          </reference>
          <reference field="15" count="1">
            <x v="21"/>
          </reference>
        </references>
      </pivotArea>
    </format>
    <format dxfId="159">
      <pivotArea dataOnly="0" labelOnly="1" fieldPosition="0">
        <references count="8">
          <reference field="0" count="1" selected="0">
            <x v="26"/>
          </reference>
          <reference field="1" count="1" selected="0">
            <x v="23"/>
          </reference>
          <reference field="2" count="1" selected="0">
            <x v="217"/>
          </reference>
          <reference field="3" count="1" selected="0">
            <x v="0"/>
          </reference>
          <reference field="12" count="1" selected="0">
            <x v="5"/>
          </reference>
          <reference field="13" count="1" selected="0">
            <x v="0"/>
          </reference>
          <reference field="14" count="1" selected="0">
            <x v="1"/>
          </reference>
          <reference field="15" count="1">
            <x v="45"/>
          </reference>
        </references>
      </pivotArea>
    </format>
    <format dxfId="158">
      <pivotArea dataOnly="0" labelOnly="1" fieldPosition="0">
        <references count="8">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selected="0">
            <x v="3"/>
          </reference>
          <reference field="15" count="1">
            <x v="0"/>
          </reference>
        </references>
      </pivotArea>
    </format>
    <format dxfId="157">
      <pivotArea dataOnly="0" labelOnly="1" fieldPosition="0">
        <references count="8">
          <reference field="0" count="1" selected="0">
            <x v="29"/>
          </reference>
          <reference field="1" count="1" selected="0">
            <x v="26"/>
          </reference>
          <reference field="2" count="1" selected="0">
            <x v="62"/>
          </reference>
          <reference field="3" count="1" selected="0">
            <x v="0"/>
          </reference>
          <reference field="12" count="1" selected="0">
            <x v="15"/>
          </reference>
          <reference field="13" count="1" selected="0">
            <x v="0"/>
          </reference>
          <reference field="14" count="1" selected="0">
            <x v="19"/>
          </reference>
          <reference field="15" count="1">
            <x v="12"/>
          </reference>
        </references>
      </pivotArea>
    </format>
    <format dxfId="156">
      <pivotArea dataOnly="0" labelOnly="1" fieldPosition="0">
        <references count="8">
          <reference field="0" count="1" selected="0">
            <x v="30"/>
          </reference>
          <reference field="1" count="1" selected="0">
            <x v="27"/>
          </reference>
          <reference field="2" count="1" selected="0">
            <x v="7"/>
          </reference>
          <reference field="3" count="1" selected="0">
            <x v="0"/>
          </reference>
          <reference field="12" count="1" selected="0">
            <x v="15"/>
          </reference>
          <reference field="13" count="1" selected="0">
            <x v="0"/>
          </reference>
          <reference field="14" count="1" selected="0">
            <x v="13"/>
          </reference>
          <reference field="15" count="1">
            <x v="11"/>
          </reference>
        </references>
      </pivotArea>
    </format>
    <format dxfId="155">
      <pivotArea dataOnly="0" labelOnly="1" fieldPosition="0">
        <references count="8">
          <reference field="0" count="1" selected="0">
            <x v="31"/>
          </reference>
          <reference field="1" count="1" selected="0">
            <x v="28"/>
          </reference>
          <reference field="2" count="1" selected="0">
            <x v="53"/>
          </reference>
          <reference field="3" count="1" selected="0">
            <x v="0"/>
          </reference>
          <reference field="12" count="1" selected="0">
            <x v="7"/>
          </reference>
          <reference field="13" count="1" selected="0">
            <x v="0"/>
          </reference>
          <reference field="14" count="1" selected="0">
            <x v="15"/>
          </reference>
          <reference field="15" count="1">
            <x v="0"/>
          </reference>
        </references>
      </pivotArea>
    </format>
    <format dxfId="154">
      <pivotArea dataOnly="0" labelOnly="1" fieldPosition="0">
        <references count="8">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selected="0">
            <x v="61"/>
          </reference>
          <reference field="15" count="1">
            <x v="23"/>
          </reference>
        </references>
      </pivotArea>
    </format>
    <format dxfId="153">
      <pivotArea dataOnly="0" labelOnly="1" fieldPosition="0">
        <references count="8">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selected="0">
            <x v="62"/>
          </reference>
          <reference field="15" count="1">
            <x v="16"/>
          </reference>
        </references>
      </pivotArea>
    </format>
    <format dxfId="152">
      <pivotArea dataOnly="0" labelOnly="1" fieldPosition="0">
        <references count="8">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selected="0">
            <x v="56"/>
          </reference>
          <reference field="15" count="1">
            <x v="0"/>
          </reference>
        </references>
      </pivotArea>
    </format>
    <format dxfId="151">
      <pivotArea dataOnly="0" labelOnly="1" fieldPosition="0">
        <references count="8">
          <reference field="0" count="1" selected="0">
            <x v="44"/>
          </reference>
          <reference field="1" count="1" selected="0">
            <x v="6"/>
          </reference>
          <reference field="2" count="1" selected="0">
            <x v="23"/>
          </reference>
          <reference field="3" count="1" selected="0">
            <x v="0"/>
          </reference>
          <reference field="12" count="1" selected="0">
            <x v="10"/>
          </reference>
          <reference field="13" count="1" selected="0">
            <x v="0"/>
          </reference>
          <reference field="14" count="1" selected="0">
            <x v="56"/>
          </reference>
          <reference field="15" count="1">
            <x v="16"/>
          </reference>
        </references>
      </pivotArea>
    </format>
    <format dxfId="150">
      <pivotArea dataOnly="0" labelOnly="1" fieldPosition="0">
        <references count="8">
          <reference field="0" count="1" selected="0">
            <x v="47"/>
          </reference>
          <reference field="1" count="1" selected="0">
            <x v="9"/>
          </reference>
          <reference field="2" count="1" selected="0">
            <x v="141"/>
          </reference>
          <reference field="3" count="1" selected="0">
            <x v="0"/>
          </reference>
          <reference field="12" count="1" selected="0">
            <x v="10"/>
          </reference>
          <reference field="13" count="1" selected="0">
            <x v="0"/>
          </reference>
          <reference field="14" count="1" selected="0">
            <x v="56"/>
          </reference>
          <reference field="15" count="1">
            <x v="22"/>
          </reference>
        </references>
      </pivotArea>
    </format>
    <format dxfId="149">
      <pivotArea dataOnly="0" labelOnly="1" fieldPosition="0">
        <references count="8">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selected="0">
            <x v="66"/>
          </reference>
          <reference field="15" count="1">
            <x v="17"/>
          </reference>
        </references>
      </pivotArea>
    </format>
    <format dxfId="148">
      <pivotArea dataOnly="0" labelOnly="1" fieldPosition="0">
        <references count="8">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selected="0">
            <x v="34"/>
          </reference>
          <reference field="15" count="1">
            <x v="43"/>
          </reference>
        </references>
      </pivotArea>
    </format>
    <format dxfId="147">
      <pivotArea dataOnly="0" labelOnly="1" fieldPosition="0">
        <references count="8">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selected="0">
            <x v="14"/>
          </reference>
          <reference field="15" count="1">
            <x v="40"/>
          </reference>
        </references>
      </pivotArea>
    </format>
    <format dxfId="146">
      <pivotArea dataOnly="0" labelOnly="1" fieldPosition="0">
        <references count="8">
          <reference field="0" count="1" selected="0">
            <x v="67"/>
          </reference>
          <reference field="1" count="1" selected="0">
            <x v="47"/>
          </reference>
          <reference field="2" count="1" selected="0">
            <x v="181"/>
          </reference>
          <reference field="3" count="1" selected="0">
            <x v="0"/>
          </reference>
          <reference field="12" count="1" selected="0">
            <x v="3"/>
          </reference>
          <reference field="13" count="1" selected="0">
            <x v="0"/>
          </reference>
          <reference field="14" count="1" selected="0">
            <x v="14"/>
          </reference>
          <reference field="15" count="1">
            <x v="41"/>
          </reference>
        </references>
      </pivotArea>
    </format>
    <format dxfId="145">
      <pivotArea dataOnly="0" labelOnly="1" fieldPosition="0">
        <references count="8">
          <reference field="0" count="1" selected="0">
            <x v="68"/>
          </reference>
          <reference field="1" count="1" selected="0">
            <x v="48"/>
          </reference>
          <reference field="2" count="1" selected="0">
            <x v="231"/>
          </reference>
          <reference field="3" count="1" selected="0">
            <x v="0"/>
          </reference>
          <reference field="12" count="1" selected="0">
            <x v="3"/>
          </reference>
          <reference field="13" count="1" selected="0">
            <x v="0"/>
          </reference>
          <reference field="14" count="1" selected="0">
            <x v="14"/>
          </reference>
          <reference field="15" count="1">
            <x v="0"/>
          </reference>
        </references>
      </pivotArea>
    </format>
    <format dxfId="144">
      <pivotArea dataOnly="0" labelOnly="1" fieldPosition="0">
        <references count="8">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selected="0">
            <x v="0"/>
          </reference>
          <reference field="15" count="1">
            <x v="20"/>
          </reference>
        </references>
      </pivotArea>
    </format>
    <format dxfId="143">
      <pivotArea dataOnly="0" labelOnly="1" fieldPosition="0">
        <references count="8">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selected="0">
            <x v="4"/>
          </reference>
          <reference field="15" count="1">
            <x v="29"/>
          </reference>
        </references>
      </pivotArea>
    </format>
    <format dxfId="142">
      <pivotArea dataOnly="0" labelOnly="1" fieldPosition="0">
        <references count="8">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selected="0">
            <x v="53"/>
          </reference>
          <reference field="15" count="1">
            <x v="26"/>
          </reference>
        </references>
      </pivotArea>
    </format>
    <format dxfId="141">
      <pivotArea dataOnly="0" labelOnly="1" fieldPosition="0">
        <references count="8">
          <reference field="0" count="1" selected="0">
            <x v="86"/>
          </reference>
          <reference field="1" count="1" selected="0">
            <x v="73"/>
          </reference>
          <reference field="2" count="1" selected="0">
            <x v="154"/>
          </reference>
          <reference field="3" count="1" selected="0">
            <x v="0"/>
          </reference>
          <reference field="12" count="1" selected="0">
            <x v="7"/>
          </reference>
          <reference field="13" count="1" selected="0">
            <x v="0"/>
          </reference>
          <reference field="14" count="1" selected="0">
            <x v="53"/>
          </reference>
          <reference field="15" count="1">
            <x v="0"/>
          </reference>
        </references>
      </pivotArea>
    </format>
    <format dxfId="140">
      <pivotArea dataOnly="0" labelOnly="1" fieldPosition="0">
        <references count="8">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selected="0">
            <x v="25"/>
          </reference>
          <reference field="15" count="1">
            <x v="29"/>
          </reference>
        </references>
      </pivotArea>
    </format>
    <format dxfId="139">
      <pivotArea dataOnly="0" labelOnly="1" fieldPosition="0">
        <references count="8">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selected="0">
            <x v="0"/>
          </reference>
          <reference field="15" count="1">
            <x v="0"/>
          </reference>
        </references>
      </pivotArea>
    </format>
    <format dxfId="138">
      <pivotArea dataOnly="0" labelOnly="1" fieldPosition="0">
        <references count="8">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137">
      <pivotArea dataOnly="0" labelOnly="1" fieldPosition="0">
        <references count="8">
          <reference field="0" count="1" selected="0">
            <x v="99"/>
          </reference>
          <reference field="1" count="1" selected="0">
            <x v="86"/>
          </reference>
          <reference field="2" count="1" selected="0">
            <x v="66"/>
          </reference>
          <reference field="3" count="1" selected="0">
            <x v="0"/>
          </reference>
          <reference field="12" count="1" selected="0">
            <x v="3"/>
          </reference>
          <reference field="13" count="1" selected="0">
            <x v="0"/>
          </reference>
          <reference field="14" count="1" selected="0">
            <x v="16"/>
          </reference>
          <reference field="15" count="1">
            <x v="28"/>
          </reference>
        </references>
      </pivotArea>
    </format>
    <format dxfId="136">
      <pivotArea dataOnly="0" labelOnly="1" fieldPosition="0">
        <references count="8">
          <reference field="0" count="1" selected="0">
            <x v="100"/>
          </reference>
          <reference field="1" count="1" selected="0">
            <x v="87"/>
          </reference>
          <reference field="2" count="1" selected="0">
            <x v="75"/>
          </reference>
          <reference field="3" count="1" selected="0">
            <x v="0"/>
          </reference>
          <reference field="12" count="1" selected="0">
            <x v="3"/>
          </reference>
          <reference field="13" count="1" selected="0">
            <x v="0"/>
          </reference>
          <reference field="14" count="1" selected="0">
            <x v="16"/>
          </reference>
          <reference field="15" count="1">
            <x v="26"/>
          </reference>
        </references>
      </pivotArea>
    </format>
    <format dxfId="135">
      <pivotArea dataOnly="0" labelOnly="1" fieldPosition="0">
        <references count="8">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selected="0">
            <x v="6"/>
          </reference>
          <reference field="15" count="1">
            <x v="0"/>
          </reference>
        </references>
      </pivotArea>
    </format>
    <format dxfId="134">
      <pivotArea dataOnly="0" labelOnly="1" fieldPosition="0">
        <references count="8">
          <reference field="0" count="1" selected="0">
            <x v="103"/>
          </reference>
          <reference field="1" count="1" selected="0">
            <x v="90"/>
          </reference>
          <reference field="2" count="1" selected="0">
            <x v="73"/>
          </reference>
          <reference field="3" count="1" selected="0">
            <x v="0"/>
          </reference>
          <reference field="12" count="1" selected="0">
            <x v="3"/>
          </reference>
          <reference field="13" count="1" selected="0">
            <x v="0"/>
          </reference>
          <reference field="14" count="1" selected="0">
            <x v="16"/>
          </reference>
          <reference field="15" count="1">
            <x v="42"/>
          </reference>
        </references>
      </pivotArea>
    </format>
    <format dxfId="133">
      <pivotArea dataOnly="0" labelOnly="1" fieldPosition="0">
        <references count="8">
          <reference field="0" count="1" selected="0">
            <x v="105"/>
          </reference>
          <reference field="1" count="1" selected="0">
            <x v="92"/>
          </reference>
          <reference field="2" count="1" selected="0">
            <x v="134"/>
          </reference>
          <reference field="3" count="1" selected="0">
            <x v="0"/>
          </reference>
          <reference field="12" count="1" selected="0">
            <x v="7"/>
          </reference>
          <reference field="13" count="1" selected="0">
            <x v="0"/>
          </reference>
          <reference field="14" count="1" selected="0">
            <x v="16"/>
          </reference>
          <reference field="15" count="1">
            <x v="0"/>
          </reference>
        </references>
      </pivotArea>
    </format>
    <format dxfId="132">
      <pivotArea dataOnly="0" labelOnly="1" fieldPosition="0">
        <references count="8">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selected="0">
            <x v="54"/>
          </reference>
          <reference field="15" count="1">
            <x v="30"/>
          </reference>
        </references>
      </pivotArea>
    </format>
    <format dxfId="131">
      <pivotArea dataOnly="0" labelOnly="1" fieldPosition="0">
        <references count="8">
          <reference field="0" count="1" selected="0">
            <x v="108"/>
          </reference>
          <reference field="1" count="1" selected="0">
            <x v="95"/>
          </reference>
          <reference field="2" count="1" selected="0">
            <x v="236"/>
          </reference>
          <reference field="3" count="1" selected="0">
            <x v="0"/>
          </reference>
          <reference field="12" count="1" selected="0">
            <x v="7"/>
          </reference>
          <reference field="13" count="1" selected="0">
            <x v="0"/>
          </reference>
          <reference field="14" count="1" selected="0">
            <x v="55"/>
          </reference>
          <reference field="15" count="1">
            <x v="31"/>
          </reference>
        </references>
      </pivotArea>
    </format>
    <format dxfId="130">
      <pivotArea dataOnly="0" labelOnly="1" fieldPosition="0">
        <references count="8">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selected="0">
            <x v="4"/>
          </reference>
          <reference field="15" count="1">
            <x v="26"/>
          </reference>
        </references>
      </pivotArea>
    </format>
    <format dxfId="129">
      <pivotArea dataOnly="0" labelOnly="1" fieldPosition="0">
        <references count="8">
          <reference field="0" count="1" selected="0">
            <x v="111"/>
          </reference>
          <reference field="1" count="1" selected="0">
            <x v="98"/>
          </reference>
          <reference field="2" count="1" selected="0">
            <x v="83"/>
          </reference>
          <reference field="3" count="1" selected="0">
            <x v="0"/>
          </reference>
          <reference field="12" count="1" selected="0">
            <x v="7"/>
          </reference>
          <reference field="13" count="1" selected="0">
            <x v="0"/>
          </reference>
          <reference field="14" count="1" selected="0">
            <x v="4"/>
          </reference>
          <reference field="15" count="1">
            <x v="27"/>
          </reference>
        </references>
      </pivotArea>
    </format>
    <format dxfId="128">
      <pivotArea dataOnly="0" labelOnly="1" fieldPosition="0">
        <references count="8">
          <reference field="0" count="1" selected="0">
            <x v="113"/>
          </reference>
          <reference field="1" count="1" selected="0">
            <x v="100"/>
          </reference>
          <reference field="2" count="1" selected="0">
            <x v="124"/>
          </reference>
          <reference field="3" count="1" selected="0">
            <x v="0"/>
          </reference>
          <reference field="12" count="1" selected="0">
            <x v="7"/>
          </reference>
          <reference field="13" count="1" selected="0">
            <x v="0"/>
          </reference>
          <reference field="14" count="1" selected="0">
            <x v="7"/>
          </reference>
          <reference field="15" count="1">
            <x v="0"/>
          </reference>
        </references>
      </pivotArea>
    </format>
    <format dxfId="127">
      <pivotArea dataOnly="0" labelOnly="1" fieldPosition="0">
        <references count="8">
          <reference field="0" count="1" selected="0">
            <x v="125"/>
          </reference>
          <reference field="1" count="1" selected="0">
            <x v="112"/>
          </reference>
          <reference field="2" count="1" selected="0">
            <x v="197"/>
          </reference>
          <reference field="3" count="1" selected="0">
            <x v="0"/>
          </reference>
          <reference field="12" count="1" selected="0">
            <x v="3"/>
          </reference>
          <reference field="13" count="1" selected="0">
            <x v="0"/>
          </reference>
          <reference field="14" count="1" selected="0">
            <x v="34"/>
          </reference>
          <reference field="15" count="1">
            <x v="32"/>
          </reference>
        </references>
      </pivotArea>
    </format>
    <format dxfId="126">
      <pivotArea dataOnly="0" labelOnly="1" fieldPosition="0">
        <references count="8">
          <reference field="0" count="1" selected="0">
            <x v="128"/>
          </reference>
          <reference field="1" count="1" selected="0">
            <x v="115"/>
          </reference>
          <reference field="2" count="1" selected="0">
            <x v="59"/>
          </reference>
          <reference field="3" count="1" selected="0">
            <x v="0"/>
          </reference>
          <reference field="12" count="1" selected="0">
            <x v="0"/>
          </reference>
          <reference field="13" count="1" selected="0">
            <x v="0"/>
          </reference>
          <reference field="14" count="1" selected="0">
            <x v="37"/>
          </reference>
          <reference field="15" count="1">
            <x v="0"/>
          </reference>
        </references>
      </pivotArea>
    </format>
    <format dxfId="125">
      <pivotArea dataOnly="0" labelOnly="1" fieldPosition="0">
        <references count="8">
          <reference field="0" count="1" selected="0">
            <x v="129"/>
          </reference>
          <reference field="1" count="1" selected="0">
            <x v="116"/>
          </reference>
          <reference field="2" count="1" selected="0">
            <x v="212"/>
          </reference>
          <reference field="3" count="1" selected="0">
            <x v="0"/>
          </reference>
          <reference field="12" count="1" selected="0">
            <x v="3"/>
          </reference>
          <reference field="13" count="1" selected="0">
            <x v="0"/>
          </reference>
          <reference field="14" count="1" selected="0">
            <x v="37"/>
          </reference>
          <reference field="15" count="1">
            <x v="32"/>
          </reference>
        </references>
      </pivotArea>
    </format>
    <format dxfId="124">
      <pivotArea dataOnly="0" labelOnly="1" fieldPosition="0">
        <references count="8">
          <reference field="0" count="1" selected="0">
            <x v="134"/>
          </reference>
          <reference field="1" count="1" selected="0">
            <x v="127"/>
          </reference>
          <reference field="2" count="1" selected="0">
            <x v="2"/>
          </reference>
          <reference field="3" count="1" selected="0">
            <x v="0"/>
          </reference>
          <reference field="12" count="1" selected="0">
            <x v="4"/>
          </reference>
          <reference field="13" count="1" selected="0">
            <x v="0"/>
          </reference>
          <reference field="14" count="1" selected="0">
            <x v="34"/>
          </reference>
          <reference field="15" count="1">
            <x v="43"/>
          </reference>
        </references>
      </pivotArea>
    </format>
    <format dxfId="123">
      <pivotArea dataOnly="0" labelOnly="1" fieldPosition="0">
        <references count="8">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selected="0">
            <x v="0"/>
          </reference>
          <reference field="15" count="1">
            <x v="0"/>
          </reference>
        </references>
      </pivotArea>
    </format>
    <format dxfId="122">
      <pivotArea dataOnly="0" labelOnly="1" fieldPosition="0">
        <references count="8">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selected="0">
            <x v="23"/>
          </reference>
          <reference field="15" count="1">
            <x v="33"/>
          </reference>
        </references>
      </pivotArea>
    </format>
    <format dxfId="121">
      <pivotArea dataOnly="0" labelOnly="1" fieldPosition="0">
        <references count="8">
          <reference field="0" count="1" selected="0">
            <x v="147"/>
          </reference>
          <reference field="1" count="1" selected="0">
            <x v="140"/>
          </reference>
          <reference field="2" count="1" selected="0">
            <x v="211"/>
          </reference>
          <reference field="3" count="1" selected="0">
            <x v="0"/>
          </reference>
          <reference field="12" count="1" selected="0">
            <x v="26"/>
          </reference>
          <reference field="13" count="1" selected="0">
            <x v="0"/>
          </reference>
          <reference field="14" count="1" selected="0">
            <x v="22"/>
          </reference>
          <reference field="15" count="1">
            <x v="24"/>
          </reference>
        </references>
      </pivotArea>
    </format>
    <format dxfId="120">
      <pivotArea dataOnly="0" labelOnly="1" fieldPosition="0">
        <references count="8">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selected="0">
            <x v="24"/>
          </reference>
          <reference field="15" count="1">
            <x v="2"/>
          </reference>
        </references>
      </pivotArea>
    </format>
    <format dxfId="119">
      <pivotArea dataOnly="0" labelOnly="1" fieldPosition="0">
        <references count="8">
          <reference field="0" count="1" selected="0">
            <x v="153"/>
          </reference>
          <reference field="1" count="1" selected="0">
            <x v="146"/>
          </reference>
          <reference field="2" count="1" selected="0">
            <x v="54"/>
          </reference>
          <reference field="3" count="1" selected="0">
            <x v="0"/>
          </reference>
          <reference field="12" count="1" selected="0">
            <x v="14"/>
          </reference>
          <reference field="13" count="1" selected="0">
            <x v="0"/>
          </reference>
          <reference field="14" count="1" selected="0">
            <x v="18"/>
          </reference>
          <reference field="15" count="1">
            <x v="0"/>
          </reference>
        </references>
      </pivotArea>
    </format>
    <format dxfId="118">
      <pivotArea dataOnly="0" labelOnly="1" fieldPosition="0">
        <references count="8">
          <reference field="0" count="1" selected="0">
            <x v="154"/>
          </reference>
          <reference field="1" count="1" selected="0">
            <x v="147"/>
          </reference>
          <reference field="2" count="1" selected="0">
            <x v="109"/>
          </reference>
          <reference field="3" count="1" selected="0">
            <x v="0"/>
          </reference>
          <reference field="12" count="1" selected="0">
            <x v="14"/>
          </reference>
          <reference field="13" count="1" selected="0">
            <x v="0"/>
          </reference>
          <reference field="14" count="1" selected="0">
            <x v="18"/>
          </reference>
          <reference field="15" count="1">
            <x v="3"/>
          </reference>
        </references>
      </pivotArea>
    </format>
    <format dxfId="117">
      <pivotArea dataOnly="0" labelOnly="1" fieldPosition="0">
        <references count="8">
          <reference field="0" count="1" selected="0">
            <x v="155"/>
          </reference>
          <reference field="1" count="1" selected="0">
            <x v="148"/>
          </reference>
          <reference field="2" count="1" selected="0">
            <x v="3"/>
          </reference>
          <reference field="3" count="1" selected="0">
            <x v="0"/>
          </reference>
          <reference field="12" count="1" selected="0">
            <x v="23"/>
          </reference>
          <reference field="13" count="1" selected="0">
            <x v="0"/>
          </reference>
          <reference field="14" count="1" selected="0">
            <x v="18"/>
          </reference>
          <reference field="15" count="1">
            <x v="1"/>
          </reference>
        </references>
      </pivotArea>
    </format>
    <format dxfId="116">
      <pivotArea dataOnly="0" labelOnly="1" fieldPosition="0">
        <references count="8">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selected="0">
            <x v="51"/>
          </reference>
          <reference field="15" count="1">
            <x v="8"/>
          </reference>
        </references>
      </pivotArea>
    </format>
    <format dxfId="115">
      <pivotArea dataOnly="0" labelOnly="1" fieldPosition="0">
        <references count="8">
          <reference field="0" count="1" selected="0">
            <x v="161"/>
          </reference>
          <reference field="1" count="1" selected="0">
            <x v="185"/>
          </reference>
          <reference field="2" count="1" selected="0">
            <x v="186"/>
          </reference>
          <reference field="3" count="1" selected="0">
            <x v="0"/>
          </reference>
          <reference field="12" count="1" selected="0">
            <x v="9"/>
          </reference>
          <reference field="13" count="1" selected="0">
            <x v="0"/>
          </reference>
          <reference field="14" count="1" selected="0">
            <x v="52"/>
          </reference>
          <reference field="15" count="1">
            <x v="7"/>
          </reference>
        </references>
      </pivotArea>
    </format>
    <format dxfId="114">
      <pivotArea dataOnly="0" labelOnly="1" fieldPosition="0">
        <references count="8">
          <reference field="0" count="1" selected="0">
            <x v="162"/>
          </reference>
          <reference field="1" count="1" selected="0">
            <x v="186"/>
          </reference>
          <reference field="2" count="1" selected="0">
            <x v="125"/>
          </reference>
          <reference field="3" count="1" selected="0">
            <x v="0"/>
          </reference>
          <reference field="12" count="1" selected="0">
            <x v="10"/>
          </reference>
          <reference field="13" count="1" selected="0">
            <x v="0"/>
          </reference>
          <reference field="14" count="1" selected="0">
            <x v="65"/>
          </reference>
          <reference field="15" count="1">
            <x v="0"/>
          </reference>
        </references>
      </pivotArea>
    </format>
    <format dxfId="113">
      <pivotArea dataOnly="0" labelOnly="1" fieldPosition="0">
        <references count="8">
          <reference field="0" count="1" selected="0">
            <x v="164"/>
          </reference>
          <reference field="1" count="1" selected="0">
            <x v="188"/>
          </reference>
          <reference field="2" count="1" selected="0">
            <x v="119"/>
          </reference>
          <reference field="3" count="1" selected="0">
            <x v="0"/>
          </reference>
          <reference field="12" count="1" selected="0">
            <x v="13"/>
          </reference>
          <reference field="13" count="1" selected="0">
            <x v="0"/>
          </reference>
          <reference field="14" count="1" selected="0">
            <x v="26"/>
          </reference>
          <reference field="15" count="1">
            <x v="5"/>
          </reference>
        </references>
      </pivotArea>
    </format>
    <format dxfId="112">
      <pivotArea dataOnly="0" labelOnly="1" fieldPosition="0">
        <references count="8">
          <reference field="0" count="1" selected="0">
            <x v="165"/>
          </reference>
          <reference field="1" count="1" selected="0">
            <x v="189"/>
          </reference>
          <reference field="2" count="1" selected="0">
            <x v="156"/>
          </reference>
          <reference field="3" count="1" selected="0">
            <x v="0"/>
          </reference>
          <reference field="12" count="1" selected="0">
            <x v="13"/>
          </reference>
          <reference field="13" count="1" selected="0">
            <x v="0"/>
          </reference>
          <reference field="14" count="1" selected="0">
            <x v="21"/>
          </reference>
          <reference field="15" count="1">
            <x v="6"/>
          </reference>
        </references>
      </pivotArea>
    </format>
    <format dxfId="111">
      <pivotArea dataOnly="0" labelOnly="1" fieldPosition="0">
        <references count="8">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selected="0">
            <x v="7"/>
          </reference>
          <reference field="15" count="1">
            <x v="19"/>
          </reference>
        </references>
      </pivotArea>
    </format>
    <format dxfId="110">
      <pivotArea dataOnly="0" labelOnly="1" fieldPosition="0">
        <references count="8">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selected="0">
            <x v="52"/>
          </reference>
          <reference field="15" count="1">
            <x v="18"/>
          </reference>
        </references>
      </pivotArea>
    </format>
    <format dxfId="109">
      <pivotArea dataOnly="0" labelOnly="1" fieldPosition="0">
        <references count="8">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selected="0">
            <x v="8"/>
          </reference>
          <reference field="15" count="1">
            <x v="30"/>
          </reference>
        </references>
      </pivotArea>
    </format>
    <format dxfId="108">
      <pivotArea dataOnly="0" labelOnly="1" fieldPosition="0">
        <references count="8">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selected="0">
            <x v="20"/>
          </reference>
          <reference field="15" count="1">
            <x v="38"/>
          </reference>
        </references>
      </pivotArea>
    </format>
    <format dxfId="107">
      <pivotArea dataOnly="0" labelOnly="1" fieldPosition="0">
        <references count="8">
          <reference field="0" count="1" selected="0">
            <x v="175"/>
          </reference>
          <reference field="1" count="1" selected="0">
            <x v="207"/>
          </reference>
          <reference field="2" count="1" selected="0">
            <x v="172"/>
          </reference>
          <reference field="3" count="1" selected="0">
            <x v="0"/>
          </reference>
          <reference field="12" count="1" selected="0">
            <x v="21"/>
          </reference>
          <reference field="13" count="1" selected="0">
            <x v="0"/>
          </reference>
          <reference field="14" count="1" selected="0">
            <x v="26"/>
          </reference>
          <reference field="15" count="1">
            <x v="0"/>
          </reference>
        </references>
      </pivotArea>
    </format>
    <format dxfId="106">
      <pivotArea dataOnly="0" labelOnly="1" fieldPosition="0">
        <references count="8">
          <reference field="0" count="1" selected="0">
            <x v="177"/>
          </reference>
          <reference field="1" count="1" selected="0">
            <x v="209"/>
          </reference>
          <reference field="2" count="1" selected="0">
            <x v="114"/>
          </reference>
          <reference field="3" count="1" selected="0">
            <x v="0"/>
          </reference>
          <reference field="12" count="1" selected="0">
            <x v="20"/>
          </reference>
          <reference field="13" count="1" selected="0">
            <x v="0"/>
          </reference>
          <reference field="14" count="1" selected="0">
            <x v="27"/>
          </reference>
          <reference field="15" count="1">
            <x v="10"/>
          </reference>
        </references>
      </pivotArea>
    </format>
    <format dxfId="105">
      <pivotArea dataOnly="0" labelOnly="1" fieldPosition="0">
        <references count="8">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selected="0">
            <x v="26"/>
          </reference>
          <reference field="15" count="1">
            <x v="0"/>
          </reference>
        </references>
      </pivotArea>
    </format>
    <format dxfId="104">
      <pivotArea dataOnly="0" labelOnly="1" fieldPosition="0">
        <references count="8">
          <reference field="0" count="1" selected="0">
            <x v="179"/>
          </reference>
          <reference field="1" count="1" selected="0">
            <x v="211"/>
          </reference>
          <reference field="2" count="1" selected="0">
            <x v="96"/>
          </reference>
          <reference field="3" count="1" selected="0">
            <x v="0"/>
          </reference>
          <reference field="12" count="1" selected="0">
            <x v="20"/>
          </reference>
          <reference field="13" count="1" selected="0">
            <x v="0"/>
          </reference>
          <reference field="14" count="1" selected="0">
            <x v="26"/>
          </reference>
          <reference field="15" count="1">
            <x v="39"/>
          </reference>
        </references>
      </pivotArea>
    </format>
    <format dxfId="103">
      <pivotArea dataOnly="0" labelOnly="1" fieldPosition="0">
        <references count="8">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selected="0">
            <x v="32"/>
          </reference>
          <reference field="15" count="1">
            <x v="43"/>
          </reference>
        </references>
      </pivotArea>
    </format>
    <format dxfId="102">
      <pivotArea dataOnly="0" labelOnly="1" fieldPosition="0">
        <references count="8">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selected="0">
            <x v="38"/>
          </reference>
          <reference field="15" count="1">
            <x v="15"/>
          </reference>
        </references>
      </pivotArea>
    </format>
    <format dxfId="101">
      <pivotArea dataOnly="0" labelOnly="1" fieldPosition="0">
        <references count="8">
          <reference field="0" count="1" selected="0">
            <x v="182"/>
          </reference>
          <reference field="1" count="1" selected="0">
            <x v="214"/>
          </reference>
          <reference field="2" count="1" selected="0">
            <x v="235"/>
          </reference>
          <reference field="3" count="1" selected="0">
            <x v="0"/>
          </reference>
          <reference field="12" count="1" selected="0">
            <x v="7"/>
          </reference>
          <reference field="13" count="1" selected="0">
            <x v="0"/>
          </reference>
          <reference field="14" count="1" selected="0">
            <x v="38"/>
          </reference>
          <reference field="15" count="1">
            <x v="0"/>
          </reference>
        </references>
      </pivotArea>
    </format>
    <format dxfId="100">
      <pivotArea dataOnly="0" labelOnly="1" fieldPosition="0">
        <references count="8">
          <reference field="0" count="1" selected="0">
            <x v="183"/>
          </reference>
          <reference field="1" count="1" selected="0">
            <x v="215"/>
          </reference>
          <reference field="2" count="1" selected="0">
            <x v="206"/>
          </reference>
          <reference field="3" count="1" selected="0">
            <x v="0"/>
          </reference>
          <reference field="12" count="1" selected="0">
            <x v="14"/>
          </reference>
          <reference field="13" count="1" selected="0">
            <x v="0"/>
          </reference>
          <reference field="14" count="1" selected="0">
            <x v="38"/>
          </reference>
          <reference field="15" count="1">
            <x v="15"/>
          </reference>
        </references>
      </pivotArea>
    </format>
    <format dxfId="99">
      <pivotArea dataOnly="0" labelOnly="1" fieldPosition="0">
        <references count="8">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selected="0">
            <x v="44"/>
          </reference>
          <reference field="15" count="1">
            <x v="37"/>
          </reference>
        </references>
      </pivotArea>
    </format>
    <format dxfId="98">
      <pivotArea dataOnly="0" labelOnly="1" fieldPosition="0">
        <references count="8">
          <reference field="0" count="1" selected="0">
            <x v="186"/>
          </reference>
          <reference field="1" count="1" selected="0">
            <x v="218"/>
          </reference>
          <reference field="2" count="1" selected="0">
            <x v="93"/>
          </reference>
          <reference field="3" count="1" selected="0">
            <x v="0"/>
          </reference>
          <reference field="12" count="1" selected="0">
            <x v="12"/>
          </reference>
          <reference field="13" count="1" selected="0">
            <x v="2"/>
          </reference>
          <reference field="14" count="1" selected="0">
            <x v="42"/>
          </reference>
          <reference field="15" count="1">
            <x v="15"/>
          </reference>
        </references>
      </pivotArea>
    </format>
    <format dxfId="97">
      <pivotArea dataOnly="0" labelOnly="1" fieldPosition="0">
        <references count="8">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selected="0">
            <x v="46"/>
          </reference>
          <reference field="15" count="1">
            <x v="25"/>
          </reference>
        </references>
      </pivotArea>
    </format>
    <format dxfId="96">
      <pivotArea dataOnly="0" labelOnly="1" fieldPosition="0">
        <references count="8">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selected="0">
            <x v="63"/>
          </reference>
          <reference field="15" count="1">
            <x v="23"/>
          </reference>
        </references>
      </pivotArea>
    </format>
    <format dxfId="95">
      <pivotArea dataOnly="0" labelOnly="1" fieldPosition="0">
        <references count="8">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selected="0">
            <x v="38"/>
          </reference>
          <reference field="15" count="1">
            <x v="0"/>
          </reference>
        </references>
      </pivotArea>
    </format>
    <format dxfId="94">
      <pivotArea dataOnly="0" labelOnly="1" fieldPosition="0">
        <references count="8">
          <reference field="0" count="1" selected="0">
            <x v="197"/>
          </reference>
          <reference field="1" count="1" selected="0">
            <x v="236"/>
          </reference>
          <reference field="2" count="1" selected="0">
            <x v="102"/>
          </reference>
          <reference field="3" count="1" selected="0">
            <x v="0"/>
          </reference>
          <reference field="12" count="1" selected="0">
            <x v="18"/>
          </reference>
          <reference field="13" count="1" selected="0">
            <x v="0"/>
          </reference>
          <reference field="14" count="1" selected="0">
            <x v="0"/>
          </reference>
          <reference field="15" count="1">
            <x v="36"/>
          </reference>
        </references>
      </pivotArea>
    </format>
    <format dxfId="93">
      <pivotArea dataOnly="0" labelOnly="1" fieldPosition="0">
        <references count="8">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selected="0">
            <x v="20"/>
          </reference>
          <reference field="15" count="1">
            <x v="9"/>
          </reference>
        </references>
      </pivotArea>
    </format>
    <format dxfId="92">
      <pivotArea dataOnly="0" labelOnly="1" fieldPosition="0">
        <references count="8">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selected="0">
            <x v="39"/>
          </reference>
          <reference field="15" count="1">
            <x v="15"/>
          </reference>
        </references>
      </pivotArea>
    </format>
    <format dxfId="91">
      <pivotArea dataOnly="0" labelOnly="1" fieldPosition="0">
        <references count="8">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selected="0">
            <x v="67"/>
          </reference>
          <reference field="15" count="1">
            <x v="47"/>
          </reference>
        </references>
      </pivotArea>
    </format>
    <format dxfId="90">
      <pivotArea dataOnly="0" labelOnly="1" fieldPosition="0">
        <references count="8">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selected="0">
            <x v="38"/>
          </reference>
          <reference field="15" count="1">
            <x v="15"/>
          </reference>
        </references>
      </pivotArea>
    </format>
    <format dxfId="89">
      <pivotArea dataOnly="0" labelOnly="1" fieldPosition="0">
        <references count="9">
          <reference field="0" count="1" selected="0">
            <x v="0"/>
          </reference>
          <reference field="1" count="1" selected="0">
            <x v="228"/>
          </reference>
          <reference field="2" count="1" selected="0">
            <x v="153"/>
          </reference>
          <reference field="3" count="1" selected="0">
            <x v="0"/>
          </reference>
          <reference field="12" count="1" selected="0">
            <x v="7"/>
          </reference>
          <reference field="13" count="1" selected="0">
            <x v="24"/>
          </reference>
          <reference field="14" count="1" selected="0">
            <x v="38"/>
          </reference>
          <reference field="15" count="1" selected="0">
            <x v="15"/>
          </reference>
          <reference field="16" count="1">
            <x v="63"/>
          </reference>
        </references>
      </pivotArea>
    </format>
    <format dxfId="88">
      <pivotArea dataOnly="0" labelOnly="1" fieldPosition="0">
        <references count="9">
          <reference field="0" count="1" selected="0">
            <x v="2"/>
          </reference>
          <reference field="1" count="1" selected="0">
            <x v="230"/>
          </reference>
          <reference field="2" count="1" selected="0">
            <x v="225"/>
          </reference>
          <reference field="3" count="1" selected="0">
            <x v="0"/>
          </reference>
          <reference field="12" count="1" selected="0">
            <x v="7"/>
          </reference>
          <reference field="13" count="1" selected="0">
            <x v="0"/>
          </reference>
          <reference field="14" count="1" selected="0">
            <x v="0"/>
          </reference>
          <reference field="15" count="1" selected="0">
            <x v="14"/>
          </reference>
          <reference field="16" count="1">
            <x v="62"/>
          </reference>
        </references>
      </pivotArea>
    </format>
    <format dxfId="87">
      <pivotArea dataOnly="0" labelOnly="1" fieldPosition="0">
        <references count="9">
          <reference field="0" count="1" selected="0">
            <x v="3"/>
          </reference>
          <reference field="1" count="1" selected="0">
            <x v="231"/>
          </reference>
          <reference field="2" count="1" selected="0">
            <x v="88"/>
          </reference>
          <reference field="3" count="1" selected="0">
            <x v="0"/>
          </reference>
          <reference field="12" count="1" selected="0">
            <x v="3"/>
          </reference>
          <reference field="13" count="1" selected="0">
            <x v="0"/>
          </reference>
          <reference field="14" count="1" selected="0">
            <x v="35"/>
          </reference>
          <reference field="15" count="1" selected="0">
            <x v="43"/>
          </reference>
          <reference field="16" count="1">
            <x v="64"/>
          </reference>
        </references>
      </pivotArea>
    </format>
    <format dxfId="86">
      <pivotArea dataOnly="0" labelOnly="1" fieldPosition="0">
        <references count="9">
          <reference field="0" count="1" selected="0">
            <x v="5"/>
          </reference>
          <reference field="1" count="1" selected="0">
            <x v="233"/>
          </reference>
          <reference field="2" count="1" selected="0">
            <x v="224"/>
          </reference>
          <reference field="3" count="1" selected="0">
            <x v="0"/>
          </reference>
          <reference field="12" count="1" selected="0">
            <x v="7"/>
          </reference>
          <reference field="13" count="1" selected="0">
            <x v="0"/>
          </reference>
          <reference field="14" count="1" selected="0">
            <x v="38"/>
          </reference>
          <reference field="15" count="1" selected="0">
            <x v="15"/>
          </reference>
          <reference field="16" count="1">
            <x v="63"/>
          </reference>
        </references>
      </pivotArea>
    </format>
    <format dxfId="85">
      <pivotArea dataOnly="0" labelOnly="1" fieldPosition="0">
        <references count="9">
          <reference field="0" count="1" selected="0">
            <x v="7"/>
          </reference>
          <reference field="1" count="1" selected="0">
            <x v="118"/>
          </reference>
          <reference field="2" count="1" selected="0">
            <x v="171"/>
          </reference>
          <reference field="3" count="1" selected="0">
            <x v="0"/>
          </reference>
          <reference field="12" count="1" selected="0">
            <x v="0"/>
          </reference>
          <reference field="13" count="1" selected="0">
            <x v="0"/>
          </reference>
          <reference field="14" count="1" selected="0">
            <x v="28"/>
          </reference>
          <reference field="15" count="1" selected="0">
            <x v="0"/>
          </reference>
          <reference field="16" count="1">
            <x v="0"/>
          </reference>
        </references>
      </pivotArea>
    </format>
    <format dxfId="84">
      <pivotArea dataOnly="0" labelOnly="1" fieldPosition="0">
        <references count="9">
          <reference field="0" count="1" selected="0">
            <x v="12"/>
          </reference>
          <reference field="1" count="1" selected="0">
            <x v="123"/>
          </reference>
          <reference field="2" count="1" selected="0">
            <x v="150"/>
          </reference>
          <reference field="3" count="1" selected="0">
            <x v="0"/>
          </reference>
          <reference field="12" count="1" selected="0">
            <x v="0"/>
          </reference>
          <reference field="13" count="1" selected="0">
            <x v="2"/>
          </reference>
          <reference field="14" count="1" selected="0">
            <x v="40"/>
          </reference>
          <reference field="15" count="1" selected="0">
            <x v="15"/>
          </reference>
          <reference field="16" count="1">
            <x v="63"/>
          </reference>
        </references>
      </pivotArea>
    </format>
    <format dxfId="83">
      <pivotArea dataOnly="0" labelOnly="1" fieldPosition="0">
        <references count="9">
          <reference field="0" count="1" selected="0">
            <x v="16"/>
          </reference>
          <reference field="1" count="1" selected="0">
            <x v="64"/>
          </reference>
          <reference field="2" count="1" selected="0">
            <x v="157"/>
          </reference>
          <reference field="3" count="1" selected="0">
            <x v="0"/>
          </reference>
          <reference field="12" count="1" selected="0">
            <x v="7"/>
          </reference>
          <reference field="13" count="1" selected="0">
            <x v="0"/>
          </reference>
          <reference field="14" count="1" selected="0">
            <x v="38"/>
          </reference>
          <reference field="15" count="1" selected="0">
            <x v="14"/>
          </reference>
          <reference field="16" count="1">
            <x v="0"/>
          </reference>
        </references>
      </pivotArea>
    </format>
    <format dxfId="82">
      <pivotArea dataOnly="0" labelOnly="1" fieldPosition="0">
        <references count="9">
          <reference field="0" count="1" selected="0">
            <x v="25"/>
          </reference>
          <reference field="1" count="1" selected="0">
            <x v="22"/>
          </reference>
          <reference field="2" count="1" selected="0">
            <x v="84"/>
          </reference>
          <reference field="3" count="1" selected="0">
            <x v="0"/>
          </reference>
          <reference field="12" count="1" selected="0">
            <x v="9"/>
          </reference>
          <reference field="13" count="1" selected="0">
            <x v="0"/>
          </reference>
          <reference field="14" count="1" selected="0">
            <x v="1"/>
          </reference>
          <reference field="15" count="1" selected="0">
            <x v="21"/>
          </reference>
          <reference field="16" count="1">
            <x v="7"/>
          </reference>
        </references>
      </pivotArea>
    </format>
    <format dxfId="81">
      <pivotArea dataOnly="0" labelOnly="1" fieldPosition="0">
        <references count="9">
          <reference field="0" count="1" selected="0">
            <x v="26"/>
          </reference>
          <reference field="1" count="1" selected="0">
            <x v="23"/>
          </reference>
          <reference field="2" count="1" selected="0">
            <x v="217"/>
          </reference>
          <reference field="3" count="1" selected="0">
            <x v="0"/>
          </reference>
          <reference field="12" count="1" selected="0">
            <x v="5"/>
          </reference>
          <reference field="13" count="1" selected="0">
            <x v="0"/>
          </reference>
          <reference field="14" count="1" selected="0">
            <x v="1"/>
          </reference>
          <reference field="15" count="1" selected="0">
            <x v="45"/>
          </reference>
          <reference field="16" count="1">
            <x v="4"/>
          </reference>
        </references>
      </pivotArea>
    </format>
    <format dxfId="80">
      <pivotArea dataOnly="0" labelOnly="1" fieldPosition="0">
        <references count="9">
          <reference field="0" count="1" selected="0">
            <x v="28"/>
          </reference>
          <reference field="1" count="1" selected="0">
            <x v="25"/>
          </reference>
          <reference field="2" count="1" selected="0">
            <x v="52"/>
          </reference>
          <reference field="3" count="1" selected="0">
            <x v="0"/>
          </reference>
          <reference field="12" count="1" selected="0">
            <x v="0"/>
          </reference>
          <reference field="13" count="1" selected="0">
            <x v="0"/>
          </reference>
          <reference field="14" count="1" selected="0">
            <x v="3"/>
          </reference>
          <reference field="15" count="1" selected="0">
            <x v="0"/>
          </reference>
          <reference field="16" count="1">
            <x v="0"/>
          </reference>
        </references>
      </pivotArea>
    </format>
    <format dxfId="79">
      <pivotArea dataOnly="0" labelOnly="1" fieldPosition="0">
        <references count="9">
          <reference field="0" count="1" selected="0">
            <x v="35"/>
          </reference>
          <reference field="1" count="1" selected="0">
            <x v="32"/>
          </reference>
          <reference field="2" count="1" selected="0">
            <x v="51"/>
          </reference>
          <reference field="3" count="1" selected="0">
            <x v="0"/>
          </reference>
          <reference field="12" count="1" selected="0">
            <x v="9"/>
          </reference>
          <reference field="13" count="1" selected="0">
            <x v="0"/>
          </reference>
          <reference field="14" count="1" selected="0">
            <x v="61"/>
          </reference>
          <reference field="15" count="1" selected="0">
            <x v="23"/>
          </reference>
          <reference field="16" count="1">
            <x v="13"/>
          </reference>
        </references>
      </pivotArea>
    </format>
    <format dxfId="78">
      <pivotArea dataOnly="0" labelOnly="1" fieldPosition="0">
        <references count="9">
          <reference field="0" count="1" selected="0">
            <x v="36"/>
          </reference>
          <reference field="1" count="1" selected="0">
            <x v="33"/>
          </reference>
          <reference field="2" count="1" selected="0">
            <x v="130"/>
          </reference>
          <reference field="3" count="1" selected="0">
            <x v="0"/>
          </reference>
          <reference field="12" count="1" selected="0">
            <x v="22"/>
          </reference>
          <reference field="13" count="1" selected="0">
            <x v="0"/>
          </reference>
          <reference field="14" count="1" selected="0">
            <x v="2"/>
          </reference>
          <reference field="15" count="1" selected="0">
            <x v="23"/>
          </reference>
          <reference field="16" count="1">
            <x v="2"/>
          </reference>
        </references>
      </pivotArea>
    </format>
    <format dxfId="77">
      <pivotArea dataOnly="0" labelOnly="1" fieldPosition="0">
        <references count="9">
          <reference field="0" count="1" selected="0">
            <x v="38"/>
          </reference>
          <reference field="1" count="1" selected="0">
            <x v="0"/>
          </reference>
          <reference field="2" count="1" selected="0">
            <x v="45"/>
          </reference>
          <reference field="3" count="1" selected="0">
            <x v="0"/>
          </reference>
          <reference field="12" count="1" selected="0">
            <x v="10"/>
          </reference>
          <reference field="13" count="1" selected="0">
            <x v="0"/>
          </reference>
          <reference field="14" count="1" selected="0">
            <x v="62"/>
          </reference>
          <reference field="15" count="1" selected="0">
            <x v="16"/>
          </reference>
          <reference field="16" count="1">
            <x v="39"/>
          </reference>
        </references>
      </pivotArea>
    </format>
    <format dxfId="76">
      <pivotArea dataOnly="0" labelOnly="1" fieldPosition="0">
        <references count="9">
          <reference field="0" count="1" selected="0">
            <x v="39"/>
          </reference>
          <reference field="1" count="1" selected="0">
            <x v="1"/>
          </reference>
          <reference field="2" count="1" selected="0">
            <x v="46"/>
          </reference>
          <reference field="3" count="1" selected="0">
            <x v="0"/>
          </reference>
          <reference field="12" count="1" selected="0">
            <x v="10"/>
          </reference>
          <reference field="13" count="1" selected="0">
            <x v="0"/>
          </reference>
          <reference field="14" count="1" selected="0">
            <x v="62"/>
          </reference>
          <reference field="15" count="1" selected="0">
            <x v="16"/>
          </reference>
          <reference field="16" count="1">
            <x v="40"/>
          </reference>
        </references>
      </pivotArea>
    </format>
    <format dxfId="75">
      <pivotArea dataOnly="0" labelOnly="1" fieldPosition="0">
        <references count="9">
          <reference field="0" count="1" selected="0">
            <x v="42"/>
          </reference>
          <reference field="1" count="1" selected="0">
            <x v="4"/>
          </reference>
          <reference field="2" count="1" selected="0">
            <x v="64"/>
          </reference>
          <reference field="3" count="1" selected="0">
            <x v="0"/>
          </reference>
          <reference field="12" count="1" selected="0">
            <x v="10"/>
          </reference>
          <reference field="13" count="1" selected="0">
            <x v="0"/>
          </reference>
          <reference field="14" count="1" selected="0">
            <x v="58"/>
          </reference>
          <reference field="15" count="1" selected="0">
            <x v="16"/>
          </reference>
          <reference field="16" count="1">
            <x v="35"/>
          </reference>
        </references>
      </pivotArea>
    </format>
    <format dxfId="74">
      <pivotArea dataOnly="0" labelOnly="1" fieldPosition="0">
        <references count="9">
          <reference field="0" count="1" selected="0">
            <x v="43"/>
          </reference>
          <reference field="1" count="1" selected="0">
            <x v="5"/>
          </reference>
          <reference field="2" count="1" selected="0">
            <x v="19"/>
          </reference>
          <reference field="3" count="1" selected="0">
            <x v="0"/>
          </reference>
          <reference field="12" count="1" selected="0">
            <x v="10"/>
          </reference>
          <reference field="13" count="1" selected="0">
            <x v="0"/>
          </reference>
          <reference field="14" count="1" selected="0">
            <x v="56"/>
          </reference>
          <reference field="15" count="1" selected="0">
            <x v="0"/>
          </reference>
          <reference field="16" count="1">
            <x v="0"/>
          </reference>
        </references>
      </pivotArea>
    </format>
    <format dxfId="73">
      <pivotArea dataOnly="0" labelOnly="1" fieldPosition="0">
        <references count="9">
          <reference field="0" count="1" selected="0">
            <x v="45"/>
          </reference>
          <reference field="1" count="1" selected="0">
            <x v="7"/>
          </reference>
          <reference field="2" count="1" selected="0">
            <x v="22"/>
          </reference>
          <reference field="3" count="1" selected="0">
            <x v="0"/>
          </reference>
          <reference field="12" count="1" selected="0">
            <x v="10"/>
          </reference>
          <reference field="13" count="1" selected="0">
            <x v="0"/>
          </reference>
          <reference field="14" count="1" selected="0">
            <x v="56"/>
          </reference>
          <reference field="15" count="1" selected="0">
            <x v="16"/>
          </reference>
          <reference field="16" count="1">
            <x v="36"/>
          </reference>
        </references>
      </pivotArea>
    </format>
    <format dxfId="72">
      <pivotArea dataOnly="0" labelOnly="1" fieldPosition="0">
        <references count="9">
          <reference field="0" count="1" selected="0">
            <x v="46"/>
          </reference>
          <reference field="1" count="1" selected="0">
            <x v="8"/>
          </reference>
          <reference field="2" count="1" selected="0">
            <x v="135"/>
          </reference>
          <reference field="3" count="1" selected="0">
            <x v="0"/>
          </reference>
          <reference field="12" count="1" selected="0">
            <x v="10"/>
          </reference>
          <reference field="13" count="1" selected="0">
            <x v="0"/>
          </reference>
          <reference field="14" count="1" selected="0">
            <x v="56"/>
          </reference>
          <reference field="15" count="1" selected="0">
            <x v="16"/>
          </reference>
          <reference field="16" count="1">
            <x v="0"/>
          </reference>
        </references>
      </pivotArea>
    </format>
    <format dxfId="71">
      <pivotArea dataOnly="0" labelOnly="1" fieldPosition="0">
        <references count="9">
          <reference field="0" count="1" selected="0">
            <x v="47"/>
          </reference>
          <reference field="1" count="1" selected="0">
            <x v="9"/>
          </reference>
          <reference field="2" count="1" selected="0">
            <x v="141"/>
          </reference>
          <reference field="3" count="1" selected="0">
            <x v="0"/>
          </reference>
          <reference field="12" count="1" selected="0">
            <x v="10"/>
          </reference>
          <reference field="13" count="1" selected="0">
            <x v="0"/>
          </reference>
          <reference field="14" count="1" selected="0">
            <x v="56"/>
          </reference>
          <reference field="15" count="1" selected="0">
            <x v="22"/>
          </reference>
          <reference field="16" count="1">
            <x v="37"/>
          </reference>
        </references>
      </pivotArea>
    </format>
    <format dxfId="70">
      <pivotArea dataOnly="0" labelOnly="1" fieldPosition="0">
        <references count="9">
          <reference field="0" count="1" selected="0">
            <x v="49"/>
          </reference>
          <reference field="1" count="1" selected="0">
            <x v="11"/>
          </reference>
          <reference field="2" count="1" selected="0">
            <x v="127"/>
          </reference>
          <reference field="3" count="1" selected="0">
            <x v="0"/>
          </reference>
          <reference field="12" count="1" selected="0">
            <x v="10"/>
          </reference>
          <reference field="13" count="1" selected="0">
            <x v="0"/>
          </reference>
          <reference field="14" count="1" selected="0">
            <x v="66"/>
          </reference>
          <reference field="15" count="1" selected="0">
            <x v="17"/>
          </reference>
          <reference field="16" count="1">
            <x v="0"/>
          </reference>
        </references>
      </pivotArea>
    </format>
    <format dxfId="69">
      <pivotArea dataOnly="0" labelOnly="1" fieldPosition="0">
        <references count="9">
          <reference field="0" count="1" selected="0">
            <x v="55"/>
          </reference>
          <reference field="1" count="1" selected="0">
            <x v="35"/>
          </reference>
          <reference field="2" count="1" selected="0">
            <x v="65"/>
          </reference>
          <reference field="3" count="1" selected="0">
            <x v="0"/>
          </reference>
          <reference field="12" count="1" selected="0">
            <x v="3"/>
          </reference>
          <reference field="13" count="1" selected="0">
            <x v="0"/>
          </reference>
          <reference field="14" count="1" selected="0">
            <x v="34"/>
          </reference>
          <reference field="15" count="1" selected="0">
            <x v="43"/>
          </reference>
          <reference field="16" count="1">
            <x v="19"/>
          </reference>
        </references>
      </pivotArea>
    </format>
    <format dxfId="68">
      <pivotArea dataOnly="0" labelOnly="1" fieldPosition="0">
        <references count="9">
          <reference field="0" count="1" selected="0">
            <x v="62"/>
          </reference>
          <reference field="1" count="1" selected="0">
            <x v="42"/>
          </reference>
          <reference field="2" count="1" selected="0">
            <x v="15"/>
          </reference>
          <reference field="3" count="1" selected="0">
            <x v="0"/>
          </reference>
          <reference field="12" count="1" selected="0">
            <x v="3"/>
          </reference>
          <reference field="13" count="1" selected="0">
            <x v="0"/>
          </reference>
          <reference field="14" count="1" selected="0">
            <x v="47"/>
          </reference>
          <reference field="15" count="1" selected="0">
            <x v="43"/>
          </reference>
          <reference field="16" count="1">
            <x v="0"/>
          </reference>
        </references>
      </pivotArea>
    </format>
    <format dxfId="67">
      <pivotArea dataOnly="0" labelOnly="1" fieldPosition="0">
        <references count="9">
          <reference field="0" count="1" selected="0">
            <x v="66"/>
          </reference>
          <reference field="1" count="1" selected="0">
            <x v="46"/>
          </reference>
          <reference field="2" count="1" selected="0">
            <x v="92"/>
          </reference>
          <reference field="3" count="1" selected="0">
            <x v="0"/>
          </reference>
          <reference field="12" count="1" selected="0">
            <x v="3"/>
          </reference>
          <reference field="13" count="1" selected="0">
            <x v="0"/>
          </reference>
          <reference field="14" count="1" selected="0">
            <x v="14"/>
          </reference>
          <reference field="15" count="1" selected="0">
            <x v="40"/>
          </reference>
          <reference field="16" count="1">
            <x v="31"/>
          </reference>
        </references>
      </pivotArea>
    </format>
    <format dxfId="66">
      <pivotArea dataOnly="0" labelOnly="1" fieldPosition="0">
        <references count="9">
          <reference field="0" count="1" selected="0">
            <x v="67"/>
          </reference>
          <reference field="1" count="1" selected="0">
            <x v="47"/>
          </reference>
          <reference field="2" count="1" selected="0">
            <x v="181"/>
          </reference>
          <reference field="3" count="1" selected="0">
            <x v="0"/>
          </reference>
          <reference field="12" count="1" selected="0">
            <x v="3"/>
          </reference>
          <reference field="13" count="1" selected="0">
            <x v="0"/>
          </reference>
          <reference field="14" count="1" selected="0">
            <x v="14"/>
          </reference>
          <reference field="15" count="1" selected="0">
            <x v="41"/>
          </reference>
          <reference field="16" count="1">
            <x v="32"/>
          </reference>
        </references>
      </pivotArea>
    </format>
    <format dxfId="65">
      <pivotArea dataOnly="0" labelOnly="1" fieldPosition="0">
        <references count="9">
          <reference field="0" count="1" selected="0">
            <x v="68"/>
          </reference>
          <reference field="1" count="1" selected="0">
            <x v="48"/>
          </reference>
          <reference field="2" count="1" selected="0">
            <x v="231"/>
          </reference>
          <reference field="3" count="1" selected="0">
            <x v="0"/>
          </reference>
          <reference field="12" count="1" selected="0">
            <x v="3"/>
          </reference>
          <reference field="13" count="1" selected="0">
            <x v="0"/>
          </reference>
          <reference field="14" count="1" selected="0">
            <x v="14"/>
          </reference>
          <reference field="15" count="1" selected="0">
            <x v="0"/>
          </reference>
          <reference field="16" count="1">
            <x v="0"/>
          </reference>
        </references>
      </pivotArea>
    </format>
    <format dxfId="64">
      <pivotArea dataOnly="0" labelOnly="1" fieldPosition="0">
        <references count="9">
          <reference field="0" count="1" selected="0">
            <x v="82"/>
          </reference>
          <reference field="1" count="1" selected="0">
            <x v="69"/>
          </reference>
          <reference field="2" count="1" selected="0">
            <x v="226"/>
          </reference>
          <reference field="3" count="1" selected="0">
            <x v="0"/>
          </reference>
          <reference field="12" count="1" selected="0">
            <x v="5"/>
          </reference>
          <reference field="13" count="1" selected="0">
            <x v="0"/>
          </reference>
          <reference field="14" count="1" selected="0">
            <x v="0"/>
          </reference>
          <reference field="15" count="1" selected="0">
            <x v="20"/>
          </reference>
          <reference field="16" count="1">
            <x v="12"/>
          </reference>
        </references>
      </pivotArea>
    </format>
    <format dxfId="63">
      <pivotArea dataOnly="0" labelOnly="1" fieldPosition="0">
        <references count="9">
          <reference field="0" count="1" selected="0">
            <x v="83"/>
          </reference>
          <reference field="1" count="1" selected="0">
            <x v="70"/>
          </reference>
          <reference field="2" count="1" selected="0">
            <x v="193"/>
          </reference>
          <reference field="3" count="1" selected="0">
            <x v="0"/>
          </reference>
          <reference field="12" count="1" selected="0">
            <x v="5"/>
          </reference>
          <reference field="13" count="1" selected="0">
            <x v="0"/>
          </reference>
          <reference field="14" count="1" selected="0">
            <x v="0"/>
          </reference>
          <reference field="15" count="1" selected="0">
            <x v="20"/>
          </reference>
          <reference field="16" count="1">
            <x v="10"/>
          </reference>
        </references>
      </pivotArea>
    </format>
    <format dxfId="62">
      <pivotArea dataOnly="0" labelOnly="1" fieldPosition="0">
        <references count="9">
          <reference field="0" count="1" selected="0">
            <x v="84"/>
          </reference>
          <reference field="1" count="1" selected="0">
            <x v="71"/>
          </reference>
          <reference field="2" count="1" selected="0">
            <x v="192"/>
          </reference>
          <reference field="3" count="1" selected="0">
            <x v="0"/>
          </reference>
          <reference field="12" count="1" selected="0">
            <x v="7"/>
          </reference>
          <reference field="13" count="1" selected="0">
            <x v="0"/>
          </reference>
          <reference field="14" count="1" selected="0">
            <x v="4"/>
          </reference>
          <reference field="15" count="1" selected="0">
            <x v="29"/>
          </reference>
          <reference field="16" count="1">
            <x v="0"/>
          </reference>
        </references>
      </pivotArea>
    </format>
    <format dxfId="61">
      <pivotArea dataOnly="0" labelOnly="1" fieldPosition="0">
        <references count="9">
          <reference field="0" count="1" selected="0">
            <x v="85"/>
          </reference>
          <reference field="1" count="1" selected="0">
            <x v="72"/>
          </reference>
          <reference field="2" count="1" selected="0">
            <x v="87"/>
          </reference>
          <reference field="3" count="1" selected="0">
            <x v="0"/>
          </reference>
          <reference field="12" count="1" selected="0">
            <x v="7"/>
          </reference>
          <reference field="13" count="1" selected="0">
            <x v="0"/>
          </reference>
          <reference field="14" count="1" selected="0">
            <x v="53"/>
          </reference>
          <reference field="15" count="1" selected="0">
            <x v="26"/>
          </reference>
          <reference field="16" count="1">
            <x v="6"/>
          </reference>
        </references>
      </pivotArea>
    </format>
    <format dxfId="60">
      <pivotArea dataOnly="0" labelOnly="1" fieldPosition="0">
        <references count="9">
          <reference field="0" count="1" selected="0">
            <x v="86"/>
          </reference>
          <reference field="1" count="1" selected="0">
            <x v="73"/>
          </reference>
          <reference field="2" count="1" selected="0">
            <x v="154"/>
          </reference>
          <reference field="3" count="1" selected="0">
            <x v="0"/>
          </reference>
          <reference field="12" count="1" selected="0">
            <x v="7"/>
          </reference>
          <reference field="13" count="1" selected="0">
            <x v="0"/>
          </reference>
          <reference field="14" count="1" selected="0">
            <x v="53"/>
          </reference>
          <reference field="15" count="1" selected="0">
            <x v="0"/>
          </reference>
          <reference field="16" count="1">
            <x v="59"/>
          </reference>
        </references>
      </pivotArea>
    </format>
    <format dxfId="59">
      <pivotArea dataOnly="0" labelOnly="1" fieldPosition="0">
        <references count="9">
          <reference field="0" count="1" selected="0">
            <x v="87"/>
          </reference>
          <reference field="1" count="1" selected="0">
            <x v="74"/>
          </reference>
          <reference field="2" count="1" selected="0">
            <x v="208"/>
          </reference>
          <reference field="3" count="1" selected="0">
            <x v="0"/>
          </reference>
          <reference field="12" count="1" selected="0">
            <x v="7"/>
          </reference>
          <reference field="13" count="1" selected="0">
            <x v="0"/>
          </reference>
          <reference field="14" count="1" selected="0">
            <x v="25"/>
          </reference>
          <reference field="15" count="1" selected="0">
            <x v="29"/>
          </reference>
          <reference field="16" count="1">
            <x v="0"/>
          </reference>
        </references>
      </pivotArea>
    </format>
    <format dxfId="58">
      <pivotArea dataOnly="0" labelOnly="1" fieldPosition="0">
        <references count="9">
          <reference field="0" count="1" selected="0">
            <x v="88"/>
          </reference>
          <reference field="1" count="1" selected="0">
            <x v="75"/>
          </reference>
          <reference field="2" count="1" selected="0">
            <x v="38"/>
          </reference>
          <reference field="3" count="1" selected="0">
            <x v="0"/>
          </reference>
          <reference field="12" count="1" selected="0">
            <x v="2"/>
          </reference>
          <reference field="13" count="1" selected="0">
            <x v="0"/>
          </reference>
          <reference field="14" count="1" selected="0">
            <x v="0"/>
          </reference>
          <reference field="15" count="1" selected="0">
            <x v="0"/>
          </reference>
          <reference field="16" count="1">
            <x v="52"/>
          </reference>
        </references>
      </pivotArea>
    </format>
    <format dxfId="57">
      <pivotArea dataOnly="0" labelOnly="1" fieldPosition="0">
        <references count="9">
          <reference field="0" count="1" selected="0">
            <x v="91"/>
          </reference>
          <reference field="1" count="1" selected="0">
            <x v="78"/>
          </reference>
          <reference field="2" count="1" selected="0">
            <x v="12"/>
          </reference>
          <reference field="3" count="1" selected="0">
            <x v="0"/>
          </reference>
          <reference field="12" count="1" selected="0">
            <x v="7"/>
          </reference>
          <reference field="13" count="1" selected="0">
            <x v="0"/>
          </reference>
          <reference field="14" count="1" selected="0">
            <x v="50"/>
          </reference>
          <reference field="15" count="1" selected="0">
            <x v="0"/>
          </reference>
          <reference field="16" count="1">
            <x v="0"/>
          </reference>
        </references>
      </pivotArea>
    </format>
    <format dxfId="56">
      <pivotArea dataOnly="0" labelOnly="1" fieldPosition="0">
        <references count="9">
          <reference field="0" count="1" selected="0">
            <x v="93"/>
          </reference>
          <reference field="1" count="1" selected="0">
            <x v="80"/>
          </reference>
          <reference field="2" count="1" selected="0">
            <x v="180"/>
          </reference>
          <reference field="3" count="1" selected="0">
            <x v="0"/>
          </reference>
          <reference field="12" count="1" selected="0">
            <x v="7"/>
          </reference>
          <reference field="13" count="1" selected="0">
            <x v="0"/>
          </reference>
          <reference field="14" count="1" selected="0">
            <x v="49"/>
          </reference>
          <reference field="15" count="1" selected="0">
            <x v="0"/>
          </reference>
          <reference field="16" count="1">
            <x v="52"/>
          </reference>
        </references>
      </pivotArea>
    </format>
    <format dxfId="55">
      <pivotArea dataOnly="0" labelOnly="1" fieldPosition="0">
        <references count="9">
          <reference field="0" count="1" selected="0">
            <x v="94"/>
          </reference>
          <reference field="1" count="1" selected="0">
            <x v="81"/>
          </reference>
          <reference field="2" count="1" selected="0">
            <x v="60"/>
          </reference>
          <reference field="3" count="1" selected="0">
            <x v="0"/>
          </reference>
          <reference field="12" count="1" selected="0">
            <x v="7"/>
          </reference>
          <reference field="13" count="1" selected="0">
            <x v="0"/>
          </reference>
          <reference field="14" count="1" selected="0">
            <x v="49"/>
          </reference>
          <reference field="15" count="1" selected="0">
            <x v="0"/>
          </reference>
          <reference field="16" count="1">
            <x v="57"/>
          </reference>
        </references>
      </pivotArea>
    </format>
    <format dxfId="54">
      <pivotArea dataOnly="0" labelOnly="1" fieldPosition="0">
        <references count="9">
          <reference field="0" count="1" selected="0">
            <x v="95"/>
          </reference>
          <reference field="1" count="1" selected="0">
            <x v="82"/>
          </reference>
          <reference field="2" count="1" selected="0">
            <x v="5"/>
          </reference>
          <reference field="3" count="1" selected="0">
            <x v="0"/>
          </reference>
          <reference field="12" count="1" selected="0">
            <x v="1"/>
          </reference>
          <reference field="13" count="1" selected="0">
            <x v="0"/>
          </reference>
          <reference field="14" count="1" selected="0">
            <x v="49"/>
          </reference>
          <reference field="15" count="1" selected="0">
            <x v="0"/>
          </reference>
          <reference field="16" count="1">
            <x v="52"/>
          </reference>
        </references>
      </pivotArea>
    </format>
    <format dxfId="53">
      <pivotArea dataOnly="0" labelOnly="1" fieldPosition="0">
        <references count="9">
          <reference field="0" count="1" selected="0">
            <x v="96"/>
          </reference>
          <reference field="1" count="1" selected="0">
            <x v="83"/>
          </reference>
          <reference field="2" count="1" selected="0">
            <x v="173"/>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60"/>
          </reference>
        </references>
      </pivotArea>
    </format>
    <format dxfId="52">
      <pivotArea dataOnly="0" labelOnly="1" fieldPosition="0">
        <references count="9">
          <reference field="0" count="1" selected="0">
            <x v="101"/>
          </reference>
          <reference field="1" count="1" selected="0">
            <x v="88"/>
          </reference>
          <reference field="2" count="1" selected="0">
            <x v="29"/>
          </reference>
          <reference field="3" count="1" selected="0">
            <x v="0"/>
          </reference>
          <reference field="12" count="1" selected="0">
            <x v="3"/>
          </reference>
          <reference field="13" count="1" selected="0">
            <x v="0"/>
          </reference>
          <reference field="14" count="1" selected="0">
            <x v="6"/>
          </reference>
          <reference field="15" count="1" selected="0">
            <x v="0"/>
          </reference>
          <reference field="16" count="1">
            <x v="20"/>
          </reference>
        </references>
      </pivotArea>
    </format>
    <format dxfId="51">
      <pivotArea dataOnly="0" labelOnly="1" fieldPosition="0">
        <references count="9">
          <reference field="0" count="1" selected="0">
            <x v="103"/>
          </reference>
          <reference field="1" count="1" selected="0">
            <x v="90"/>
          </reference>
          <reference field="2" count="1" selected="0">
            <x v="73"/>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56"/>
          </reference>
        </references>
      </pivotArea>
    </format>
    <format dxfId="50">
      <pivotArea dataOnly="0" labelOnly="1" fieldPosition="0">
        <references count="9">
          <reference field="0" count="1" selected="0">
            <x v="104"/>
          </reference>
          <reference field="1" count="1" selected="0">
            <x v="91"/>
          </reference>
          <reference field="2" count="1" selected="0">
            <x v="68"/>
          </reference>
          <reference field="3" count="1" selected="0">
            <x v="0"/>
          </reference>
          <reference field="12" count="1" selected="0">
            <x v="3"/>
          </reference>
          <reference field="13" count="1" selected="0">
            <x v="0"/>
          </reference>
          <reference field="14" count="1" selected="0">
            <x v="16"/>
          </reference>
          <reference field="15" count="1" selected="0">
            <x v="42"/>
          </reference>
          <reference field="16" count="1">
            <x v="55"/>
          </reference>
        </references>
      </pivotArea>
    </format>
    <format dxfId="49">
      <pivotArea dataOnly="0" labelOnly="1" fieldPosition="0">
        <references count="9">
          <reference field="0" count="1" selected="0">
            <x v="105"/>
          </reference>
          <reference field="1" count="1" selected="0">
            <x v="92"/>
          </reference>
          <reference field="2" count="1" selected="0">
            <x v="134"/>
          </reference>
          <reference field="3" count="1" selected="0">
            <x v="0"/>
          </reference>
          <reference field="12" count="1" selected="0">
            <x v="7"/>
          </reference>
          <reference field="13" count="1" selected="0">
            <x v="0"/>
          </reference>
          <reference field="14" count="1" selected="0">
            <x v="16"/>
          </reference>
          <reference field="15" count="1" selected="0">
            <x v="0"/>
          </reference>
          <reference field="16" count="1">
            <x v="60"/>
          </reference>
        </references>
      </pivotArea>
    </format>
    <format dxfId="48">
      <pivotArea dataOnly="0" labelOnly="1" fieldPosition="0">
        <references count="9">
          <reference field="0" count="1" selected="0">
            <x v="106"/>
          </reference>
          <reference field="1" count="1" selected="0">
            <x v="93"/>
          </reference>
          <reference field="2" count="1" selected="0">
            <x v="76"/>
          </reference>
          <reference field="3" count="1" selected="0">
            <x v="0"/>
          </reference>
          <reference field="12" count="1" selected="0">
            <x v="7"/>
          </reference>
          <reference field="13" count="1" selected="0">
            <x v="0"/>
          </reference>
          <reference field="14" count="1" selected="0">
            <x v="54"/>
          </reference>
          <reference field="15" count="1" selected="0">
            <x v="30"/>
          </reference>
          <reference field="16" count="1">
            <x v="49"/>
          </reference>
        </references>
      </pivotArea>
    </format>
    <format dxfId="47">
      <pivotArea dataOnly="0" labelOnly="1" fieldPosition="0">
        <references count="9">
          <reference field="0" count="1" selected="0">
            <x v="107"/>
          </reference>
          <reference field="1" count="1" selected="0">
            <x v="94"/>
          </reference>
          <reference field="2" count="1" selected="0">
            <x v="190"/>
          </reference>
          <reference field="3" count="1" selected="0">
            <x v="0"/>
          </reference>
          <reference field="12" count="1" selected="0">
            <x v="7"/>
          </reference>
          <reference field="13" count="1" selected="0">
            <x v="0"/>
          </reference>
          <reference field="14" count="1" selected="0">
            <x v="55"/>
          </reference>
          <reference field="15" count="1" selected="0">
            <x v="30"/>
          </reference>
          <reference field="16" count="1">
            <x v="51"/>
          </reference>
        </references>
      </pivotArea>
    </format>
    <format dxfId="46">
      <pivotArea dataOnly="0" labelOnly="1" fieldPosition="0">
        <references count="9">
          <reference field="0" count="1" selected="0">
            <x v="110"/>
          </reference>
          <reference field="1" count="1" selected="0">
            <x v="97"/>
          </reference>
          <reference field="2" count="1" selected="0">
            <x v="123"/>
          </reference>
          <reference field="3" count="1" selected="0">
            <x v="0"/>
          </reference>
          <reference field="12" count="1" selected="0">
            <x v="7"/>
          </reference>
          <reference field="13" count="1" selected="0">
            <x v="0"/>
          </reference>
          <reference field="14" count="1" selected="0">
            <x v="4"/>
          </reference>
          <reference field="15" count="1" selected="0">
            <x v="26"/>
          </reference>
          <reference field="16" count="1">
            <x v="0"/>
          </reference>
        </references>
      </pivotArea>
    </format>
    <format dxfId="45">
      <pivotArea dataOnly="0" labelOnly="1" fieldPosition="0">
        <references count="9">
          <reference field="0" count="1" selected="0">
            <x v="144"/>
          </reference>
          <reference field="1" count="1" selected="0">
            <x v="137"/>
          </reference>
          <reference field="2" count="1" selected="0">
            <x v="79"/>
          </reference>
          <reference field="3" count="1" selected="0">
            <x v="0"/>
          </reference>
          <reference field="12" count="1" selected="0">
            <x v="0"/>
          </reference>
          <reference field="13" count="1" selected="0">
            <x v="0"/>
          </reference>
          <reference field="14" count="1" selected="0">
            <x v="0"/>
          </reference>
          <reference field="15" count="1" selected="0">
            <x v="0"/>
          </reference>
          <reference field="16" count="1">
            <x v="45"/>
          </reference>
        </references>
      </pivotArea>
    </format>
    <format dxfId="44">
      <pivotArea dataOnly="0" labelOnly="1" fieldPosition="0">
        <references count="9">
          <reference field="0" count="1" selected="0">
            <x v="146"/>
          </reference>
          <reference field="1" count="1" selected="0">
            <x v="139"/>
          </reference>
          <reference field="2" count="1" selected="0">
            <x v="30"/>
          </reference>
          <reference field="3" count="1" selected="0">
            <x v="0"/>
          </reference>
          <reference field="12" count="1" selected="0">
            <x v="26"/>
          </reference>
          <reference field="13" count="1" selected="0">
            <x v="0"/>
          </reference>
          <reference field="14" count="1" selected="0">
            <x v="23"/>
          </reference>
          <reference field="15" count="1" selected="0">
            <x v="33"/>
          </reference>
          <reference field="16" count="1">
            <x v="0"/>
          </reference>
        </references>
      </pivotArea>
    </format>
    <format dxfId="43">
      <pivotArea dataOnly="0" labelOnly="1" fieldPosition="0">
        <references count="9">
          <reference field="0" count="1" selected="0">
            <x v="149"/>
          </reference>
          <reference field="1" count="1" selected="0">
            <x v="142"/>
          </reference>
          <reference field="2" count="1" selected="0">
            <x v="165"/>
          </reference>
          <reference field="3" count="1" selected="0">
            <x v="0"/>
          </reference>
          <reference field="12" count="1" selected="0">
            <x v="14"/>
          </reference>
          <reference field="13" count="1" selected="0">
            <x v="0"/>
          </reference>
          <reference field="14" count="1" selected="0">
            <x v="24"/>
          </reference>
          <reference field="15" count="1" selected="0">
            <x v="2"/>
          </reference>
          <reference field="16" count="1">
            <x v="44"/>
          </reference>
        </references>
      </pivotArea>
    </format>
    <format dxfId="42">
      <pivotArea dataOnly="0" labelOnly="1" fieldPosition="0">
        <references count="9">
          <reference field="0" count="1" selected="0">
            <x v="155"/>
          </reference>
          <reference field="1" count="1" selected="0">
            <x v="148"/>
          </reference>
          <reference field="2" count="1" selected="0">
            <x v="3"/>
          </reference>
          <reference field="3" count="1" selected="0">
            <x v="0"/>
          </reference>
          <reference field="12" count="1" selected="0">
            <x v="23"/>
          </reference>
          <reference field="13" count="1" selected="0">
            <x v="0"/>
          </reference>
          <reference field="14" count="1" selected="0">
            <x v="18"/>
          </reference>
          <reference field="15" count="1" selected="0">
            <x v="1"/>
          </reference>
          <reference field="16" count="1">
            <x v="28"/>
          </reference>
        </references>
      </pivotArea>
    </format>
    <format dxfId="41">
      <pivotArea dataOnly="0" labelOnly="1" fieldPosition="0">
        <references count="9">
          <reference field="0" count="1" selected="0">
            <x v="159"/>
          </reference>
          <reference field="1" count="1" selected="0">
            <x v="183"/>
          </reference>
          <reference field="2" count="1" selected="0">
            <x v="122"/>
          </reference>
          <reference field="3" count="1" selected="0">
            <x v="0"/>
          </reference>
          <reference field="12" count="1" selected="0">
            <x v="8"/>
          </reference>
          <reference field="13" count="1" selected="0">
            <x v="0"/>
          </reference>
          <reference field="14" count="1" selected="0">
            <x v="51"/>
          </reference>
          <reference field="15" count="1" selected="0">
            <x v="8"/>
          </reference>
          <reference field="16" count="1">
            <x v="0"/>
          </reference>
        </references>
      </pivotArea>
    </format>
    <format dxfId="40">
      <pivotArea dataOnly="0" labelOnly="1" fieldPosition="0">
        <references count="9">
          <reference field="0" count="1" selected="0">
            <x v="160"/>
          </reference>
          <reference field="1" count="1" selected="0">
            <x v="184"/>
          </reference>
          <reference field="2" count="1" selected="0">
            <x v="187"/>
          </reference>
          <reference field="3" count="1" selected="0">
            <x v="0"/>
          </reference>
          <reference field="12" count="1" selected="0">
            <x v="7"/>
          </reference>
          <reference field="13" count="1" selected="0">
            <x v="0"/>
          </reference>
          <reference field="14" count="1" selected="0">
            <x v="52"/>
          </reference>
          <reference field="15" count="1" selected="0">
            <x v="8"/>
          </reference>
          <reference field="16" count="1">
            <x v="5"/>
          </reference>
        </references>
      </pivotArea>
    </format>
    <format dxfId="39">
      <pivotArea dataOnly="0" labelOnly="1" fieldPosition="0">
        <references count="9">
          <reference field="0" count="1" selected="0">
            <x v="161"/>
          </reference>
          <reference field="1" count="1" selected="0">
            <x v="185"/>
          </reference>
          <reference field="2" count="1" selected="0">
            <x v="186"/>
          </reference>
          <reference field="3" count="1" selected="0">
            <x v="0"/>
          </reference>
          <reference field="12" count="1" selected="0">
            <x v="9"/>
          </reference>
          <reference field="13" count="1" selected="0">
            <x v="0"/>
          </reference>
          <reference field="14" count="1" selected="0">
            <x v="52"/>
          </reference>
          <reference field="15" count="1" selected="0">
            <x v="7"/>
          </reference>
          <reference field="16" count="1">
            <x v="0"/>
          </reference>
        </references>
      </pivotArea>
    </format>
    <format dxfId="38">
      <pivotArea dataOnly="0" labelOnly="1" fieldPosition="0">
        <references count="9">
          <reference field="0" count="1" selected="0">
            <x v="167"/>
          </reference>
          <reference field="1" count="1" selected="0">
            <x v="199"/>
          </reference>
          <reference field="2" count="1" selected="0">
            <x v="56"/>
          </reference>
          <reference field="3" count="1" selected="0">
            <x v="0"/>
          </reference>
          <reference field="12" count="1" selected="0">
            <x v="18"/>
          </reference>
          <reference field="13" count="1" selected="0">
            <x v="0"/>
          </reference>
          <reference field="14" count="1" selected="0">
            <x v="7"/>
          </reference>
          <reference field="15" count="1" selected="0">
            <x v="19"/>
          </reference>
          <reference field="16" count="1">
            <x v="58"/>
          </reference>
        </references>
      </pivotArea>
    </format>
    <format dxfId="37">
      <pivotArea dataOnly="0" labelOnly="1" fieldPosition="0">
        <references count="9">
          <reference field="0" count="1" selected="0">
            <x v="168"/>
          </reference>
          <reference field="1" count="1" selected="0">
            <x v="200"/>
          </reference>
          <reference field="2" count="1" selected="0">
            <x v="9"/>
          </reference>
          <reference field="3" count="1" selected="0">
            <x v="0"/>
          </reference>
          <reference field="12" count="1" selected="0">
            <x v="7"/>
          </reference>
          <reference field="13" count="1" selected="0">
            <x v="0"/>
          </reference>
          <reference field="14" count="1" selected="0">
            <x v="52"/>
          </reference>
          <reference field="15" count="1" selected="0">
            <x v="18"/>
          </reference>
          <reference field="16" count="1">
            <x v="54"/>
          </reference>
        </references>
      </pivotArea>
    </format>
    <format dxfId="36">
      <pivotArea dataOnly="0" labelOnly="1" fieldPosition="0">
        <references count="9">
          <reference field="0" count="1" selected="0">
            <x v="171"/>
          </reference>
          <reference field="1" count="1" selected="0">
            <x v="203"/>
          </reference>
          <reference field="2" count="1" selected="0">
            <x v="10"/>
          </reference>
          <reference field="3" count="1" selected="0">
            <x v="0"/>
          </reference>
          <reference field="12" count="1" selected="0">
            <x v="9"/>
          </reference>
          <reference field="13" count="1" selected="0">
            <x v="0"/>
          </reference>
          <reference field="14" count="1" selected="0">
            <x v="8"/>
          </reference>
          <reference field="15" count="1" selected="0">
            <x v="30"/>
          </reference>
          <reference field="16" count="1">
            <x v="50"/>
          </reference>
        </references>
      </pivotArea>
    </format>
    <format dxfId="35">
      <pivotArea dataOnly="0" labelOnly="1" fieldPosition="0">
        <references count="9">
          <reference field="0" count="1" selected="0">
            <x v="173"/>
          </reference>
          <reference field="1" count="1" selected="0">
            <x v="205"/>
          </reference>
          <reference field="2" count="1" selected="0">
            <x v="94"/>
          </reference>
          <reference field="3" count="1" selected="0">
            <x v="0"/>
          </reference>
          <reference field="12" count="1" selected="0">
            <x v="20"/>
          </reference>
          <reference field="13" count="1" selected="0">
            <x v="0"/>
          </reference>
          <reference field="14" count="1" selected="0">
            <x v="20"/>
          </reference>
          <reference field="15" count="1" selected="0">
            <x v="38"/>
          </reference>
          <reference field="16" count="1">
            <x v="0"/>
          </reference>
        </references>
      </pivotArea>
    </format>
    <format dxfId="34">
      <pivotArea dataOnly="0" labelOnly="1" fieldPosition="0">
        <references count="9">
          <reference field="0" count="1" selected="0">
            <x v="178"/>
          </reference>
          <reference field="1" count="1" selected="0">
            <x v="210"/>
          </reference>
          <reference field="2" count="1" selected="0">
            <x v="11"/>
          </reference>
          <reference field="3" count="1" selected="0">
            <x v="0"/>
          </reference>
          <reference field="12" count="1" selected="0">
            <x v="20"/>
          </reference>
          <reference field="13" count="1" selected="0">
            <x v="0"/>
          </reference>
          <reference field="14" count="1" selected="0">
            <x v="26"/>
          </reference>
          <reference field="15" count="1" selected="0">
            <x v="0"/>
          </reference>
          <reference field="16" count="1">
            <x v="22"/>
          </reference>
        </references>
      </pivotArea>
    </format>
    <format dxfId="33">
      <pivotArea dataOnly="0" labelOnly="1" fieldPosition="0">
        <references count="9">
          <reference field="0" count="1" selected="0">
            <x v="179"/>
          </reference>
          <reference field="1" count="1" selected="0">
            <x v="211"/>
          </reference>
          <reference field="2" count="1" selected="0">
            <x v="96"/>
          </reference>
          <reference field="3" count="1" selected="0">
            <x v="0"/>
          </reference>
          <reference field="12" count="1" selected="0">
            <x v="20"/>
          </reference>
          <reference field="13" count="1" selected="0">
            <x v="0"/>
          </reference>
          <reference field="14" count="1" selected="0">
            <x v="26"/>
          </reference>
          <reference field="15" count="1" selected="0">
            <x v="39"/>
          </reference>
          <reference field="16" count="1">
            <x v="0"/>
          </reference>
        </references>
      </pivotArea>
    </format>
    <format dxfId="32">
      <pivotArea dataOnly="0" labelOnly="1" fieldPosition="0">
        <references count="9">
          <reference field="0" count="1" selected="0">
            <x v="180"/>
          </reference>
          <reference field="1" count="1" selected="0">
            <x v="212"/>
          </reference>
          <reference field="2" count="1" selected="0">
            <x v="97"/>
          </reference>
          <reference field="3" count="1" selected="0">
            <x v="0"/>
          </reference>
          <reference field="12" count="1" selected="0">
            <x v="14"/>
          </reference>
          <reference field="13" count="1" selected="0">
            <x v="0"/>
          </reference>
          <reference field="14" count="1" selected="0">
            <x v="32"/>
          </reference>
          <reference field="15" count="1" selected="0">
            <x v="43"/>
          </reference>
          <reference field="16" count="1">
            <x v="42"/>
          </reference>
        </references>
      </pivotArea>
    </format>
    <format dxfId="31">
      <pivotArea dataOnly="0" labelOnly="1" fieldPosition="0">
        <references count="9">
          <reference field="0" count="1" selected="0">
            <x v="181"/>
          </reference>
          <reference field="1" count="1" selected="0">
            <x v="213"/>
          </reference>
          <reference field="2" count="1" selected="0">
            <x v="234"/>
          </reference>
          <reference field="3" count="1" selected="0">
            <x v="0"/>
          </reference>
          <reference field="12" count="1" selected="0">
            <x v="14"/>
          </reference>
          <reference field="13" count="1" selected="0">
            <x v="0"/>
          </reference>
          <reference field="14" count="1" selected="0">
            <x v="38"/>
          </reference>
          <reference field="15" count="1" selected="0">
            <x v="15"/>
          </reference>
          <reference field="16" count="1">
            <x v="46"/>
          </reference>
        </references>
      </pivotArea>
    </format>
    <format dxfId="30">
      <pivotArea dataOnly="0" labelOnly="1" fieldPosition="0">
        <references count="9">
          <reference field="0" count="1" selected="0">
            <x v="182"/>
          </reference>
          <reference field="1" count="1" selected="0">
            <x v="214"/>
          </reference>
          <reference field="2" count="1" selected="0">
            <x v="235"/>
          </reference>
          <reference field="3" count="1" selected="0">
            <x v="0"/>
          </reference>
          <reference field="12" count="1" selected="0">
            <x v="7"/>
          </reference>
          <reference field="13" count="1" selected="0">
            <x v="0"/>
          </reference>
          <reference field="14" count="1" selected="0">
            <x v="38"/>
          </reference>
          <reference field="15" count="1" selected="0">
            <x v="0"/>
          </reference>
          <reference field="16" count="1">
            <x v="45"/>
          </reference>
        </references>
      </pivotArea>
    </format>
    <format dxfId="29">
      <pivotArea dataOnly="0" labelOnly="1" fieldPosition="0">
        <references count="9">
          <reference field="0" count="1" selected="0">
            <x v="183"/>
          </reference>
          <reference field="1" count="1" selected="0">
            <x v="215"/>
          </reference>
          <reference field="2" count="1" selected="0">
            <x v="206"/>
          </reference>
          <reference field="3" count="1" selected="0">
            <x v="0"/>
          </reference>
          <reference field="12" count="1" selected="0">
            <x v="14"/>
          </reference>
          <reference field="13" count="1" selected="0">
            <x v="0"/>
          </reference>
          <reference field="14" count="1" selected="0">
            <x v="38"/>
          </reference>
          <reference field="15" count="1" selected="0">
            <x v="15"/>
          </reference>
          <reference field="16" count="1">
            <x v="0"/>
          </reference>
        </references>
      </pivotArea>
    </format>
    <format dxfId="28">
      <pivotArea dataOnly="0" labelOnly="1" fieldPosition="0">
        <references count="9">
          <reference field="0" count="1" selected="0">
            <x v="184"/>
          </reference>
          <reference field="1" count="1" selected="0">
            <x v="216"/>
          </reference>
          <reference field="2" count="1" selected="0">
            <x v="111"/>
          </reference>
          <reference field="3" count="1" selected="0">
            <x v="0"/>
          </reference>
          <reference field="12" count="1" selected="0">
            <x v="22"/>
          </reference>
          <reference field="13" count="1" selected="0">
            <x v="0"/>
          </reference>
          <reference field="14" count="1" selected="0">
            <x v="44"/>
          </reference>
          <reference field="15" count="1" selected="0">
            <x v="37"/>
          </reference>
          <reference field="16" count="1">
            <x v="61"/>
          </reference>
        </references>
      </pivotArea>
    </format>
    <format dxfId="27">
      <pivotArea dataOnly="0" labelOnly="1" fieldPosition="0">
        <references count="9">
          <reference field="0" count="1" selected="0">
            <x v="185"/>
          </reference>
          <reference field="1" count="1" selected="0">
            <x v="217"/>
          </reference>
          <reference field="2" count="1" selected="0">
            <x v="113"/>
          </reference>
          <reference field="3" count="1" selected="0">
            <x v="0"/>
          </reference>
          <reference field="12" count="1" selected="0">
            <x v="12"/>
          </reference>
          <reference field="13" count="1" selected="0">
            <x v="0"/>
          </reference>
          <reference field="14" count="1" selected="0">
            <x v="45"/>
          </reference>
          <reference field="15" count="1" selected="0">
            <x v="37"/>
          </reference>
          <reference field="16" count="1">
            <x v="0"/>
          </reference>
        </references>
      </pivotArea>
    </format>
    <format dxfId="26">
      <pivotArea dataOnly="0" labelOnly="1" fieldPosition="0">
        <references count="9">
          <reference field="0" count="1" selected="0">
            <x v="187"/>
          </reference>
          <reference field="1" count="1" selected="0">
            <x v="219"/>
          </reference>
          <reference field="2" count="1" selected="0">
            <x v="104"/>
          </reference>
          <reference field="3" count="1" selected="0">
            <x v="0"/>
          </reference>
          <reference field="12" count="1" selected="0">
            <x v="12"/>
          </reference>
          <reference field="13" count="1" selected="0">
            <x v="14"/>
          </reference>
          <reference field="14" count="1" selected="0">
            <x v="46"/>
          </reference>
          <reference field="15" count="1" selected="0">
            <x v="25"/>
          </reference>
          <reference field="16" count="1">
            <x v="24"/>
          </reference>
        </references>
      </pivotArea>
    </format>
    <format dxfId="25">
      <pivotArea dataOnly="0" labelOnly="1" fieldPosition="0">
        <references count="9">
          <reference field="0" count="1" selected="0">
            <x v="188"/>
          </reference>
          <reference field="1" count="1" selected="0">
            <x v="220"/>
          </reference>
          <reference field="2" count="1" selected="0">
            <x v="196"/>
          </reference>
          <reference field="3" count="1" selected="0">
            <x v="0"/>
          </reference>
          <reference field="12" count="1" selected="0">
            <x v="12"/>
          </reference>
          <reference field="13" count="1" selected="0">
            <x v="14"/>
          </reference>
          <reference field="14" count="1" selected="0">
            <x v="46"/>
          </reference>
          <reference field="15" count="1" selected="0">
            <x v="25"/>
          </reference>
          <reference field="16" count="1">
            <x v="26"/>
          </reference>
        </references>
      </pivotArea>
    </format>
    <format dxfId="24">
      <pivotArea dataOnly="0" labelOnly="1" fieldPosition="0">
        <references count="9">
          <reference field="0" count="1" selected="0">
            <x v="189"/>
          </reference>
          <reference field="1" count="1" selected="0">
            <x v="221"/>
          </reference>
          <reference field="2" count="1" selected="0">
            <x v="182"/>
          </reference>
          <reference field="3" count="1" selected="0">
            <x v="0"/>
          </reference>
          <reference field="12" count="1" selected="0">
            <x v="12"/>
          </reference>
          <reference field="13" count="1" selected="0">
            <x v="0"/>
          </reference>
          <reference field="14" count="1" selected="0">
            <x v="63"/>
          </reference>
          <reference field="15" count="1" selected="0">
            <x v="23"/>
          </reference>
          <reference field="16" count="1">
            <x v="14"/>
          </reference>
        </references>
      </pivotArea>
    </format>
    <format dxfId="23">
      <pivotArea dataOnly="0" labelOnly="1" fieldPosition="0">
        <references count="9">
          <reference field="0" count="1" selected="0">
            <x v="192"/>
          </reference>
          <reference field="1" count="1" selected="0">
            <x v="224"/>
          </reference>
          <reference field="2" count="1" selected="0">
            <x v="80"/>
          </reference>
          <reference field="3" count="1" selected="0">
            <x v="0"/>
          </reference>
          <reference field="12" count="1" selected="0">
            <x v="7"/>
          </reference>
          <reference field="13" count="1" selected="0">
            <x v="0"/>
          </reference>
          <reference field="14" count="1" selected="0">
            <x v="38"/>
          </reference>
          <reference field="15" count="1" selected="0">
            <x v="0"/>
          </reference>
          <reference field="16" count="1">
            <x v="0"/>
          </reference>
        </references>
      </pivotArea>
    </format>
    <format dxfId="22">
      <pivotArea dataOnly="0" labelOnly="1" fieldPosition="0">
        <references count="9">
          <reference field="0" count="1" selected="0">
            <x v="197"/>
          </reference>
          <reference field="1" count="1" selected="0">
            <x v="236"/>
          </reference>
          <reference field="2" count="1" selected="0">
            <x v="102"/>
          </reference>
          <reference field="3" count="1" selected="0">
            <x v="0"/>
          </reference>
          <reference field="12" count="1" selected="0">
            <x v="18"/>
          </reference>
          <reference field="13" count="1" selected="0">
            <x v="0"/>
          </reference>
          <reference field="14" count="1" selected="0">
            <x v="0"/>
          </reference>
          <reference field="15" count="1" selected="0">
            <x v="36"/>
          </reference>
          <reference field="16" count="1">
            <x v="30"/>
          </reference>
        </references>
      </pivotArea>
    </format>
    <format dxfId="21">
      <pivotArea dataOnly="0" labelOnly="1" fieldPosition="0">
        <references count="9">
          <reference field="0" count="1" selected="0">
            <x v="199"/>
          </reference>
          <reference field="1" count="1" selected="0">
            <x v="238"/>
          </reference>
          <reference field="2" count="1" selected="0">
            <x v="33"/>
          </reference>
          <reference field="3" count="1" selected="0">
            <x v="0"/>
          </reference>
          <reference field="12" count="1" selected="0">
            <x v="20"/>
          </reference>
          <reference field="13" count="1" selected="0">
            <x v="0"/>
          </reference>
          <reference field="14" count="1" selected="0">
            <x v="20"/>
          </reference>
          <reference field="15" count="1" selected="0">
            <x v="9"/>
          </reference>
          <reference field="16" count="1">
            <x v="18"/>
          </reference>
        </references>
      </pivotArea>
    </format>
    <format dxfId="20">
      <pivotArea dataOnly="0" labelOnly="1" fieldPosition="0">
        <references count="9">
          <reference field="0" count="1" selected="0">
            <x v="204"/>
          </reference>
          <reference field="1" count="1" selected="0">
            <x v="149"/>
          </reference>
          <reference field="2" count="1" selected="0">
            <x v="117"/>
          </reference>
          <reference field="3" count="1" selected="0">
            <x v="0"/>
          </reference>
          <reference field="12" count="1" selected="0">
            <x v="12"/>
          </reference>
          <reference field="13" count="1" selected="0">
            <x v="14"/>
          </reference>
          <reference field="14" count="1" selected="0">
            <x v="39"/>
          </reference>
          <reference field="15" count="1" selected="0">
            <x v="15"/>
          </reference>
          <reference field="16" count="1">
            <x v="27"/>
          </reference>
        </references>
      </pivotArea>
    </format>
    <format dxfId="19">
      <pivotArea dataOnly="0" labelOnly="1" fieldPosition="0">
        <references count="9">
          <reference field="0" count="1" selected="0">
            <x v="206"/>
          </reference>
          <reference field="1" count="1" selected="0">
            <x v="151"/>
          </reference>
          <reference field="2" count="1" selected="0">
            <x v="159"/>
          </reference>
          <reference field="3" count="1" selected="0">
            <x v="0"/>
          </reference>
          <reference field="12" count="1" selected="0">
            <x v="12"/>
          </reference>
          <reference field="13" count="1" selected="0">
            <x v="5"/>
          </reference>
          <reference field="14" count="1" selected="0">
            <x v="38"/>
          </reference>
          <reference field="15" count="1" selected="0">
            <x v="15"/>
          </reference>
          <reference field="16" count="1">
            <x v="0"/>
          </reference>
        </references>
      </pivotArea>
    </format>
    <format dxfId="18">
      <pivotArea dataOnly="0" labelOnly="1" fieldPosition="0">
        <references count="9">
          <reference field="0" count="1" selected="0">
            <x v="208"/>
          </reference>
          <reference field="1" count="1" selected="0">
            <x v="153"/>
          </reference>
          <reference field="2" count="1" selected="0">
            <x v="103"/>
          </reference>
          <reference field="3" count="1" selected="0">
            <x v="0"/>
          </reference>
          <reference field="12" count="1" selected="0">
            <x v="14"/>
          </reference>
          <reference field="13" count="1" selected="0">
            <x v="16"/>
          </reference>
          <reference field="14" count="1" selected="0">
            <x v="29"/>
          </reference>
          <reference field="15" count="1" selected="0">
            <x v="15"/>
          </reference>
          <reference field="16" count="1">
            <x v="43"/>
          </reference>
        </references>
      </pivotArea>
    </format>
    <format dxfId="17">
      <pivotArea dataOnly="0" labelOnly="1" fieldPosition="0">
        <references count="9">
          <reference field="0" count="1" selected="0">
            <x v="209"/>
          </reference>
          <reference field="1" count="1" selected="0">
            <x v="154"/>
          </reference>
          <reference field="2" count="1" selected="0">
            <x v="98"/>
          </reference>
          <reference field="3" count="1" selected="0">
            <x v="0"/>
          </reference>
          <reference field="12" count="1" selected="0">
            <x v="14"/>
          </reference>
          <reference field="13" count="1" selected="0">
            <x v="17"/>
          </reference>
          <reference field="14" count="1" selected="0">
            <x v="31"/>
          </reference>
          <reference field="15" count="1" selected="0">
            <x v="15"/>
          </reference>
          <reference field="16" count="1">
            <x v="47"/>
          </reference>
        </references>
      </pivotArea>
    </format>
    <format dxfId="16">
      <pivotArea dataOnly="0" labelOnly="1" fieldPosition="0">
        <references count="9">
          <reference field="0" count="1" selected="0">
            <x v="210"/>
          </reference>
          <reference field="1" count="1" selected="0">
            <x v="155"/>
          </reference>
          <reference field="2" count="1" selected="0">
            <x v="162"/>
          </reference>
          <reference field="3" count="1" selected="0">
            <x v="0"/>
          </reference>
          <reference field="12" count="1" selected="0">
            <x v="7"/>
          </reference>
          <reference field="13" count="1" selected="0">
            <x v="2"/>
          </reference>
          <reference field="14" count="1" selected="0">
            <x v="0"/>
          </reference>
          <reference field="15" count="1" selected="0">
            <x v="15"/>
          </reference>
          <reference field="16" count="1">
            <x v="0"/>
          </reference>
        </references>
      </pivotArea>
    </format>
    <format dxfId="15">
      <pivotArea dataOnly="0" labelOnly="1" fieldPosition="0">
        <references count="9">
          <reference field="0" count="1" selected="0">
            <x v="214"/>
          </reference>
          <reference field="1" count="1" selected="0">
            <x v="159"/>
          </reference>
          <reference field="2" count="1" selected="0">
            <x v="139"/>
          </reference>
          <reference field="3" count="1" selected="0">
            <x v="0"/>
          </reference>
          <reference field="12" count="1" selected="0">
            <x v="10"/>
          </reference>
          <reference field="13" count="1" selected="0">
            <x v="15"/>
          </reference>
          <reference field="14" count="1" selected="0">
            <x v="66"/>
          </reference>
          <reference field="15" count="1" selected="0">
            <x v="15"/>
          </reference>
          <reference field="16" count="1">
            <x v="41"/>
          </reference>
        </references>
      </pivotArea>
    </format>
    <format dxfId="14">
      <pivotArea dataOnly="0" labelOnly="1" fieldPosition="0">
        <references count="9">
          <reference field="0" count="1" selected="0">
            <x v="215"/>
          </reference>
          <reference field="1" count="1" selected="0">
            <x v="160"/>
          </reference>
          <reference field="2" count="1" selected="0">
            <x v="137"/>
          </reference>
          <reference field="3" count="1" selected="0">
            <x v="0"/>
          </reference>
          <reference field="12" count="1" selected="0">
            <x v="10"/>
          </reference>
          <reference field="13" count="1" selected="0">
            <x v="11"/>
          </reference>
          <reference field="14" count="1" selected="0">
            <x v="66"/>
          </reference>
          <reference field="15" count="1" selected="0">
            <x v="15"/>
          </reference>
          <reference field="16" count="1">
            <x v="16"/>
          </reference>
        </references>
      </pivotArea>
    </format>
    <format dxfId="13">
      <pivotArea dataOnly="0" labelOnly="1" fieldPosition="0">
        <references count="9">
          <reference field="0" count="1" selected="0">
            <x v="216"/>
          </reference>
          <reference field="1" count="1" selected="0">
            <x v="161"/>
          </reference>
          <reference field="2" count="1" selected="0">
            <x v="136"/>
          </reference>
          <reference field="3" count="1" selected="0">
            <x v="0"/>
          </reference>
          <reference field="12" count="1" selected="0">
            <x v="10"/>
          </reference>
          <reference field="13" count="1" selected="0">
            <x v="13"/>
          </reference>
          <reference field="14" count="1" selected="0">
            <x v="66"/>
          </reference>
          <reference field="15" count="1" selected="0">
            <x v="15"/>
          </reference>
          <reference field="16" count="1">
            <x v="3"/>
          </reference>
        </references>
      </pivotArea>
    </format>
    <format dxfId="12">
      <pivotArea dataOnly="0" labelOnly="1" fieldPosition="0">
        <references count="9">
          <reference field="0" count="1" selected="0">
            <x v="217"/>
          </reference>
          <reference field="1" count="1" selected="0">
            <x v="162"/>
          </reference>
          <reference field="2" count="1" selected="0">
            <x v="13"/>
          </reference>
          <reference field="3" count="1" selected="0">
            <x v="0"/>
          </reference>
          <reference field="12" count="1" selected="0">
            <x v="10"/>
          </reference>
          <reference field="13" count="1" selected="0">
            <x v="10"/>
          </reference>
          <reference field="14" count="1" selected="0">
            <x v="66"/>
          </reference>
          <reference field="15" count="1" selected="0">
            <x v="15"/>
          </reference>
          <reference field="16" count="1">
            <x v="36"/>
          </reference>
        </references>
      </pivotArea>
    </format>
    <format dxfId="11">
      <pivotArea dataOnly="0" labelOnly="1" fieldPosition="0">
        <references count="9">
          <reference field="0" count="1" selected="0">
            <x v="218"/>
          </reference>
          <reference field="1" count="1" selected="0">
            <x v="163"/>
          </reference>
          <reference field="2" count="1" selected="0">
            <x v="179"/>
          </reference>
          <reference field="3" count="1" selected="0">
            <x v="0"/>
          </reference>
          <reference field="12" count="1" selected="0">
            <x v="10"/>
          </reference>
          <reference field="13" count="1" selected="0">
            <x v="10"/>
          </reference>
          <reference field="14" count="1" selected="0">
            <x v="0"/>
          </reference>
          <reference field="15" count="1" selected="0">
            <x v="15"/>
          </reference>
          <reference field="16" count="1">
            <x v="0"/>
          </reference>
        </references>
      </pivotArea>
    </format>
    <format dxfId="10">
      <pivotArea dataOnly="0" labelOnly="1" fieldPosition="0">
        <references count="9">
          <reference field="0" count="1" selected="0">
            <x v="219"/>
          </reference>
          <reference field="1" count="1" selected="0">
            <x v="164"/>
          </reference>
          <reference field="2" count="1" selected="0">
            <x v="138"/>
          </reference>
          <reference field="3" count="1" selected="0">
            <x v="0"/>
          </reference>
          <reference field="12" count="1" selected="0">
            <x v="10"/>
          </reference>
          <reference field="13" count="1" selected="0">
            <x v="8"/>
          </reference>
          <reference field="14" count="1" selected="0">
            <x v="0"/>
          </reference>
          <reference field="15" count="1" selected="0">
            <x v="15"/>
          </reference>
          <reference field="16" count="1">
            <x v="7"/>
          </reference>
        </references>
      </pivotArea>
    </format>
    <format dxfId="9">
      <pivotArea dataOnly="0" labelOnly="1" fieldPosition="0">
        <references count="9">
          <reference field="0" count="1" selected="0">
            <x v="220"/>
          </reference>
          <reference field="1" count="1" selected="0">
            <x v="165"/>
          </reference>
          <reference field="2" count="1" selected="0">
            <x v="142"/>
          </reference>
          <reference field="3" count="1" selected="0">
            <x v="0"/>
          </reference>
          <reference field="12" count="1" selected="0">
            <x v="11"/>
          </reference>
          <reference field="13" count="1" selected="0">
            <x v="12"/>
          </reference>
          <reference field="14" count="1" selected="0">
            <x v="57"/>
          </reference>
          <reference field="15" count="1" selected="0">
            <x v="15"/>
          </reference>
          <reference field="16" count="1">
            <x v="9"/>
          </reference>
        </references>
      </pivotArea>
    </format>
    <format dxfId="8">
      <pivotArea dataOnly="0" labelOnly="1" fieldPosition="0">
        <references count="9">
          <reference field="0" count="1" selected="0">
            <x v="221"/>
          </reference>
          <reference field="1" count="1" selected="0">
            <x v="166"/>
          </reference>
          <reference field="2" count="1" selected="0">
            <x v="143"/>
          </reference>
          <reference field="3" count="1" selected="0">
            <x v="0"/>
          </reference>
          <reference field="12" count="1" selected="0">
            <x v="10"/>
          </reference>
          <reference field="13" count="1" selected="0">
            <x v="9"/>
          </reference>
          <reference field="14" count="1" selected="0">
            <x v="60"/>
          </reference>
          <reference field="15" count="1" selected="0">
            <x v="15"/>
          </reference>
          <reference field="16" count="1">
            <x v="7"/>
          </reference>
        </references>
      </pivotArea>
    </format>
    <format dxfId="7">
      <pivotArea dataOnly="0" labelOnly="1" fieldPosition="0">
        <references count="9">
          <reference field="0" count="1" selected="0">
            <x v="223"/>
          </reference>
          <reference field="1" count="1" selected="0">
            <x v="168"/>
          </reference>
          <reference field="2" count="1" selected="0">
            <x v="71"/>
          </reference>
          <reference field="3" count="1" selected="0">
            <x v="0"/>
          </reference>
          <reference field="12" count="1" selected="0">
            <x v="24"/>
          </reference>
          <reference field="13" count="1" selected="0">
            <x v="7"/>
          </reference>
          <reference field="14" count="1" selected="0">
            <x v="0"/>
          </reference>
          <reference field="15" count="1" selected="0">
            <x v="15"/>
          </reference>
          <reference field="16" count="1">
            <x v="28"/>
          </reference>
        </references>
      </pivotArea>
    </format>
    <format dxfId="6">
      <pivotArea dataOnly="0" labelOnly="1" fieldPosition="0">
        <references count="9">
          <reference field="0" count="1" selected="0">
            <x v="224"/>
          </reference>
          <reference field="1" count="1" selected="0">
            <x v="169"/>
          </reference>
          <reference field="2" count="1" selected="0">
            <x v="121"/>
          </reference>
          <reference field="3" count="1" selected="0">
            <x v="0"/>
          </reference>
          <reference field="12" count="1" selected="0">
            <x v="23"/>
          </reference>
          <reference field="13" count="1" selected="0">
            <x v="1"/>
          </reference>
          <reference field="14" count="1" selected="0">
            <x v="18"/>
          </reference>
          <reference field="15" count="1" selected="0">
            <x v="15"/>
          </reference>
          <reference field="16" count="1">
            <x v="29"/>
          </reference>
        </references>
      </pivotArea>
    </format>
    <format dxfId="5">
      <pivotArea dataOnly="0" labelOnly="1" fieldPosition="0">
        <references count="9">
          <reference field="0" count="1" selected="0">
            <x v="225"/>
          </reference>
          <reference field="1" count="1" selected="0">
            <x v="170"/>
          </reference>
          <reference field="2" count="1" selected="0">
            <x v="120"/>
          </reference>
          <reference field="3" count="1" selected="0">
            <x v="0"/>
          </reference>
          <reference field="12" count="1" selected="0">
            <x v="23"/>
          </reference>
          <reference field="13" count="1" selected="0">
            <x v="22"/>
          </reference>
          <reference field="14" count="1" selected="0">
            <x v="18"/>
          </reference>
          <reference field="15" count="1" selected="0">
            <x v="15"/>
          </reference>
          <reference field="16" count="1">
            <x v="0"/>
          </reference>
        </references>
      </pivotArea>
    </format>
    <format dxfId="4">
      <pivotArea dataOnly="0" labelOnly="1" fieldPosition="0">
        <references count="9">
          <reference field="0" count="1" selected="0">
            <x v="229"/>
          </reference>
          <reference field="1" count="1" selected="0">
            <x v="174"/>
          </reference>
          <reference field="2" count="1" selected="0">
            <x v="91"/>
          </reference>
          <reference field="3" count="1" selected="0">
            <x v="0"/>
          </reference>
          <reference field="12" count="1" selected="0">
            <x v="3"/>
          </reference>
          <reference field="13" count="1" selected="0">
            <x v="18"/>
          </reference>
          <reference field="14" count="1" selected="0">
            <x v="34"/>
          </reference>
          <reference field="15" count="1" selected="0">
            <x v="15"/>
          </reference>
          <reference field="16" count="1">
            <x v="19"/>
          </reference>
        </references>
      </pivotArea>
    </format>
    <format dxfId="3">
      <pivotArea dataOnly="0" labelOnly="1" fieldPosition="0">
        <references count="9">
          <reference field="0" count="1" selected="0">
            <x v="230"/>
          </reference>
          <reference field="1" count="1" selected="0">
            <x v="175"/>
          </reference>
          <reference field="2" count="1" selected="0">
            <x v="160"/>
          </reference>
          <reference field="3" count="1" selected="0">
            <x v="0"/>
          </reference>
          <reference field="12" count="1" selected="0">
            <x v="3"/>
          </reference>
          <reference field="13" count="1" selected="0">
            <x v="18"/>
          </reference>
          <reference field="14" count="1" selected="0">
            <x v="36"/>
          </reference>
          <reference field="15" count="1" selected="0">
            <x v="15"/>
          </reference>
          <reference field="16" count="1">
            <x v="48"/>
          </reference>
        </references>
      </pivotArea>
    </format>
    <format dxfId="2">
      <pivotArea dataOnly="0" labelOnly="1" fieldPosition="0">
        <references count="9">
          <reference field="0" count="1" selected="0">
            <x v="231"/>
          </reference>
          <reference field="1" count="1" selected="0">
            <x v="176"/>
          </reference>
          <reference field="2" count="1" selected="0">
            <x v="42"/>
          </reference>
          <reference field="3" count="1" selected="0">
            <x v="0"/>
          </reference>
          <reference field="12" count="1" selected="0">
            <x v="3"/>
          </reference>
          <reference field="13" count="1" selected="0">
            <x v="20"/>
          </reference>
          <reference field="14" count="1" selected="0">
            <x v="38"/>
          </reference>
          <reference field="15" count="1" selected="0">
            <x v="15"/>
          </reference>
          <reference field="16" count="1">
            <x v="0"/>
          </reference>
        </references>
      </pivotArea>
    </format>
    <format dxfId="1">
      <pivotArea dataOnly="0" labelOnly="1" fieldPosition="0">
        <references count="9">
          <reference field="0" count="1" selected="0">
            <x v="234"/>
          </reference>
          <reference field="1" count="1" selected="0">
            <x v="179"/>
          </reference>
          <reference field="2" count="1" selected="0">
            <x v="163"/>
          </reference>
          <reference field="3" count="1" selected="0">
            <x v="0"/>
          </reference>
          <reference field="12" count="1" selected="0">
            <x v="28"/>
          </reference>
          <reference field="13" count="1" selected="0">
            <x v="25"/>
          </reference>
          <reference field="14" count="1" selected="0">
            <x v="67"/>
          </reference>
          <reference field="15" count="1" selected="0">
            <x v="47"/>
          </reference>
          <reference field="16" count="1">
            <x v="65"/>
          </reference>
        </references>
      </pivotArea>
    </format>
    <format dxfId="0">
      <pivotArea dataOnly="0" labelOnly="1" fieldPosition="0">
        <references count="9">
          <reference field="0" count="1" selected="0">
            <x v="235"/>
          </reference>
          <reference field="1" count="1" selected="0">
            <x v="191"/>
          </reference>
          <reference field="2" count="1" selected="0">
            <x v="155"/>
          </reference>
          <reference field="3" count="1" selected="0">
            <x v="0"/>
          </reference>
          <reference field="12" count="1" selected="0">
            <x v="3"/>
          </reference>
          <reference field="13" count="1" selected="0">
            <x v="0"/>
          </reference>
          <reference field="14" count="1" selected="0">
            <x v="38"/>
          </reference>
          <reference field="15" count="1" selected="0">
            <x v="15"/>
          </reference>
          <reference field="16" count="1">
            <x v="0"/>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S268" headerRowCount="0" totalsRowShown="0" headerRowDxfId="2429" dataDxfId="2428">
  <tableColumns count="19">
    <tableColumn id="1" xr3:uid="{00000000-0010-0000-0000-000001000000}" name="Column1" headerRowDxfId="2427" dataDxfId="2426"/>
    <tableColumn id="2" xr3:uid="{00000000-0010-0000-0000-000002000000}" name="Column2" headerRowDxfId="2425" dataDxfId="2424"/>
    <tableColumn id="3" xr3:uid="{00000000-0010-0000-0000-000003000000}" name="Column3" headerRowDxfId="2423" dataDxfId="2422">
      <calculatedColumnFormula>VLOOKUP(B2,'HECVAT - Full'!A:E,2,FALSE)</calculatedColumnFormula>
    </tableColumn>
    <tableColumn id="4" xr3:uid="{00000000-0010-0000-0000-000004000000}" name="Column4" headerRowDxfId="2421" dataDxfId="2420">
      <calculatedColumnFormula>VLOOKUP(B2,'HECVAT - Full'!A:E,4,FALSE)</calculatedColumnFormula>
    </tableColumn>
    <tableColumn id="5" xr3:uid="{00000000-0010-0000-0000-000005000000}" name="Column5" headerRowDxfId="2419" dataDxfId="2418"/>
    <tableColumn id="6" xr3:uid="{00000000-0010-0000-0000-000006000000}" name="Column6" headerRowDxfId="2417" dataDxfId="2416"/>
    <tableColumn id="7" xr3:uid="{00000000-0010-0000-0000-000007000000}" name="Column7" headerRowDxfId="2415" dataDxfId="2414"/>
    <tableColumn id="8" xr3:uid="{00000000-0010-0000-0000-000008000000}" name="Column8" headerRowDxfId="2413" dataDxfId="2412"/>
    <tableColumn id="9" xr3:uid="{00000000-0010-0000-0000-000009000000}" name="Column9" headerRowDxfId="2411" dataDxfId="2410">
      <calculatedColumnFormula>VLOOKUP(B2,'HECVAT - Full'!A:E,3,FALSE)</calculatedColumnFormula>
    </tableColumn>
    <tableColumn id="10" xr3:uid="{00000000-0010-0000-0000-00000A000000}" name="Column10" headerRowDxfId="2409" dataDxfId="2408"/>
    <tableColumn id="11" xr3:uid="{00000000-0010-0000-0000-00000B000000}" name="Column11" headerRowDxfId="2407" dataDxfId="2406"/>
    <tableColumn id="12" xr3:uid="{00000000-0010-0000-0000-00000C000000}" name="Column12" headerRowDxfId="2405" dataDxfId="2404">
      <calculatedColumnFormula>J2*K2</calculatedColumnFormula>
    </tableColumn>
    <tableColumn id="13" xr3:uid="{00000000-0010-0000-0000-00000D000000}" name="Column13" headerRowDxfId="2403" dataDxfId="2402">
      <calculatedColumnFormula>VLOOKUP($B2,'Standards Crosswalk'!$A:$H,3,FALSE)</calculatedColumnFormula>
    </tableColumn>
    <tableColumn id="14" xr3:uid="{00000000-0010-0000-0000-00000E000000}" name="Column14" headerRowDxfId="2401" dataDxfId="2400">
      <calculatedColumnFormula>VLOOKUP($B2,'Standards Crosswalk'!$A:$H,4,FALSE)</calculatedColumnFormula>
    </tableColumn>
    <tableColumn id="15" xr3:uid="{00000000-0010-0000-0000-00000F000000}" name="Column15" headerRowDxfId="2399" dataDxfId="2398">
      <calculatedColumnFormula>VLOOKUP($B2,'Standards Crosswalk'!$A:$H,5,FALSE)</calculatedColumnFormula>
    </tableColumn>
    <tableColumn id="16" xr3:uid="{00000000-0010-0000-0000-000010000000}" name="Column16" headerRowDxfId="2397" dataDxfId="2396">
      <calculatedColumnFormula>VLOOKUP($B2,'Standards Crosswalk'!$A:$H,6,FALSE)</calculatedColumnFormula>
    </tableColumn>
    <tableColumn id="17" xr3:uid="{00000000-0010-0000-0000-000011000000}" name="Column17" headerRowDxfId="2395" dataDxfId="2394">
      <calculatedColumnFormula>VLOOKUP($B2,'Standards Crosswalk'!$A:$H,7,FALSE)</calculatedColumnFormula>
    </tableColumn>
    <tableColumn id="18" xr3:uid="{00000000-0010-0000-0000-000012000000}" name="Column18" headerRowDxfId="2393" dataDxfId="2392">
      <calculatedColumnFormula>VLOOKUP($B2,'Standards Crosswalk'!$A:$H,8,FALSE)</calculatedColumnFormula>
    </tableColumn>
    <tableColumn id="25" xr3:uid="{00000000-0010-0000-0000-000019000000}" name="Column25" headerRowDxfId="2391" dataDxfId="2390"/>
  </tableColumns>
  <tableStyleInfo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1"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1"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55"/>
  <sheetViews>
    <sheetView showGridLines="0" tabSelected="1" workbookViewId="0">
      <selection activeCell="A100" sqref="A100"/>
    </sheetView>
  </sheetViews>
  <sheetFormatPr baseColWidth="10" defaultColWidth="6.625" defaultRowHeight="13" x14ac:dyDescent="0.15"/>
  <cols>
    <col min="1" max="1" width="30.625" style="199" customWidth="1"/>
    <col min="2" max="2" width="60.625" style="199" customWidth="1"/>
    <col min="3" max="16384" width="6.625" style="199"/>
  </cols>
  <sheetData>
    <row r="1" spans="1:2" ht="42" customHeight="1" x14ac:dyDescent="0.15">
      <c r="A1" s="282"/>
      <c r="B1" s="283"/>
    </row>
    <row r="2" spans="1:2" x14ac:dyDescent="0.15">
      <c r="A2" s="200"/>
      <c r="B2" s="201"/>
    </row>
    <row r="3" spans="1:2" x14ac:dyDescent="0.15">
      <c r="A3" s="200"/>
      <c r="B3" s="201"/>
    </row>
    <row r="4" spans="1:2" x14ac:dyDescent="0.15">
      <c r="A4" s="200"/>
      <c r="B4" s="201"/>
    </row>
    <row r="5" spans="1:2" x14ac:dyDescent="0.15">
      <c r="A5" s="200"/>
      <c r="B5" s="201"/>
    </row>
    <row r="6" spans="1:2" x14ac:dyDescent="0.15">
      <c r="A6" s="200"/>
      <c r="B6" s="201"/>
    </row>
    <row r="7" spans="1:2" x14ac:dyDescent="0.15">
      <c r="A7" s="200"/>
      <c r="B7" s="201"/>
    </row>
    <row r="8" spans="1:2" x14ac:dyDescent="0.15">
      <c r="A8" s="200"/>
      <c r="B8" s="201"/>
    </row>
    <row r="9" spans="1:2" x14ac:dyDescent="0.15">
      <c r="A9" s="200"/>
      <c r="B9" s="201"/>
    </row>
    <row r="10" spans="1:2" x14ac:dyDescent="0.15">
      <c r="A10" s="200"/>
      <c r="B10" s="201"/>
    </row>
    <row r="11" spans="1:2" x14ac:dyDescent="0.15">
      <c r="A11" s="200"/>
      <c r="B11" s="201"/>
    </row>
    <row r="12" spans="1:2" x14ac:dyDescent="0.15">
      <c r="A12" s="200"/>
      <c r="B12" s="201"/>
    </row>
    <row r="13" spans="1:2" x14ac:dyDescent="0.15">
      <c r="A13" s="200"/>
      <c r="B13" s="201"/>
    </row>
    <row r="14" spans="1:2" x14ac:dyDescent="0.15">
      <c r="A14" s="200"/>
      <c r="B14" s="201"/>
    </row>
    <row r="15" spans="1:2" x14ac:dyDescent="0.15">
      <c r="A15" s="200"/>
      <c r="B15" s="201"/>
    </row>
    <row r="16" spans="1:2" x14ac:dyDescent="0.15">
      <c r="A16" s="200"/>
      <c r="B16" s="201"/>
    </row>
    <row r="17" spans="1:2" x14ac:dyDescent="0.15">
      <c r="A17" s="200"/>
      <c r="B17" s="201"/>
    </row>
    <row r="18" spans="1:2" x14ac:dyDescent="0.15">
      <c r="A18" s="200"/>
      <c r="B18" s="201"/>
    </row>
    <row r="19" spans="1:2" x14ac:dyDescent="0.15">
      <c r="A19" s="200"/>
      <c r="B19" s="201"/>
    </row>
    <row r="20" spans="1:2" x14ac:dyDescent="0.15">
      <c r="A20" s="200"/>
      <c r="B20" s="201"/>
    </row>
    <row r="21" spans="1:2" x14ac:dyDescent="0.15">
      <c r="A21" s="200"/>
      <c r="B21" s="201"/>
    </row>
    <row r="22" spans="1:2" x14ac:dyDescent="0.15">
      <c r="A22" s="200"/>
      <c r="B22" s="201"/>
    </row>
    <row r="23" spans="1:2" x14ac:dyDescent="0.15">
      <c r="A23" s="200"/>
      <c r="B23" s="201"/>
    </row>
    <row r="24" spans="1:2" x14ac:dyDescent="0.15">
      <c r="A24" s="200"/>
      <c r="B24" s="201"/>
    </row>
    <row r="25" spans="1:2" x14ac:dyDescent="0.15">
      <c r="A25" s="200"/>
      <c r="B25" s="201"/>
    </row>
    <row r="26" spans="1:2" x14ac:dyDescent="0.15">
      <c r="A26" s="200"/>
      <c r="B26" s="201"/>
    </row>
    <row r="27" spans="1:2" x14ac:dyDescent="0.15">
      <c r="A27" s="200"/>
      <c r="B27" s="201"/>
    </row>
    <row r="28" spans="1:2" x14ac:dyDescent="0.15">
      <c r="A28" s="200"/>
      <c r="B28" s="201"/>
    </row>
    <row r="29" spans="1:2" x14ac:dyDescent="0.15">
      <c r="A29" s="200"/>
      <c r="B29" s="201"/>
    </row>
    <row r="30" spans="1:2" x14ac:dyDescent="0.15">
      <c r="A30" s="200"/>
      <c r="B30" s="201"/>
    </row>
    <row r="31" spans="1:2" x14ac:dyDescent="0.15">
      <c r="A31" s="200"/>
      <c r="B31" s="201"/>
    </row>
    <row r="32" spans="1:2" x14ac:dyDescent="0.15">
      <c r="A32" s="200"/>
      <c r="B32" s="201"/>
    </row>
    <row r="33" spans="1:2" x14ac:dyDescent="0.15">
      <c r="A33" s="200"/>
      <c r="B33" s="201"/>
    </row>
    <row r="34" spans="1:2" x14ac:dyDescent="0.15">
      <c r="A34" s="200"/>
      <c r="B34" s="201"/>
    </row>
    <row r="35" spans="1:2" x14ac:dyDescent="0.15">
      <c r="A35" s="200"/>
      <c r="B35" s="201"/>
    </row>
    <row r="36" spans="1:2" x14ac:dyDescent="0.15">
      <c r="A36" s="200"/>
      <c r="B36" s="201"/>
    </row>
    <row r="37" spans="1:2" x14ac:dyDescent="0.15">
      <c r="A37" s="200"/>
      <c r="B37" s="201"/>
    </row>
    <row r="38" spans="1:2" x14ac:dyDescent="0.15">
      <c r="A38" s="200"/>
      <c r="B38" s="201"/>
    </row>
    <row r="39" spans="1:2" x14ac:dyDescent="0.15">
      <c r="A39" s="200"/>
      <c r="B39" s="201"/>
    </row>
    <row r="40" spans="1:2" x14ac:dyDescent="0.15">
      <c r="A40" s="200"/>
      <c r="B40" s="201"/>
    </row>
    <row r="41" spans="1:2" x14ac:dyDescent="0.15">
      <c r="A41" s="200"/>
      <c r="B41" s="201"/>
    </row>
    <row r="42" spans="1:2" x14ac:dyDescent="0.15">
      <c r="A42" s="200"/>
      <c r="B42" s="201"/>
    </row>
    <row r="43" spans="1:2" x14ac:dyDescent="0.15">
      <c r="A43" s="200"/>
      <c r="B43" s="201"/>
    </row>
    <row r="44" spans="1:2" x14ac:dyDescent="0.15">
      <c r="A44" s="200"/>
      <c r="B44" s="201"/>
    </row>
    <row r="45" spans="1:2" x14ac:dyDescent="0.15">
      <c r="A45" s="200"/>
      <c r="B45" s="201"/>
    </row>
    <row r="46" spans="1:2" x14ac:dyDescent="0.15">
      <c r="A46" s="200"/>
      <c r="B46" s="201"/>
    </row>
    <row r="47" spans="1:2" x14ac:dyDescent="0.15">
      <c r="A47" s="200"/>
      <c r="B47" s="201"/>
    </row>
    <row r="48" spans="1:2" x14ac:dyDescent="0.15">
      <c r="A48" s="200"/>
      <c r="B48" s="201"/>
    </row>
    <row r="49" spans="1:2" x14ac:dyDescent="0.15">
      <c r="A49" s="200"/>
      <c r="B49" s="201"/>
    </row>
    <row r="50" spans="1:2" x14ac:dyDescent="0.15">
      <c r="A50" s="200"/>
      <c r="B50" s="201"/>
    </row>
    <row r="51" spans="1:2" x14ac:dyDescent="0.15">
      <c r="A51" s="200"/>
      <c r="B51" s="201"/>
    </row>
    <row r="52" spans="1:2" x14ac:dyDescent="0.15">
      <c r="A52" s="200"/>
      <c r="B52" s="201"/>
    </row>
    <row r="53" spans="1:2" x14ac:dyDescent="0.15">
      <c r="A53" s="200"/>
      <c r="B53" s="201"/>
    </row>
    <row r="54" spans="1:2" ht="45" customHeight="1" x14ac:dyDescent="0.15">
      <c r="A54" s="202"/>
      <c r="B54" s="203"/>
    </row>
    <row r="55" spans="1:2" ht="36" customHeight="1" x14ac:dyDescent="0.15">
      <c r="A55" s="284" t="s">
        <v>2634</v>
      </c>
      <c r="B55" s="284"/>
    </row>
  </sheetData>
  <mergeCells count="2">
    <mergeCell ref="A1:B1"/>
    <mergeCell ref="A55:B55"/>
  </mergeCells>
  <pageMargins left="0.7" right="0.7" top="0.75" bottom="0.75" header="0.3" footer="0.3"/>
  <pageSetup scale="85"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IV35"/>
  <sheetViews>
    <sheetView zoomScaleNormal="100" workbookViewId="0">
      <selection sqref="A1:B1"/>
    </sheetView>
  </sheetViews>
  <sheetFormatPr baseColWidth="10" defaultColWidth="10.625" defaultRowHeight="16" x14ac:dyDescent="0.2"/>
  <cols>
    <col min="1" max="1" width="18.375" customWidth="1"/>
    <col min="2" max="2" width="88.125" customWidth="1"/>
  </cols>
  <sheetData>
    <row r="1" spans="1:256" ht="45.75" customHeight="1" x14ac:dyDescent="0.2">
      <c r="A1" s="297" t="s">
        <v>2988</v>
      </c>
      <c r="B1" s="297"/>
    </row>
    <row r="2" spans="1:256" ht="26" customHeight="1" x14ac:dyDescent="0.15">
      <c r="A2" s="298"/>
      <c r="B2" s="298"/>
      <c r="C2" s="20"/>
      <c r="D2" s="20"/>
      <c r="E2" s="20"/>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row>
    <row r="3" spans="1:256" s="16" customFormat="1" ht="24" customHeight="1" x14ac:dyDescent="0.2">
      <c r="A3" s="292" t="s">
        <v>454</v>
      </c>
      <c r="B3" s="293"/>
    </row>
    <row r="4" spans="1:256" ht="72" customHeight="1" x14ac:dyDescent="0.2">
      <c r="A4" s="287" t="s">
        <v>2661</v>
      </c>
      <c r="B4" s="287"/>
    </row>
    <row r="5" spans="1:256" s="16" customFormat="1" ht="24" customHeight="1" x14ac:dyDescent="0.2">
      <c r="A5" s="292" t="s">
        <v>455</v>
      </c>
      <c r="B5" s="293"/>
    </row>
    <row r="6" spans="1:256" ht="84" customHeight="1" x14ac:dyDescent="0.2">
      <c r="A6" s="287" t="s">
        <v>2987</v>
      </c>
      <c r="B6" s="287"/>
    </row>
    <row r="7" spans="1:256" ht="55.25" customHeight="1" x14ac:dyDescent="0.2">
      <c r="A7" s="21" t="s">
        <v>1</v>
      </c>
      <c r="B7" s="14" t="s">
        <v>2662</v>
      </c>
    </row>
    <row r="8" spans="1:256" ht="54" customHeight="1" x14ac:dyDescent="0.2">
      <c r="A8" s="21" t="s">
        <v>12</v>
      </c>
      <c r="B8" s="14" t="s">
        <v>457</v>
      </c>
    </row>
    <row r="9" spans="1:256" ht="36" customHeight="1" x14ac:dyDescent="0.2">
      <c r="A9" s="21" t="s">
        <v>18</v>
      </c>
      <c r="B9" s="14" t="s">
        <v>2663</v>
      </c>
    </row>
    <row r="10" spans="1:256" ht="36" customHeight="1" x14ac:dyDescent="0.2">
      <c r="A10" s="21" t="s">
        <v>153</v>
      </c>
      <c r="B10" s="14" t="s">
        <v>458</v>
      </c>
    </row>
    <row r="11" spans="1:256" ht="36" customHeight="1" x14ac:dyDescent="0.2">
      <c r="A11" s="21" t="s">
        <v>456</v>
      </c>
      <c r="B11" s="14" t="s">
        <v>2616</v>
      </c>
    </row>
    <row r="12" spans="1:256" ht="96" customHeight="1" x14ac:dyDescent="0.2">
      <c r="A12" s="287" t="s">
        <v>461</v>
      </c>
      <c r="B12" s="287"/>
    </row>
    <row r="13" spans="1:256" ht="124.25" customHeight="1" x14ac:dyDescent="0.2">
      <c r="A13" s="289" t="s">
        <v>459</v>
      </c>
      <c r="B13" s="290"/>
    </row>
    <row r="14" spans="1:256" s="16" customFormat="1" ht="24" customHeight="1" x14ac:dyDescent="0.2">
      <c r="A14" s="292" t="s">
        <v>462</v>
      </c>
      <c r="B14" s="293"/>
    </row>
    <row r="15" spans="1:256" ht="56" customHeight="1" x14ac:dyDescent="0.2">
      <c r="A15" s="287" t="s">
        <v>463</v>
      </c>
      <c r="B15" s="287"/>
    </row>
    <row r="16" spans="1:256" ht="112.25" customHeight="1" x14ac:dyDescent="0.2">
      <c r="A16" s="289" t="s">
        <v>460</v>
      </c>
      <c r="B16" s="290"/>
    </row>
    <row r="17" spans="1:2" s="16" customFormat="1" ht="24" customHeight="1" x14ac:dyDescent="0.2">
      <c r="A17" s="292" t="s">
        <v>2645</v>
      </c>
      <c r="B17" s="293"/>
    </row>
    <row r="18" spans="1:2" s="136" customFormat="1" ht="36" customHeight="1" x14ac:dyDescent="0.2">
      <c r="A18" s="181" t="s">
        <v>2633</v>
      </c>
      <c r="B18" s="164" t="s">
        <v>2989</v>
      </c>
    </row>
    <row r="19" spans="1:2" s="136" customFormat="1" ht="36" customHeight="1" x14ac:dyDescent="0.2">
      <c r="A19" s="181" t="s">
        <v>2643</v>
      </c>
      <c r="B19" s="198" t="s">
        <v>2664</v>
      </c>
    </row>
    <row r="20" spans="1:2" s="136" customFormat="1" ht="36" customHeight="1" x14ac:dyDescent="0.2">
      <c r="A20" s="181" t="s">
        <v>2642</v>
      </c>
      <c r="B20" s="164" t="s">
        <v>2644</v>
      </c>
    </row>
    <row r="21" spans="1:2" s="136" customFormat="1" ht="86" customHeight="1" x14ac:dyDescent="0.2">
      <c r="A21" s="295" t="s">
        <v>2665</v>
      </c>
      <c r="B21" s="296"/>
    </row>
    <row r="22" spans="1:2" s="136" customFormat="1" ht="124" customHeight="1" x14ac:dyDescent="0.2">
      <c r="A22" s="204"/>
      <c r="B22" s="205" t="s">
        <v>2666</v>
      </c>
    </row>
    <row r="23" spans="1:2" s="16" customFormat="1" ht="24" customHeight="1" x14ac:dyDescent="0.2">
      <c r="A23" s="292" t="s">
        <v>2641</v>
      </c>
      <c r="B23" s="293"/>
    </row>
    <row r="24" spans="1:2" s="136" customFormat="1" ht="54" customHeight="1" x14ac:dyDescent="0.2">
      <c r="A24" s="294" t="s">
        <v>2667</v>
      </c>
      <c r="B24" s="287"/>
    </row>
    <row r="25" spans="1:2" ht="36" customHeight="1" x14ac:dyDescent="0.2">
      <c r="A25" s="291" t="s">
        <v>2998</v>
      </c>
      <c r="B25" s="291"/>
    </row>
    <row r="26" spans="1:2" ht="47" customHeight="1" x14ac:dyDescent="0.2">
      <c r="A26" s="288"/>
      <c r="B26" s="288"/>
    </row>
    <row r="27" spans="1:2" s="16" customFormat="1" ht="36" customHeight="1" x14ac:dyDescent="0.2">
      <c r="A27" s="285" t="s">
        <v>2622</v>
      </c>
      <c r="B27" s="286"/>
    </row>
    <row r="28" spans="1:2" s="136" customFormat="1" ht="136" customHeight="1" x14ac:dyDescent="0.2">
      <c r="A28" s="287" t="s">
        <v>2999</v>
      </c>
      <c r="B28" s="287"/>
    </row>
    <row r="29" spans="1:2" x14ac:dyDescent="0.2">
      <c r="A29" s="18"/>
    </row>
    <row r="30" spans="1:2" x14ac:dyDescent="0.2">
      <c r="A30" s="17"/>
    </row>
    <row r="32" spans="1:2" x14ac:dyDescent="0.2">
      <c r="A32" s="17"/>
    </row>
    <row r="35" spans="1:1" x14ac:dyDescent="0.2">
      <c r="A35" s="19"/>
    </row>
  </sheetData>
  <mergeCells count="19">
    <mergeCell ref="A6:B6"/>
    <mergeCell ref="A12:B12"/>
    <mergeCell ref="A14:B14"/>
    <mergeCell ref="A15:B15"/>
    <mergeCell ref="A17:B17"/>
    <mergeCell ref="A1:B1"/>
    <mergeCell ref="A2:B2"/>
    <mergeCell ref="A3:B3"/>
    <mergeCell ref="A4:B4"/>
    <mergeCell ref="A5:B5"/>
    <mergeCell ref="A27:B27"/>
    <mergeCell ref="A28:B28"/>
    <mergeCell ref="A26:B26"/>
    <mergeCell ref="A16:B16"/>
    <mergeCell ref="A13:B13"/>
    <mergeCell ref="A25:B25"/>
    <mergeCell ref="A23:B23"/>
    <mergeCell ref="A24:B24"/>
    <mergeCell ref="A21:B2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tabColor rgb="FFC00000"/>
  </sheetPr>
  <dimension ref="A1:IV312"/>
  <sheetViews>
    <sheetView showGridLines="0" zoomScaleNormal="100" workbookViewId="0">
      <selection sqref="A1:D1"/>
    </sheetView>
  </sheetViews>
  <sheetFormatPr baseColWidth="10" defaultColWidth="6.625" defaultRowHeight="15" customHeight="1" x14ac:dyDescent="0.15"/>
  <cols>
    <col min="1" max="1" width="8.25" style="102" customWidth="1"/>
    <col min="2" max="2" width="58.5" style="3" customWidth="1"/>
    <col min="3" max="3" width="20" style="24" customWidth="1"/>
    <col min="4" max="4" width="50.625" style="5" customWidth="1"/>
    <col min="5" max="5" width="32" style="6" customWidth="1"/>
    <col min="6" max="256" width="6.625" style="3" customWidth="1"/>
  </cols>
  <sheetData>
    <row r="1" spans="1:256" ht="36" customHeight="1" x14ac:dyDescent="0.15">
      <c r="A1" s="304" t="s">
        <v>2985</v>
      </c>
      <c r="B1" s="304"/>
      <c r="C1" s="304"/>
      <c r="D1" s="304"/>
      <c r="E1" s="208" t="s">
        <v>2997</v>
      </c>
    </row>
    <row r="2" spans="1:256" ht="26" customHeight="1" x14ac:dyDescent="0.15">
      <c r="A2" s="298" t="s">
        <v>97</v>
      </c>
      <c r="B2" s="298"/>
      <c r="C2" s="298"/>
      <c r="D2" s="298"/>
      <c r="E2" s="298"/>
    </row>
    <row r="3" spans="1:256" ht="29" customHeight="1" x14ac:dyDescent="0.15">
      <c r="A3" s="22" t="s">
        <v>427</v>
      </c>
      <c r="B3" s="8" t="s">
        <v>0</v>
      </c>
      <c r="C3" s="306" t="s">
        <v>2639</v>
      </c>
      <c r="D3" s="306"/>
      <c r="E3" s="306"/>
    </row>
    <row r="4" spans="1:256" ht="36" customHeight="1" x14ac:dyDescent="0.15">
      <c r="A4" s="301" t="s">
        <v>1</v>
      </c>
      <c r="B4" s="301"/>
      <c r="C4" s="25"/>
      <c r="D4" s="26"/>
      <c r="E4" s="27"/>
    </row>
    <row r="5" spans="1:256" ht="72" customHeight="1" x14ac:dyDescent="0.15">
      <c r="A5" s="305" t="s">
        <v>2983</v>
      </c>
      <c r="B5" s="305"/>
      <c r="C5" s="305"/>
      <c r="D5" s="305"/>
      <c r="E5" s="305"/>
    </row>
    <row r="6" spans="1:256" ht="24" customHeight="1" x14ac:dyDescent="0.15">
      <c r="A6" s="309" t="s">
        <v>2553</v>
      </c>
      <c r="B6" s="309"/>
      <c r="C6" s="309"/>
      <c r="D6" s="309"/>
      <c r="E6" s="309"/>
    </row>
    <row r="7" spans="1:256" ht="22.25" customHeight="1" x14ac:dyDescent="0.15">
      <c r="A7" s="15" t="s">
        <v>432</v>
      </c>
      <c r="B7" s="28" t="s">
        <v>3</v>
      </c>
      <c r="C7" s="307" t="s">
        <v>3</v>
      </c>
      <c r="D7" s="307"/>
      <c r="E7" s="307"/>
    </row>
    <row r="8" spans="1:256" ht="22.25" customHeight="1" x14ac:dyDescent="0.15">
      <c r="A8" s="15" t="s">
        <v>433</v>
      </c>
      <c r="B8" s="28" t="s">
        <v>4</v>
      </c>
      <c r="C8" s="307" t="s">
        <v>2104</v>
      </c>
      <c r="D8" s="307"/>
      <c r="E8" s="307"/>
    </row>
    <row r="9" spans="1:256" ht="22.25" customHeight="1" x14ac:dyDescent="0.15">
      <c r="A9" s="15" t="s">
        <v>434</v>
      </c>
      <c r="B9" s="28" t="s">
        <v>5</v>
      </c>
      <c r="C9" s="307" t="s">
        <v>2632</v>
      </c>
      <c r="D9" s="307"/>
      <c r="E9" s="307"/>
    </row>
    <row r="10" spans="1:256" ht="22.25" customHeight="1" x14ac:dyDescent="0.15">
      <c r="A10" s="15" t="s">
        <v>435</v>
      </c>
      <c r="B10" s="28" t="s">
        <v>6</v>
      </c>
      <c r="C10" s="307" t="s">
        <v>2105</v>
      </c>
      <c r="D10" s="307"/>
      <c r="E10" s="307"/>
    </row>
    <row r="11" spans="1:256" ht="22.25" customHeight="1" x14ac:dyDescent="0.15">
      <c r="A11" s="15" t="s">
        <v>436</v>
      </c>
      <c r="B11" s="28" t="s">
        <v>7</v>
      </c>
      <c r="C11" s="307" t="s">
        <v>7</v>
      </c>
      <c r="D11" s="307"/>
      <c r="E11" s="307"/>
    </row>
    <row r="12" spans="1:256" ht="22.25" customHeight="1" x14ac:dyDescent="0.15">
      <c r="A12" s="15" t="s">
        <v>437</v>
      </c>
      <c r="B12" s="28" t="s">
        <v>8</v>
      </c>
      <c r="C12" s="307" t="s">
        <v>8</v>
      </c>
      <c r="D12" s="307"/>
      <c r="E12" s="307"/>
    </row>
    <row r="13" spans="1:256" ht="22.25" customHeight="1" x14ac:dyDescent="0.15">
      <c r="A13" s="15" t="s">
        <v>438</v>
      </c>
      <c r="B13" s="28" t="s">
        <v>9</v>
      </c>
      <c r="C13" s="307" t="s">
        <v>2106</v>
      </c>
      <c r="D13" s="307"/>
      <c r="E13" s="307"/>
    </row>
    <row r="14" spans="1:256" ht="22.25" customHeight="1" x14ac:dyDescent="0.15">
      <c r="A14" s="15" t="s">
        <v>439</v>
      </c>
      <c r="B14" s="28" t="s">
        <v>10</v>
      </c>
      <c r="C14" s="307" t="s">
        <v>2</v>
      </c>
      <c r="D14" s="307"/>
      <c r="E14" s="307"/>
    </row>
    <row r="15" spans="1:256" s="136" customFormat="1" ht="22.25" customHeight="1" x14ac:dyDescent="0.15">
      <c r="A15" s="15" t="s">
        <v>440</v>
      </c>
      <c r="B15" s="28" t="s">
        <v>2642</v>
      </c>
      <c r="C15" s="307" t="s">
        <v>2649</v>
      </c>
      <c r="D15" s="307"/>
      <c r="E15" s="307"/>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row>
    <row r="16" spans="1:256" s="136" customFormat="1" ht="22.25" customHeight="1" x14ac:dyDescent="0.15">
      <c r="A16" s="15" t="s">
        <v>441</v>
      </c>
      <c r="B16" s="28" t="s">
        <v>2643</v>
      </c>
      <c r="C16" s="307" t="s">
        <v>2649</v>
      </c>
      <c r="D16" s="307"/>
      <c r="E16" s="307"/>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row>
    <row r="17" spans="1:5" ht="24" customHeight="1" x14ac:dyDescent="0.15">
      <c r="A17" s="309" t="s">
        <v>2646</v>
      </c>
      <c r="B17" s="309"/>
      <c r="C17" s="309"/>
      <c r="D17" s="309"/>
      <c r="E17" s="309"/>
    </row>
    <row r="18" spans="1:5" ht="22.25" customHeight="1" x14ac:dyDescent="0.15">
      <c r="A18" s="15" t="s">
        <v>2647</v>
      </c>
      <c r="B18" s="28" t="s">
        <v>2554</v>
      </c>
      <c r="C18" s="310" t="s">
        <v>2555</v>
      </c>
      <c r="D18" s="310"/>
      <c r="E18" s="310"/>
    </row>
    <row r="19" spans="1:5" ht="22.25" customHeight="1" x14ac:dyDescent="0.15">
      <c r="A19" s="15" t="s">
        <v>2648</v>
      </c>
      <c r="B19" s="28" t="s">
        <v>98</v>
      </c>
      <c r="C19" s="308" t="s">
        <v>2107</v>
      </c>
      <c r="D19" s="308"/>
      <c r="E19" s="308"/>
    </row>
    <row r="20" spans="1:5" ht="36" customHeight="1" x14ac:dyDescent="0.15">
      <c r="A20" s="301" t="s">
        <v>11</v>
      </c>
      <c r="B20" s="301"/>
      <c r="C20" s="25"/>
      <c r="D20" s="26"/>
      <c r="E20" s="27"/>
    </row>
    <row r="21" spans="1:5" ht="48" customHeight="1" x14ac:dyDescent="0.15">
      <c r="A21" s="305" t="s">
        <v>2675</v>
      </c>
      <c r="B21" s="305"/>
      <c r="C21" s="305"/>
      <c r="D21" s="305"/>
      <c r="E21" s="305"/>
    </row>
    <row r="22" spans="1:5" ht="37.25" customHeight="1" x14ac:dyDescent="0.15">
      <c r="A22" s="301" t="s">
        <v>12</v>
      </c>
      <c r="B22" s="301"/>
      <c r="C22" s="25" t="s">
        <v>13</v>
      </c>
      <c r="D22" s="25" t="s">
        <v>14</v>
      </c>
      <c r="E22" s="7" t="s">
        <v>15</v>
      </c>
    </row>
    <row r="23" spans="1:5" ht="48" customHeight="1" x14ac:dyDescent="0.15">
      <c r="A23" s="305" t="s">
        <v>2668</v>
      </c>
      <c r="B23" s="305"/>
      <c r="C23" s="305"/>
      <c r="D23" s="305"/>
      <c r="E23" s="305"/>
    </row>
    <row r="24" spans="1:5" ht="48" customHeight="1" x14ac:dyDescent="0.15">
      <c r="A24" s="15" t="s">
        <v>165</v>
      </c>
      <c r="B24" s="30" t="s">
        <v>96</v>
      </c>
      <c r="C24" s="12"/>
      <c r="D24" s="151"/>
      <c r="E24" s="9" t="str">
        <f>IF(C24="","",IF(C24="Yes","You are required to complete the questions in the HIPAA section.","Responses to the questions in the HIPAA section are optional."))</f>
        <v/>
      </c>
    </row>
    <row r="25" spans="1:5" ht="48" customHeight="1" x14ac:dyDescent="0.15">
      <c r="A25" s="15" t="s">
        <v>166</v>
      </c>
      <c r="B25" s="30" t="s">
        <v>567</v>
      </c>
      <c r="C25" s="12"/>
      <c r="D25" s="152"/>
      <c r="E25" s="9" t="str">
        <f>IF(C25="","",IF(C25="Yes","You are required to complete the questions in the Mobile Application section.","Responses to the questions in the Mobile Application section are optional."))</f>
        <v/>
      </c>
    </row>
    <row r="26" spans="1:5" ht="48" customHeight="1" x14ac:dyDescent="0.15">
      <c r="A26" s="15" t="s">
        <v>167</v>
      </c>
      <c r="B26" s="30" t="s">
        <v>568</v>
      </c>
      <c r="C26" s="12"/>
      <c r="D26" s="152"/>
      <c r="E26" s="9" t="str">
        <f>IF(C26="","",IF(C26="Yes","You are required to complete the questions in the Third Parties section.","Responses to the questions in the Third Parties section are optional."))</f>
        <v/>
      </c>
    </row>
    <row r="27" spans="1:5" ht="48" customHeight="1" x14ac:dyDescent="0.15">
      <c r="A27" s="15" t="s">
        <v>168</v>
      </c>
      <c r="B27" s="30" t="s">
        <v>156</v>
      </c>
      <c r="C27" s="12"/>
      <c r="D27" s="151"/>
      <c r="E27" s="9" t="str">
        <f>IF(C27="","",IF(C27="Yes","You are required to complete the questions in the Business Continuity section.","Respond to as many questions in the Business Continuity section as possible."))</f>
        <v/>
      </c>
    </row>
    <row r="28" spans="1:5" ht="48" customHeight="1" x14ac:dyDescent="0.15">
      <c r="A28" s="15" t="s">
        <v>169</v>
      </c>
      <c r="B28" s="30" t="s">
        <v>157</v>
      </c>
      <c r="C28" s="12"/>
      <c r="D28" s="151"/>
      <c r="E28" s="9" t="str">
        <f>IF(C28="","",IF(C28="Yes","You are required to complete the questions in the Disaster Recovery section.","Respond to as many questions in the Disaster Recovery section as possible."))</f>
        <v/>
      </c>
    </row>
    <row r="29" spans="1:5" ht="48" customHeight="1" x14ac:dyDescent="0.15">
      <c r="A29" s="15" t="s">
        <v>170</v>
      </c>
      <c r="B29" s="30" t="s">
        <v>16</v>
      </c>
      <c r="C29" s="12"/>
      <c r="D29" s="151"/>
      <c r="E29" s="9" t="str">
        <f>IF(C29="","",IF(C29="Yes","You are required to complete the questions in the PCI DSS section.","Responses to the questions in the PCI DSS section are optional."))</f>
        <v/>
      </c>
    </row>
    <row r="30" spans="1:5" ht="64.25" customHeight="1" x14ac:dyDescent="0.15">
      <c r="A30" s="15" t="s">
        <v>171</v>
      </c>
      <c r="B30" s="30" t="s">
        <v>516</v>
      </c>
      <c r="C30" s="12"/>
      <c r="D30" s="151"/>
      <c r="E30" s="9" t="str">
        <f>IF(C30="","",IF(C30="Yes","You are required to complete the questions in the Consulting section. All questions AFTER the Consulting section are OPTIONAL.","Responses to the questions in the Consulting section are optional."))</f>
        <v/>
      </c>
    </row>
    <row r="31" spans="1:5" ht="36" customHeight="1" x14ac:dyDescent="0.15">
      <c r="A31" s="301" t="s">
        <v>18</v>
      </c>
      <c r="B31" s="301"/>
      <c r="C31" s="25" t="s">
        <v>13</v>
      </c>
      <c r="D31" s="25" t="s">
        <v>14</v>
      </c>
      <c r="E31" s="7" t="s">
        <v>15</v>
      </c>
    </row>
    <row r="32" spans="1:5" ht="97.25" customHeight="1" x14ac:dyDescent="0.15">
      <c r="A32" s="15" t="s">
        <v>172</v>
      </c>
      <c r="B32" s="115" t="s">
        <v>19</v>
      </c>
      <c r="C32" s="12"/>
      <c r="D32" s="153"/>
      <c r="E32" s="10" t="str">
        <f>IF(C32="","",IF(C32="Yes","Provide the date of assessment and include a SOC 2 Type 2 (preferred) or SOC 3 report. If you have a SOC3 report, include a URL for the published report. Indicate if your hosting provider was the subject of the audit.","Describe any plans to undergo a SSAE 16 audit."))</f>
        <v/>
      </c>
    </row>
    <row r="33" spans="1:5" ht="48" customHeight="1" x14ac:dyDescent="0.15">
      <c r="A33" s="15" t="s">
        <v>173</v>
      </c>
      <c r="B33" s="115" t="s">
        <v>130</v>
      </c>
      <c r="C33" s="12"/>
      <c r="D33" s="153"/>
      <c r="E33" s="10" t="str">
        <f>IF(C33="","",IF(C33="Yes","Please include a copy with your response and include a URL for the published assessment.","Describe any plans to complete the CSA self assessment or CAIQ."))</f>
        <v/>
      </c>
    </row>
    <row r="34" spans="1:5" ht="48" customHeight="1" x14ac:dyDescent="0.15">
      <c r="A34" s="15" t="s">
        <v>174</v>
      </c>
      <c r="B34" s="156" t="s">
        <v>20</v>
      </c>
      <c r="C34" s="12"/>
      <c r="D34" s="153"/>
      <c r="E34" s="9" t="str">
        <f>IF(C34="","",IF(C34="Yes","Provide date of certification, any supporting documentation, and a URL for the certification.","Describe any plans to obtain CSA STAR certification."))</f>
        <v/>
      </c>
    </row>
    <row r="35" spans="1:5" ht="64.25" customHeight="1" x14ac:dyDescent="0.15">
      <c r="A35" s="15" t="s">
        <v>175</v>
      </c>
      <c r="B35" s="115" t="s">
        <v>2635</v>
      </c>
      <c r="C35" s="12"/>
      <c r="D35" s="153"/>
      <c r="E35" s="9" t="str">
        <f>IF(C35="","",IF(C35="Yes","Provide documentation on how your organization conforms to each framework and indicate current certification levels, where appropriate.","Describe any plans to conform to an industry standard security framework."))</f>
        <v/>
      </c>
    </row>
    <row r="36" spans="1:5" ht="64.25" customHeight="1" x14ac:dyDescent="0.15">
      <c r="A36" s="15" t="s">
        <v>176</v>
      </c>
      <c r="B36" s="156" t="s">
        <v>892</v>
      </c>
      <c r="C36" s="12"/>
      <c r="D36" s="154"/>
      <c r="E36" s="9" t="str">
        <f>IF(C36="","",IF(C36="Yes","Indicate level, agency issuing ATO, and necessary details on ATO. If using FEDRamp, please indicate the supporting details.","Describe any plans to become FISMA compliant."))</f>
        <v/>
      </c>
    </row>
    <row r="37" spans="1:5" ht="48" customHeight="1" x14ac:dyDescent="0.15">
      <c r="A37" s="15" t="s">
        <v>177</v>
      </c>
      <c r="B37" s="30" t="s">
        <v>471</v>
      </c>
      <c r="C37" s="12"/>
      <c r="D37" s="155"/>
      <c r="E37" s="9" t="str">
        <f>IF(C37="","",IF(C37="Yes","Provide your data privacy document (or a valid link to it) upon submission.","Describe your plans to provide a data privacy document."))</f>
        <v/>
      </c>
    </row>
    <row r="38" spans="1:5" ht="36" customHeight="1" x14ac:dyDescent="0.15">
      <c r="A38" s="301" t="s">
        <v>153</v>
      </c>
      <c r="B38" s="301"/>
      <c r="C38" s="25" t="s">
        <v>13</v>
      </c>
      <c r="D38" s="25" t="s">
        <v>14</v>
      </c>
      <c r="E38" s="7" t="s">
        <v>15</v>
      </c>
    </row>
    <row r="39" spans="1:5" ht="54" customHeight="1" x14ac:dyDescent="0.15">
      <c r="A39" s="15" t="s">
        <v>178</v>
      </c>
      <c r="B39" s="115" t="s">
        <v>154</v>
      </c>
      <c r="C39" s="302"/>
      <c r="D39" s="302"/>
      <c r="E39" s="9" t="s">
        <v>2557</v>
      </c>
    </row>
    <row r="40" spans="1:5" ht="54" customHeight="1" x14ac:dyDescent="0.15">
      <c r="A40" s="15" t="s">
        <v>179</v>
      </c>
      <c r="B40" s="115" t="s">
        <v>155</v>
      </c>
      <c r="C40" s="302"/>
      <c r="D40" s="302"/>
      <c r="E40" s="9" t="s">
        <v>2558</v>
      </c>
    </row>
    <row r="41" spans="1:5" ht="54" customHeight="1" x14ac:dyDescent="0.15">
      <c r="A41" s="15" t="s">
        <v>180</v>
      </c>
      <c r="B41" s="115" t="s">
        <v>893</v>
      </c>
      <c r="C41" s="12"/>
      <c r="D41" s="116"/>
      <c r="E41" s="9" t="str">
        <f>IF(C41="","",IF(C41="Yes","Provide a list of Higher Ed references, with contact information.","State your primary industry."))</f>
        <v/>
      </c>
    </row>
    <row r="42" spans="1:5" ht="64.25" customHeight="1" x14ac:dyDescent="0.15">
      <c r="A42" s="15" t="s">
        <v>181</v>
      </c>
      <c r="B42" s="115" t="s">
        <v>894</v>
      </c>
      <c r="C42" s="12"/>
      <c r="D42" s="117"/>
      <c r="E42" s="9" t="str">
        <f>IF(C42="","",IF(C42="Yes","Provide a detailed summary of the breach.",""))</f>
        <v/>
      </c>
    </row>
    <row r="43" spans="1:5" ht="54" customHeight="1" x14ac:dyDescent="0.15">
      <c r="A43" s="15" t="s">
        <v>182</v>
      </c>
      <c r="B43" s="115" t="s">
        <v>895</v>
      </c>
      <c r="C43" s="12"/>
      <c r="D43" s="116"/>
      <c r="E43" s="9" t="str">
        <f>IF(C43="","",IF(C43="Yes","Decribe your Information Security Office, including size, talents, resources, etc.","Describe any plans to create an Information Security Office for your organization."))</f>
        <v/>
      </c>
    </row>
    <row r="44" spans="1:5" ht="64.25" customHeight="1" x14ac:dyDescent="0.15">
      <c r="A44" s="15" t="s">
        <v>183</v>
      </c>
      <c r="B44" s="115" t="s">
        <v>2556</v>
      </c>
      <c r="C44" s="12"/>
      <c r="D44" s="117"/>
      <c r="E44" s="9" t="str">
        <f>IF(C44="","",IF(C44="Yes","Describe the structure and size of your Software and System Development teams. (e.g. Customer Support, Implementation, Product Management, etc.)","Describe any plans to create an Information Security Office for your organization."))</f>
        <v/>
      </c>
    </row>
    <row r="45" spans="1:5" ht="83" customHeight="1" x14ac:dyDescent="0.15">
      <c r="A45" s="15" t="s">
        <v>431</v>
      </c>
      <c r="B45" s="115" t="s">
        <v>896</v>
      </c>
      <c r="C45" s="303"/>
      <c r="D45" s="303"/>
      <c r="E45" s="9" t="s">
        <v>2559</v>
      </c>
    </row>
    <row r="46" spans="1:5" ht="36" customHeight="1" x14ac:dyDescent="0.15">
      <c r="A46" s="301" t="str">
        <f>IF($C$26="No","Third Parties - Optional based on QUALIFIER response.","Third Parties")</f>
        <v>Third Parties</v>
      </c>
      <c r="B46" s="301"/>
      <c r="C46" s="25" t="s">
        <v>13</v>
      </c>
      <c r="D46" s="25" t="s">
        <v>14</v>
      </c>
      <c r="E46" s="7" t="s">
        <v>15</v>
      </c>
    </row>
    <row r="47" spans="1:5" ht="96" customHeight="1" x14ac:dyDescent="0.15">
      <c r="A47" s="15" t="s">
        <v>184</v>
      </c>
      <c r="B47" s="30" t="s">
        <v>131</v>
      </c>
      <c r="C47" s="299"/>
      <c r="D47" s="299"/>
      <c r="E47" s="9" t="s">
        <v>2624</v>
      </c>
    </row>
    <row r="48" spans="1:5" ht="80" customHeight="1" x14ac:dyDescent="0.15">
      <c r="A48" s="15" t="s">
        <v>185</v>
      </c>
      <c r="B48" s="30" t="s">
        <v>517</v>
      </c>
      <c r="C48" s="299"/>
      <c r="D48" s="299"/>
      <c r="E48" s="9" t="s">
        <v>2625</v>
      </c>
    </row>
    <row r="49" spans="1:256" ht="80" customHeight="1" x14ac:dyDescent="0.15">
      <c r="A49" s="15" t="s">
        <v>186</v>
      </c>
      <c r="B49" s="30" t="s">
        <v>22</v>
      </c>
      <c r="C49" s="299"/>
      <c r="D49" s="299"/>
      <c r="E49" s="9" t="s">
        <v>2626</v>
      </c>
    </row>
    <row r="50" spans="1:256" ht="80" customHeight="1" x14ac:dyDescent="0.15">
      <c r="A50" s="15" t="s">
        <v>430</v>
      </c>
      <c r="B50" s="30" t="s">
        <v>442</v>
      </c>
      <c r="C50" s="299"/>
      <c r="D50" s="299"/>
      <c r="E50" s="9" t="s">
        <v>2627</v>
      </c>
    </row>
    <row r="51" spans="1:256" ht="36" customHeight="1" x14ac:dyDescent="0.15">
      <c r="A51" s="301" t="str">
        <f>IF($C$30="","Consulting",IF($C$30="Yes","Consulting - All questions after this section are OPTIONAL.","Consulting - Optional based on QUALIFIER response."))</f>
        <v>Consulting</v>
      </c>
      <c r="B51" s="301"/>
      <c r="C51" s="25" t="s">
        <v>13</v>
      </c>
      <c r="D51" s="25" t="s">
        <v>14</v>
      </c>
      <c r="E51" s="7" t="s">
        <v>15</v>
      </c>
    </row>
    <row r="52" spans="1:256" ht="48" customHeight="1" x14ac:dyDescent="0.15">
      <c r="A52" s="15" t="s">
        <v>187</v>
      </c>
      <c r="B52" s="30" t="s">
        <v>902</v>
      </c>
      <c r="C52" s="12"/>
      <c r="D52" s="29"/>
      <c r="E52" s="10" t="str">
        <f>IF(C52="","",IF(C52="Yes","Describe how physical access will be managed.",""))</f>
        <v/>
      </c>
    </row>
    <row r="53" spans="1:256" ht="63" customHeight="1" x14ac:dyDescent="0.15">
      <c r="A53" s="15" t="s">
        <v>188</v>
      </c>
      <c r="B53" s="30" t="s">
        <v>536</v>
      </c>
      <c r="C53" s="12"/>
      <c r="D53" s="29"/>
      <c r="E53" s="10" t="str">
        <f>IF(C53="","",IF(C53="Yes","Describe how institution's resources will be protected during this engagement.",""))</f>
        <v/>
      </c>
    </row>
    <row r="54" spans="1:256" ht="63" customHeight="1" x14ac:dyDescent="0.15">
      <c r="A54" s="15" t="s">
        <v>189</v>
      </c>
      <c r="B54" s="30" t="s">
        <v>537</v>
      </c>
      <c r="C54" s="12"/>
      <c r="D54" s="29"/>
      <c r="E54" s="10" t="str">
        <f>IF(C54="","",IF(C54="Yes","Summarize the need for physical access and what steps/agreements will be implemented to ensure physical security.",""))</f>
        <v/>
      </c>
    </row>
    <row r="55" spans="1:256" ht="48" customHeight="1" x14ac:dyDescent="0.15">
      <c r="A55" s="15" t="s">
        <v>190</v>
      </c>
      <c r="B55" s="30" t="s">
        <v>538</v>
      </c>
      <c r="C55" s="12"/>
      <c r="D55" s="13"/>
      <c r="E55" s="10" t="str">
        <f>IF(C55="","",IF(C55="Yes","Summarize the need for an account within the Institution's domain.",""))</f>
        <v/>
      </c>
    </row>
    <row r="56" spans="1:256" ht="48" customHeight="1" x14ac:dyDescent="0.15">
      <c r="A56" s="15" t="s">
        <v>191</v>
      </c>
      <c r="B56" s="30" t="s">
        <v>469</v>
      </c>
      <c r="C56" s="12"/>
      <c r="D56" s="13"/>
      <c r="E56" s="10" t="str">
        <f>IF(C56="","",IF(C56="Yes","State the name of  the training received and the most currently training date for each training.",""))</f>
        <v/>
      </c>
    </row>
    <row r="57" spans="1:256" ht="48" customHeight="1" x14ac:dyDescent="0.15">
      <c r="A57" s="15" t="s">
        <v>192</v>
      </c>
      <c r="B57" s="30" t="s">
        <v>472</v>
      </c>
      <c r="C57" s="12"/>
      <c r="D57" s="13"/>
      <c r="E57" s="10" t="str">
        <f>IF(C57="","",IF(C57="Yes","State how long the data will remain in their possession and state how the data will be protected.",""))</f>
        <v/>
      </c>
    </row>
    <row r="58" spans="1:256" s="1" customFormat="1" ht="48" customHeight="1" x14ac:dyDescent="0.2">
      <c r="A58" s="15" t="s">
        <v>193</v>
      </c>
      <c r="B58" s="30" t="s">
        <v>473</v>
      </c>
      <c r="C58" s="180"/>
      <c r="D58" s="13"/>
      <c r="E58" s="10" t="str">
        <f>IF(C58="","",IF(C58="Yes","Describe how encryption is implemented.","Describe the implemented compensating controls  to safeguard data."))</f>
        <v/>
      </c>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row>
    <row r="59" spans="1:256" ht="48" customHeight="1" x14ac:dyDescent="0.15">
      <c r="A59" s="15" t="s">
        <v>194</v>
      </c>
      <c r="B59" s="30" t="s">
        <v>539</v>
      </c>
      <c r="C59" s="12"/>
      <c r="D59" s="13"/>
      <c r="E59" s="10" t="str">
        <f>IF(C59="","",IF(C59="Yes","Describe the tools and technical controls implemented to secure remote access.",""))</f>
        <v/>
      </c>
    </row>
    <row r="60" spans="1:256" s="1" customFormat="1" ht="48" customHeight="1" x14ac:dyDescent="0.2">
      <c r="A60" s="15" t="s">
        <v>195</v>
      </c>
      <c r="B60" s="30" t="s">
        <v>23</v>
      </c>
      <c r="C60" s="12"/>
      <c r="D60" s="13"/>
      <c r="E60" s="10" t="str">
        <f>IF(C60="","",IF(C60="Yes","State any limitations to this restriction.",IF(C60="No","State potential restriction capabilities.","No remote access necessary.")))</f>
        <v/>
      </c>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row>
    <row r="61" spans="1:256" ht="36" customHeight="1" x14ac:dyDescent="0.15">
      <c r="A61" s="301" t="str">
        <f>IF($C$30="","Application/Service Security",IF($C$30="Yes","App/Service Security - Optional based on QUALIFIER response.","Application/Service Security"))</f>
        <v>Application/Service Security</v>
      </c>
      <c r="B61" s="301"/>
      <c r="C61" s="25" t="s">
        <v>13</v>
      </c>
      <c r="D61" s="25" t="s">
        <v>14</v>
      </c>
      <c r="E61" s="7" t="s">
        <v>15</v>
      </c>
    </row>
    <row r="62" spans="1:256" ht="49.25" customHeight="1" x14ac:dyDescent="0.15">
      <c r="A62" s="15" t="s">
        <v>196</v>
      </c>
      <c r="B62" s="69" t="s">
        <v>897</v>
      </c>
      <c r="C62" s="12"/>
      <c r="D62" s="152"/>
      <c r="E62" s="9" t="str">
        <f>IF(C62="","",IF(C62="Yes","Describe any infrastructure dependencies.","Describe any limitations that prevent virtualization."))</f>
        <v/>
      </c>
    </row>
    <row r="63" spans="1:256" ht="48" customHeight="1" x14ac:dyDescent="0.15">
      <c r="A63" s="15" t="s">
        <v>197</v>
      </c>
      <c r="B63" s="69" t="s">
        <v>898</v>
      </c>
      <c r="C63" s="12"/>
      <c r="D63" s="154"/>
      <c r="E63" s="9" t="str">
        <f>IF(C63="","",IF(C63="Yes","Describe the utilized technology.","Describe any plans to virtualize your environment hosting Institution data."))</f>
        <v/>
      </c>
    </row>
    <row r="64" spans="1:256" ht="48" customHeight="1" x14ac:dyDescent="0.15">
      <c r="A64" s="15" t="s">
        <v>540</v>
      </c>
      <c r="B64" s="69" t="s">
        <v>899</v>
      </c>
      <c r="C64" s="12"/>
      <c r="D64" s="152"/>
      <c r="E64" s="9" t="str">
        <f>IF(C64="","",IF(C64="Yes","If available, submit documentation and/or web resources.","Provide details that prevent this capability."))</f>
        <v/>
      </c>
    </row>
    <row r="65" spans="1:256" ht="80" customHeight="1" x14ac:dyDescent="0.15">
      <c r="A65" s="15" t="s">
        <v>198</v>
      </c>
      <c r="B65" s="69" t="s">
        <v>900</v>
      </c>
      <c r="C65" s="12"/>
      <c r="D65" s="137"/>
      <c r="E65" s="9" t="str">
        <f>IF(C65="","",IF(C65="Yes","Provide a reference to the requested documents or provide them when submitting this fully-populated HECVAT.","State any plans to provide system and/or application architecture diagrams."))</f>
        <v/>
      </c>
    </row>
    <row r="66" spans="1:256" ht="63" customHeight="1" x14ac:dyDescent="0.15">
      <c r="A66" s="15" t="s">
        <v>199</v>
      </c>
      <c r="B66" s="69" t="s">
        <v>32</v>
      </c>
      <c r="C66" s="12"/>
      <c r="D66" s="137"/>
      <c r="E66" s="9" t="str">
        <f>IF(C66="","",IF(C66="Yes","Provide a reference to documentation of your data input validation and error messaging capabilities.","State plans to implement data input validation and error messaging across all components of your system."))</f>
        <v/>
      </c>
    </row>
    <row r="67" spans="1:256" ht="48" customHeight="1" x14ac:dyDescent="0.15">
      <c r="A67" s="15" t="s">
        <v>200</v>
      </c>
      <c r="B67" s="69" t="s">
        <v>901</v>
      </c>
      <c r="C67" s="12"/>
      <c r="D67" s="31"/>
      <c r="E67" s="9" t="str">
        <f>IF(C67="","",IF(C67="Yes","Describe your single-tenant strategy.",""))</f>
        <v/>
      </c>
    </row>
    <row r="68" spans="1:256" s="1" customFormat="1" ht="80" customHeight="1" x14ac:dyDescent="0.2">
      <c r="A68" s="15" t="s">
        <v>201</v>
      </c>
      <c r="B68" s="69" t="s">
        <v>561</v>
      </c>
      <c r="C68" s="300"/>
      <c r="D68" s="299"/>
      <c r="E68" s="11" t="s">
        <v>2074</v>
      </c>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row>
    <row r="69" spans="1:256" ht="72" customHeight="1" x14ac:dyDescent="0.15">
      <c r="A69" s="15" t="s">
        <v>202</v>
      </c>
      <c r="B69" s="30" t="s">
        <v>518</v>
      </c>
      <c r="C69" s="12"/>
      <c r="D69" s="13"/>
      <c r="E69" s="9" t="str">
        <f>IF(C69="","",IF(C69="Yes","Describe the conditions of this breach and how was the investigation and response was managed in conjunction with the customer.",""))</f>
        <v/>
      </c>
    </row>
    <row r="70" spans="1:256" ht="64.25" customHeight="1" x14ac:dyDescent="0.15">
      <c r="A70" s="15" t="s">
        <v>203</v>
      </c>
      <c r="B70" s="69" t="s">
        <v>443</v>
      </c>
      <c r="C70" s="300"/>
      <c r="D70" s="299"/>
      <c r="E70" s="11" t="s">
        <v>2075</v>
      </c>
    </row>
    <row r="71" spans="1:256" ht="64.25" customHeight="1" x14ac:dyDescent="0.15">
      <c r="A71" s="15" t="s">
        <v>204</v>
      </c>
      <c r="B71" s="69" t="s">
        <v>444</v>
      </c>
      <c r="C71" s="300"/>
      <c r="D71" s="299"/>
      <c r="E71" s="9" t="s">
        <v>2561</v>
      </c>
    </row>
    <row r="72" spans="1:256" ht="48" customHeight="1" x14ac:dyDescent="0.15">
      <c r="A72" s="15" t="s">
        <v>205</v>
      </c>
      <c r="B72" s="69" t="s">
        <v>503</v>
      </c>
      <c r="C72" s="12"/>
      <c r="D72" s="103"/>
      <c r="E72" s="9" t="str">
        <f>IF(C72="","",IF(C72="Yes","Provide a brief description.","Provide a detailed description of the database and front-end system relationship."))</f>
        <v/>
      </c>
    </row>
    <row r="73" spans="1:256" ht="65" customHeight="1" x14ac:dyDescent="0.15">
      <c r="A73" s="15" t="s">
        <v>206</v>
      </c>
      <c r="B73" s="69" t="s">
        <v>445</v>
      </c>
      <c r="C73" s="300"/>
      <c r="D73" s="299"/>
      <c r="E73" s="9" t="s">
        <v>3000</v>
      </c>
    </row>
    <row r="74" spans="1:256" ht="65" customHeight="1" x14ac:dyDescent="0.15">
      <c r="A74" s="15" t="s">
        <v>207</v>
      </c>
      <c r="B74" s="69" t="s">
        <v>2076</v>
      </c>
      <c r="C74" s="12"/>
      <c r="D74" s="13"/>
      <c r="E74" s="9" t="str">
        <f>IF(C74="","",IF(C74="Yes","Describe all OS and web-browser combonations that are not currently supported.",""))</f>
        <v/>
      </c>
    </row>
    <row r="75" spans="1:256" ht="63" customHeight="1" x14ac:dyDescent="0.15">
      <c r="A75" s="15" t="s">
        <v>208</v>
      </c>
      <c r="B75" s="69" t="s">
        <v>114</v>
      </c>
      <c r="C75" s="12"/>
      <c r="D75" s="13"/>
      <c r="E75" s="9" t="str">
        <f>IF(C75="","",IF(C75="Yes","Provide a detailed description of system capabilities and how location data is secured.",""))</f>
        <v/>
      </c>
    </row>
    <row r="76" spans="1:256" ht="84" customHeight="1" x14ac:dyDescent="0.15">
      <c r="A76" s="15" t="s">
        <v>541</v>
      </c>
      <c r="B76" s="69" t="s">
        <v>446</v>
      </c>
      <c r="C76" s="300"/>
      <c r="D76" s="299"/>
      <c r="E76" s="9" t="s">
        <v>2562</v>
      </c>
    </row>
    <row r="77" spans="1:256" ht="65" customHeight="1" x14ac:dyDescent="0.15">
      <c r="A77" s="15" t="s">
        <v>209</v>
      </c>
      <c r="B77" s="69" t="s">
        <v>504</v>
      </c>
      <c r="C77" s="300"/>
      <c r="D77" s="299"/>
      <c r="E77" s="9" t="s">
        <v>2563</v>
      </c>
    </row>
    <row r="78" spans="1:256" ht="65" customHeight="1" x14ac:dyDescent="0.15">
      <c r="A78" s="15" t="s">
        <v>210</v>
      </c>
      <c r="B78" s="69" t="s">
        <v>3003</v>
      </c>
      <c r="C78" s="300"/>
      <c r="D78" s="299"/>
      <c r="E78" s="9" t="s">
        <v>2564</v>
      </c>
    </row>
    <row r="79" spans="1:256" ht="36" customHeight="1" x14ac:dyDescent="0.15">
      <c r="A79" s="301" t="str">
        <f>IF($C$30="","Authentication, Authorization, and Accounting",IF($C$30="Yes","AAA - Optional based on QUALIFIER response.","Authentication, Authorization, and Accounting"))</f>
        <v>Authentication, Authorization, and Accounting</v>
      </c>
      <c r="B79" s="301"/>
      <c r="C79" s="25" t="s">
        <v>13</v>
      </c>
      <c r="D79" s="25" t="s">
        <v>14</v>
      </c>
      <c r="E79" s="7" t="s">
        <v>15</v>
      </c>
    </row>
    <row r="80" spans="1:256" ht="48" customHeight="1" x14ac:dyDescent="0.15">
      <c r="A80" s="15" t="s">
        <v>212</v>
      </c>
      <c r="B80" s="30" t="s">
        <v>35</v>
      </c>
      <c r="C80" s="12"/>
      <c r="D80" s="13"/>
      <c r="E80" s="10" t="str">
        <f>IF(C80="","",IF(C80="Yes","Describe how aging requirements are implemented in the product.","Describe plans to support password/passphrase aging requirements."))</f>
        <v/>
      </c>
    </row>
    <row r="81" spans="1:5" ht="48" customHeight="1" x14ac:dyDescent="0.15">
      <c r="A81" s="15" t="s">
        <v>213</v>
      </c>
      <c r="B81" s="30" t="s">
        <v>519</v>
      </c>
      <c r="C81" s="12"/>
      <c r="D81" s="13"/>
      <c r="E81" s="10" t="str">
        <f>IF(C81="","",IF(C81="Yes","Describe how password/passphrase complexity requirements are implemented in the product.","Describe plans to support password/passphrase complexity requirements."))</f>
        <v/>
      </c>
    </row>
    <row r="82" spans="1:5" ht="48" customHeight="1" x14ac:dyDescent="0.15">
      <c r="A82" s="15" t="s">
        <v>214</v>
      </c>
      <c r="B82" s="30" t="s">
        <v>2067</v>
      </c>
      <c r="C82" s="12"/>
      <c r="D82" s="154"/>
      <c r="E82" s="10" t="str">
        <f>IF(C82="","",IF(C82="Yes","Describe these limitations and/or restrictions and state what lengths and complexities are supported.",""))</f>
        <v/>
      </c>
    </row>
    <row r="83" spans="1:5" ht="65" customHeight="1" x14ac:dyDescent="0.15">
      <c r="A83" s="15" t="s">
        <v>215</v>
      </c>
      <c r="B83" s="30" t="s">
        <v>2068</v>
      </c>
      <c r="C83" s="12"/>
      <c r="D83" s="154"/>
      <c r="E83" s="10" t="str">
        <f>IF(C83="","",IF(C83="Yes","Describe your documented password/passphrase reset procedures that are currently implemented in the system and/or customer support.","Describe your plans to document system password/passphrase reset procedures."))</f>
        <v/>
      </c>
    </row>
    <row r="84" spans="1:5" ht="47" customHeight="1" x14ac:dyDescent="0.15">
      <c r="A84" s="15" t="s">
        <v>216</v>
      </c>
      <c r="B84" s="30" t="s">
        <v>2658</v>
      </c>
      <c r="C84" s="12"/>
      <c r="D84" s="197"/>
      <c r="E84" s="10" t="str">
        <f>IF(C84="","",IF(C84="Yes","Describe or provide a reference to the supported types of authentication.","Describe plans to support authentication in your web-based interface."))</f>
        <v/>
      </c>
    </row>
    <row r="85" spans="1:5" ht="48" customHeight="1" x14ac:dyDescent="0.15">
      <c r="A85" s="15" t="s">
        <v>217</v>
      </c>
      <c r="B85" s="30" t="s">
        <v>2565</v>
      </c>
      <c r="C85" s="12"/>
      <c r="D85" s="13"/>
      <c r="E85" s="10" t="str">
        <f>IF(C85="","",IF(C85="Yes","Provide a detailed description of passwords/passphrases hard-coded into your systems or products.",""))</f>
        <v/>
      </c>
    </row>
    <row r="86" spans="1:5" ht="48" customHeight="1" x14ac:dyDescent="0.15">
      <c r="A86" s="15" t="s">
        <v>218</v>
      </c>
      <c r="B86" s="30" t="s">
        <v>36</v>
      </c>
      <c r="C86" s="12"/>
      <c r="D86" s="103"/>
      <c r="E86" s="10" t="str">
        <f>IF(C86="","",IF(C86="Yes","Provide a detailed description stating why user account passwords/passphrases are visible by administrators.",""))</f>
        <v/>
      </c>
    </row>
    <row r="87" spans="1:5" ht="48" customHeight="1" x14ac:dyDescent="0.15">
      <c r="A87" s="15" t="s">
        <v>219</v>
      </c>
      <c r="B87" s="30" t="s">
        <v>37</v>
      </c>
      <c r="C87" s="12"/>
      <c r="D87" s="13"/>
      <c r="E87" s="10" t="str">
        <f>IF(C87="","",IF(C87="Yes","Describe or provide a reference to the algorithm/strategy that is used to encrypt stored passwords/passphrases.","Provide a detailed description stating why user account passwords/passphrases are not encrypted in storage."))</f>
        <v/>
      </c>
    </row>
    <row r="88" spans="1:5" ht="48" customHeight="1" x14ac:dyDescent="0.15">
      <c r="A88" s="68" t="s">
        <v>220</v>
      </c>
      <c r="B88" s="30" t="s">
        <v>133</v>
      </c>
      <c r="C88" s="12"/>
      <c r="D88" s="13"/>
      <c r="E88" s="10" t="str">
        <f>IF(C88="","",IF(C88="Yes","List all supported multi-factor authentication methods, technologies, and/or products and provide a brief summary of each.","Describe any plans to support multi-factor authentication in your application."))</f>
        <v/>
      </c>
    </row>
    <row r="89" spans="1:5" ht="53" customHeight="1" x14ac:dyDescent="0.15">
      <c r="A89" s="68" t="s">
        <v>221</v>
      </c>
      <c r="B89" s="30" t="s">
        <v>903</v>
      </c>
      <c r="C89" s="12"/>
      <c r="D89" s="13"/>
      <c r="E89" s="10" t="str">
        <f>IF(C89="","",IF(C89="Yes","Provide a brief description of supported authentication and authorization systems.","Describe any plans to support integration with other authentication and authorization systems."))</f>
        <v/>
      </c>
    </row>
    <row r="90" spans="1:5" ht="47" customHeight="1" x14ac:dyDescent="0.15">
      <c r="A90" s="68" t="s">
        <v>222</v>
      </c>
      <c r="B90" s="30" t="s">
        <v>520</v>
      </c>
      <c r="C90" s="180"/>
      <c r="D90" s="13"/>
      <c r="E90" s="10" t="str">
        <f>IF(C90="","",IF(C90="Yes","Summarize the utilized technology and provide references to how it is implemented in the product/system.",""))</f>
        <v/>
      </c>
    </row>
    <row r="91" spans="1:5" ht="54" customHeight="1" x14ac:dyDescent="0.15">
      <c r="A91" s="68" t="s">
        <v>223</v>
      </c>
      <c r="B91" s="30" t="s">
        <v>132</v>
      </c>
      <c r="C91" s="12"/>
      <c r="D91" s="13"/>
      <c r="E91" s="10" t="str">
        <f>IF(C91="","",IF(C91="Yes","Describe all authentication services supported by the system.","Describe any plans to support external authentication services in place of local authentication."))</f>
        <v/>
      </c>
    </row>
    <row r="92" spans="1:5" ht="54" customHeight="1" x14ac:dyDescent="0.15">
      <c r="A92" s="68" t="s">
        <v>224</v>
      </c>
      <c r="B92" s="30" t="s">
        <v>95</v>
      </c>
      <c r="C92" s="180"/>
      <c r="D92" s="13"/>
      <c r="E92" s="10" t="str">
        <f>IF(C92="","",IF(C92="Yes","Provide a detailed description of your mixed authentication mode practices.","Describe any plans to use mixed authentication modes."))</f>
        <v/>
      </c>
    </row>
    <row r="93" spans="1:5" ht="47" customHeight="1" x14ac:dyDescent="0.15">
      <c r="A93" s="68" t="s">
        <v>225</v>
      </c>
      <c r="B93" s="30" t="s">
        <v>521</v>
      </c>
      <c r="C93" s="180"/>
      <c r="D93" s="13"/>
      <c r="E93" s="10" t="str">
        <f>IF(C93="","",IF(C93="Yes","Summarize the utilized technology and provide references to how it is implemented in the product/system.",""))</f>
        <v/>
      </c>
    </row>
    <row r="94" spans="1:5" ht="48" customHeight="1" x14ac:dyDescent="0.15">
      <c r="A94" s="68" t="s">
        <v>226</v>
      </c>
      <c r="B94" s="30" t="s">
        <v>542</v>
      </c>
      <c r="C94" s="12"/>
      <c r="D94" s="13"/>
      <c r="E94" s="10" t="str">
        <f>IF(C94="","",IF(C94="Yes","Ensure that all elements of AAAI-15 are evaluated for your response. Provide a description of logging capabilities.","Describe any plans to enable audit logs for these data elements."))</f>
        <v/>
      </c>
    </row>
    <row r="95" spans="1:5" ht="96" customHeight="1" x14ac:dyDescent="0.15">
      <c r="A95" s="68" t="s">
        <v>227</v>
      </c>
      <c r="B95" s="30" t="s">
        <v>2069</v>
      </c>
      <c r="C95" s="299"/>
      <c r="D95" s="299"/>
      <c r="E95" s="10" t="s">
        <v>2566</v>
      </c>
    </row>
    <row r="96" spans="1:5" ht="84" customHeight="1" x14ac:dyDescent="0.15">
      <c r="A96" s="68" t="s">
        <v>228</v>
      </c>
      <c r="B96" s="30" t="s">
        <v>447</v>
      </c>
      <c r="C96" s="299"/>
      <c r="D96" s="299"/>
      <c r="E96" s="10" t="s">
        <v>2567</v>
      </c>
    </row>
    <row r="97" spans="1:5" ht="36" customHeight="1" x14ac:dyDescent="0.15">
      <c r="A97" s="301" t="str">
        <f>IF(OR($C$27="No",$C$30="Yes"),"BCP - Respond to as many questions below as possible.","Business Continuity Plan")</f>
        <v>Business Continuity Plan</v>
      </c>
      <c r="B97" s="301"/>
      <c r="C97" s="25" t="s">
        <v>13</v>
      </c>
      <c r="D97" s="25" t="s">
        <v>14</v>
      </c>
      <c r="E97" s="7" t="s">
        <v>15</v>
      </c>
    </row>
    <row r="98" spans="1:5" ht="48" customHeight="1" x14ac:dyDescent="0.15">
      <c r="A98" s="15" t="s">
        <v>211</v>
      </c>
      <c r="B98" s="30" t="s">
        <v>543</v>
      </c>
      <c r="C98" s="300"/>
      <c r="D98" s="299"/>
      <c r="E98" s="10" t="s">
        <v>2569</v>
      </c>
    </row>
    <row r="99" spans="1:5" ht="47" customHeight="1" x14ac:dyDescent="0.15">
      <c r="A99" s="15" t="s">
        <v>229</v>
      </c>
      <c r="B99" s="30" t="s">
        <v>2568</v>
      </c>
      <c r="C99" s="12"/>
      <c r="D99" s="13"/>
      <c r="E99" s="10" t="str">
        <f>IF(C99="","",IF(C99="Yes","Provide a reference to your BCP and supporting documentation or submit it along with this fully-populated HECVAT.","Briefly summarize your response."))</f>
        <v/>
      </c>
    </row>
    <row r="100" spans="1:5" ht="47" customHeight="1" x14ac:dyDescent="0.15">
      <c r="A100" s="15" t="s">
        <v>230</v>
      </c>
      <c r="B100" s="30" t="s">
        <v>120</v>
      </c>
      <c r="C100" s="12"/>
      <c r="D100" s="103"/>
      <c r="E100" s="10" t="str">
        <f>IF(C100="","",IF(C100="Yes","Provide additional details, as needed.","Describe any plans to define a BCP owner responsible for maintenance and review."))</f>
        <v/>
      </c>
    </row>
    <row r="101" spans="1:5" ht="47" customHeight="1" x14ac:dyDescent="0.15">
      <c r="A101" s="15" t="s">
        <v>231</v>
      </c>
      <c r="B101" s="30" t="s">
        <v>123</v>
      </c>
      <c r="C101" s="12"/>
      <c r="D101" s="13"/>
      <c r="E101" s="10" t="str">
        <f>IF(C101="","",IF(C101="Yes","Summarize your defined problem/issue escalation plan contained in your BCP.","Describe any plans to define a problem/issue escalation plan in your BCP."))</f>
        <v/>
      </c>
    </row>
    <row r="102" spans="1:5" ht="47" customHeight="1" x14ac:dyDescent="0.15">
      <c r="A102" s="15" t="s">
        <v>232</v>
      </c>
      <c r="B102" s="30" t="s">
        <v>124</v>
      </c>
      <c r="C102" s="12"/>
      <c r="D102" s="13"/>
      <c r="E102" s="10" t="str">
        <f>IF(C102="","",IF(C102="Yes","Summarize your documented communication plan contained in your BCP.","Describe any plans to document a communication plan in your BCP."))</f>
        <v/>
      </c>
    </row>
    <row r="103" spans="1:5" ht="48" customHeight="1" x14ac:dyDescent="0.15">
      <c r="A103" s="15" t="s">
        <v>233</v>
      </c>
      <c r="B103" s="30" t="s">
        <v>544</v>
      </c>
      <c r="C103" s="12"/>
      <c r="D103" s="13"/>
      <c r="E103" s="10" t="str">
        <f>IF(C103="","",IF(C103="Yes","Describe your BCP component review strategy.","Describe any plans to annually review and update (as needed) your BCP."))</f>
        <v/>
      </c>
    </row>
    <row r="104" spans="1:5" ht="48" customHeight="1" x14ac:dyDescent="0.15">
      <c r="A104" s="15" t="s">
        <v>234</v>
      </c>
      <c r="B104" s="30" t="s">
        <v>2070</v>
      </c>
      <c r="C104" s="12"/>
      <c r="D104" s="13"/>
      <c r="E104" s="10" t="str">
        <f>IF(C104="","",IF(C104="Yes","State the date of your last BCP test.","Describe your strategy to implement annual BCP testing."))</f>
        <v/>
      </c>
    </row>
    <row r="105" spans="1:5" ht="47" customHeight="1" x14ac:dyDescent="0.15">
      <c r="A105" s="15" t="s">
        <v>235</v>
      </c>
      <c r="B105" s="30" t="s">
        <v>125</v>
      </c>
      <c r="C105" s="12"/>
      <c r="D105" s="13"/>
      <c r="E105" s="10" t="str">
        <f>IF(C105="","",IF(C105="Yes","Describe your training and awareness activities.","State your plans to implement training and awareness activities focused on roles and responsibilities during a crisis."))</f>
        <v/>
      </c>
    </row>
    <row r="106" spans="1:5" ht="47" customHeight="1" x14ac:dyDescent="0.15">
      <c r="A106" s="15" t="s">
        <v>236</v>
      </c>
      <c r="B106" s="30" t="s">
        <v>126</v>
      </c>
      <c r="C106" s="12"/>
      <c r="D106" s="13"/>
      <c r="E106" s="10" t="str">
        <f>IF(C106="","",IF(C106="Yes","Summarize these crisis management roles and responsibilities.","State your plans to define and document crisis management roles and responsibilities."))</f>
        <v/>
      </c>
    </row>
    <row r="107" spans="1:5" ht="47" customHeight="1" x14ac:dyDescent="0.15">
      <c r="A107" s="15" t="s">
        <v>237</v>
      </c>
      <c r="B107" s="30" t="s">
        <v>127</v>
      </c>
      <c r="C107" s="12"/>
      <c r="D107" s="13"/>
      <c r="E107" s="10" t="str">
        <f>IF(C107="","",IF(C107="Yes","Provide the distance (in miles) between the primary and secondary locations.","Describe your plans to coordinate an alternative business site or contract with a business recovery provider?"))</f>
        <v/>
      </c>
    </row>
    <row r="108" spans="1:5" ht="47" customHeight="1" x14ac:dyDescent="0.15">
      <c r="A108" s="15" t="s">
        <v>238</v>
      </c>
      <c r="B108" s="30" t="s">
        <v>2650</v>
      </c>
      <c r="C108" s="12"/>
      <c r="D108" s="13"/>
      <c r="E108" s="10" t="str">
        <f>IF(C108="","",IF(C108="Yes","State the date of your last alternate site relocation test.","Describe your strategy to implement annual alternate site relocation testing."))</f>
        <v/>
      </c>
    </row>
    <row r="109" spans="1:5" ht="64.25" customHeight="1" x14ac:dyDescent="0.15">
      <c r="A109" s="15" t="s">
        <v>239</v>
      </c>
      <c r="B109" s="30" t="s">
        <v>2071</v>
      </c>
      <c r="C109" s="12"/>
      <c r="D109" s="13"/>
      <c r="E109" s="10" t="str">
        <f>IF(C109="","",IF(C109="Yes","Provide a brief summary to support your selection.","Summarize this product's restoration priority in your BCP."))</f>
        <v/>
      </c>
    </row>
    <row r="110" spans="1:5" ht="36" customHeight="1" x14ac:dyDescent="0.15">
      <c r="A110" s="301" t="str">
        <f>IF($C$30="","Change Management",IF($C$30="Yes","Change Management - Optional based on QUALIFIER response.","Change Management"))</f>
        <v>Change Management</v>
      </c>
      <c r="B110" s="301"/>
      <c r="C110" s="25" t="s">
        <v>13</v>
      </c>
      <c r="D110" s="25" t="s">
        <v>14</v>
      </c>
      <c r="E110" s="7" t="s">
        <v>15</v>
      </c>
    </row>
    <row r="111" spans="1:5" ht="48" customHeight="1" x14ac:dyDescent="0.15">
      <c r="A111" s="15" t="s">
        <v>240</v>
      </c>
      <c r="B111" s="30" t="s">
        <v>102</v>
      </c>
      <c r="C111" s="12"/>
      <c r="D111" s="13"/>
      <c r="E111" s="10" t="str">
        <f>IF(C111="","",IF(C111="Yes","Summarize your current change management process.","Describe current plans to implement a change management process."))</f>
        <v/>
      </c>
    </row>
    <row r="112" spans="1:5" ht="80" customHeight="1" x14ac:dyDescent="0.15">
      <c r="A112" s="15" t="s">
        <v>241</v>
      </c>
      <c r="B112" s="30" t="s">
        <v>505</v>
      </c>
      <c r="C112" s="300"/>
      <c r="D112" s="299"/>
      <c r="E112" s="10" t="s">
        <v>2570</v>
      </c>
    </row>
    <row r="113" spans="1:256" ht="64.25" customHeight="1" x14ac:dyDescent="0.15">
      <c r="A113" s="15" t="s">
        <v>242</v>
      </c>
      <c r="B113" s="30" t="s">
        <v>2072</v>
      </c>
      <c r="C113" s="12"/>
      <c r="D113" s="138"/>
      <c r="E113" s="134" t="str">
        <f>IF(C113="","",IF(C113="Yes","State how and when the Institution will be notified of major changes to your environment.","Describe plans to establish a notification mechanism for major environmental changes."))</f>
        <v/>
      </c>
    </row>
    <row r="114" spans="1:256" ht="64.25" customHeight="1" x14ac:dyDescent="0.15">
      <c r="A114" s="15" t="s">
        <v>243</v>
      </c>
      <c r="B114" s="30" t="s">
        <v>99</v>
      </c>
      <c r="C114" s="12"/>
      <c r="D114" s="137"/>
      <c r="E114" s="10" t="str">
        <f>IF(C114="","",IF(C114="Yes","Provide reference the the process/procedure to manage releases.","Summarize why clients do not have alternative release option."))</f>
        <v/>
      </c>
    </row>
    <row r="115" spans="1:256" ht="64.25" customHeight="1" x14ac:dyDescent="0.15">
      <c r="A115" s="15" t="s">
        <v>244</v>
      </c>
      <c r="B115" s="30" t="s">
        <v>451</v>
      </c>
      <c r="C115" s="300"/>
      <c r="D115" s="299"/>
      <c r="E115" s="10" t="s">
        <v>2571</v>
      </c>
    </row>
    <row r="116" spans="1:256" ht="64.25" customHeight="1" x14ac:dyDescent="0.15">
      <c r="A116" s="15" t="s">
        <v>245</v>
      </c>
      <c r="B116" s="30" t="s">
        <v>113</v>
      </c>
      <c r="C116" s="300"/>
      <c r="D116" s="299"/>
      <c r="E116" s="10" t="s">
        <v>2572</v>
      </c>
    </row>
    <row r="117" spans="1:256" ht="64.25" customHeight="1" x14ac:dyDescent="0.15">
      <c r="A117" s="15" t="s">
        <v>246</v>
      </c>
      <c r="B117" s="30" t="s">
        <v>2073</v>
      </c>
      <c r="C117" s="12"/>
      <c r="D117" s="137"/>
      <c r="E117" s="10" t="str">
        <f>IF(C117="","",IF(C117="Yes","Describe how this is accomplished within your system.","Describe any business or technical reasons why customizations are not supported."))</f>
        <v/>
      </c>
    </row>
    <row r="118" spans="1:256" ht="64.25" customHeight="1" x14ac:dyDescent="0.15">
      <c r="A118" s="15" t="s">
        <v>247</v>
      </c>
      <c r="B118" s="30" t="s">
        <v>2077</v>
      </c>
      <c r="C118" s="12"/>
      <c r="D118" s="137"/>
      <c r="E118" s="10" t="str">
        <f>IF(C118="","",IF(C118="Yes","Describe how this is accomplished within your environment.","Describe your plans to ensure that only application software verifiable as authorized, tested, and approved for production, is placed into production."))</f>
        <v/>
      </c>
    </row>
    <row r="119" spans="1:256" ht="64.25" customHeight="1" x14ac:dyDescent="0.15">
      <c r="A119" s="15" t="s">
        <v>248</v>
      </c>
      <c r="B119" s="30" t="s">
        <v>2078</v>
      </c>
      <c r="C119" s="12"/>
      <c r="D119" s="137"/>
      <c r="E119" s="10" t="str">
        <f>IF(C119="","",IF(C119="Yes","Provide a reference to this product's release schedule.","State any plans to release a schedule of product updates."))</f>
        <v/>
      </c>
    </row>
    <row r="120" spans="1:256" ht="64.25" customHeight="1" x14ac:dyDescent="0.15">
      <c r="A120" s="15" t="s">
        <v>249</v>
      </c>
      <c r="B120" s="30" t="s">
        <v>2079</v>
      </c>
      <c r="C120" s="12"/>
      <c r="D120" s="137"/>
      <c r="E120" s="10" t="str">
        <f>IF(C120="","",IF(C120="Yes","Provide a reference to your technology roadmap.","State any plans to release a technology roadmap covering the next two years."))</f>
        <v/>
      </c>
    </row>
    <row r="121" spans="1:256" ht="64.25" customHeight="1" x14ac:dyDescent="0.15">
      <c r="A121" s="15" t="s">
        <v>250</v>
      </c>
      <c r="B121" s="30" t="s">
        <v>2080</v>
      </c>
      <c r="C121" s="12"/>
      <c r="D121" s="137"/>
      <c r="E121" s="10" t="str">
        <f>IF(C121="","",IF(C121="Yes","Summarize the Institution's responsibilities during product updates.",""))</f>
        <v/>
      </c>
    </row>
    <row r="122" spans="1:256" ht="64.25" customHeight="1" x14ac:dyDescent="0.15">
      <c r="A122" s="15" t="s">
        <v>251</v>
      </c>
      <c r="B122" s="30" t="s">
        <v>2081</v>
      </c>
      <c r="C122" s="12"/>
      <c r="D122" s="137"/>
      <c r="E122" s="10" t="str">
        <f>IF(C122="","",IF(C122="Yes","Summarize the policy and procedure(s) managing how critical patches are applied to systems and applications.","State your plans to implement policy and procedure(s) to manage how critical patches are applied to systems and applications."))</f>
        <v/>
      </c>
    </row>
    <row r="123" spans="1:256" ht="64.25" customHeight="1" x14ac:dyDescent="0.15">
      <c r="A123" s="15" t="s">
        <v>252</v>
      </c>
      <c r="B123" s="30" t="s">
        <v>2082</v>
      </c>
      <c r="C123" s="12"/>
      <c r="D123" s="137"/>
      <c r="E123" s="10" t="str">
        <f>IF(C123="","",IF(C123="Yes","Summarize the policy and procedure(s) guiding risk mitigation practices before critical patches can be applied.","State your plans to implement policy and procedure(s) guiding risk mitigation practices before critical patches can be applied."))</f>
        <v/>
      </c>
    </row>
    <row r="124" spans="1:256" ht="48" customHeight="1" x14ac:dyDescent="0.15">
      <c r="A124" s="15" t="s">
        <v>253</v>
      </c>
      <c r="B124" s="30" t="s">
        <v>103</v>
      </c>
      <c r="C124" s="12"/>
      <c r="D124" s="137"/>
      <c r="E124" s="10" t="str">
        <f>IF(C124="","",IF(C124="Yes","Define current off-peak hours.","Decribe plans to minimize the impact of downtime based on predefined off-peak hours."))</f>
        <v/>
      </c>
    </row>
    <row r="125" spans="1:256" ht="48" customHeight="1" x14ac:dyDescent="0.15">
      <c r="A125" s="15" t="s">
        <v>254</v>
      </c>
      <c r="B125" s="30" t="s">
        <v>104</v>
      </c>
      <c r="C125" s="12"/>
      <c r="D125" s="137"/>
      <c r="E125" s="10" t="str">
        <f>IF(C125="","",IF(C125="Yes","Summarize implemented procedures ensuring that emergency changes are documented and authorized.","Describe plans to implement procedure ensuring that emergency changes are documented and authorized."))</f>
        <v/>
      </c>
    </row>
    <row r="126" spans="1:256" ht="36" customHeight="1" x14ac:dyDescent="0.2">
      <c r="A126" s="301" t="str">
        <f>IF($C$30="","Data",IF($C$30="Yes","Data - Optional based on QUALIFIER response.","Data"))</f>
        <v>Data</v>
      </c>
      <c r="B126" s="301"/>
      <c r="C126" s="25" t="s">
        <v>13</v>
      </c>
      <c r="D126" s="25" t="s">
        <v>14</v>
      </c>
      <c r="E126" s="7" t="s">
        <v>15</v>
      </c>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row>
    <row r="127" spans="1:256" ht="48" customHeight="1" x14ac:dyDescent="0.2">
      <c r="A127" s="68" t="s">
        <v>255</v>
      </c>
      <c r="B127" s="30" t="s">
        <v>2083</v>
      </c>
      <c r="C127" s="23"/>
      <c r="D127" s="32"/>
      <c r="E127" s="10" t="str">
        <f>IF(C127="","",IF(C127="Yes","Describe or provide a reference to how institution data is physically and logically separated from that of other customers.","Describe your plan to physically and logically separate Institution's data from other customers."))</f>
        <v/>
      </c>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row>
    <row r="128" spans="1:256" ht="48" customHeight="1" x14ac:dyDescent="0.2">
      <c r="A128" s="68" t="s">
        <v>256</v>
      </c>
      <c r="B128" s="30" t="s">
        <v>545</v>
      </c>
      <c r="C128" s="23"/>
      <c r="D128" s="32"/>
      <c r="E128" s="10" t="str">
        <f>IF(C128="","",IF(C128="Yes","State the need for this strategy, in detail.",""))</f>
        <v/>
      </c>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row>
    <row r="129" spans="1:256" ht="48" customHeight="1" x14ac:dyDescent="0.2">
      <c r="A129" s="68" t="s">
        <v>257</v>
      </c>
      <c r="B129" s="30" t="s">
        <v>2576</v>
      </c>
      <c r="C129" s="23"/>
      <c r="D129" s="32"/>
      <c r="E129" s="10" t="str">
        <f>IF(C129="","",IF(C129="Yes","Summarize your transport encryption strategy.","Decribe why sensitive data in not encrypted in transport."))</f>
        <v/>
      </c>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row>
    <row r="130" spans="1:256" ht="48" customHeight="1" x14ac:dyDescent="0.2">
      <c r="A130" s="68" t="s">
        <v>258</v>
      </c>
      <c r="B130" s="30" t="s">
        <v>474</v>
      </c>
      <c r="C130" s="23"/>
      <c r="D130" s="32"/>
      <c r="E130" s="10" t="str">
        <f>IF(C130="","",IF(C130="Yes","Summarize your data encryption strategy.","Decribe why sensitive data in not encrypted in storage."))</f>
        <v/>
      </c>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row>
    <row r="131" spans="1:256" ht="48" customHeight="1" x14ac:dyDescent="0.2">
      <c r="A131" s="68" t="s">
        <v>259</v>
      </c>
      <c r="B131" s="30" t="s">
        <v>453</v>
      </c>
      <c r="C131" s="23"/>
      <c r="D131" s="32"/>
      <c r="E131" s="10" t="str">
        <f>IF(C131="","",IF(C131="Yes","Provide a detailed description of all non-conforming modules.",""))</f>
        <v/>
      </c>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row>
    <row r="132" spans="1:256" ht="65" customHeight="1" x14ac:dyDescent="0.2">
      <c r="A132" s="68" t="s">
        <v>260</v>
      </c>
      <c r="B132" s="30" t="s">
        <v>2577</v>
      </c>
      <c r="C132" s="23"/>
      <c r="D132" s="32"/>
      <c r="E132" s="10" t="str">
        <f>IF(C132="","","Include all types of encryption; remote-access, application/database, end-user-to-system, etc.")</f>
        <v/>
      </c>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row>
    <row r="133" spans="1:256" ht="60" customHeight="1" x14ac:dyDescent="0.2">
      <c r="A133" s="68" t="s">
        <v>261</v>
      </c>
      <c r="B133" s="30" t="s">
        <v>522</v>
      </c>
      <c r="C133" s="311"/>
      <c r="D133" s="312"/>
      <c r="E133" s="10" t="s">
        <v>2573</v>
      </c>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row>
    <row r="134" spans="1:256" ht="48" customHeight="1" x14ac:dyDescent="0.2">
      <c r="A134" s="68" t="s">
        <v>262</v>
      </c>
      <c r="B134" s="30" t="s">
        <v>523</v>
      </c>
      <c r="C134" s="23"/>
      <c r="D134" s="104"/>
      <c r="E134" s="10" t="str">
        <f>IF(C134="","",IF(C134="Yes","Describe how data will be returned to the institution and in what format will it be presented.","Summarize why the institution's data won't be returned."))</f>
        <v/>
      </c>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row>
    <row r="135" spans="1:256" ht="48" customHeight="1" x14ac:dyDescent="0.2">
      <c r="A135" s="68" t="s">
        <v>263</v>
      </c>
      <c r="B135" s="30" t="s">
        <v>2578</v>
      </c>
      <c r="C135" s="23"/>
      <c r="D135" s="104"/>
      <c r="E135" s="10" t="str">
        <f>IF(C135="","",IF(C135="Yes","State the length of time that Institution's data will be available in the system at the completion of the contract.","Describe your data export procedures conducted at the termination of contract."))</f>
        <v/>
      </c>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row>
    <row r="136" spans="1:256" ht="48" customHeight="1" x14ac:dyDescent="0.2">
      <c r="A136" s="68" t="s">
        <v>264</v>
      </c>
      <c r="B136" s="30" t="s">
        <v>524</v>
      </c>
      <c r="C136" s="23"/>
      <c r="D136" s="32"/>
      <c r="E136" s="10" t="str">
        <f>IF(C136="","",IF(C136="Yes","Describe frequency and procedures for obtaining a full backup of data.","Summarize why the institution cannot extract a full backup of its data."))</f>
        <v/>
      </c>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row>
    <row r="137" spans="1:256" ht="48" customHeight="1" x14ac:dyDescent="0.2">
      <c r="A137" s="68" t="s">
        <v>265</v>
      </c>
      <c r="B137" s="30" t="s">
        <v>2579</v>
      </c>
      <c r="C137" s="23"/>
      <c r="D137" s="32"/>
      <c r="E137" s="10" t="str">
        <f>IF(C137="","",IF(C137="Yes","Provide reference to your data ownership documention.","Describe in detail why ownership rights are not retained by the institution."))</f>
        <v/>
      </c>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row>
    <row r="138" spans="1:256" ht="48" customHeight="1" x14ac:dyDescent="0.2">
      <c r="A138" s="68" t="s">
        <v>266</v>
      </c>
      <c r="B138" s="30" t="s">
        <v>100</v>
      </c>
      <c r="C138" s="23"/>
      <c r="D138" s="32"/>
      <c r="E138" s="10" t="str">
        <f>IF(C138="","",IF(C138="Yes","Provide references, as needed.","Provide a detailed description why rights are not retained."))</f>
        <v/>
      </c>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row>
    <row r="139" spans="1:256" ht="54" customHeight="1" x14ac:dyDescent="0.2">
      <c r="A139" s="68" t="s">
        <v>267</v>
      </c>
      <c r="B139" s="30" t="s">
        <v>101</v>
      </c>
      <c r="C139" s="23"/>
      <c r="D139" s="32"/>
      <c r="E139" s="10" t="str">
        <f>IF(C139="","",IF(C139="Yes","State how the institution will be notified of imminent termination.","Provide a detailed summary to support your selection."))</f>
        <v/>
      </c>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row>
    <row r="140" spans="1:256" ht="48" customHeight="1" x14ac:dyDescent="0.2">
      <c r="A140" s="68" t="s">
        <v>268</v>
      </c>
      <c r="B140" s="30" t="s">
        <v>448</v>
      </c>
      <c r="C140" s="311"/>
      <c r="D140" s="312"/>
      <c r="E140" s="10" t="s">
        <v>2574</v>
      </c>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row>
    <row r="141" spans="1:256" ht="48" customHeight="1" x14ac:dyDescent="0.2">
      <c r="A141" s="15" t="s">
        <v>269</v>
      </c>
      <c r="B141" s="30" t="s">
        <v>106</v>
      </c>
      <c r="C141" s="23"/>
      <c r="D141" s="32"/>
      <c r="E141" s="10" t="str">
        <f>IF(C141="","",IF(C141="Yes","Summarize your backup scheduling strategy.","Describe plans to implement pre-defined schedules for secure backups."))</f>
        <v/>
      </c>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row>
    <row r="142" spans="1:256" ht="48" customHeight="1" x14ac:dyDescent="0.2">
      <c r="A142" s="15" t="s">
        <v>270</v>
      </c>
      <c r="B142" s="30" t="s">
        <v>24</v>
      </c>
      <c r="C142" s="311"/>
      <c r="D142" s="312"/>
      <c r="E142" s="10" t="s">
        <v>2575</v>
      </c>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row>
    <row r="143" spans="1:256" ht="48" customHeight="1" x14ac:dyDescent="0.2">
      <c r="A143" s="15" t="s">
        <v>271</v>
      </c>
      <c r="B143" s="30" t="s">
        <v>546</v>
      </c>
      <c r="C143" s="23"/>
      <c r="D143" s="104"/>
      <c r="E143" s="10" t="str">
        <f>IF(C143="","",IF(C143="Yes","Summarize the encryption algorithm/strategy you are using to secure backups.","Summarize why backups are not encrypted."))</f>
        <v/>
      </c>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row>
    <row r="144" spans="1:256" ht="72" customHeight="1" x14ac:dyDescent="0.2">
      <c r="A144" s="15" t="s">
        <v>272</v>
      </c>
      <c r="B144" s="30" t="s">
        <v>2652</v>
      </c>
      <c r="C144" s="23"/>
      <c r="D144" s="33"/>
      <c r="E144" s="10" t="str">
        <f>IF(C144="","",IF(C144="Yes","Summarize your cryptographic key management process.","Provide a brief summary supporting your response."))</f>
        <v/>
      </c>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row>
    <row r="145" spans="1:256" ht="48" customHeight="1" x14ac:dyDescent="0.2">
      <c r="A145" s="15" t="s">
        <v>273</v>
      </c>
      <c r="B145" s="30" t="s">
        <v>547</v>
      </c>
      <c r="C145" s="23"/>
      <c r="D145" s="32"/>
      <c r="E145" s="10" t="str">
        <f>IF(C145="","",IF(C145="Yes","Decribe your overall strategy to accomplish these elements.","State plans to include the elements listed in DATA-20 in your backup strategy."))</f>
        <v/>
      </c>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row>
    <row r="146" spans="1:256" ht="48" customHeight="1" x14ac:dyDescent="0.2">
      <c r="A146" s="15" t="s">
        <v>274</v>
      </c>
      <c r="B146" s="30" t="s">
        <v>2580</v>
      </c>
      <c r="C146" s="23"/>
      <c r="D146" s="32"/>
      <c r="E146" s="10" t="str">
        <f>IF(C146="","",IF(C146="Yes","Summarize your off site backup strategy.","State any plans to implement off site physical backups in your environment."))</f>
        <v/>
      </c>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row>
    <row r="147" spans="1:256" ht="48" customHeight="1" x14ac:dyDescent="0.2">
      <c r="A147" s="15" t="s">
        <v>275</v>
      </c>
      <c r="B147" s="30" t="s">
        <v>548</v>
      </c>
      <c r="C147" s="23"/>
      <c r="D147" s="32"/>
      <c r="E147" s="10" t="str">
        <f>IF(C147="","",IF(C147="Yes","Provide the distance (in miles) between the primary and off-site locations.","State any plans to implement off site physical backups in your environment."))</f>
        <v/>
      </c>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row>
    <row r="148" spans="1:256" ht="48" customHeight="1" x14ac:dyDescent="0.2">
      <c r="A148" s="15" t="s">
        <v>276</v>
      </c>
      <c r="B148" s="30" t="s">
        <v>2636</v>
      </c>
      <c r="C148" s="23"/>
      <c r="D148" s="32"/>
      <c r="E148" s="10" t="str">
        <f>IF(C148="","",IF(C148="Yes","Summarize why backups containing the Institution's data leave the Institution's data zone.",""))</f>
        <v/>
      </c>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row>
    <row r="149" spans="1:256" ht="73.25" customHeight="1" x14ac:dyDescent="0.2">
      <c r="A149" s="15" t="s">
        <v>277</v>
      </c>
      <c r="B149" s="30" t="s">
        <v>2651</v>
      </c>
      <c r="C149" s="23"/>
      <c r="D149" s="206"/>
      <c r="E149" s="207" t="str">
        <f>IF(C149="","",IF(C149="Yes","Provide details of these procedures (link or attached).","Provide a detailed summary for this response."))</f>
        <v/>
      </c>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row>
    <row r="150" spans="1:256" ht="48" customHeight="1" x14ac:dyDescent="0.2">
      <c r="A150" s="15" t="s">
        <v>278</v>
      </c>
      <c r="B150" s="30" t="s">
        <v>2659</v>
      </c>
      <c r="C150" s="23"/>
      <c r="D150" s="32"/>
      <c r="E150" s="10" t="str">
        <f>IF(C150="","",IF(C150="Yes","","State plans to adhere to DoD 5220.22-M and/or NIST SP 800-88 standards."))</f>
        <v/>
      </c>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row>
    <row r="151" spans="1:256" ht="48" customHeight="1" x14ac:dyDescent="0.2">
      <c r="A151" s="15" t="s">
        <v>279</v>
      </c>
      <c r="B151" s="30" t="s">
        <v>108</v>
      </c>
      <c r="C151" s="23"/>
      <c r="D151" s="32"/>
      <c r="E151" s="10" t="str">
        <f>IF(C151="","",IF(C151="Yes","Provide a general summary of your long-term data retention strategy.","State plans to implement a long-term data retention strategy."))</f>
        <v/>
      </c>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row>
    <row r="152" spans="1:256" ht="48" customHeight="1" x14ac:dyDescent="0.2">
      <c r="A152" s="15" t="s">
        <v>280</v>
      </c>
      <c r="B152" s="30" t="s">
        <v>107</v>
      </c>
      <c r="C152" s="23"/>
      <c r="D152" s="32"/>
      <c r="E152" s="10" t="str">
        <f>IF(C152="","",IF(C152="Yes","Provide a general summary of your archival environment.","State plans to store long-term media in environmentally protected areas."))</f>
        <v/>
      </c>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row>
    <row r="153" spans="1:256" ht="48" customHeight="1" x14ac:dyDescent="0.2">
      <c r="A153" s="15" t="s">
        <v>281</v>
      </c>
      <c r="B153" s="30" t="s">
        <v>25</v>
      </c>
      <c r="C153" s="23"/>
      <c r="D153" s="32"/>
      <c r="E153" s="10" t="str">
        <f>IF(C153="","",IF(C153="Yes","Describe how FERPA compliance is integrated into your process and procedures.","State plans to handle data in a FERPA compliant manner."))</f>
        <v/>
      </c>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row>
    <row r="154" spans="1:256" ht="48" customHeight="1" x14ac:dyDescent="0.2">
      <c r="A154" s="15" t="s">
        <v>282</v>
      </c>
      <c r="B154" s="30" t="s">
        <v>525</v>
      </c>
      <c r="C154" s="23"/>
      <c r="D154" s="13"/>
      <c r="E154" s="10" t="str">
        <f>IF(C154="","",IF(C154="Yes","Summarize why the Institution's data is visible in system adminitration modules/tools.",""))</f>
        <v/>
      </c>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row>
    <row r="155" spans="1:256" ht="36" customHeight="1" x14ac:dyDescent="0.2">
      <c r="A155" s="301" t="str">
        <f>IF($C$30="","Database",IF($C$30="Yes","Database - Optional based on QUALIFIER response.","Database"))</f>
        <v>Database</v>
      </c>
      <c r="B155" s="301"/>
      <c r="C155" s="25" t="s">
        <v>13</v>
      </c>
      <c r="D155" s="25" t="s">
        <v>14</v>
      </c>
      <c r="E155" s="7" t="s">
        <v>15</v>
      </c>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row>
    <row r="156" spans="1:256" ht="48" customHeight="1" x14ac:dyDescent="0.2">
      <c r="A156" s="15" t="s">
        <v>283</v>
      </c>
      <c r="B156" s="30" t="s">
        <v>26</v>
      </c>
      <c r="C156" s="12"/>
      <c r="D156" s="13"/>
      <c r="E156" s="10" t="str">
        <f>IF(C156="","",IF(C156="Yes","Describe the type of encryption that is supported.","State plans to support database encryption (in storage) of specified data elements."))</f>
        <v/>
      </c>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row>
    <row r="157" spans="1:256" ht="48" customHeight="1" x14ac:dyDescent="0.2">
      <c r="A157" s="15" t="s">
        <v>284</v>
      </c>
      <c r="B157" s="30" t="s">
        <v>560</v>
      </c>
      <c r="C157" s="12"/>
      <c r="D157" s="13"/>
      <c r="E157" s="10" t="str">
        <f>IF(C157="","",IF(C157="Yes","Describe how encryption is leveraged in your database(s).","Describe plans to implement encryption in your database(s)"))</f>
        <v/>
      </c>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row>
    <row r="158" spans="1:256" ht="36" customHeight="1" x14ac:dyDescent="0.2">
      <c r="A158" s="301" t="str">
        <f>IF($C$30="","Datacenter",IF($C$30="Yes","Datacenter - Optional based on QUALIFIER response.","Datacenter"))</f>
        <v>Datacenter</v>
      </c>
      <c r="B158" s="301"/>
      <c r="C158" s="25" t="s">
        <v>13</v>
      </c>
      <c r="D158" s="25" t="s">
        <v>14</v>
      </c>
      <c r="E158" s="7" t="s">
        <v>15</v>
      </c>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row>
    <row r="159" spans="1:256" ht="49.25" customHeight="1" x14ac:dyDescent="0.2">
      <c r="A159" s="15" t="s">
        <v>285</v>
      </c>
      <c r="B159" s="30" t="s">
        <v>549</v>
      </c>
      <c r="C159" s="12"/>
      <c r="D159" s="13"/>
      <c r="E159" s="10" t="str">
        <f>IF(C159="","",IF(C159="Yes","Provide a brief summary of your data center.","Provide a detailed description of where the Institution's data will reside."))</f>
        <v/>
      </c>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row>
    <row r="160" spans="1:256" ht="48" customHeight="1" x14ac:dyDescent="0.2">
      <c r="A160" s="15" t="s">
        <v>286</v>
      </c>
      <c r="B160" s="30" t="s">
        <v>506</v>
      </c>
      <c r="C160" s="12"/>
      <c r="D160" s="13"/>
      <c r="E160" s="10" t="str">
        <f>IF(C160="","",IF(C160="Yes","Obtain the report if possible and add it to your submission.",""))</f>
        <v/>
      </c>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row>
    <row r="161" spans="1:256" ht="48" customHeight="1" x14ac:dyDescent="0.2">
      <c r="A161" s="15" t="s">
        <v>287</v>
      </c>
      <c r="B161" s="30" t="s">
        <v>3001</v>
      </c>
      <c r="C161" s="12"/>
      <c r="D161" s="13"/>
      <c r="E161" s="10" t="str">
        <f>IF(C161="","",IF(C161="Yes","Describe the on-site staff capabilities.","State any plans to staff data centers 24x7x365."))</f>
        <v/>
      </c>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row>
    <row r="162" spans="1:256" ht="47" customHeight="1" x14ac:dyDescent="0.2">
      <c r="A162" s="15" t="s">
        <v>288</v>
      </c>
      <c r="B162" s="30" t="s">
        <v>27</v>
      </c>
      <c r="C162" s="12"/>
      <c r="D162" s="13"/>
      <c r="E162" s="10" t="str">
        <f>IF(C162="","",IF(C162="Yes","Provide a brief summary of this arrangement.",""))</f>
        <v/>
      </c>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row>
    <row r="163" spans="1:256" ht="47" customHeight="1" x14ac:dyDescent="0.2">
      <c r="A163" s="15" t="s">
        <v>289</v>
      </c>
      <c r="B163" s="30" t="s">
        <v>28</v>
      </c>
      <c r="C163" s="12"/>
      <c r="D163" s="13"/>
      <c r="E163" s="10" t="str">
        <f>IF(C163="","",IF(C163="Yes","Describe your physical barrier strategy.","State plans to separate your servers for others via a physical barrier."))</f>
        <v/>
      </c>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row>
    <row r="164" spans="1:256" ht="48" customHeight="1" x14ac:dyDescent="0.2">
      <c r="A164" s="15" t="s">
        <v>290</v>
      </c>
      <c r="B164" s="30" t="s">
        <v>2653</v>
      </c>
      <c r="C164" s="12"/>
      <c r="D164" s="13"/>
      <c r="E164" s="10" t="str">
        <f>IF(C164="","",IF(C164="Yes","Elaborate on your DCTR-05 response, as needed.","State plans to implement a physical barrier to prevent physical contact with any of your devices."))</f>
        <v/>
      </c>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row>
    <row r="165" spans="1:256" ht="47" customHeight="1" x14ac:dyDescent="0.2">
      <c r="A165" s="15" t="s">
        <v>291</v>
      </c>
      <c r="B165" s="30" t="s">
        <v>30</v>
      </c>
      <c r="C165" s="12"/>
      <c r="D165" s="13"/>
      <c r="E165" s="10" t="s">
        <v>2581</v>
      </c>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row>
    <row r="166" spans="1:256" ht="48" customHeight="1" x14ac:dyDescent="0.2">
      <c r="A166" s="15" t="s">
        <v>292</v>
      </c>
      <c r="B166" s="30" t="s">
        <v>2097</v>
      </c>
      <c r="C166" s="12"/>
      <c r="D166" s="13"/>
      <c r="E166" s="10" t="str">
        <f>IF(C166="","",IF(C166="Yes","State the location of the data center and summarize the strategy for this implementation.",""))</f>
        <v/>
      </c>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row>
    <row r="167" spans="1:256" ht="48" customHeight="1" x14ac:dyDescent="0.2">
      <c r="A167" s="15" t="s">
        <v>293</v>
      </c>
      <c r="B167" s="30" t="s">
        <v>2611</v>
      </c>
      <c r="C167" s="12"/>
      <c r="D167" s="13"/>
      <c r="E167" s="10" t="str">
        <f>IF(C167="","",IF(C167="Yes","Summarize the strategy for removing Institution's data from its Data Zone.",""))</f>
        <v/>
      </c>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row>
    <row r="168" spans="1:256" ht="64.25" customHeight="1" x14ac:dyDescent="0.2">
      <c r="A168" s="15" t="s">
        <v>294</v>
      </c>
      <c r="B168" s="30" t="s">
        <v>2638</v>
      </c>
      <c r="C168" s="299"/>
      <c r="D168" s="299"/>
      <c r="E168" s="10" t="s">
        <v>2582</v>
      </c>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row>
    <row r="169" spans="1:256" ht="54" customHeight="1" x14ac:dyDescent="0.2">
      <c r="A169" s="15" t="s">
        <v>295</v>
      </c>
      <c r="B169" s="30" t="s">
        <v>29</v>
      </c>
      <c r="C169" s="12"/>
      <c r="D169" s="13"/>
      <c r="E169" s="10" t="str">
        <f>IF(C169="","",IF(C169="Yes","State your primary and secondary data center locations. For cloud infrastructures, state the primary and secondary zones.","Decribe any plans to implement a geographically diverse infrastructure."))</f>
        <v/>
      </c>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row>
    <row r="170" spans="1:256" ht="48" customHeight="1" x14ac:dyDescent="0.2">
      <c r="A170" s="15" t="s">
        <v>296</v>
      </c>
      <c r="B170" s="30" t="s">
        <v>2612</v>
      </c>
      <c r="C170" s="12"/>
      <c r="D170" s="13"/>
      <c r="E170" s="10" t="str">
        <f>IF(C170="","",IF(C170="Yes","Summarize details of the contract, where applicable.","State any plans to implement data location elements in future contracts."))</f>
        <v/>
      </c>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row>
    <row r="171" spans="1:256" ht="64.25" customHeight="1" x14ac:dyDescent="0.2">
      <c r="A171" s="15" t="s">
        <v>297</v>
      </c>
      <c r="B171" s="30" t="s">
        <v>105</v>
      </c>
      <c r="C171" s="12"/>
      <c r="D171" s="33"/>
      <c r="E171" s="10" t="s">
        <v>2583</v>
      </c>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row>
    <row r="172" spans="1:256" s="1" customFormat="1" ht="48" customHeight="1" x14ac:dyDescent="0.2">
      <c r="A172" s="15" t="s">
        <v>298</v>
      </c>
      <c r="B172" s="30" t="s">
        <v>468</v>
      </c>
      <c r="C172" s="12"/>
      <c r="D172" s="13"/>
      <c r="E172" s="10" t="str">
        <f>IF(C172="","",IF(C172="Yes","Provide a summary to support your response selection.","Describe any plans to implement a high availability environment for your systems."))</f>
        <v/>
      </c>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row>
    <row r="173" spans="1:256" ht="48" customHeight="1" x14ac:dyDescent="0.2">
      <c r="A173" s="15" t="s">
        <v>299</v>
      </c>
      <c r="B173" s="30" t="s">
        <v>526</v>
      </c>
      <c r="C173" s="12"/>
      <c r="D173" s="13"/>
      <c r="E173" s="10" t="str">
        <f>IF(C173="","",IF(C173="Yes","Provide a detailed description of the implemented strategy. (i.e. batteries, generator)","Provide a brief description."))</f>
        <v/>
      </c>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row>
    <row r="174" spans="1:256" ht="48" customHeight="1" x14ac:dyDescent="0.2">
      <c r="A174" s="15" t="s">
        <v>300</v>
      </c>
      <c r="B174" s="30" t="s">
        <v>2585</v>
      </c>
      <c r="C174" s="12"/>
      <c r="D174" s="13"/>
      <c r="E174" s="10" t="str">
        <f>IF(C174="","",IF(C174="Yes","State how often redundant power strategies are tested and the date of the last successful test.","State plans to implement redundant power testing for your systems."))</f>
        <v/>
      </c>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row>
    <row r="175" spans="1:256" ht="48" customHeight="1" x14ac:dyDescent="0.2">
      <c r="A175" s="15" t="s">
        <v>301</v>
      </c>
      <c r="B175" s="30" t="s">
        <v>527</v>
      </c>
      <c r="C175" s="300"/>
      <c r="D175" s="299"/>
      <c r="E175" s="10" t="s">
        <v>2584</v>
      </c>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row>
    <row r="176" spans="1:256" ht="48" customHeight="1" x14ac:dyDescent="0.2">
      <c r="A176" s="15" t="s">
        <v>302</v>
      </c>
      <c r="B176" s="30" t="s">
        <v>550</v>
      </c>
      <c r="C176" s="300"/>
      <c r="D176" s="299"/>
      <c r="E176" s="10" t="s">
        <v>2628</v>
      </c>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row>
    <row r="177" spans="1:256" ht="48" customHeight="1" x14ac:dyDescent="0.2">
      <c r="A177" s="15" t="s">
        <v>303</v>
      </c>
      <c r="B177" s="30" t="s">
        <v>551</v>
      </c>
      <c r="C177" s="12"/>
      <c r="D177" s="13"/>
      <c r="E177" s="10" t="str">
        <f>IF(C177="","",IF(C177="Yes","Provide a brief description for each datacenter.","State plans to implement diversity of path in your network provider connections."))</f>
        <v/>
      </c>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row>
    <row r="178" spans="1:256" ht="36" customHeight="1" x14ac:dyDescent="0.2">
      <c r="A178" s="301" t="str">
        <f>IF(OR($C$28="No",$C$30="Yes"),"DRP - Respond to as many questions below as possible.","Disaster Recovery Plan")</f>
        <v>Disaster Recovery Plan</v>
      </c>
      <c r="B178" s="301"/>
      <c r="C178" s="25" t="s">
        <v>13</v>
      </c>
      <c r="D178" s="25" t="s">
        <v>14</v>
      </c>
      <c r="E178" s="7" t="s">
        <v>15</v>
      </c>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row>
    <row r="179" spans="1:256" ht="48" customHeight="1" x14ac:dyDescent="0.2">
      <c r="A179" s="15" t="s">
        <v>304</v>
      </c>
      <c r="B179" s="30" t="s">
        <v>552</v>
      </c>
      <c r="C179" s="299"/>
      <c r="D179" s="299"/>
      <c r="E179" s="10" t="s">
        <v>2587</v>
      </c>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row>
    <row r="180" spans="1:256" ht="47" customHeight="1" x14ac:dyDescent="0.2">
      <c r="A180" s="15" t="s">
        <v>305</v>
      </c>
      <c r="B180" s="30" t="s">
        <v>553</v>
      </c>
      <c r="C180" s="12"/>
      <c r="D180" s="13"/>
      <c r="E180" s="10" t="str">
        <f>IF(C180="","",IF(C180="Yes","State the responsible owner, or position title.","State plans to assign an owner responsible of the maintenance and review of the DRP."))</f>
        <v/>
      </c>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row>
    <row r="181" spans="1:256" ht="47" customHeight="1" x14ac:dyDescent="0.2">
      <c r="A181" s="15" t="s">
        <v>306</v>
      </c>
      <c r="B181" s="30" t="s">
        <v>2586</v>
      </c>
      <c r="C181" s="12"/>
      <c r="D181" s="103"/>
      <c r="E181" s="10" t="str">
        <f>IF(C181="","",IF(C181="Yes","Provide DRP with your submission of this fully-populated HECVAT.",""))</f>
        <v/>
      </c>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row>
    <row r="182" spans="1:256" ht="47" customHeight="1" x14ac:dyDescent="0.2">
      <c r="A182" s="15" t="s">
        <v>307</v>
      </c>
      <c r="B182" s="30" t="s">
        <v>2613</v>
      </c>
      <c r="C182" s="12"/>
      <c r="D182" s="13"/>
      <c r="E182" s="10" t="str">
        <f>IF(C182="","",IF(C182="Yes","List all locations outside of the U.S. and provide a brief summary of each.",""))</f>
        <v/>
      </c>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row>
    <row r="183" spans="1:256" ht="47" customHeight="1" x14ac:dyDescent="0.2">
      <c r="A183" s="15" t="s">
        <v>308</v>
      </c>
      <c r="B183" s="30" t="s">
        <v>2589</v>
      </c>
      <c r="C183" s="12"/>
      <c r="D183" s="13"/>
      <c r="E183" s="10" t="str">
        <f>IF(C183="","",IF(C183="Yes","Summarize your disaster recovery strategy including the type of availability your disaster recovery site provides.","Describe your recovery plans if your primary location is unavailable."))</f>
        <v/>
      </c>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row>
    <row r="184" spans="1:256" ht="47" customHeight="1" x14ac:dyDescent="0.2">
      <c r="A184" s="15" t="s">
        <v>309</v>
      </c>
      <c r="B184" s="30" t="s">
        <v>119</v>
      </c>
      <c r="C184" s="12"/>
      <c r="D184" s="13"/>
      <c r="E184" s="10" t="str">
        <f>IF(C184="","",IF(C184="Yes","Summarize your disaster recovery relocation testing strategy.","State plans to implement disaster recovery relocation testing."))</f>
        <v/>
      </c>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row>
    <row r="185" spans="1:256" ht="47" customHeight="1" x14ac:dyDescent="0.2">
      <c r="A185" s="15" t="s">
        <v>310</v>
      </c>
      <c r="B185" s="30" t="s">
        <v>122</v>
      </c>
      <c r="C185" s="12"/>
      <c r="D185" s="13"/>
      <c r="E185" s="10" t="str">
        <f>IF(C185="","",IF(C185="Yes","Summarize your problem/issue escalation plan.","Describe your plans to implement a problem/issue escalation plan in your DRP."))</f>
        <v/>
      </c>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row>
    <row r="186" spans="1:256" ht="47" customHeight="1" x14ac:dyDescent="0.2">
      <c r="A186" s="15" t="s">
        <v>311</v>
      </c>
      <c r="B186" s="30" t="s">
        <v>121</v>
      </c>
      <c r="C186" s="12"/>
      <c r="D186" s="13"/>
      <c r="E186" s="10" t="str">
        <f>IF(C186="","",IF(C186="Yes","Summarize your documented communication plan in your DRP.","Describe your plans to implement a documented communication plan in your DRP."))</f>
        <v/>
      </c>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row>
    <row r="187" spans="1:256" ht="47" customHeight="1" x14ac:dyDescent="0.2">
      <c r="A187" s="15" t="s">
        <v>312</v>
      </c>
      <c r="B187" s="30" t="s">
        <v>507</v>
      </c>
      <c r="C187" s="299"/>
      <c r="D187" s="299"/>
      <c r="E187" s="10" t="s">
        <v>2588</v>
      </c>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row>
    <row r="188" spans="1:256" ht="64.25" customHeight="1" x14ac:dyDescent="0.2">
      <c r="A188" s="15" t="s">
        <v>313</v>
      </c>
      <c r="B188" s="30" t="s">
        <v>904</v>
      </c>
      <c r="C188" s="12"/>
      <c r="D188" s="13"/>
      <c r="E188" s="10" t="str">
        <f>IF(C188="","",IF(C188="Yes","Provide a summary of the results, including actual recovery time.","State the date of your next planned DRP test."))</f>
        <v/>
      </c>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row>
    <row r="189" spans="1:256" ht="64.25" customHeight="1" x14ac:dyDescent="0.2">
      <c r="A189" s="15" t="s">
        <v>314</v>
      </c>
      <c r="B189" s="30" t="s">
        <v>115</v>
      </c>
      <c r="C189" s="12"/>
      <c r="D189" s="13"/>
      <c r="E189" s="10" t="str">
        <f>IF(C189="","",IF(C189="Yes","Summarize your recovery time capabilities observations.","Describe plans to implement appropriate tests to identify actual recovery time capabilities."))</f>
        <v/>
      </c>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row>
    <row r="190" spans="1:256" ht="48" customHeight="1" x14ac:dyDescent="0.2">
      <c r="A190" s="15" t="s">
        <v>315</v>
      </c>
      <c r="B190" s="30" t="s">
        <v>554</v>
      </c>
      <c r="C190" s="12"/>
      <c r="D190" s="13"/>
      <c r="E190" s="10" t="str">
        <f>IF(C190="","",IF(C190="Yes","Summarize your DRP review and update processes and/or procedures.","State plans to implement annual (at a minimum) testing of your DRP."))</f>
        <v/>
      </c>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row>
    <row r="191" spans="1:256" ht="48" customHeight="1" x14ac:dyDescent="0.2">
      <c r="A191" s="15" t="s">
        <v>316</v>
      </c>
      <c r="B191" s="30" t="s">
        <v>475</v>
      </c>
      <c r="C191" s="12"/>
      <c r="D191" s="13"/>
      <c r="E191" s="10" t="str">
        <f>IF(C191="","",IF(C191="Yes","Summarize your cyber insurance strategy.","Descibe any plans to carry cyber-risk insurance in the future."))</f>
        <v/>
      </c>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row>
    <row r="192" spans="1:256" ht="36" customHeight="1" x14ac:dyDescent="0.2">
      <c r="A192" s="301" t="str">
        <f>IF($C$30="","Firewalls, IDS, IPS, and Networking",IF($C$30="Yes","FW/IDPS/Networks - Optional based on QUALIFIER response.","Firewalls, IDS, IPS, and Networking"))</f>
        <v>Firewalls, IDS, IPS, and Networking</v>
      </c>
      <c r="B192" s="301"/>
      <c r="C192" s="25" t="s">
        <v>13</v>
      </c>
      <c r="D192" s="25" t="s">
        <v>14</v>
      </c>
      <c r="E192" s="7" t="s">
        <v>15</v>
      </c>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row>
    <row r="193" spans="1:256" ht="48" customHeight="1" x14ac:dyDescent="0.2">
      <c r="A193" s="15" t="s">
        <v>317</v>
      </c>
      <c r="B193" s="30" t="s">
        <v>33</v>
      </c>
      <c r="C193" s="12"/>
      <c r="D193" s="13"/>
      <c r="E193" s="10" t="str">
        <f>IF(C193="","",IF(C193="Yes","Describe the currently implemented WAF.","Describe compensating controls that protect your web application, if applicable."))</f>
        <v/>
      </c>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row>
    <row r="194" spans="1:256" ht="48" customHeight="1" x14ac:dyDescent="0.2">
      <c r="A194" s="15" t="s">
        <v>318</v>
      </c>
      <c r="B194" s="30" t="s">
        <v>34</v>
      </c>
      <c r="C194" s="12"/>
      <c r="D194" s="13"/>
      <c r="E194" s="10" t="str">
        <f>IF(C194="","",IF(C194="Yes","Describe the currently implemented SPI firewall.","Describe any plans to implement a SPI firewall."))</f>
        <v/>
      </c>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row>
    <row r="195" spans="1:256" ht="48" customHeight="1" x14ac:dyDescent="0.2">
      <c r="A195" s="15" t="s">
        <v>319</v>
      </c>
      <c r="B195" s="30" t="s">
        <v>508</v>
      </c>
      <c r="C195" s="299"/>
      <c r="D195" s="299"/>
      <c r="E195" s="10" t="s">
        <v>2591</v>
      </c>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row>
    <row r="196" spans="1:256" ht="48" customHeight="1" x14ac:dyDescent="0.2">
      <c r="A196" s="15" t="s">
        <v>320</v>
      </c>
      <c r="B196" s="30" t="s">
        <v>509</v>
      </c>
      <c r="C196" s="12"/>
      <c r="D196" s="13"/>
      <c r="E196" s="10" t="str">
        <f>IF(C196="","",IF(C196="Yes","Describe your documented firewall change request policy.","Describe your plans to implement a documented policy for firewall change requests."))</f>
        <v/>
      </c>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row>
    <row r="197" spans="1:256" ht="48" customHeight="1" x14ac:dyDescent="0.2">
      <c r="A197" s="15" t="s">
        <v>321</v>
      </c>
      <c r="B197" s="30" t="s">
        <v>109</v>
      </c>
      <c r="C197" s="12"/>
      <c r="D197" s="13"/>
      <c r="E197" s="10" t="str">
        <f>IF(C197="","",IF(C197="Yes","Describe the currently implemented IDS.","Describe your plan to implement a Intrusion Detection System in your environment."))</f>
        <v/>
      </c>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row>
    <row r="198" spans="1:256" ht="48" customHeight="1" x14ac:dyDescent="0.2">
      <c r="A198" s="15" t="s">
        <v>322</v>
      </c>
      <c r="B198" s="30" t="s">
        <v>110</v>
      </c>
      <c r="C198" s="12"/>
      <c r="D198" s="13"/>
      <c r="E198" s="10" t="str">
        <f>IF(C198="","",IF(C198="Yes","Describe the currently implemented IPS.","Describe your plan to implement a Intrusion Prevention System in your environment."))</f>
        <v/>
      </c>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row>
    <row r="199" spans="1:256" ht="48" customHeight="1" x14ac:dyDescent="0.2">
      <c r="A199" s="15" t="s">
        <v>323</v>
      </c>
      <c r="B199" s="30" t="s">
        <v>128</v>
      </c>
      <c r="C199" s="12"/>
      <c r="D199" s="13"/>
      <c r="E199" s="10" t="str">
        <f>IF(C199="","",IF(C199="Yes","Describe the currently implemented host-based IDS solution(s).","Describe your plan to implement host-based Intrusion Detection System capabilities in your environment."))</f>
        <v/>
      </c>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row>
    <row r="200" spans="1:256" ht="48" customHeight="1" x14ac:dyDescent="0.2">
      <c r="A200" s="15" t="s">
        <v>324</v>
      </c>
      <c r="B200" s="30" t="s">
        <v>129</v>
      </c>
      <c r="C200" s="12"/>
      <c r="D200" s="13"/>
      <c r="E200" s="10" t="str">
        <f>IF(C200="","",IF(C200="Yes","Describe the currently implemented host-based IPS solution(s).","Describe your plan to implement host-based Intrusion Prevention System capabilities in your environment."))</f>
        <v/>
      </c>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row>
    <row r="201" spans="1:256" ht="48" customHeight="1" x14ac:dyDescent="0.2">
      <c r="A201" s="15" t="s">
        <v>325</v>
      </c>
      <c r="B201" s="30" t="s">
        <v>2654</v>
      </c>
      <c r="C201" s="12"/>
      <c r="D201" s="33"/>
      <c r="E201" s="207" t="str">
        <f>IF(C201="","",IF(C201="Yes","Describe your NGPT monitoring strategy.","Describe your intent to implement NGPT monitoring."))</f>
        <v/>
      </c>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row>
    <row r="202" spans="1:256" ht="48" customHeight="1" x14ac:dyDescent="0.2">
      <c r="A202" s="15" t="s">
        <v>326</v>
      </c>
      <c r="B202" s="30" t="s">
        <v>111</v>
      </c>
      <c r="C202" s="12"/>
      <c r="D202" s="13"/>
      <c r="E202" s="10" t="str">
        <f>IF(C202="","",IF(C202="Yes","Provide a brief summary of this activity.","State plans to implement 24x7x365 intrusion monitoring in your environment(s)."))</f>
        <v/>
      </c>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row>
    <row r="203" spans="1:256" ht="48" customHeight="1" x14ac:dyDescent="0.2">
      <c r="A203" s="15" t="s">
        <v>327</v>
      </c>
      <c r="B203" s="30" t="s">
        <v>112</v>
      </c>
      <c r="C203" s="299"/>
      <c r="D203" s="299"/>
      <c r="E203" s="10" t="s">
        <v>3002</v>
      </c>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row>
    <row r="204" spans="1:256" ht="48" customHeight="1" x14ac:dyDescent="0.2">
      <c r="A204" s="15" t="s">
        <v>328</v>
      </c>
      <c r="B204" s="30" t="s">
        <v>2590</v>
      </c>
      <c r="C204" s="12"/>
      <c r="D204" s="13"/>
      <c r="E204" s="10" t="str">
        <f>IF(C204="","",IF(C204="Yes","Describe your current network systems logging strategy.","State plans to implement auditing capabilities for your network, firewall, IDS and/or IPS"))</f>
        <v/>
      </c>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row>
    <row r="205" spans="1:256" ht="36" customHeight="1" x14ac:dyDescent="0.2">
      <c r="A205" s="301" t="str">
        <f>IF(OR($C$25="No",$C$30="Yes"),"Mobile Applications - Optional based on QUALIFIER response.","Mobile Applications")</f>
        <v>Mobile Applications</v>
      </c>
      <c r="B205" s="301"/>
      <c r="C205" s="25" t="s">
        <v>13</v>
      </c>
      <c r="D205" s="25" t="s">
        <v>14</v>
      </c>
      <c r="E205" s="7" t="s">
        <v>15</v>
      </c>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row>
    <row r="206" spans="1:256" ht="48" customHeight="1" x14ac:dyDescent="0.2">
      <c r="A206" s="15" t="s">
        <v>329</v>
      </c>
      <c r="B206" s="30" t="s">
        <v>52</v>
      </c>
      <c r="C206" s="300"/>
      <c r="D206" s="299"/>
      <c r="E206" s="10" t="s">
        <v>2592</v>
      </c>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row>
    <row r="207" spans="1:256" ht="47" customHeight="1" x14ac:dyDescent="0.2">
      <c r="A207" s="15" t="s">
        <v>330</v>
      </c>
      <c r="B207" s="30" t="s">
        <v>510</v>
      </c>
      <c r="C207" s="300"/>
      <c r="D207" s="299"/>
      <c r="E207" s="10" t="s">
        <v>2593</v>
      </c>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row>
    <row r="208" spans="1:256" ht="48" customHeight="1" x14ac:dyDescent="0.2">
      <c r="A208" s="15" t="s">
        <v>331</v>
      </c>
      <c r="B208" s="30" t="s">
        <v>53</v>
      </c>
      <c r="C208" s="12"/>
      <c r="D208" s="13"/>
      <c r="E208" s="10" t="str">
        <f>IF(C208="","",IF(C208="Yes","State the application title as listed within the trusted source.","Decribe how the application is distributed. Also, state any plans to publish the app to a trusted source."))</f>
        <v/>
      </c>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row>
    <row r="209" spans="1:256" ht="48" customHeight="1" x14ac:dyDescent="0.2">
      <c r="A209" s="15" t="s">
        <v>332</v>
      </c>
      <c r="B209" s="30" t="s">
        <v>54</v>
      </c>
      <c r="C209" s="12"/>
      <c r="D209" s="13"/>
      <c r="E209" s="10" t="str">
        <f>IF(C209="","",IF(C209="Yes","Provide a detailed summary for your response.",""))</f>
        <v/>
      </c>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row>
    <row r="210" spans="1:256" ht="48" customHeight="1" x14ac:dyDescent="0.2">
      <c r="A210" s="15" t="s">
        <v>333</v>
      </c>
      <c r="B210" s="30" t="s">
        <v>2594</v>
      </c>
      <c r="C210" s="12"/>
      <c r="D210" s="13"/>
      <c r="E210" s="10" t="str">
        <f>IF(C210="","",IF(C210="Yes","Describe how data is encrypted in transport. (i.e. from system to app)","Summarize why data is not encrypted in transport. (i.e. from system to app)"))</f>
        <v/>
      </c>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row>
    <row r="211" spans="1:256" ht="48" customHeight="1" x14ac:dyDescent="0.2">
      <c r="A211" s="15" t="s">
        <v>334</v>
      </c>
      <c r="B211" s="30" t="s">
        <v>2595</v>
      </c>
      <c r="C211" s="12"/>
      <c r="D211" s="13"/>
      <c r="E211" s="10" t="str">
        <f>IF(C211="","",IF(C211="Yes","Describe how data is encrypted in storage. (i.e. at-rest within the app)","Summarize why data is not encrypted in storage. (i.e. at-rest within the app)"))</f>
        <v/>
      </c>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row>
    <row r="212" spans="1:256" ht="48" customHeight="1" x14ac:dyDescent="0.2">
      <c r="A212" s="15" t="s">
        <v>335</v>
      </c>
      <c r="B212" s="30" t="s">
        <v>55</v>
      </c>
      <c r="C212" s="12"/>
      <c r="D212" s="13"/>
      <c r="E212" s="10" t="str">
        <f>IF(C212="","",IF(C212="Yes","Summarize your system authentication capabilities.","State any plans to support these authentication systems."))</f>
        <v/>
      </c>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row>
    <row r="213" spans="1:256" ht="48" customHeight="1" x14ac:dyDescent="0.2">
      <c r="A213" s="15" t="s">
        <v>336</v>
      </c>
      <c r="B213" s="30" t="s">
        <v>555</v>
      </c>
      <c r="C213" s="12"/>
      <c r="D213" s="13"/>
      <c r="E213" s="10" t="str">
        <f>IF(C213="","",IF(C213="Yes","Summarize any requirements for the Institution to take advantage of these capabilities.",""))</f>
        <v/>
      </c>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row>
    <row r="214" spans="1:256" ht="48" customHeight="1" x14ac:dyDescent="0.2">
      <c r="A214" s="15" t="s">
        <v>337</v>
      </c>
      <c r="B214" s="30" t="s">
        <v>2596</v>
      </c>
      <c r="C214" s="12"/>
      <c r="D214" s="13"/>
      <c r="E214" s="10" t="str">
        <f>IF(C214="","",IF(C214="Yes","Summarize your secure coding practices.","State plans to update your application to adhere to industry secure coding practices."))</f>
        <v/>
      </c>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row>
    <row r="215" spans="1:256" ht="48" customHeight="1" x14ac:dyDescent="0.2">
      <c r="A215" s="15" t="s">
        <v>338</v>
      </c>
      <c r="B215" s="30" t="s">
        <v>56</v>
      </c>
      <c r="C215" s="12"/>
      <c r="D215" s="13"/>
      <c r="E215" s="10" t="str">
        <f>IF(C215="","",IF(C215="Yes","State the party that performed the test and the date it was conducted. Provide test results and mitigation plans, if any.","Describe any plans to implement mobile application vulnerability testing."))</f>
        <v/>
      </c>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row>
    <row r="216" spans="1:256" ht="48" customHeight="1" x14ac:dyDescent="0.2">
      <c r="A216" s="30" t="s">
        <v>556</v>
      </c>
      <c r="B216" s="30" t="s">
        <v>2629</v>
      </c>
      <c r="C216" s="299"/>
      <c r="D216" s="299"/>
      <c r="E216" s="10" t="s">
        <v>2623</v>
      </c>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row>
    <row r="217" spans="1:256" ht="36" customHeight="1" x14ac:dyDescent="0.2">
      <c r="A217" s="301" t="str">
        <f>IF($C$30="","Physical Security",IF($C$30="Yes","Physical Security - Optional based on QUALIFIER response.","Physical Security"))</f>
        <v>Physical Security</v>
      </c>
      <c r="B217" s="301"/>
      <c r="C217" s="25" t="s">
        <v>13</v>
      </c>
      <c r="D217" s="25" t="s">
        <v>14</v>
      </c>
      <c r="E217" s="7" t="s">
        <v>15</v>
      </c>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row>
    <row r="218" spans="1:256" ht="47" customHeight="1" x14ac:dyDescent="0.2">
      <c r="A218" s="15" t="s">
        <v>339</v>
      </c>
      <c r="B218" s="30" t="s">
        <v>2655</v>
      </c>
      <c r="C218" s="12"/>
      <c r="D218" s="33"/>
      <c r="E218" s="207" t="str">
        <f>IF(C218="","",IF(C218="Yes","Provide a copy of your physical security controls and policies along with this document (link or attached).","Describe your intent to implement physical security controls and policies."))</f>
        <v/>
      </c>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row>
    <row r="219" spans="1:256" ht="48" customHeight="1" x14ac:dyDescent="0.2">
      <c r="A219" s="15" t="s">
        <v>340</v>
      </c>
      <c r="B219" s="30" t="s">
        <v>557</v>
      </c>
      <c r="C219" s="12"/>
      <c r="D219" s="13"/>
      <c r="E219" s="10" t="str">
        <f>IF(C219="","",IF(C219="Yes","Provide a detailed summary outlining the security controls implemented to protect the Institution's data.",""))</f>
        <v/>
      </c>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row>
    <row r="220" spans="1:256" ht="48" customHeight="1" x14ac:dyDescent="0.2">
      <c r="A220" s="15" t="s">
        <v>341</v>
      </c>
      <c r="B220" s="30" t="s">
        <v>159</v>
      </c>
      <c r="C220" s="12"/>
      <c r="D220" s="13"/>
      <c r="E220" s="10" t="str">
        <f>IF(C220="","",IF(C220="Yes","State the retention period for security video.","State your plans to retain video monitoring feeds."))</f>
        <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row>
    <row r="221" spans="1:256" ht="48" customHeight="1" x14ac:dyDescent="0.2">
      <c r="A221" s="15" t="s">
        <v>342</v>
      </c>
      <c r="B221" s="30" t="s">
        <v>2597</v>
      </c>
      <c r="C221" s="12"/>
      <c r="D221" s="13"/>
      <c r="E221" s="10" t="str">
        <f>IF(C221="","",IF(C221="Yes","Summarize your video monitoring strategy for datacenter staff.","Describe plans to have video feed(s) monitored."))</f>
        <v/>
      </c>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row>
    <row r="222" spans="1:256" ht="48" customHeight="1" x14ac:dyDescent="0.2">
      <c r="A222" s="15" t="s">
        <v>343</v>
      </c>
      <c r="B222" s="30" t="s">
        <v>38</v>
      </c>
      <c r="C222" s="12"/>
      <c r="D222" s="13"/>
      <c r="E222" s="10" t="str">
        <f>IF(C222="","",IF(C222="Yes","Summarize your process and procedure for the installation and removal of equipment to/from your environment.","Provide a brief summary for your response."))</f>
        <v/>
      </c>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row>
    <row r="223" spans="1:256" ht="36" customHeight="1" x14ac:dyDescent="0.2">
      <c r="A223" s="301" t="str">
        <f>IF($C$30="","Policies, Procedures, and Processes",IF($C$30="Yes","Pol/Pro/Proc - Optional based on QUALIFIER response.","Policies, Procedures, and Processes"))</f>
        <v>Policies, Procedures, and Processes</v>
      </c>
      <c r="B223" s="301"/>
      <c r="C223" s="25" t="s">
        <v>13</v>
      </c>
      <c r="D223" s="25" t="s">
        <v>14</v>
      </c>
      <c r="E223" s="7" t="s">
        <v>15</v>
      </c>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row>
    <row r="224" spans="1:256" ht="83" customHeight="1" x14ac:dyDescent="0.2">
      <c r="A224" s="68" t="s">
        <v>344</v>
      </c>
      <c r="B224" s="30" t="s">
        <v>2656</v>
      </c>
      <c r="C224" s="12"/>
      <c r="D224" s="197"/>
      <c r="E224" s="207" t="str">
        <f>IF(C224="","",IF(C224="Yes","Provide a links to these documents in Additional Information or attach them with your submission. Include the responsible party for your information security program and the size of your security staff.","Provide a brief summary for this response."))</f>
        <v/>
      </c>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row>
    <row r="225" spans="1:256" ht="48" customHeight="1" x14ac:dyDescent="0.2">
      <c r="A225" s="15" t="s">
        <v>345</v>
      </c>
      <c r="B225" s="30" t="s">
        <v>39</v>
      </c>
      <c r="C225" s="12"/>
      <c r="D225" s="13"/>
      <c r="E225" s="10" t="str">
        <f>IF(C225="","",IF(C225="Yes","Summarize your documented patch management process.","State plans to document your patch management process."))</f>
        <v/>
      </c>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row>
    <row r="226" spans="1:256" ht="48" customHeight="1" x14ac:dyDescent="0.2">
      <c r="A226" s="15" t="s">
        <v>346</v>
      </c>
      <c r="B226" s="30" t="s">
        <v>40</v>
      </c>
      <c r="C226" s="12"/>
      <c r="D226" s="13"/>
      <c r="E226" s="10" t="str">
        <f>IF(C226="","",IF(C226="Yes","Summarize any limitations to your accomodation capabilities.","State why you are unable to accommodate encryption requirements using open standards."))</f>
        <v/>
      </c>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row>
    <row r="227" spans="1:256" ht="48" customHeight="1" x14ac:dyDescent="0.2">
      <c r="A227" s="15" t="s">
        <v>347</v>
      </c>
      <c r="B227" s="30" t="s">
        <v>41</v>
      </c>
      <c r="C227" s="12"/>
      <c r="D227" s="13"/>
      <c r="E227" s="10" t="str">
        <f>IF(C227="","",IF(C227="Yes","Provide a brief description of the training provided.","State any scheduled training sessions focused on secure coding techniques."))</f>
        <v/>
      </c>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row>
    <row r="228" spans="1:256" ht="48" customHeight="1" x14ac:dyDescent="0.2">
      <c r="A228" s="15" t="s">
        <v>348</v>
      </c>
      <c r="B228" s="30" t="s">
        <v>42</v>
      </c>
      <c r="C228" s="12"/>
      <c r="D228" s="13"/>
      <c r="E228" s="10" t="str">
        <f>IF(C228="","",IF(C228="Yes","Describe the secure coding techniques used to develop your application.","State plans to update your application code using secure coding techniques."))</f>
        <v/>
      </c>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row>
    <row r="229" spans="1:256" ht="48" customHeight="1" x14ac:dyDescent="0.2">
      <c r="A229" s="15" t="s">
        <v>349</v>
      </c>
      <c r="B229" s="30" t="s">
        <v>2604</v>
      </c>
      <c r="C229" s="12"/>
      <c r="D229" s="13"/>
      <c r="E229" s="10" t="str">
        <f>IF(C229="","",IF(C229="Yes","Provide a list of all tools utilized during static code analysis or static application security testing.","State your plans to implement static code testing practices into your environment."))</f>
        <v/>
      </c>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0" spans="1:256" ht="84" customHeight="1" x14ac:dyDescent="0.2">
      <c r="A230" s="15" t="s">
        <v>350</v>
      </c>
      <c r="B230" s="30" t="s">
        <v>2605</v>
      </c>
      <c r="C230" s="12"/>
      <c r="D230" s="13"/>
      <c r="E230" s="10" t="str">
        <f>IF(C230="","",IF(C230="Yes","Describe testing processes, including but not limited to, development of test plans, personnel involved in the testing process, and authorized individual accountable for approval and certification of test results.","State your plans to implement software testing processes into your environment."))</f>
        <v/>
      </c>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row>
    <row r="231" spans="1:256" ht="48" customHeight="1" x14ac:dyDescent="0.2">
      <c r="A231" s="15" t="s">
        <v>351</v>
      </c>
      <c r="B231" s="30" t="s">
        <v>43</v>
      </c>
      <c r="C231" s="12"/>
      <c r="D231" s="13"/>
      <c r="E231" s="10" t="str">
        <f>IF(C231="","",IF(C231="Yes","Summarize the information security principles designed into the product lifecycle.","Describe why security principles are not designed into the product lifecycle."))</f>
        <v/>
      </c>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row>
    <row r="232" spans="1:256" ht="96" customHeight="1" x14ac:dyDescent="0.2">
      <c r="A232" s="15" t="s">
        <v>352</v>
      </c>
      <c r="B232" s="30" t="s">
        <v>44</v>
      </c>
      <c r="C232" s="12"/>
      <c r="D232" s="13"/>
      <c r="E232" s="10" t="str">
        <f>IF(C232="","",IF(C232="Yes","Describe or provide a reference to your system development life cycle methodology including your environments, version control, and change management (if not already covered in the Change Management section).","Describe any plans to implement a documented SDLC."))</f>
        <v/>
      </c>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row>
    <row r="233" spans="1:256" ht="48" customHeight="1" x14ac:dyDescent="0.2">
      <c r="A233" s="15" t="s">
        <v>353</v>
      </c>
      <c r="B233" s="30" t="s">
        <v>45</v>
      </c>
      <c r="C233" s="12"/>
      <c r="D233" s="13"/>
      <c r="E233" s="10" t="str">
        <f>IF(C233="","",IF(C233="Yes","Summarize your formal incident response plan.","State plans to formalize an incident response plan."))</f>
        <v/>
      </c>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row>
    <row r="234" spans="1:256" ht="48" customHeight="1" x14ac:dyDescent="0.2">
      <c r="A234" s="15" t="s">
        <v>354</v>
      </c>
      <c r="B234" s="30" t="s">
        <v>2606</v>
      </c>
      <c r="C234" s="12"/>
      <c r="D234" s="13"/>
      <c r="E234" s="10" t="str">
        <f>IF(C234="","",IF(C234="Yes","State how quickly the Institution will be notified of a data breach or security incident.","Summarize why you will not comple with applicable breach notification laws."))</f>
        <v/>
      </c>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row>
    <row r="235" spans="1:256" ht="48" customHeight="1" x14ac:dyDescent="0.2">
      <c r="A235" s="15" t="s">
        <v>355</v>
      </c>
      <c r="B235" s="30" t="s">
        <v>558</v>
      </c>
      <c r="C235" s="12"/>
      <c r="D235" s="13"/>
      <c r="E235" s="10" t="str">
        <f>IF(C235="","",IF(C235="Yes","State that you have reviewed the Institution's IT policies with regards to user privacy and data protection.","Summarize why you will not comply with the Institution's IT policy with regards to user privacy and data protection."))</f>
        <v/>
      </c>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row>
    <row r="236" spans="1:256" ht="48" customHeight="1" x14ac:dyDescent="0.2">
      <c r="A236" s="15" t="s">
        <v>356</v>
      </c>
      <c r="B236" s="30" t="s">
        <v>2637</v>
      </c>
      <c r="C236" s="12"/>
      <c r="D236" s="13"/>
      <c r="E236" s="10" t="str">
        <f>IF(C236="","",IF(C236="Yes","","State the country that governs and regulates your company."))</f>
        <v/>
      </c>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row>
    <row r="237" spans="1:256" ht="48" customHeight="1" x14ac:dyDescent="0.2">
      <c r="A237" s="15" t="s">
        <v>357</v>
      </c>
      <c r="B237" s="30" t="s">
        <v>476</v>
      </c>
      <c r="C237" s="12"/>
      <c r="D237" s="13"/>
      <c r="E237" s="10" t="str">
        <f>IF(C237="","",IF(C237="Yes","Summarize your background check practices.","State plans to implement background check elements into your hiring process."))</f>
        <v/>
      </c>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row>
    <row r="238" spans="1:256" ht="65" customHeight="1" x14ac:dyDescent="0.2">
      <c r="A238" s="15" t="s">
        <v>358</v>
      </c>
      <c r="B238" s="30" t="s">
        <v>46</v>
      </c>
      <c r="C238" s="12"/>
      <c r="D238" s="13"/>
      <c r="E238" s="10" t="str">
        <f>IF(C238="","",IF(C238="Yes","Summarize the required agreements and reviewed policies.","Summarize why new employees are not required to accept agreements or review policy."))</f>
        <v/>
      </c>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row>
    <row r="239" spans="1:256" ht="48" customHeight="1" x14ac:dyDescent="0.2">
      <c r="A239" s="15" t="s">
        <v>359</v>
      </c>
      <c r="B239" s="30" t="s">
        <v>2607</v>
      </c>
      <c r="C239" s="12"/>
      <c r="D239" s="13"/>
      <c r="E239" s="10" t="str">
        <f>IF(C239="","",IF(C239="Yes","Provide a reference to your information security policy or submit documentation with this fully-populated HECVAT.","State plans to implement information security policy at your company."))</f>
        <v/>
      </c>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row>
    <row r="240" spans="1:256" ht="48" customHeight="1" x14ac:dyDescent="0.2">
      <c r="A240" s="15" t="s">
        <v>360</v>
      </c>
      <c r="B240" s="30" t="s">
        <v>47</v>
      </c>
      <c r="C240" s="12"/>
      <c r="D240" s="13"/>
      <c r="E240" s="10" t="str">
        <f>IF(C240="","",IF(C240="Yes","Summarize your information security awareness program.","State plans to implement an information security awareness program."))</f>
        <v/>
      </c>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row>
    <row r="241" spans="1:256" ht="64.25" customHeight="1" x14ac:dyDescent="0.2">
      <c r="A241" s="15" t="s">
        <v>361</v>
      </c>
      <c r="B241" s="30" t="s">
        <v>2608</v>
      </c>
      <c r="C241" s="12"/>
      <c r="D241" s="13"/>
      <c r="E241" s="10" t="str">
        <f>IF(C241="","",IF(C241="Yes","Summarize your security awareness training content and state how frequently employees are required to undergo security awareness training.","State plans to make security awareness training mandatory for all employees."))</f>
        <v/>
      </c>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row>
    <row r="242" spans="1:256" ht="48" customHeight="1" x14ac:dyDescent="0.2">
      <c r="A242" s="15" t="s">
        <v>362</v>
      </c>
      <c r="B242" s="30" t="s">
        <v>2609</v>
      </c>
      <c r="C242" s="12"/>
      <c r="D242" s="13"/>
      <c r="E242" s="10" t="str">
        <f>IF(C242="","",IF(C242="Yes","Provide a brief summary and the implement review interval.","Describe plans to implement privileged account access-list reviews to your environment."))</f>
        <v/>
      </c>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row>
    <row r="243" spans="1:256" ht="64.25" customHeight="1" x14ac:dyDescent="0.2">
      <c r="A243" s="15" t="s">
        <v>363</v>
      </c>
      <c r="B243" s="30" t="s">
        <v>2610</v>
      </c>
      <c r="C243" s="12"/>
      <c r="D243" s="13"/>
      <c r="E243" s="10" t="str">
        <f>IF(C243="","",IF(C243="Yes","Summarize your internal audit processes and procedures.","State plans to document and implement internal audit process and procedure in your environment."))</f>
        <v/>
      </c>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row>
    <row r="244" spans="1:256" ht="36" customHeight="1" x14ac:dyDescent="0.2">
      <c r="A244" s="301" t="str">
        <f>IF($C$30="","Product Evaluation",IF($C$30="Yes","Product Evaluation - Optional based on QUALIFIER response.","Product Evaluation"))</f>
        <v>Product Evaluation</v>
      </c>
      <c r="B244" s="301"/>
      <c r="C244" s="25" t="s">
        <v>13</v>
      </c>
      <c r="D244" s="25" t="s">
        <v>14</v>
      </c>
      <c r="E244" s="7" t="s">
        <v>15</v>
      </c>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row>
    <row r="245" spans="1:256" ht="48" customHeight="1" x14ac:dyDescent="0.2">
      <c r="A245" s="15" t="s">
        <v>364</v>
      </c>
      <c r="B245" s="30" t="s">
        <v>48</v>
      </c>
      <c r="C245" s="12"/>
      <c r="D245" s="13"/>
      <c r="E245" s="10" t="str">
        <f>IF(C245="","",IF(C245="Yes","Provide a reference to your customer feedback procedures.","State any plans to incorporate customer feedback into security feature requests."))</f>
        <v/>
      </c>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row>
    <row r="246" spans="1:256" ht="48" customHeight="1" x14ac:dyDescent="0.2">
      <c r="A246" s="15" t="s">
        <v>365</v>
      </c>
      <c r="B246" s="30" t="s">
        <v>528</v>
      </c>
      <c r="C246" s="12"/>
      <c r="D246" s="13"/>
      <c r="E246" s="10" t="str">
        <f>IF(C246="","",IF(C246="Yes","Summarize the scope of your evaluation site(s) and request procedures. Provide references, as needed.","State why an evaluation site cannot be provided to the Institution."))</f>
        <v/>
      </c>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row>
    <row r="247" spans="1:256" ht="36" customHeight="1" x14ac:dyDescent="0.2">
      <c r="A247" s="301" t="str">
        <f>IF($C$30="","Quality Assurance",IF($C$30="Yes","Quality Assurance - Optional based on QUALIFIER response.","Quality Assurance"))</f>
        <v>Quality Assurance</v>
      </c>
      <c r="B247" s="301"/>
      <c r="C247" s="25" t="s">
        <v>13</v>
      </c>
      <c r="D247" s="25" t="s">
        <v>14</v>
      </c>
      <c r="E247" s="7" t="s">
        <v>15</v>
      </c>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row>
    <row r="248" spans="1:256" ht="48" customHeight="1" x14ac:dyDescent="0.2">
      <c r="A248" s="15" t="s">
        <v>366</v>
      </c>
      <c r="B248" s="30" t="s">
        <v>158</v>
      </c>
      <c r="C248" s="299"/>
      <c r="D248" s="299"/>
      <c r="E248" s="10" t="s">
        <v>2598</v>
      </c>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row>
    <row r="249" spans="1:256" ht="48" customHeight="1" x14ac:dyDescent="0.2">
      <c r="A249" s="15" t="s">
        <v>367</v>
      </c>
      <c r="B249" s="30" t="s">
        <v>150</v>
      </c>
      <c r="C249" s="12"/>
      <c r="D249" s="13"/>
      <c r="E249" s="10" t="str">
        <f>IF(C249="","",IF(C249="Yes","If certified, provide supporting documentation.","Describe plans and/or efforts towards certification."))</f>
        <v/>
      </c>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row>
    <row r="250" spans="1:256" ht="53" customHeight="1" x14ac:dyDescent="0.2">
      <c r="A250" s="15" t="s">
        <v>368</v>
      </c>
      <c r="B250" s="30" t="s">
        <v>151</v>
      </c>
      <c r="C250" s="12"/>
      <c r="D250" s="13"/>
      <c r="E250" s="10" t="str">
        <f>IF(C250="","",IF(C250="Yes","Provide references to quality and performance metrics documentation.","State plans to provide quality and performance metrics for this service."))</f>
        <v/>
      </c>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row>
    <row r="251" spans="1:256" ht="53" customHeight="1" x14ac:dyDescent="0.2">
      <c r="A251" s="15" t="s">
        <v>369</v>
      </c>
      <c r="B251" s="30" t="s">
        <v>529</v>
      </c>
      <c r="C251" s="12"/>
      <c r="D251" s="13"/>
      <c r="E251" s="10" t="str">
        <f>IF(C251="","",IF(C251="Yes","Provide the Institution's contact, describe the products and/or services offered, and the total value of the services provided.",""))</f>
        <v/>
      </c>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row>
    <row r="252" spans="1:256" ht="48" customHeight="1" x14ac:dyDescent="0.2">
      <c r="A252" s="15" t="s">
        <v>370</v>
      </c>
      <c r="B252" s="30" t="s">
        <v>152</v>
      </c>
      <c r="C252" s="12"/>
      <c r="D252" s="13"/>
      <c r="E252" s="10" t="str">
        <f>IF(C252="","",IF(C252="Yes","Summarize your informational program.","Describe plans to implement this informational program."))</f>
        <v/>
      </c>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row>
    <row r="253" spans="1:256" ht="36" customHeight="1" x14ac:dyDescent="0.2">
      <c r="A253" s="301" t="str">
        <f>IF($C$30="","Systems Management &amp; Configuration",IF($C$30="Yes","System Mgmt/Config - Optional based on QUALIFIER response.","Systems Management &amp; Configuration"))</f>
        <v>Systems Management &amp; Configuration</v>
      </c>
      <c r="B253" s="301"/>
      <c r="C253" s="25" t="s">
        <v>13</v>
      </c>
      <c r="D253" s="25" t="s">
        <v>14</v>
      </c>
      <c r="E253" s="7" t="s">
        <v>15</v>
      </c>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row>
    <row r="254" spans="1:256" ht="49.25" customHeight="1" x14ac:dyDescent="0.2">
      <c r="A254" s="15" t="s">
        <v>371</v>
      </c>
      <c r="B254" s="30" t="s">
        <v>162</v>
      </c>
      <c r="C254" s="12"/>
      <c r="D254" s="13"/>
      <c r="E254" s="10" t="str">
        <f>IF(C254="","",IF(C254="Yes","Summarize how this is implemented in your environment.","Describe any implemented compensating controls."))</f>
        <v/>
      </c>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row>
    <row r="255" spans="1:256" ht="48" customHeight="1" x14ac:dyDescent="0.2">
      <c r="A255" s="15" t="s">
        <v>372</v>
      </c>
      <c r="B255" s="30" t="s">
        <v>559</v>
      </c>
      <c r="C255" s="12"/>
      <c r="D255" s="13"/>
      <c r="E255" s="10" t="str">
        <f>IF(C255="","",IF(C255="Yes","Summarize your implemented system configuration management precess.","Describe how system configuration management is currently handled in your environment."))</f>
        <v/>
      </c>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row>
    <row r="256" spans="1:256" ht="48" customHeight="1" x14ac:dyDescent="0.2">
      <c r="A256" s="15" t="s">
        <v>373</v>
      </c>
      <c r="B256" s="30" t="s">
        <v>163</v>
      </c>
      <c r="C256" s="12"/>
      <c r="D256" s="13"/>
      <c r="E256" s="10" t="str">
        <f>IF(C256="","",IF(C256="Yes","Summarize your on-site MDM capabilities.","State any plans to implement a MDM platform in your environment."))</f>
        <v/>
      </c>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row>
    <row r="257" spans="1:256" ht="64.25" customHeight="1" x14ac:dyDescent="0.2">
      <c r="A257" s="15" t="s">
        <v>374</v>
      </c>
      <c r="B257" s="30" t="s">
        <v>2657</v>
      </c>
      <c r="C257" s="12"/>
      <c r="D257" s="33"/>
      <c r="E257" s="207" t="str">
        <f>IF(C257="","",IF(C257="Yes","Summarize your systems management and configuration strategy.","Describe your intent to implement a systems management and configuration strategy."))</f>
        <v/>
      </c>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row>
    <row r="258" spans="1:256" ht="36" customHeight="1" x14ac:dyDescent="0.2">
      <c r="A258" s="301" t="str">
        <f>IF($C$30="","Vulnerability Scanning",IF($C$30="Yes","Vulnerability Scanning - Optional based on QUALIFIER response.","Vulnerability Scanning"))</f>
        <v>Vulnerability Scanning</v>
      </c>
      <c r="B258" s="301"/>
      <c r="C258" s="25" t="s">
        <v>13</v>
      </c>
      <c r="D258" s="25" t="s">
        <v>14</v>
      </c>
      <c r="E258" s="7" t="s">
        <v>15</v>
      </c>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row>
    <row r="259" spans="1:256" ht="48" customHeight="1" x14ac:dyDescent="0.2">
      <c r="A259" s="15" t="s">
        <v>375</v>
      </c>
      <c r="B259" s="30" t="s">
        <v>49</v>
      </c>
      <c r="C259" s="12"/>
      <c r="D259" s="13"/>
      <c r="E259" s="10" t="str">
        <f>IF(C259="","",IF(C259="Yes","Decribe your external application vulnerability scanning strategy.","Describe any plans to implement external vulnerability scanning for your applications."))</f>
        <v/>
      </c>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row>
    <row r="260" spans="1:256" ht="48" customHeight="1" x14ac:dyDescent="0.2">
      <c r="A260" s="15" t="s">
        <v>376</v>
      </c>
      <c r="B260" s="30" t="s">
        <v>2630</v>
      </c>
      <c r="C260" s="12"/>
      <c r="D260" s="13"/>
      <c r="E260" s="10" t="str">
        <f>IF(C260="","",IF(C260="Yes","State the date of your most recent application external assessment.","Describe any plans to have application external assessment(s) performed on your systems."))</f>
        <v/>
      </c>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row>
    <row r="261" spans="1:256" ht="65" customHeight="1" x14ac:dyDescent="0.2">
      <c r="A261" s="15" t="s">
        <v>377</v>
      </c>
      <c r="B261" s="30" t="s">
        <v>50</v>
      </c>
      <c r="C261" s="12"/>
      <c r="D261" s="13"/>
      <c r="E261" s="10" t="str">
        <f>IF(C261="","",IF(C261="Yes","Summarize your vulnerability scanning strategy.","Describe plans to implement application vulnerability scanning prior to release."))</f>
        <v/>
      </c>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row>
    <row r="262" spans="1:256" ht="49.25" customHeight="1" x14ac:dyDescent="0.2">
      <c r="A262" s="15" t="s">
        <v>378</v>
      </c>
      <c r="B262" s="30" t="s">
        <v>51</v>
      </c>
      <c r="C262" s="12"/>
      <c r="D262" s="13"/>
      <c r="E262" s="10" t="str">
        <f>IF(C262="","",IF(C262="Yes","Decribe your external system vulnerability scanning strategy.","Describe any plans to implement external vulnerability scanning for your systems."))</f>
        <v/>
      </c>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row>
    <row r="263" spans="1:256" ht="48" customHeight="1" x14ac:dyDescent="0.2">
      <c r="A263" s="15" t="s">
        <v>379</v>
      </c>
      <c r="B263" s="30" t="s">
        <v>2631</v>
      </c>
      <c r="C263" s="12"/>
      <c r="D263" s="13"/>
      <c r="E263" s="10" t="str">
        <f>IF(C263="","",IF(C263="Yes","State the date of your most recent system external assessment.","Describe any plans to have system external assessment(s) performed on your systems."))</f>
        <v/>
      </c>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row>
    <row r="264" spans="1:256" ht="65" customHeight="1" x14ac:dyDescent="0.2">
      <c r="A264" s="15" t="s">
        <v>380</v>
      </c>
      <c r="B264" s="30" t="s">
        <v>449</v>
      </c>
      <c r="C264" s="299"/>
      <c r="D264" s="299"/>
      <c r="E264" s="10" t="s">
        <v>2599</v>
      </c>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row>
    <row r="265" spans="1:256" ht="48" customHeight="1" x14ac:dyDescent="0.2">
      <c r="A265" s="15" t="s">
        <v>381</v>
      </c>
      <c r="B265" s="30" t="s">
        <v>2601</v>
      </c>
      <c r="C265" s="12"/>
      <c r="D265" s="13"/>
      <c r="E265" s="10" t="str">
        <f>IF(C265="","",IF(C265="Yes","Provide a reference to security scan documentation.","Describe why security scan results will not be provided to the Institution."))</f>
        <v/>
      </c>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row>
    <row r="266" spans="1:256" ht="65" customHeight="1" x14ac:dyDescent="0.2">
      <c r="A266" s="15" t="s">
        <v>382</v>
      </c>
      <c r="B266" s="30" t="s">
        <v>450</v>
      </c>
      <c r="C266" s="299"/>
      <c r="D266" s="299"/>
      <c r="E266" s="10" t="s">
        <v>2600</v>
      </c>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row>
    <row r="267" spans="1:256" ht="54" customHeight="1" x14ac:dyDescent="0.2">
      <c r="A267" s="15" t="s">
        <v>383</v>
      </c>
      <c r="B267" s="30" t="s">
        <v>530</v>
      </c>
      <c r="C267" s="12"/>
      <c r="D267" s="13"/>
      <c r="E267" s="10" t="str">
        <f>IF(C267="","",IF(C267="Yes","Provide reference to the process or procedure to setup security testing times and scopes.","Provide a brief summary for your response."))</f>
        <v/>
      </c>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row>
    <row r="268" spans="1:256" ht="36" customHeight="1" x14ac:dyDescent="0.2">
      <c r="A268" s="301" t="str">
        <f>IF(OR($C$24="No",$C$30="Yes"),"HIPAA - Optional based on QUALIFIER response.","HIPAA")</f>
        <v>HIPAA</v>
      </c>
      <c r="B268" s="301"/>
      <c r="C268" s="25" t="s">
        <v>13</v>
      </c>
      <c r="D268" s="25" t="s">
        <v>14</v>
      </c>
      <c r="E268" s="7" t="s">
        <v>15</v>
      </c>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row>
    <row r="269" spans="1:256" ht="65" customHeight="1" x14ac:dyDescent="0.2">
      <c r="A269" s="15" t="s">
        <v>384</v>
      </c>
      <c r="B269" s="30" t="s">
        <v>134</v>
      </c>
      <c r="C269" s="12"/>
      <c r="D269" s="13"/>
      <c r="E269" s="10" t="s">
        <v>2602</v>
      </c>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row>
    <row r="270" spans="1:256" ht="48" customHeight="1" x14ac:dyDescent="0.2">
      <c r="A270" s="15" t="s">
        <v>385</v>
      </c>
      <c r="B270" s="30" t="s">
        <v>135</v>
      </c>
      <c r="C270" s="12"/>
      <c r="D270" s="13"/>
      <c r="E270" s="10" t="s">
        <v>2602</v>
      </c>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row>
    <row r="271" spans="1:256" ht="48" customHeight="1" x14ac:dyDescent="0.2">
      <c r="A271" s="15" t="s">
        <v>386</v>
      </c>
      <c r="B271" s="30" t="s">
        <v>136</v>
      </c>
      <c r="C271" s="12"/>
      <c r="D271" s="13"/>
      <c r="E271" s="10" t="s">
        <v>2602</v>
      </c>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row>
    <row r="272" spans="1:256" ht="48" customHeight="1" x14ac:dyDescent="0.2">
      <c r="A272" s="15" t="s">
        <v>387</v>
      </c>
      <c r="B272" s="30" t="s">
        <v>137</v>
      </c>
      <c r="C272" s="12"/>
      <c r="D272" s="13"/>
      <c r="E272" s="10" t="s">
        <v>2602</v>
      </c>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row>
    <row r="273" spans="1:256" ht="48" customHeight="1" x14ac:dyDescent="0.2">
      <c r="A273" s="15" t="s">
        <v>388</v>
      </c>
      <c r="B273" s="30" t="s">
        <v>138</v>
      </c>
      <c r="C273" s="12"/>
      <c r="D273" s="13"/>
      <c r="E273" s="10" t="s">
        <v>2602</v>
      </c>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row>
    <row r="274" spans="1:256" ht="48" customHeight="1" x14ac:dyDescent="0.2">
      <c r="A274" s="15" t="s">
        <v>389</v>
      </c>
      <c r="B274" s="30" t="s">
        <v>139</v>
      </c>
      <c r="C274" s="12"/>
      <c r="D274" s="13"/>
      <c r="E274" s="10" t="s">
        <v>2602</v>
      </c>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row>
    <row r="275" spans="1:256" ht="48" customHeight="1" x14ac:dyDescent="0.2">
      <c r="A275" s="15" t="s">
        <v>390</v>
      </c>
      <c r="B275" s="30" t="s">
        <v>140</v>
      </c>
      <c r="C275" s="12"/>
      <c r="D275" s="13"/>
      <c r="E275" s="10" t="s">
        <v>2602</v>
      </c>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row>
    <row r="276" spans="1:256" ht="48" customHeight="1" x14ac:dyDescent="0.2">
      <c r="A276" s="15" t="s">
        <v>391</v>
      </c>
      <c r="B276" s="30" t="s">
        <v>141</v>
      </c>
      <c r="C276" s="12"/>
      <c r="D276" s="13"/>
      <c r="E276" s="10" t="s">
        <v>2602</v>
      </c>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row>
    <row r="277" spans="1:256" ht="48" customHeight="1" x14ac:dyDescent="0.2">
      <c r="A277" s="15" t="s">
        <v>392</v>
      </c>
      <c r="B277" s="30" t="s">
        <v>142</v>
      </c>
      <c r="C277" s="12"/>
      <c r="D277" s="13"/>
      <c r="E277" s="10" t="s">
        <v>2602</v>
      </c>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row>
    <row r="278" spans="1:256" ht="48" customHeight="1" x14ac:dyDescent="0.2">
      <c r="A278" s="15" t="s">
        <v>393</v>
      </c>
      <c r="B278" s="30" t="s">
        <v>57</v>
      </c>
      <c r="C278" s="12"/>
      <c r="D278" s="13"/>
      <c r="E278" s="10" t="s">
        <v>2602</v>
      </c>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row>
    <row r="279" spans="1:256" ht="48" customHeight="1" x14ac:dyDescent="0.2">
      <c r="A279" s="15" t="s">
        <v>394</v>
      </c>
      <c r="B279" s="30" t="s">
        <v>58</v>
      </c>
      <c r="C279" s="12"/>
      <c r="D279" s="13"/>
      <c r="E279" s="10" t="s">
        <v>2602</v>
      </c>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row>
    <row r="280" spans="1:256" ht="48" customHeight="1" x14ac:dyDescent="0.2">
      <c r="A280" s="15" t="s">
        <v>395</v>
      </c>
      <c r="B280" s="30" t="s">
        <v>59</v>
      </c>
      <c r="C280" s="12"/>
      <c r="D280" s="13"/>
      <c r="E280" s="10" t="s">
        <v>2602</v>
      </c>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row>
    <row r="281" spans="1:256" ht="48" customHeight="1" x14ac:dyDescent="0.2">
      <c r="A281" s="15" t="s">
        <v>396</v>
      </c>
      <c r="B281" s="30" t="s">
        <v>60</v>
      </c>
      <c r="C281" s="12"/>
      <c r="D281" s="13"/>
      <c r="E281" s="10" t="s">
        <v>2602</v>
      </c>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row>
    <row r="282" spans="1:256" ht="48" customHeight="1" x14ac:dyDescent="0.2">
      <c r="A282" s="15" t="s">
        <v>397</v>
      </c>
      <c r="B282" s="30" t="s">
        <v>61</v>
      </c>
      <c r="C282" s="12"/>
      <c r="D282" s="13"/>
      <c r="E282" s="10" t="s">
        <v>2602</v>
      </c>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row>
    <row r="283" spans="1:256" ht="48" customHeight="1" x14ac:dyDescent="0.2">
      <c r="A283" s="15" t="s">
        <v>398</v>
      </c>
      <c r="B283" s="30" t="s">
        <v>531</v>
      </c>
      <c r="C283" s="12"/>
      <c r="D283" s="13"/>
      <c r="E283" s="10" t="s">
        <v>2602</v>
      </c>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row>
    <row r="284" spans="1:256" ht="48" customHeight="1" x14ac:dyDescent="0.2">
      <c r="A284" s="15" t="s">
        <v>399</v>
      </c>
      <c r="B284" s="30" t="s">
        <v>62</v>
      </c>
      <c r="C284" s="12"/>
      <c r="D284" s="13"/>
      <c r="E284" s="10" t="s">
        <v>2602</v>
      </c>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row>
    <row r="285" spans="1:256" ht="48" customHeight="1" x14ac:dyDescent="0.2">
      <c r="A285" s="15" t="s">
        <v>400</v>
      </c>
      <c r="B285" s="30" t="s">
        <v>511</v>
      </c>
      <c r="C285" s="12"/>
      <c r="D285" s="13"/>
      <c r="E285" s="10" t="s">
        <v>2602</v>
      </c>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row>
    <row r="286" spans="1:256" ht="48" customHeight="1" x14ac:dyDescent="0.2">
      <c r="A286" s="15" t="s">
        <v>401</v>
      </c>
      <c r="B286" s="30" t="s">
        <v>63</v>
      </c>
      <c r="C286" s="12"/>
      <c r="D286" s="13"/>
      <c r="E286" s="10" t="s">
        <v>2602</v>
      </c>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row>
    <row r="287" spans="1:256" ht="47" customHeight="1" x14ac:dyDescent="0.2">
      <c r="A287" s="15" t="s">
        <v>402</v>
      </c>
      <c r="B287" s="30" t="s">
        <v>64</v>
      </c>
      <c r="C287" s="12"/>
      <c r="D287" s="13"/>
      <c r="E287" s="10" t="s">
        <v>2602</v>
      </c>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row>
    <row r="288" spans="1:256" ht="47" customHeight="1" x14ac:dyDescent="0.2">
      <c r="A288" s="15" t="s">
        <v>403</v>
      </c>
      <c r="B288" s="30" t="s">
        <v>70</v>
      </c>
      <c r="C288" s="12"/>
      <c r="D288" s="13"/>
      <c r="E288" s="10" t="s">
        <v>2602</v>
      </c>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row>
    <row r="289" spans="1:256" ht="48" customHeight="1" x14ac:dyDescent="0.2">
      <c r="A289" s="15" t="s">
        <v>404</v>
      </c>
      <c r="B289" s="30" t="s">
        <v>65</v>
      </c>
      <c r="C289" s="12"/>
      <c r="D289" s="13"/>
      <c r="E289" s="10" t="s">
        <v>2602</v>
      </c>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row>
    <row r="290" spans="1:256" ht="65" customHeight="1" x14ac:dyDescent="0.2">
      <c r="A290" s="15" t="s">
        <v>405</v>
      </c>
      <c r="B290" s="30" t="s">
        <v>66</v>
      </c>
      <c r="C290" s="12"/>
      <c r="D290" s="13"/>
      <c r="E290" s="10" t="s">
        <v>2602</v>
      </c>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row>
    <row r="291" spans="1:256" ht="48" customHeight="1" x14ac:dyDescent="0.2">
      <c r="A291" s="15" t="s">
        <v>406</v>
      </c>
      <c r="B291" s="30" t="s">
        <v>67</v>
      </c>
      <c r="C291" s="299"/>
      <c r="D291" s="299"/>
      <c r="E291" s="10" t="s">
        <v>2602</v>
      </c>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row>
    <row r="292" spans="1:256" ht="48" customHeight="1" x14ac:dyDescent="0.2">
      <c r="A292" s="15" t="s">
        <v>407</v>
      </c>
      <c r="B292" s="30" t="s">
        <v>68</v>
      </c>
      <c r="C292" s="12"/>
      <c r="D292" s="13"/>
      <c r="E292" s="10" t="s">
        <v>2602</v>
      </c>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row>
    <row r="293" spans="1:256" ht="48" customHeight="1" x14ac:dyDescent="0.2">
      <c r="A293" s="15" t="s">
        <v>408</v>
      </c>
      <c r="B293" s="30" t="s">
        <v>69</v>
      </c>
      <c r="C293" s="12"/>
      <c r="D293" s="13"/>
      <c r="E293" s="10" t="s">
        <v>2602</v>
      </c>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row>
    <row r="294" spans="1:256" ht="48" customHeight="1" x14ac:dyDescent="0.2">
      <c r="A294" s="15" t="s">
        <v>409</v>
      </c>
      <c r="B294" s="30" t="s">
        <v>143</v>
      </c>
      <c r="C294" s="12"/>
      <c r="D294" s="13"/>
      <c r="E294" s="10" t="s">
        <v>2602</v>
      </c>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row>
    <row r="295" spans="1:256" ht="48" customHeight="1" x14ac:dyDescent="0.2">
      <c r="A295" s="15" t="s">
        <v>410</v>
      </c>
      <c r="B295" s="30" t="s">
        <v>144</v>
      </c>
      <c r="C295" s="12"/>
      <c r="D295" s="13"/>
      <c r="E295" s="10" t="s">
        <v>2602</v>
      </c>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row>
    <row r="296" spans="1:256" ht="48" customHeight="1" x14ac:dyDescent="0.2">
      <c r="A296" s="15" t="s">
        <v>411</v>
      </c>
      <c r="B296" s="30" t="s">
        <v>145</v>
      </c>
      <c r="C296" s="12"/>
      <c r="D296" s="13"/>
      <c r="E296" s="10" t="s">
        <v>2602</v>
      </c>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row>
    <row r="297" spans="1:256" ht="48" customHeight="1" x14ac:dyDescent="0.2">
      <c r="A297" s="15" t="s">
        <v>412</v>
      </c>
      <c r="B297" s="30" t="s">
        <v>71</v>
      </c>
      <c r="C297" s="12"/>
      <c r="D297" s="13"/>
      <c r="E297" s="10" t="s">
        <v>2602</v>
      </c>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row>
    <row r="298" spans="1:256" ht="48" customHeight="1" x14ac:dyDescent="0.2">
      <c r="A298" s="15" t="s">
        <v>413</v>
      </c>
      <c r="B298" s="30" t="s">
        <v>146</v>
      </c>
      <c r="C298" s="12"/>
      <c r="D298" s="13"/>
      <c r="E298" s="10" t="s">
        <v>2602</v>
      </c>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row>
    <row r="299" spans="1:256" ht="47" customHeight="1" x14ac:dyDescent="0.2">
      <c r="A299" s="15" t="s">
        <v>414</v>
      </c>
      <c r="B299" s="30" t="s">
        <v>477</v>
      </c>
      <c r="C299" s="12"/>
      <c r="D299" s="13"/>
      <c r="E299" s="10" t="s">
        <v>2602</v>
      </c>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row>
    <row r="300" spans="1:256" ht="36" customHeight="1" x14ac:dyDescent="0.2">
      <c r="A300" s="301" t="str">
        <f>IF(OR($C$29="No",$C$30="Yes"),"PCI DSS - Optional based on QUALIFIER response.","PCI DSS")</f>
        <v>PCI DSS</v>
      </c>
      <c r="B300" s="301"/>
      <c r="C300" s="25" t="s">
        <v>13</v>
      </c>
      <c r="D300" s="25" t="s">
        <v>14</v>
      </c>
      <c r="E300" s="7" t="s">
        <v>15</v>
      </c>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row>
    <row r="301" spans="1:256" ht="48" customHeight="1" x14ac:dyDescent="0.2">
      <c r="A301" s="15" t="s">
        <v>415</v>
      </c>
      <c r="B301" s="30" t="s">
        <v>2614</v>
      </c>
      <c r="C301" s="12"/>
      <c r="D301" s="13"/>
      <c r="E301" s="10" t="s">
        <v>2603</v>
      </c>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row>
    <row r="302" spans="1:256" ht="48" customHeight="1" x14ac:dyDescent="0.2">
      <c r="A302" s="15" t="s">
        <v>416</v>
      </c>
      <c r="B302" s="30" t="s">
        <v>72</v>
      </c>
      <c r="C302" s="12"/>
      <c r="D302" s="13"/>
      <c r="E302" s="10" t="s">
        <v>2603</v>
      </c>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row>
    <row r="303" spans="1:256" ht="48" customHeight="1" x14ac:dyDescent="0.2">
      <c r="A303" s="15" t="s">
        <v>417</v>
      </c>
      <c r="B303" s="30" t="s">
        <v>73</v>
      </c>
      <c r="C303" s="12"/>
      <c r="D303" s="13"/>
      <c r="E303" s="10" t="s">
        <v>2603</v>
      </c>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row>
    <row r="304" spans="1:256" ht="48" customHeight="1" x14ac:dyDescent="0.2">
      <c r="A304" s="15" t="s">
        <v>418</v>
      </c>
      <c r="B304" s="30" t="s">
        <v>74</v>
      </c>
      <c r="C304" s="12"/>
      <c r="D304" s="13"/>
      <c r="E304" s="10" t="s">
        <v>2603</v>
      </c>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row>
    <row r="305" spans="1:256" ht="48" customHeight="1" x14ac:dyDescent="0.2">
      <c r="A305" s="15" t="s">
        <v>419</v>
      </c>
      <c r="B305" s="30" t="s">
        <v>75</v>
      </c>
      <c r="C305" s="12"/>
      <c r="D305" s="13"/>
      <c r="E305" s="10" t="s">
        <v>2603</v>
      </c>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row>
    <row r="306" spans="1:256" ht="48" customHeight="1" x14ac:dyDescent="0.2">
      <c r="A306" s="15" t="s">
        <v>420</v>
      </c>
      <c r="B306" s="30" t="s">
        <v>76</v>
      </c>
      <c r="C306" s="12"/>
      <c r="D306" s="13"/>
      <c r="E306" s="10" t="s">
        <v>2603</v>
      </c>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row>
    <row r="307" spans="1:256" ht="64.25" customHeight="1" x14ac:dyDescent="0.2">
      <c r="A307" s="15" t="s">
        <v>421</v>
      </c>
      <c r="B307" s="30" t="s">
        <v>77</v>
      </c>
      <c r="C307" s="299"/>
      <c r="D307" s="299"/>
      <c r="E307" s="10" t="s">
        <v>2603</v>
      </c>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row>
    <row r="308" spans="1:256" ht="64.25" customHeight="1" x14ac:dyDescent="0.2">
      <c r="A308" s="15" t="s">
        <v>422</v>
      </c>
      <c r="B308" s="30" t="s">
        <v>78</v>
      </c>
      <c r="C308" s="299"/>
      <c r="D308" s="299"/>
      <c r="E308" s="10" t="s">
        <v>2603</v>
      </c>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row>
    <row r="309" spans="1:256" ht="48" customHeight="1" x14ac:dyDescent="0.2">
      <c r="A309" s="15" t="s">
        <v>423</v>
      </c>
      <c r="B309" s="30" t="s">
        <v>79</v>
      </c>
      <c r="C309" s="12"/>
      <c r="D309" s="13"/>
      <c r="E309" s="10" t="s">
        <v>2603</v>
      </c>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row>
    <row r="310" spans="1:256" ht="48" customHeight="1" x14ac:dyDescent="0.2">
      <c r="A310" s="15" t="s">
        <v>424</v>
      </c>
      <c r="B310" s="30" t="s">
        <v>80</v>
      </c>
      <c r="C310" s="12"/>
      <c r="D310" s="13"/>
      <c r="E310" s="10" t="s">
        <v>2603</v>
      </c>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row>
    <row r="311" spans="1:256" ht="54" customHeight="1" x14ac:dyDescent="0.2">
      <c r="A311" s="15" t="s">
        <v>425</v>
      </c>
      <c r="B311" s="30" t="s">
        <v>2615</v>
      </c>
      <c r="C311" s="12"/>
      <c r="D311" s="13"/>
      <c r="E311" s="10" t="str">
        <f>IF(C311="","",IF(C311="Yes","State the providors name and provide a current copy of their AoC or RoC.","Refer to PCI DSS Security Standards for supplemental guidance in this section"))</f>
        <v/>
      </c>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row>
    <row r="312" spans="1:256" ht="64.25" customHeight="1" x14ac:dyDescent="0.2">
      <c r="A312" s="15" t="s">
        <v>426</v>
      </c>
      <c r="B312" s="30" t="s">
        <v>81</v>
      </c>
      <c r="C312" s="299"/>
      <c r="D312" s="299"/>
      <c r="E312" s="10" t="s">
        <v>2603</v>
      </c>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row>
  </sheetData>
  <mergeCells count="85">
    <mergeCell ref="C203:D203"/>
    <mergeCell ref="C248:D248"/>
    <mergeCell ref="C206:D206"/>
    <mergeCell ref="C207:D207"/>
    <mergeCell ref="C216:D216"/>
    <mergeCell ref="C307:D307"/>
    <mergeCell ref="C312:D312"/>
    <mergeCell ref="C291:D291"/>
    <mergeCell ref="C264:D264"/>
    <mergeCell ref="C266:D266"/>
    <mergeCell ref="C308:D308"/>
    <mergeCell ref="C116:D116"/>
    <mergeCell ref="C142:D142"/>
    <mergeCell ref="C140:D140"/>
    <mergeCell ref="C179:D179"/>
    <mergeCell ref="C176:D176"/>
    <mergeCell ref="C168:D168"/>
    <mergeCell ref="C195:D195"/>
    <mergeCell ref="C133:D133"/>
    <mergeCell ref="C175:D175"/>
    <mergeCell ref="C187:D187"/>
    <mergeCell ref="A38:B38"/>
    <mergeCell ref="A46:B46"/>
    <mergeCell ref="A51:B51"/>
    <mergeCell ref="A61:B61"/>
    <mergeCell ref="C50:D50"/>
    <mergeCell ref="C48:D48"/>
    <mergeCell ref="C49:D49"/>
    <mergeCell ref="C70:D70"/>
    <mergeCell ref="C68:D68"/>
    <mergeCell ref="C47:D47"/>
    <mergeCell ref="C71:D71"/>
    <mergeCell ref="C73:D73"/>
    <mergeCell ref="C78:D78"/>
    <mergeCell ref="A21:E21"/>
    <mergeCell ref="A22:B22"/>
    <mergeCell ref="A23:E23"/>
    <mergeCell ref="A31:B31"/>
    <mergeCell ref="C18:E18"/>
    <mergeCell ref="C12:E12"/>
    <mergeCell ref="C14:E14"/>
    <mergeCell ref="C13:E13"/>
    <mergeCell ref="C76:D76"/>
    <mergeCell ref="A1:D1"/>
    <mergeCell ref="A2:E2"/>
    <mergeCell ref="A4:B4"/>
    <mergeCell ref="A5:E5"/>
    <mergeCell ref="A20:B20"/>
    <mergeCell ref="C3:E3"/>
    <mergeCell ref="C15:E15"/>
    <mergeCell ref="C16:E16"/>
    <mergeCell ref="C19:E19"/>
    <mergeCell ref="C7:E7"/>
    <mergeCell ref="C9:E9"/>
    <mergeCell ref="C10:E10"/>
    <mergeCell ref="C11:E11"/>
    <mergeCell ref="C8:E8"/>
    <mergeCell ref="A6:E6"/>
    <mergeCell ref="A17:E17"/>
    <mergeCell ref="A253:B253"/>
    <mergeCell ref="A258:B258"/>
    <mergeCell ref="A268:B268"/>
    <mergeCell ref="A300:B300"/>
    <mergeCell ref="C39:D39"/>
    <mergeCell ref="C40:D40"/>
    <mergeCell ref="A217:B217"/>
    <mergeCell ref="A223:B223"/>
    <mergeCell ref="A244:B244"/>
    <mergeCell ref="C45:D45"/>
    <mergeCell ref="C77:D77"/>
    <mergeCell ref="A79:B79"/>
    <mergeCell ref="A97:B97"/>
    <mergeCell ref="A110:B110"/>
    <mergeCell ref="A126:B126"/>
    <mergeCell ref="A155:B155"/>
    <mergeCell ref="A247:B247"/>
    <mergeCell ref="A158:B158"/>
    <mergeCell ref="A178:B178"/>
    <mergeCell ref="A192:B192"/>
    <mergeCell ref="A205:B205"/>
    <mergeCell ref="C95:D95"/>
    <mergeCell ref="C96:D96"/>
    <mergeCell ref="C98:D98"/>
    <mergeCell ref="C115:D115"/>
    <mergeCell ref="C112:D112"/>
  </mergeCells>
  <conditionalFormatting sqref="C205:E205 A205">
    <cfRule type="expression" dxfId="2692" priority="191">
      <formula>$C$25="No"</formula>
    </cfRule>
  </conditionalFormatting>
  <conditionalFormatting sqref="C268:E268 A268">
    <cfRule type="expression" dxfId="2691" priority="190">
      <formula>$C$24="No"</formula>
    </cfRule>
  </conditionalFormatting>
  <conditionalFormatting sqref="C46:E46 A46">
    <cfRule type="expression" dxfId="2690" priority="189">
      <formula>$C$26="No"</formula>
    </cfRule>
  </conditionalFormatting>
  <conditionalFormatting sqref="C178:E178 A178">
    <cfRule type="expression" dxfId="2689" priority="188">
      <formula>$C$28="No"</formula>
    </cfRule>
  </conditionalFormatting>
  <conditionalFormatting sqref="A163:E164">
    <cfRule type="expression" dxfId="2688" priority="142">
      <formula>$C$162="No"</formula>
    </cfRule>
  </conditionalFormatting>
  <conditionalFormatting sqref="A168:E168">
    <cfRule type="expression" dxfId="2687" priority="185">
      <formula>$C$167="No"</formula>
    </cfRule>
  </conditionalFormatting>
  <conditionalFormatting sqref="A164:E164">
    <cfRule type="expression" dxfId="2686" priority="141">
      <formula>$C$163="No"</formula>
    </cfRule>
  </conditionalFormatting>
  <conditionalFormatting sqref="A90:B90 D90:E90">
    <cfRule type="expression" dxfId="2685" priority="150">
      <formula>$C$89="No"</formula>
    </cfRule>
  </conditionalFormatting>
  <conditionalFormatting sqref="A92:B93 D92:E93">
    <cfRule type="expression" dxfId="2684" priority="180">
      <formula>$C$91="No"</formula>
    </cfRule>
  </conditionalFormatting>
  <conditionalFormatting sqref="A260:E260">
    <cfRule type="expression" dxfId="2683" priority="123">
      <formula>$C$259="No"</formula>
    </cfRule>
  </conditionalFormatting>
  <conditionalFormatting sqref="A263:E263">
    <cfRule type="expression" dxfId="2682" priority="124">
      <formula>$C$262="No"</formula>
    </cfRule>
  </conditionalFormatting>
  <conditionalFormatting sqref="A213:E213">
    <cfRule type="expression" dxfId="2681" priority="135">
      <formula>$C$212="No"</formula>
    </cfRule>
  </conditionalFormatting>
  <conditionalFormatting sqref="A216:E216">
    <cfRule type="expression" dxfId="2680" priority="136">
      <formula>$C$215="No"</formula>
    </cfRule>
  </conditionalFormatting>
  <conditionalFormatting sqref="C300:E300 A300">
    <cfRule type="expression" dxfId="2679" priority="175">
      <formula>$C$29="No"</formula>
    </cfRule>
  </conditionalFormatting>
  <conditionalFormatting sqref="A293:E293">
    <cfRule type="expression" dxfId="2678" priority="160">
      <formula>$C$292="No"</formula>
    </cfRule>
  </conditionalFormatting>
  <conditionalFormatting sqref="A241:E241">
    <cfRule type="expression" dxfId="2677" priority="132">
      <formula>$C$240="No"</formula>
    </cfRule>
  </conditionalFormatting>
  <conditionalFormatting sqref="A238">
    <cfRule type="expression" dxfId="2676" priority="131">
      <formula>#REF!="No"</formula>
    </cfRule>
  </conditionalFormatting>
  <conditionalFormatting sqref="D58">
    <cfRule type="expression" dxfId="2675" priority="171">
      <formula>$C$57="No"</formula>
    </cfRule>
  </conditionalFormatting>
  <conditionalFormatting sqref="A60:E60">
    <cfRule type="expression" dxfId="2674" priority="170">
      <formula>$C$59="No"</formula>
    </cfRule>
  </conditionalFormatting>
  <conditionalFormatting sqref="C51:E51 A51">
    <cfRule type="expression" dxfId="2673" priority="169">
      <formula>$C$30="No"</formula>
    </cfRule>
  </conditionalFormatting>
  <conditionalFormatting sqref="A138:E138">
    <cfRule type="expression" dxfId="2672" priority="145">
      <formula>$C$137="No"</formula>
    </cfRule>
  </conditionalFormatting>
  <conditionalFormatting sqref="A112:E112">
    <cfRule type="expression" dxfId="2671" priority="146">
      <formula>$C$111="No"</formula>
    </cfRule>
  </conditionalFormatting>
  <conditionalFormatting sqref="A203:E203">
    <cfRule type="expression" dxfId="2670" priority="137">
      <formula>$C$202="No"</formula>
    </cfRule>
  </conditionalFormatting>
  <conditionalFormatting sqref="A184:E184">
    <cfRule type="expression" dxfId="2669" priority="139">
      <formula>$C$183="No"</formula>
    </cfRule>
  </conditionalFormatting>
  <conditionalFormatting sqref="C97:E97 A97">
    <cfRule type="expression" dxfId="2668" priority="162">
      <formula>$C$27="No"</formula>
    </cfRule>
  </conditionalFormatting>
  <conditionalFormatting sqref="A276:B277 D276:D277">
    <cfRule type="expression" dxfId="2667" priority="121">
      <formula>$C$275="No"</formula>
    </cfRule>
  </conditionalFormatting>
  <conditionalFormatting sqref="A277:B277 D277">
    <cfRule type="expression" dxfId="2666" priority="122">
      <formula>$C$276="No"</formula>
    </cfRule>
  </conditionalFormatting>
  <conditionalFormatting sqref="B52:B57 B59:B60">
    <cfRule type="expression" dxfId="2665" priority="159">
      <formula>$C$30="No"</formula>
    </cfRule>
  </conditionalFormatting>
  <conditionalFormatting sqref="B47:B49">
    <cfRule type="expression" dxfId="2664" priority="158">
      <formula>$C$26="No"</formula>
    </cfRule>
  </conditionalFormatting>
  <conditionalFormatting sqref="B50">
    <cfRule type="expression" dxfId="2663" priority="155">
      <formula>$C$26="No"</formula>
    </cfRule>
  </conditionalFormatting>
  <conditionalFormatting sqref="A61:E61 A79:E79 A97:E97 A110:E110 A126:E126 A158:E158 A178:E178 A192:E192 A205:E205 A223:E223 A244:E244 A247:E247 A253:E253 A268:E268 A300:E300">
    <cfRule type="expression" dxfId="2662" priority="154">
      <formula>$C$30="Yes"</formula>
    </cfRule>
  </conditionalFormatting>
  <conditionalFormatting sqref="A155:E155">
    <cfRule type="expression" dxfId="2661" priority="153">
      <formula>$C$30="Yes"</formula>
    </cfRule>
  </conditionalFormatting>
  <conditionalFormatting sqref="A217:E217">
    <cfRule type="expression" dxfId="2660" priority="152">
      <formula>$C$30="Yes"</formula>
    </cfRule>
  </conditionalFormatting>
  <conditionalFormatting sqref="A258:E258">
    <cfRule type="expression" dxfId="2659" priority="151">
      <formula>$C$30="Yes"</formula>
    </cfRule>
  </conditionalFormatting>
  <conditionalFormatting sqref="B85:B94 B68:B71 B111:B112 B124:B125 B237:B243 B136:B154 B76:B78">
    <cfRule type="expression" dxfId="2658" priority="181">
      <formula>$C$30="Yes"</formula>
    </cfRule>
  </conditionalFormatting>
  <conditionalFormatting sqref="B80">
    <cfRule type="expression" dxfId="2657" priority="183">
      <formula>$C$30="Yes"</formula>
    </cfRule>
  </conditionalFormatting>
  <conditionalFormatting sqref="B84">
    <cfRule type="expression" dxfId="2656" priority="113">
      <formula>$C$30="Yes"</formula>
    </cfRule>
  </conditionalFormatting>
  <conditionalFormatting sqref="B114">
    <cfRule type="expression" dxfId="2655" priority="166">
      <formula>$C$30="Yes"</formula>
    </cfRule>
  </conditionalFormatting>
  <conditionalFormatting sqref="B254:B257">
    <cfRule type="expression" dxfId="2654" priority="126">
      <formula>$C$30="Yes"</formula>
    </cfRule>
  </conditionalFormatting>
  <conditionalFormatting sqref="B156:B157">
    <cfRule type="expression" dxfId="2653" priority="144">
      <formula>$C$30="Yes"</formula>
    </cfRule>
  </conditionalFormatting>
  <conditionalFormatting sqref="B245:B246">
    <cfRule type="expression" dxfId="2652" priority="130">
      <formula>$C$30="Yes"</formula>
    </cfRule>
  </conditionalFormatting>
  <conditionalFormatting sqref="B216">
    <cfRule type="expression" dxfId="2651" priority="177">
      <formula>$C$30="Yes"</formula>
    </cfRule>
  </conditionalFormatting>
  <conditionalFormatting sqref="B248:B252">
    <cfRule type="expression" dxfId="2650" priority="128">
      <formula>$C$30="Yes"</formula>
    </cfRule>
  </conditionalFormatting>
  <conditionalFormatting sqref="B81:B83">
    <cfRule type="expression" dxfId="2649" priority="117">
      <formula>$C$30="Yes"</formula>
    </cfRule>
  </conditionalFormatting>
  <conditionalFormatting sqref="B269:B299">
    <cfRule type="expression" dxfId="2648" priority="25">
      <formula>$C$24="No"</formula>
    </cfRule>
    <cfRule type="expression" dxfId="2647" priority="174">
      <formula>$C$30="Yes"</formula>
    </cfRule>
  </conditionalFormatting>
  <conditionalFormatting sqref="B301:B312">
    <cfRule type="expression" dxfId="2646" priority="24">
      <formula>$C$29="No"</formula>
    </cfRule>
    <cfRule type="expression" dxfId="2645" priority="120">
      <formula>$C$30="Yes"</formula>
    </cfRule>
  </conditionalFormatting>
  <conditionalFormatting sqref="A296:E296 A297:A299">
    <cfRule type="expression" dxfId="2644" priority="118">
      <formula>$C$295="No"</formula>
    </cfRule>
  </conditionalFormatting>
  <conditionalFormatting sqref="B127">
    <cfRule type="expression" dxfId="2643" priority="69">
      <formula>$C$30="Yes"</formula>
    </cfRule>
  </conditionalFormatting>
  <conditionalFormatting sqref="B95:B96">
    <cfRule type="expression" dxfId="2642" priority="112">
      <formula>$C$30="Yes"</formula>
    </cfRule>
  </conditionalFormatting>
  <conditionalFormatting sqref="B113">
    <cfRule type="expression" dxfId="2641" priority="110">
      <formula>$C$30="Yes"</formula>
    </cfRule>
  </conditionalFormatting>
  <conditionalFormatting sqref="B72:B75">
    <cfRule type="expression" dxfId="2640" priority="107">
      <formula>$C$30="Yes"</formula>
    </cfRule>
  </conditionalFormatting>
  <conditionalFormatting sqref="B115:B117">
    <cfRule type="expression" dxfId="2639" priority="105">
      <formula>$C$30="Yes"</formula>
    </cfRule>
  </conditionalFormatting>
  <conditionalFormatting sqref="B118:B123">
    <cfRule type="expression" dxfId="2638" priority="104">
      <formula>$C$30="Yes"</formula>
    </cfRule>
  </conditionalFormatting>
  <conditionalFormatting sqref="B128:B131">
    <cfRule type="expression" dxfId="2637" priority="72">
      <formula>$C$30="Yes"</formula>
    </cfRule>
  </conditionalFormatting>
  <conditionalFormatting sqref="B206:B215">
    <cfRule type="expression" dxfId="2636" priority="46">
      <formula>$C$30="Yes"</formula>
    </cfRule>
  </conditionalFormatting>
  <conditionalFormatting sqref="E90">
    <cfRule type="expression" dxfId="2635" priority="79">
      <formula>$C$89="No"</formula>
    </cfRule>
  </conditionalFormatting>
  <conditionalFormatting sqref="E92:E93">
    <cfRule type="expression" dxfId="2634" priority="80">
      <formula>$C$91="No"</formula>
    </cfRule>
  </conditionalFormatting>
  <conditionalFormatting sqref="B132">
    <cfRule type="expression" dxfId="2633" priority="68">
      <formula>$C$30="Yes"</formula>
    </cfRule>
  </conditionalFormatting>
  <conditionalFormatting sqref="B133">
    <cfRule type="expression" dxfId="2632" priority="67">
      <formula>$C$30="Yes"</formula>
    </cfRule>
  </conditionalFormatting>
  <conditionalFormatting sqref="B135">
    <cfRule type="expression" dxfId="2631" priority="66">
      <formula>$C$30="Yes"</formula>
    </cfRule>
  </conditionalFormatting>
  <conditionalFormatting sqref="B134">
    <cfRule type="expression" dxfId="2630" priority="65">
      <formula>$C$30="Yes"</formula>
    </cfRule>
  </conditionalFormatting>
  <conditionalFormatting sqref="E184">
    <cfRule type="expression" dxfId="2629" priority="56">
      <formula>$C$183="No"</formula>
    </cfRule>
  </conditionalFormatting>
  <conditionalFormatting sqref="E189">
    <cfRule type="expression" dxfId="2628" priority="55">
      <formula>$C$188="No"</formula>
    </cfRule>
  </conditionalFormatting>
  <conditionalFormatting sqref="B193:B204">
    <cfRule type="expression" dxfId="2627" priority="52">
      <formula>$C$30="Yes"</formula>
    </cfRule>
  </conditionalFormatting>
  <conditionalFormatting sqref="B218:B222">
    <cfRule type="expression" dxfId="2626" priority="44">
      <formula>$C$30="Yes"</formula>
    </cfRule>
  </conditionalFormatting>
  <conditionalFormatting sqref="B259:B267">
    <cfRule type="expression" dxfId="2625" priority="36">
      <formula>$C$30="Yes"</formula>
    </cfRule>
  </conditionalFormatting>
  <conditionalFormatting sqref="B224:B234">
    <cfRule type="expression" dxfId="2624" priority="26">
      <formula>$C$30="Yes"</formula>
    </cfRule>
  </conditionalFormatting>
  <conditionalFormatting sqref="B206:B216">
    <cfRule type="expression" dxfId="2623" priority="21">
      <formula>$C$25="No"</formula>
    </cfRule>
  </conditionalFormatting>
  <conditionalFormatting sqref="B62:B67">
    <cfRule type="expression" dxfId="2622" priority="18">
      <formula>$C$30="Yes"</formula>
    </cfRule>
  </conditionalFormatting>
  <conditionalFormatting sqref="B98:B109">
    <cfRule type="expression" dxfId="2621" priority="11">
      <formula>$C$27="No"</formula>
    </cfRule>
    <cfRule type="expression" dxfId="2620" priority="17">
      <formula>$C$30="Yes"</formula>
    </cfRule>
  </conditionalFormatting>
  <conditionalFormatting sqref="B159:B177">
    <cfRule type="expression" dxfId="2619" priority="15">
      <formula>$C$30="Yes"</formula>
    </cfRule>
  </conditionalFormatting>
  <conditionalFormatting sqref="B179:B191">
    <cfRule type="expression" dxfId="2618" priority="9">
      <formula>$C$28="No"</formula>
    </cfRule>
    <cfRule type="expression" dxfId="2617" priority="14">
      <formula>$C$30="Yes"</formula>
    </cfRule>
  </conditionalFormatting>
  <conditionalFormatting sqref="C58">
    <cfRule type="expression" dxfId="2616" priority="13">
      <formula>$C$57="No"</formula>
    </cfRule>
  </conditionalFormatting>
  <conditionalFormatting sqref="B58">
    <cfRule type="expression" dxfId="2615" priority="8">
      <formula>$C$30="No"</formula>
    </cfRule>
  </conditionalFormatting>
  <conditionalFormatting sqref="B235:B236">
    <cfRule type="expression" dxfId="2614" priority="7">
      <formula>$C$48="Yes"</formula>
    </cfRule>
  </conditionalFormatting>
  <conditionalFormatting sqref="E201">
    <cfRule type="expression" dxfId="2613" priority="6">
      <formula>#REF!="Yes"</formula>
    </cfRule>
  </conditionalFormatting>
  <conditionalFormatting sqref="E218">
    <cfRule type="expression" dxfId="2612" priority="5">
      <formula>#REF!="Yes"</formula>
    </cfRule>
  </conditionalFormatting>
  <conditionalFormatting sqref="E224">
    <cfRule type="expression" dxfId="2611" priority="4">
      <formula>#REF!="Yes"</formula>
    </cfRule>
  </conditionalFormatting>
  <conditionalFormatting sqref="E257">
    <cfRule type="expression" dxfId="2610" priority="3">
      <formula>#REF!="Yes"</formula>
    </cfRule>
  </conditionalFormatting>
  <conditionalFormatting sqref="C90">
    <cfRule type="expression" dxfId="2609" priority="2">
      <formula>$C$89="No"</formula>
    </cfRule>
  </conditionalFormatting>
  <conditionalFormatting sqref="C92:C93">
    <cfRule type="expression" dxfId="2608" priority="1">
      <formula>$C$91="No"</formula>
    </cfRule>
  </conditionalFormatting>
  <dataValidations count="2">
    <dataValidation type="list" allowBlank="1" showInputMessage="1" showErrorMessage="1" sqref="C24:C30 C32:C37 C41:C44 C249:C252 C204 C99:C109 C62:C67 C74:C75 C72 C69 C301:C306 C111 C113:C114 C117:C125 C141 C127:C132 C134:C139 C193:C194 C309:C311 C169:C170 C52:C60 C177 C188:C191 C180:C186 C292:C299 C196:C202 C208:C215 C224:C243 C218:C222 C245:C246 C265 C267 C259:C263 C254:C257 C269:C290 C143:C154 C80:C94 C166:C167 C156:C157 C159:C164 C172:C174" xr:uid="{00000000-0002-0000-0200-000000000000}">
      <formula1>yes</formula1>
    </dataValidation>
    <dataValidation type="list" allowBlank="1" showInputMessage="1" showErrorMessage="1" sqref="C171" xr:uid="{00000000-0002-0000-0200-000001000000}">
      <formula1>uptime</formula1>
    </dataValidation>
  </dataValidations>
  <pageMargins left="0.75" right="0.75" top="1" bottom="1" header="0.5" footer="0.5"/>
  <pageSetup orientation="landscape" r:id="rId1"/>
  <headerFooter>
    <oddFooter>&amp;L&amp;"Helvetica,Regular"&amp;12&amp;K000000	&amp;P</oddFooter>
  </headerFooter>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3000000}">
          <x14:formula1>
            <xm:f>Values!$A$15:$A$19</xm:f>
          </x14:formula1>
          <xm:sqref>C165</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7030A0"/>
  </sheetPr>
  <dimension ref="A1:IY321"/>
  <sheetViews>
    <sheetView showGridLines="0" zoomScaleNormal="100" zoomScalePageLayoutView="80" workbookViewId="0">
      <selection sqref="A1:I1"/>
    </sheetView>
  </sheetViews>
  <sheetFormatPr baseColWidth="10" defaultColWidth="6.625" defaultRowHeight="15" customHeight="1" x14ac:dyDescent="0.15"/>
  <cols>
    <col min="1" max="1" width="8.25" customWidth="1"/>
    <col min="2" max="2" width="58.5" style="43" customWidth="1"/>
    <col min="3" max="3" width="24.625" style="44" customWidth="1"/>
    <col min="4" max="4" width="24.625" style="45" customWidth="1"/>
    <col min="5" max="5" width="24.625" style="40" customWidth="1"/>
    <col min="6" max="6" width="24.625" style="44" customWidth="1"/>
    <col min="7" max="7" width="24.625" style="24" customWidth="1"/>
    <col min="8" max="8" width="26.625" style="40" customWidth="1"/>
    <col min="9" max="9" width="12" style="3" customWidth="1"/>
    <col min="10" max="259" width="6.625" style="3" customWidth="1"/>
  </cols>
  <sheetData>
    <row r="1" spans="1:259" ht="36" customHeight="1" x14ac:dyDescent="0.15">
      <c r="A1" s="313" t="s">
        <v>2986</v>
      </c>
      <c r="B1" s="314"/>
      <c r="C1" s="314"/>
      <c r="D1" s="314"/>
      <c r="E1" s="314"/>
      <c r="F1" s="314"/>
      <c r="G1" s="314"/>
      <c r="H1" s="314"/>
      <c r="I1" s="315"/>
    </row>
    <row r="2" spans="1:259" ht="24" customHeight="1" x14ac:dyDescent="0.15">
      <c r="A2" s="298" t="s">
        <v>97</v>
      </c>
      <c r="B2" s="298"/>
      <c r="C2" s="298"/>
      <c r="D2" s="298"/>
      <c r="E2" s="298"/>
      <c r="F2" s="298"/>
      <c r="G2" s="298"/>
      <c r="H2" s="298"/>
      <c r="I2" s="172"/>
    </row>
    <row r="3" spans="1:259" s="136" customFormat="1" ht="2" customHeight="1" x14ac:dyDescent="0.15">
      <c r="A3" s="139"/>
      <c r="B3" s="139"/>
      <c r="C3" s="139"/>
      <c r="D3" s="139"/>
      <c r="E3" s="139"/>
      <c r="F3" s="139"/>
      <c r="G3" s="139"/>
      <c r="H3" s="139"/>
      <c r="I3" s="172"/>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row>
    <row r="4" spans="1:259" s="136" customFormat="1" ht="2" customHeight="1" x14ac:dyDescent="0.15">
      <c r="A4" s="139"/>
      <c r="B4" s="139"/>
      <c r="C4" s="139"/>
      <c r="D4" s="139"/>
      <c r="E4" s="139"/>
      <c r="F4" s="139"/>
      <c r="G4" s="139"/>
      <c r="H4" s="139"/>
      <c r="I4" s="172"/>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row>
    <row r="5" spans="1:259" s="136" customFormat="1" ht="2" customHeight="1" x14ac:dyDescent="0.15">
      <c r="A5" s="139"/>
      <c r="B5" s="139"/>
      <c r="C5" s="139"/>
      <c r="D5" s="139"/>
      <c r="E5" s="139"/>
      <c r="F5" s="139"/>
      <c r="G5" s="139"/>
      <c r="H5" s="139"/>
      <c r="I5" s="172"/>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row>
    <row r="6" spans="1:259" s="136" customFormat="1" ht="2" customHeight="1" x14ac:dyDescent="0.15">
      <c r="A6" s="139"/>
      <c r="B6" s="139"/>
      <c r="C6" s="139"/>
      <c r="D6" s="139"/>
      <c r="E6" s="139"/>
      <c r="F6" s="139"/>
      <c r="G6" s="139"/>
      <c r="H6" s="139"/>
      <c r="I6" s="172"/>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row>
    <row r="7" spans="1:259" s="136" customFormat="1" ht="2" customHeight="1" x14ac:dyDescent="0.15">
      <c r="A7" s="139"/>
      <c r="B7" s="139"/>
      <c r="C7" s="139"/>
      <c r="D7" s="139"/>
      <c r="E7" s="139"/>
      <c r="F7" s="139"/>
      <c r="G7" s="139"/>
      <c r="H7" s="139"/>
      <c r="I7" s="172"/>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row>
    <row r="8" spans="1:259" s="136" customFormat="1" ht="2" customHeight="1" x14ac:dyDescent="0.15">
      <c r="A8" s="139"/>
      <c r="B8" s="139"/>
      <c r="C8" s="139"/>
      <c r="D8" s="139"/>
      <c r="E8" s="139"/>
      <c r="F8" s="139"/>
      <c r="G8" s="139"/>
      <c r="H8" s="139"/>
      <c r="I8" s="172"/>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row>
    <row r="9" spans="1:259" s="136" customFormat="1" ht="2" customHeight="1" x14ac:dyDescent="0.15">
      <c r="A9" s="139"/>
      <c r="B9" s="139"/>
      <c r="C9" s="139"/>
      <c r="D9" s="139"/>
      <c r="E9" s="139"/>
      <c r="F9" s="139"/>
      <c r="G9" s="139"/>
      <c r="H9" s="139"/>
      <c r="I9" s="172"/>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row>
    <row r="10" spans="1:259" s="136" customFormat="1" ht="2" customHeight="1" x14ac:dyDescent="0.15">
      <c r="A10" s="139"/>
      <c r="B10" s="139"/>
      <c r="C10" s="139"/>
      <c r="D10" s="139"/>
      <c r="E10" s="139"/>
      <c r="F10" s="139"/>
      <c r="G10" s="139"/>
      <c r="H10" s="139"/>
      <c r="I10" s="172"/>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row>
    <row r="11" spans="1:259" s="136" customFormat="1" ht="2" customHeight="1" x14ac:dyDescent="0.15">
      <c r="A11" s="139"/>
      <c r="B11" s="139"/>
      <c r="C11" s="139"/>
      <c r="D11" s="139"/>
      <c r="E11" s="139"/>
      <c r="F11" s="139"/>
      <c r="G11" s="139"/>
      <c r="H11" s="139"/>
      <c r="I11" s="172"/>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row>
    <row r="12" spans="1:259" s="136" customFormat="1" ht="2" customHeight="1" x14ac:dyDescent="0.15">
      <c r="A12" s="268"/>
      <c r="B12" s="268"/>
      <c r="C12" s="268"/>
      <c r="D12" s="268"/>
      <c r="E12" s="268"/>
      <c r="F12" s="268"/>
      <c r="G12" s="268"/>
      <c r="H12" s="268"/>
      <c r="I12" s="172"/>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row>
    <row r="13" spans="1:259" s="136" customFormat="1" ht="2" customHeight="1" x14ac:dyDescent="0.15">
      <c r="A13" s="268"/>
      <c r="B13" s="268"/>
      <c r="C13" s="268"/>
      <c r="D13" s="268"/>
      <c r="E13" s="268"/>
      <c r="F13" s="268"/>
      <c r="G13" s="268"/>
      <c r="H13" s="268"/>
      <c r="I13" s="172"/>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row>
    <row r="14" spans="1:259" s="136" customFormat="1" ht="2" customHeight="1" x14ac:dyDescent="0.15">
      <c r="A14" s="268"/>
      <c r="B14" s="268"/>
      <c r="C14" s="268"/>
      <c r="D14" s="268"/>
      <c r="E14" s="268"/>
      <c r="F14" s="268"/>
      <c r="G14" s="268"/>
      <c r="H14" s="268"/>
      <c r="I14" s="172"/>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row>
    <row r="15" spans="1:259" s="136" customFormat="1" ht="2" customHeight="1" x14ac:dyDescent="0.15">
      <c r="A15" s="268"/>
      <c r="B15" s="268"/>
      <c r="C15" s="268"/>
      <c r="D15" s="268"/>
      <c r="E15" s="268"/>
      <c r="F15" s="268"/>
      <c r="G15" s="268"/>
      <c r="H15" s="268"/>
      <c r="I15" s="172"/>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row>
    <row r="16" spans="1:259" s="136" customFormat="1" ht="2" customHeight="1" x14ac:dyDescent="0.15">
      <c r="A16" s="268"/>
      <c r="B16" s="268"/>
      <c r="C16" s="268"/>
      <c r="D16" s="268"/>
      <c r="E16" s="268"/>
      <c r="F16" s="268"/>
      <c r="G16" s="268"/>
      <c r="H16" s="268"/>
      <c r="I16" s="172"/>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row>
    <row r="17" spans="1:259" s="136" customFormat="1" ht="2" customHeight="1" x14ac:dyDescent="0.15">
      <c r="A17" s="268"/>
      <c r="B17" s="268"/>
      <c r="C17" s="268"/>
      <c r="D17" s="268"/>
      <c r="E17" s="268"/>
      <c r="F17" s="268"/>
      <c r="G17" s="268"/>
      <c r="H17" s="268"/>
      <c r="I17" s="172"/>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row>
    <row r="18" spans="1:259" s="136" customFormat="1" ht="2" customHeight="1" x14ac:dyDescent="0.15">
      <c r="A18" s="268"/>
      <c r="B18" s="268"/>
      <c r="C18" s="268"/>
      <c r="D18" s="268"/>
      <c r="E18" s="268"/>
      <c r="F18" s="268"/>
      <c r="G18" s="268"/>
      <c r="H18" s="268"/>
      <c r="I18" s="172"/>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row>
    <row r="19" spans="1:259" s="136" customFormat="1" ht="2" customHeight="1" x14ac:dyDescent="0.15">
      <c r="A19" s="268"/>
      <c r="B19" s="268"/>
      <c r="C19" s="268"/>
      <c r="D19" s="268"/>
      <c r="E19" s="268"/>
      <c r="F19" s="268"/>
      <c r="G19" s="268"/>
      <c r="H19" s="268"/>
      <c r="I19" s="172"/>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row>
    <row r="20" spans="1:259" s="136" customFormat="1" ht="2" customHeight="1" x14ac:dyDescent="0.15">
      <c r="A20" s="139"/>
      <c r="B20" s="139"/>
      <c r="C20" s="139"/>
      <c r="D20" s="139"/>
      <c r="E20" s="139"/>
      <c r="F20" s="139"/>
      <c r="G20" s="139"/>
      <c r="H20" s="139"/>
      <c r="I20" s="172"/>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row>
    <row r="21" spans="1:259" s="136" customFormat="1" ht="2" customHeight="1" x14ac:dyDescent="0.15">
      <c r="A21" s="139"/>
      <c r="B21" s="139"/>
      <c r="C21" s="139"/>
      <c r="D21" s="139"/>
      <c r="E21" s="139"/>
      <c r="F21" s="139"/>
      <c r="G21" s="139"/>
      <c r="H21" s="139"/>
      <c r="I21" s="172"/>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row>
    <row r="22" spans="1:259" s="35" customFormat="1" ht="36" customHeight="1" x14ac:dyDescent="0.15">
      <c r="A22" s="301" t="s">
        <v>12</v>
      </c>
      <c r="B22" s="301"/>
      <c r="C22" s="36" t="s">
        <v>562</v>
      </c>
      <c r="D22" s="36" t="s">
        <v>563</v>
      </c>
      <c r="E22" s="36" t="s">
        <v>889</v>
      </c>
      <c r="F22" s="36" t="s">
        <v>566</v>
      </c>
      <c r="G22" s="25" t="s">
        <v>565</v>
      </c>
      <c r="H22" s="36" t="s">
        <v>564</v>
      </c>
      <c r="I22" s="173" t="s">
        <v>2046</v>
      </c>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c r="IG22" s="34"/>
      <c r="IH22" s="34"/>
      <c r="II22" s="34"/>
      <c r="IJ22" s="34"/>
      <c r="IK22" s="34"/>
      <c r="IL22" s="34"/>
      <c r="IM22" s="34"/>
      <c r="IN22" s="34"/>
      <c r="IO22" s="34"/>
      <c r="IP22" s="34"/>
      <c r="IQ22" s="34"/>
      <c r="IR22" s="34"/>
      <c r="IS22" s="34"/>
      <c r="IT22" s="34"/>
      <c r="IU22" s="34"/>
      <c r="IV22" s="34"/>
      <c r="IW22" s="34"/>
      <c r="IX22" s="34"/>
      <c r="IY22" s="34"/>
    </row>
    <row r="23" spans="1:259" s="188" customFormat="1" ht="17" customHeight="1" x14ac:dyDescent="0.15">
      <c r="A23" s="183"/>
      <c r="B23" s="183"/>
      <c r="C23" s="184"/>
      <c r="D23" s="184"/>
      <c r="E23" s="184"/>
      <c r="F23" s="184"/>
      <c r="G23" s="185"/>
      <c r="H23" s="184"/>
      <c r="I23" s="186"/>
      <c r="J23" s="187"/>
      <c r="K23" s="187"/>
      <c r="L23" s="187"/>
      <c r="M23" s="187"/>
      <c r="N23" s="187"/>
      <c r="O23" s="187"/>
      <c r="P23" s="187"/>
      <c r="Q23" s="187"/>
      <c r="R23" s="187"/>
      <c r="S23" s="187"/>
      <c r="T23" s="187"/>
      <c r="U23" s="187"/>
      <c r="V23" s="187"/>
      <c r="W23" s="187"/>
      <c r="X23" s="187"/>
      <c r="Y23" s="187"/>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187"/>
      <c r="BA23" s="187"/>
      <c r="BB23" s="187"/>
      <c r="BC23" s="187"/>
      <c r="BD23" s="187"/>
      <c r="BE23" s="187"/>
      <c r="BF23" s="187"/>
      <c r="BG23" s="187"/>
      <c r="BH23" s="187"/>
      <c r="BI23" s="187"/>
      <c r="BJ23" s="187"/>
      <c r="BK23" s="187"/>
      <c r="BL23" s="187"/>
      <c r="BM23" s="187"/>
      <c r="BN23" s="187"/>
      <c r="BO23" s="187"/>
      <c r="BP23" s="187"/>
      <c r="BQ23" s="187"/>
      <c r="BR23" s="187"/>
      <c r="BS23" s="187"/>
      <c r="BT23" s="187"/>
      <c r="BU23" s="187"/>
      <c r="BV23" s="187"/>
      <c r="BW23" s="187"/>
      <c r="BX23" s="187"/>
      <c r="BY23" s="187"/>
      <c r="BZ23" s="187"/>
      <c r="CA23" s="187"/>
      <c r="CB23" s="187"/>
      <c r="CC23" s="187"/>
      <c r="CD23" s="187"/>
      <c r="CE23" s="187"/>
      <c r="CF23" s="187"/>
      <c r="CG23" s="187"/>
      <c r="CH23" s="187"/>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7"/>
      <c r="DG23" s="187"/>
      <c r="DH23" s="187"/>
      <c r="DI23" s="187"/>
      <c r="DJ23" s="187"/>
      <c r="DK23" s="187"/>
      <c r="DL23" s="187"/>
      <c r="DM23" s="187"/>
      <c r="DN23" s="187"/>
      <c r="DO23" s="187"/>
      <c r="DP23" s="187"/>
      <c r="DQ23" s="187"/>
      <c r="DR23" s="187"/>
      <c r="DS23" s="187"/>
      <c r="DT23" s="187"/>
      <c r="DU23" s="187"/>
      <c r="DV23" s="187"/>
      <c r="DW23" s="187"/>
      <c r="DX23" s="187"/>
      <c r="DY23" s="187"/>
      <c r="DZ23" s="187"/>
      <c r="EA23" s="187"/>
      <c r="EB23" s="187"/>
      <c r="EC23" s="187"/>
      <c r="ED23" s="187"/>
      <c r="EE23" s="187"/>
      <c r="EF23" s="187"/>
      <c r="EG23" s="187"/>
      <c r="EH23" s="187"/>
      <c r="EI23" s="187"/>
      <c r="EJ23" s="187"/>
      <c r="EK23" s="187"/>
      <c r="EL23" s="187"/>
      <c r="EM23" s="187"/>
      <c r="EN23" s="187"/>
      <c r="EO23" s="187"/>
      <c r="EP23" s="187"/>
      <c r="EQ23" s="187"/>
      <c r="ER23" s="187"/>
      <c r="ES23" s="187"/>
      <c r="ET23" s="187"/>
      <c r="EU23" s="187"/>
      <c r="EV23" s="187"/>
      <c r="EW23" s="187"/>
      <c r="EX23" s="187"/>
      <c r="EY23" s="187"/>
      <c r="EZ23" s="187"/>
      <c r="FA23" s="187"/>
      <c r="FB23" s="187"/>
      <c r="FC23" s="187"/>
      <c r="FD23" s="187"/>
      <c r="FE23" s="187"/>
      <c r="FF23" s="187"/>
      <c r="FG23" s="187"/>
      <c r="FH23" s="187"/>
      <c r="FI23" s="187"/>
      <c r="FJ23" s="187"/>
      <c r="FK23" s="187"/>
      <c r="FL23" s="187"/>
      <c r="FM23" s="187"/>
      <c r="FN23" s="187"/>
      <c r="FO23" s="187"/>
      <c r="FP23" s="187"/>
      <c r="FQ23" s="187"/>
      <c r="FR23" s="187"/>
      <c r="FS23" s="187"/>
      <c r="FT23" s="187"/>
      <c r="FU23" s="187"/>
      <c r="FV23" s="187"/>
      <c r="FW23" s="187"/>
      <c r="FX23" s="187"/>
      <c r="FY23" s="187"/>
      <c r="FZ23" s="187"/>
      <c r="GA23" s="187"/>
      <c r="GB23" s="187"/>
      <c r="GC23" s="187"/>
      <c r="GD23" s="187"/>
      <c r="GE23" s="187"/>
      <c r="GF23" s="187"/>
      <c r="GG23" s="187"/>
      <c r="GH23" s="187"/>
      <c r="GI23" s="187"/>
      <c r="GJ23" s="187"/>
      <c r="GK23" s="187"/>
      <c r="GL23" s="187"/>
      <c r="GM23" s="187"/>
      <c r="GN23" s="187"/>
      <c r="GO23" s="187"/>
      <c r="GP23" s="187"/>
      <c r="GQ23" s="187"/>
      <c r="GR23" s="187"/>
      <c r="GS23" s="187"/>
      <c r="GT23" s="187"/>
      <c r="GU23" s="187"/>
      <c r="GV23" s="187"/>
      <c r="GW23" s="187"/>
      <c r="GX23" s="187"/>
      <c r="GY23" s="187"/>
      <c r="GZ23" s="187"/>
      <c r="HA23" s="187"/>
      <c r="HB23" s="187"/>
      <c r="HC23" s="187"/>
      <c r="HD23" s="187"/>
      <c r="HE23" s="187"/>
      <c r="HF23" s="187"/>
      <c r="HG23" s="187"/>
      <c r="HH23" s="187"/>
      <c r="HI23" s="187"/>
      <c r="HJ23" s="187"/>
      <c r="HK23" s="187"/>
      <c r="HL23" s="187"/>
      <c r="HM23" s="187"/>
      <c r="HN23" s="187"/>
      <c r="HO23" s="187"/>
      <c r="HP23" s="187"/>
      <c r="HQ23" s="187"/>
      <c r="HR23" s="187"/>
      <c r="HS23" s="187"/>
      <c r="HT23" s="187"/>
      <c r="HU23" s="187"/>
      <c r="HV23" s="187"/>
      <c r="HW23" s="187"/>
      <c r="HX23" s="187"/>
      <c r="HY23" s="187"/>
      <c r="HZ23" s="187"/>
      <c r="IA23" s="187"/>
      <c r="IB23" s="187"/>
      <c r="IC23" s="187"/>
      <c r="ID23" s="187"/>
      <c r="IE23" s="187"/>
      <c r="IF23" s="187"/>
      <c r="IG23" s="187"/>
      <c r="IH23" s="187"/>
      <c r="II23" s="187"/>
      <c r="IJ23" s="187"/>
      <c r="IK23" s="187"/>
      <c r="IL23" s="187"/>
      <c r="IM23" s="187"/>
      <c r="IN23" s="187"/>
      <c r="IO23" s="187"/>
      <c r="IP23" s="187"/>
      <c r="IQ23" s="187"/>
      <c r="IR23" s="187"/>
      <c r="IS23" s="187"/>
      <c r="IT23" s="187"/>
      <c r="IU23" s="187"/>
      <c r="IV23" s="187"/>
      <c r="IW23" s="187"/>
      <c r="IX23" s="187"/>
      <c r="IY23" s="187"/>
    </row>
    <row r="24" spans="1:259" ht="48" customHeight="1" x14ac:dyDescent="0.15">
      <c r="A24" s="15" t="s">
        <v>165</v>
      </c>
      <c r="B24" s="30" t="str">
        <f>VLOOKUP(A24,'HECVAT - Full'!A$24:B$312,2,FALSE)</f>
        <v>Does your product process protected health information (PHI) or any data covered by the Health Insurance Portability and Accountability Act?</v>
      </c>
      <c r="C24" s="37" t="s">
        <v>569</v>
      </c>
      <c r="D24" s="37" t="s">
        <v>616</v>
      </c>
      <c r="E24" s="37" t="s">
        <v>617</v>
      </c>
      <c r="F24" s="37" t="s">
        <v>698</v>
      </c>
      <c r="G24" s="46" t="s">
        <v>698</v>
      </c>
      <c r="H24" s="37" t="s">
        <v>819</v>
      </c>
      <c r="I24" s="38"/>
    </row>
    <row r="25" spans="1:259" ht="48" customHeight="1" x14ac:dyDescent="0.15">
      <c r="A25" s="15" t="s">
        <v>166</v>
      </c>
      <c r="B25" s="30" t="str">
        <f>VLOOKUP(A25,'HECVAT - Full'!A$24:B$312,2,FALSE)</f>
        <v>Does the vended product host/support a mobile application? (e.g. app)</v>
      </c>
      <c r="C25" s="37" t="s">
        <v>570</v>
      </c>
      <c r="D25" s="38"/>
      <c r="E25" s="38"/>
      <c r="F25" s="38"/>
      <c r="G25" s="47"/>
      <c r="H25" s="37" t="s">
        <v>820</v>
      </c>
      <c r="I25" s="38"/>
    </row>
    <row r="26" spans="1:259" ht="48" customHeight="1" x14ac:dyDescent="0.15">
      <c r="A26" s="15" t="s">
        <v>167</v>
      </c>
      <c r="B26" s="30" t="str">
        <f>VLOOKUP(A26,'HECVAT - Full'!A$24:B$312,2,FALSE)</f>
        <v>Will institution data be shared with or hosted by any third parties? (e.g. any entity not wholly-owned by your company is considered a third-party)</v>
      </c>
      <c r="C26" s="37" t="s">
        <v>569</v>
      </c>
      <c r="D26" s="38"/>
      <c r="E26" s="38"/>
      <c r="F26" s="37" t="s">
        <v>699</v>
      </c>
      <c r="G26" s="46" t="s">
        <v>699</v>
      </c>
      <c r="H26" s="38"/>
      <c r="I26" s="37">
        <v>12.8</v>
      </c>
    </row>
    <row r="27" spans="1:259" ht="48" customHeight="1" x14ac:dyDescent="0.15">
      <c r="A27" s="15" t="s">
        <v>168</v>
      </c>
      <c r="B27" s="30" t="str">
        <f>VLOOKUP(A27,'HECVAT - Full'!A$24:B$312,2,FALSE)</f>
        <v>Do you have a Business Continuity Plan (BCP)?</v>
      </c>
      <c r="C27" s="37" t="s">
        <v>571</v>
      </c>
      <c r="D27" s="38"/>
      <c r="E27" s="37" t="s">
        <v>618</v>
      </c>
      <c r="F27" s="37" t="s">
        <v>700</v>
      </c>
      <c r="G27" s="46" t="s">
        <v>700</v>
      </c>
      <c r="H27" s="37" t="s">
        <v>821</v>
      </c>
      <c r="I27" s="37">
        <v>12.1</v>
      </c>
    </row>
    <row r="28" spans="1:259" ht="48" customHeight="1" x14ac:dyDescent="0.15">
      <c r="A28" s="15" t="s">
        <v>169</v>
      </c>
      <c r="B28" s="30" t="str">
        <f>VLOOKUP(A28,'HECVAT - Full'!A$24:B$312,2,FALSE)</f>
        <v>Do you have a Disaster Recovery Plan (DRP)?</v>
      </c>
      <c r="C28" s="37" t="s">
        <v>571</v>
      </c>
      <c r="D28" s="38"/>
      <c r="E28" s="37" t="s">
        <v>618</v>
      </c>
      <c r="F28" s="37" t="s">
        <v>700</v>
      </c>
      <c r="G28" s="46" t="s">
        <v>700</v>
      </c>
      <c r="H28" s="37" t="s">
        <v>822</v>
      </c>
      <c r="I28" s="37">
        <v>12.1</v>
      </c>
    </row>
    <row r="29" spans="1:259" ht="48" customHeight="1" x14ac:dyDescent="0.15">
      <c r="A29" s="15" t="s">
        <v>170</v>
      </c>
      <c r="B29" s="30" t="str">
        <f>VLOOKUP(A29,'HECVAT - Full'!A$24:B$312,2,FALSE)</f>
        <v>Will data regulated by PCI DSS reside in the vended product?</v>
      </c>
      <c r="C29" s="37" t="s">
        <v>569</v>
      </c>
      <c r="D29" s="38"/>
      <c r="E29" s="37" t="s">
        <v>617</v>
      </c>
      <c r="F29" s="37" t="s">
        <v>698</v>
      </c>
      <c r="G29" s="46" t="s">
        <v>698</v>
      </c>
      <c r="H29" s="37" t="s">
        <v>819</v>
      </c>
      <c r="I29" s="37" t="s">
        <v>2109</v>
      </c>
    </row>
    <row r="30" spans="1:259" ht="48" customHeight="1" x14ac:dyDescent="0.15">
      <c r="A30" s="15" t="s">
        <v>171</v>
      </c>
      <c r="B30" s="30" t="str">
        <f>VLOOKUP(A30,'HECVAT - Full'!A$24:B$312,2,FALSE)</f>
        <v>Is your company a consulting firm providing only consultation to the Institution?</v>
      </c>
      <c r="C30" s="37" t="s">
        <v>572</v>
      </c>
      <c r="D30" s="38"/>
      <c r="E30" s="38"/>
      <c r="F30" s="38"/>
      <c r="G30" s="47"/>
      <c r="H30" s="38"/>
      <c r="I30" s="37" t="s">
        <v>2110</v>
      </c>
    </row>
    <row r="31" spans="1:259" s="35" customFormat="1" ht="36" customHeight="1" x14ac:dyDescent="0.15">
      <c r="A31" s="301" t="s">
        <v>18</v>
      </c>
      <c r="B31" s="301"/>
      <c r="C31" s="36" t="str">
        <f>$C$22</f>
        <v>CIS Critical Security Controls v6.1</v>
      </c>
      <c r="D31" s="36" t="str">
        <f>$D$22</f>
        <v>HIPAA</v>
      </c>
      <c r="E31" s="36" t="str">
        <f>$E$22</f>
        <v>ISO 27002:2013</v>
      </c>
      <c r="F31" s="36" t="str">
        <f>$F$22</f>
        <v>NIST Cybersecurity Framework</v>
      </c>
      <c r="G31" s="25" t="str">
        <f>$G$22</f>
        <v>NIST SP 800-171r1</v>
      </c>
      <c r="H31" s="36" t="str">
        <f>$H$22</f>
        <v>NIST SP 800-53r4</v>
      </c>
      <c r="I31" s="173" t="s">
        <v>2046</v>
      </c>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c r="EA31" s="34"/>
      <c r="EB31" s="34"/>
      <c r="EC31" s="34"/>
      <c r="ED31" s="34"/>
      <c r="EE31" s="34"/>
      <c r="EF31" s="34"/>
      <c r="EG31" s="34"/>
      <c r="EH31" s="34"/>
      <c r="EI31" s="34"/>
      <c r="EJ31" s="34"/>
      <c r="EK31" s="34"/>
      <c r="EL31" s="34"/>
      <c r="EM31" s="34"/>
      <c r="EN31" s="34"/>
      <c r="EO31" s="34"/>
      <c r="EP31" s="34"/>
      <c r="EQ31" s="34"/>
      <c r="ER31" s="34"/>
      <c r="ES31" s="34"/>
      <c r="ET31" s="34"/>
      <c r="EU31" s="34"/>
      <c r="EV31" s="34"/>
      <c r="EW31" s="34"/>
      <c r="EX31" s="34"/>
      <c r="EY31" s="34"/>
      <c r="EZ31" s="34"/>
      <c r="FA31" s="34"/>
      <c r="FB31" s="34"/>
      <c r="FC31" s="34"/>
      <c r="FD31" s="34"/>
      <c r="FE31" s="34"/>
      <c r="FF31" s="34"/>
      <c r="FG31" s="34"/>
      <c r="FH31" s="34"/>
      <c r="FI31" s="34"/>
      <c r="FJ31" s="34"/>
      <c r="FK31" s="34"/>
      <c r="FL31" s="34"/>
      <c r="FM31" s="34"/>
      <c r="FN31" s="34"/>
      <c r="FO31" s="34"/>
      <c r="FP31" s="34"/>
      <c r="FQ31" s="34"/>
      <c r="FR31" s="34"/>
      <c r="FS31" s="34"/>
      <c r="FT31" s="34"/>
      <c r="FU31" s="34"/>
      <c r="FV31" s="34"/>
      <c r="FW31" s="34"/>
      <c r="FX31" s="34"/>
      <c r="FY31" s="34"/>
      <c r="FZ31" s="34"/>
      <c r="GA31" s="34"/>
      <c r="GB31" s="34"/>
      <c r="GC31" s="34"/>
      <c r="GD31" s="34"/>
      <c r="GE31" s="34"/>
      <c r="GF31" s="34"/>
      <c r="GG31" s="34"/>
      <c r="GH31" s="34"/>
      <c r="GI31" s="34"/>
      <c r="GJ31" s="34"/>
      <c r="GK31" s="34"/>
      <c r="GL31" s="34"/>
      <c r="GM31" s="34"/>
      <c r="GN31" s="34"/>
      <c r="GO31" s="34"/>
      <c r="GP31" s="34"/>
      <c r="GQ31" s="34"/>
      <c r="GR31" s="34"/>
      <c r="GS31" s="34"/>
      <c r="GT31" s="34"/>
      <c r="GU31" s="34"/>
      <c r="GV31" s="34"/>
      <c r="GW31" s="34"/>
      <c r="GX31" s="34"/>
      <c r="GY31" s="34"/>
      <c r="GZ31" s="34"/>
      <c r="HA31" s="34"/>
      <c r="HB31" s="34"/>
      <c r="HC31" s="34"/>
      <c r="HD31" s="34"/>
      <c r="HE31" s="34"/>
      <c r="HF31" s="34"/>
      <c r="HG31" s="34"/>
      <c r="HH31" s="34"/>
      <c r="HI31" s="34"/>
      <c r="HJ31" s="34"/>
      <c r="HK31" s="34"/>
      <c r="HL31" s="34"/>
      <c r="HM31" s="34"/>
      <c r="HN31" s="34"/>
      <c r="HO31" s="34"/>
      <c r="HP31" s="34"/>
      <c r="HQ31" s="34"/>
      <c r="HR31" s="34"/>
      <c r="HS31" s="34"/>
      <c r="HT31" s="34"/>
      <c r="HU31" s="34"/>
      <c r="HV31" s="34"/>
      <c r="HW31" s="34"/>
      <c r="HX31" s="34"/>
      <c r="HY31" s="34"/>
      <c r="HZ31" s="34"/>
      <c r="IA31" s="34"/>
      <c r="IB31" s="34"/>
      <c r="IC31" s="34"/>
      <c r="ID31" s="34"/>
      <c r="IE31" s="34"/>
      <c r="IF31" s="34"/>
      <c r="IG31" s="34"/>
      <c r="IH31" s="34"/>
      <c r="II31" s="34"/>
      <c r="IJ31" s="34"/>
      <c r="IK31" s="34"/>
      <c r="IL31" s="34"/>
      <c r="IM31" s="34"/>
      <c r="IN31" s="34"/>
      <c r="IO31" s="34"/>
      <c r="IP31" s="34"/>
      <c r="IQ31" s="34"/>
      <c r="IR31" s="34"/>
      <c r="IS31" s="34"/>
      <c r="IT31" s="34"/>
      <c r="IU31" s="34"/>
      <c r="IV31" s="34"/>
      <c r="IW31" s="34"/>
      <c r="IX31" s="34"/>
      <c r="IY31" s="34"/>
    </row>
    <row r="32" spans="1:259" ht="64.25" customHeight="1" x14ac:dyDescent="0.15">
      <c r="A32" s="15" t="s">
        <v>172</v>
      </c>
      <c r="B32" s="30" t="str">
        <f>VLOOKUP(A32,'HECVAT - Full'!A$24:B$312,2,FALSE)</f>
        <v>Have you undergone a SSAE 16 audit?</v>
      </c>
      <c r="C32" s="38"/>
      <c r="D32" s="38"/>
      <c r="E32" s="37" t="s">
        <v>619</v>
      </c>
      <c r="F32" s="38"/>
      <c r="G32" s="47"/>
      <c r="H32" s="37" t="s">
        <v>823</v>
      </c>
      <c r="I32" s="38"/>
    </row>
    <row r="33" spans="1:259" ht="48" customHeight="1" x14ac:dyDescent="0.15">
      <c r="A33" s="15" t="s">
        <v>173</v>
      </c>
      <c r="B33" s="30" t="str">
        <f>VLOOKUP(A33,'HECVAT - Full'!A$24:B$312,2,FALSE)</f>
        <v>Have you completed the Cloud Security Alliance (CSA) self assessment or CAIQ?</v>
      </c>
      <c r="C33" s="38"/>
      <c r="D33" s="38"/>
      <c r="E33" s="37" t="s">
        <v>619</v>
      </c>
      <c r="F33" s="38"/>
      <c r="G33" s="47"/>
      <c r="H33" s="37" t="s">
        <v>824</v>
      </c>
      <c r="I33" s="38"/>
    </row>
    <row r="34" spans="1:259" ht="48" customHeight="1" x14ac:dyDescent="0.15">
      <c r="A34" s="15" t="s">
        <v>174</v>
      </c>
      <c r="B34" s="30" t="str">
        <f>VLOOKUP(A34,'HECVAT - Full'!A$24:B$312,2,FALSE)</f>
        <v>Have you received the Cloud Security Alliance STAR certification?</v>
      </c>
      <c r="C34" s="38"/>
      <c r="D34" s="38"/>
      <c r="E34" s="37" t="s">
        <v>619</v>
      </c>
      <c r="F34" s="38"/>
      <c r="G34" s="47"/>
      <c r="H34" s="37" t="s">
        <v>824</v>
      </c>
      <c r="I34" s="38"/>
    </row>
    <row r="35" spans="1:259" ht="64.25" customHeight="1" x14ac:dyDescent="0.15">
      <c r="A35" s="15" t="s">
        <v>175</v>
      </c>
      <c r="B35" s="30" t="str">
        <f>VLOOKUP(A35,'HECVAT - Full'!A$24:B$312,2,FALSE)</f>
        <v>Do you conform with a specific industry standard security framework? (e.g. NIST Cybersecurity Framework, ISO 27001, etc.)</v>
      </c>
      <c r="C35" s="38"/>
      <c r="D35" s="38"/>
      <c r="E35" s="37" t="s">
        <v>617</v>
      </c>
      <c r="F35" s="38"/>
      <c r="G35" s="47"/>
      <c r="H35" s="37" t="s">
        <v>823</v>
      </c>
      <c r="I35" s="37" t="s">
        <v>2111</v>
      </c>
    </row>
    <row r="36" spans="1:259" ht="48" customHeight="1" x14ac:dyDescent="0.15">
      <c r="A36" s="15" t="s">
        <v>176</v>
      </c>
      <c r="B36" s="30" t="str">
        <f>VLOOKUP(A36,'HECVAT - Full'!A$24:B$312,2,FALSE)</f>
        <v>Are you compliant with FISMA standards?</v>
      </c>
      <c r="C36" s="38"/>
      <c r="D36" s="38"/>
      <c r="E36" s="37" t="s">
        <v>617</v>
      </c>
      <c r="F36" s="38"/>
      <c r="G36" s="47"/>
      <c r="H36" s="37" t="s">
        <v>823</v>
      </c>
      <c r="I36" s="38"/>
    </row>
    <row r="37" spans="1:259" ht="48" customHeight="1" x14ac:dyDescent="0.15">
      <c r="A37" s="15" t="s">
        <v>177</v>
      </c>
      <c r="B37" s="30" t="str">
        <f>VLOOKUP(A37,'HECVAT - Full'!A$24:B$312,2,FALSE)</f>
        <v>Does your organization have a data privacy policy?</v>
      </c>
      <c r="C37" s="38"/>
      <c r="D37" s="37" t="s">
        <v>600</v>
      </c>
      <c r="E37" s="37" t="s">
        <v>620</v>
      </c>
      <c r="F37" s="37" t="s">
        <v>698</v>
      </c>
      <c r="G37" s="46" t="s">
        <v>698</v>
      </c>
      <c r="H37" s="37" t="s">
        <v>823</v>
      </c>
      <c r="I37" s="38"/>
    </row>
    <row r="38" spans="1:259" s="35" customFormat="1" ht="36" customHeight="1" x14ac:dyDescent="0.15">
      <c r="A38" s="301" t="s">
        <v>153</v>
      </c>
      <c r="B38" s="301"/>
      <c r="C38" s="36" t="str">
        <f>$C$22</f>
        <v>CIS Critical Security Controls v6.1</v>
      </c>
      <c r="D38" s="36" t="str">
        <f>$D$22</f>
        <v>HIPAA</v>
      </c>
      <c r="E38" s="36" t="str">
        <f>$E$22</f>
        <v>ISO 27002:2013</v>
      </c>
      <c r="F38" s="36" t="str">
        <f>$F$22</f>
        <v>NIST Cybersecurity Framework</v>
      </c>
      <c r="G38" s="25" t="str">
        <f>$G$22</f>
        <v>NIST SP 800-171r1</v>
      </c>
      <c r="H38" s="36" t="str">
        <f>$H$22</f>
        <v>NIST SP 800-53r4</v>
      </c>
      <c r="I38" s="173" t="s">
        <v>2046</v>
      </c>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c r="EA38" s="34"/>
      <c r="EB38" s="34"/>
      <c r="EC38" s="34"/>
      <c r="ED38" s="34"/>
      <c r="EE38" s="34"/>
      <c r="EF38" s="34"/>
      <c r="EG38" s="34"/>
      <c r="EH38" s="34"/>
      <c r="EI38" s="34"/>
      <c r="EJ38" s="34"/>
      <c r="EK38" s="34"/>
      <c r="EL38" s="34"/>
      <c r="EM38" s="34"/>
      <c r="EN38" s="34"/>
      <c r="EO38" s="34"/>
      <c r="EP38" s="34"/>
      <c r="EQ38" s="34"/>
      <c r="ER38" s="34"/>
      <c r="ES38" s="34"/>
      <c r="ET38" s="34"/>
      <c r="EU38" s="34"/>
      <c r="EV38" s="34"/>
      <c r="EW38" s="34"/>
      <c r="EX38" s="34"/>
      <c r="EY38" s="34"/>
      <c r="EZ38" s="34"/>
      <c r="FA38" s="34"/>
      <c r="FB38" s="34"/>
      <c r="FC38" s="34"/>
      <c r="FD38" s="34"/>
      <c r="FE38" s="34"/>
      <c r="FF38" s="34"/>
      <c r="FG38" s="34"/>
      <c r="FH38" s="34"/>
      <c r="FI38" s="34"/>
      <c r="FJ38" s="34"/>
      <c r="FK38" s="34"/>
      <c r="FL38" s="34"/>
      <c r="FM38" s="34"/>
      <c r="FN38" s="34"/>
      <c r="FO38" s="34"/>
      <c r="FP38" s="34"/>
      <c r="FQ38" s="34"/>
      <c r="FR38" s="34"/>
      <c r="FS38" s="34"/>
      <c r="FT38" s="34"/>
      <c r="FU38" s="34"/>
      <c r="FV38" s="34"/>
      <c r="FW38" s="34"/>
      <c r="FX38" s="34"/>
      <c r="FY38" s="34"/>
      <c r="FZ38" s="34"/>
      <c r="GA38" s="34"/>
      <c r="GB38" s="34"/>
      <c r="GC38" s="34"/>
      <c r="GD38" s="34"/>
      <c r="GE38" s="34"/>
      <c r="GF38" s="34"/>
      <c r="GG38" s="34"/>
      <c r="GH38" s="34"/>
      <c r="GI38" s="34"/>
      <c r="GJ38" s="34"/>
      <c r="GK38" s="34"/>
      <c r="GL38" s="34"/>
      <c r="GM38" s="34"/>
      <c r="GN38" s="34"/>
      <c r="GO38" s="34"/>
      <c r="GP38" s="34"/>
      <c r="GQ38" s="34"/>
      <c r="GR38" s="34"/>
      <c r="GS38" s="34"/>
      <c r="GT38" s="34"/>
      <c r="GU38" s="34"/>
      <c r="GV38" s="34"/>
      <c r="GW38" s="34"/>
      <c r="GX38" s="34"/>
      <c r="GY38" s="34"/>
      <c r="GZ38" s="34"/>
      <c r="HA38" s="34"/>
      <c r="HB38" s="34"/>
      <c r="HC38" s="34"/>
      <c r="HD38" s="34"/>
      <c r="HE38" s="34"/>
      <c r="HF38" s="34"/>
      <c r="HG38" s="34"/>
      <c r="HH38" s="34"/>
      <c r="HI38" s="34"/>
      <c r="HJ38" s="34"/>
      <c r="HK38" s="34"/>
      <c r="HL38" s="34"/>
      <c r="HM38" s="34"/>
      <c r="HN38" s="34"/>
      <c r="HO38" s="34"/>
      <c r="HP38" s="34"/>
      <c r="HQ38" s="34"/>
      <c r="HR38" s="34"/>
      <c r="HS38" s="34"/>
      <c r="HT38" s="34"/>
      <c r="HU38" s="34"/>
      <c r="HV38" s="34"/>
      <c r="HW38" s="34"/>
      <c r="HX38" s="34"/>
      <c r="HY38" s="34"/>
      <c r="HZ38" s="34"/>
      <c r="IA38" s="34"/>
      <c r="IB38" s="34"/>
      <c r="IC38" s="34"/>
      <c r="ID38" s="34"/>
      <c r="IE38" s="34"/>
      <c r="IF38" s="34"/>
      <c r="IG38" s="34"/>
      <c r="IH38" s="34"/>
      <c r="II38" s="34"/>
      <c r="IJ38" s="34"/>
      <c r="IK38" s="34"/>
      <c r="IL38" s="34"/>
      <c r="IM38" s="34"/>
      <c r="IN38" s="34"/>
      <c r="IO38" s="34"/>
      <c r="IP38" s="34"/>
      <c r="IQ38" s="34"/>
      <c r="IR38" s="34"/>
      <c r="IS38" s="34"/>
      <c r="IT38" s="34"/>
      <c r="IU38" s="34"/>
      <c r="IV38" s="34"/>
      <c r="IW38" s="34"/>
      <c r="IX38" s="34"/>
      <c r="IY38" s="34"/>
    </row>
    <row r="39" spans="1:259" ht="54" customHeight="1" x14ac:dyDescent="0.15">
      <c r="A39" s="15" t="s">
        <v>178</v>
      </c>
      <c r="B39" s="30" t="str">
        <f>VLOOKUP(A39,'HECVAT - Full'!A$24:B$312,2,FALSE)</f>
        <v>Describe your organization’s business background and ownership structure, including all parent and subsidiary relationships.</v>
      </c>
      <c r="C39" s="38"/>
      <c r="D39" s="38"/>
      <c r="E39" s="38"/>
      <c r="F39" s="38"/>
      <c r="G39" s="47"/>
      <c r="H39" s="38"/>
      <c r="I39" s="37">
        <v>12.8</v>
      </c>
    </row>
    <row r="40" spans="1:259" ht="54" customHeight="1" x14ac:dyDescent="0.15">
      <c r="A40" s="15" t="s">
        <v>179</v>
      </c>
      <c r="B40" s="30" t="str">
        <f>VLOOKUP(A40,'HECVAT - Full'!A$24:B$312,2,FALSE)</f>
        <v>Describe how long your organization has conducted business in this product area.</v>
      </c>
      <c r="C40" s="38"/>
      <c r="D40" s="38"/>
      <c r="E40" s="38"/>
      <c r="F40" s="38"/>
      <c r="G40" s="47"/>
      <c r="H40" s="38"/>
      <c r="I40" s="37">
        <v>12.8</v>
      </c>
    </row>
    <row r="41" spans="1:259" ht="54" customHeight="1" x14ac:dyDescent="0.15">
      <c r="A41" s="15" t="s">
        <v>180</v>
      </c>
      <c r="B41" s="30" t="str">
        <f>VLOOKUP(A41,'HECVAT - Full'!A$24:B$312,2,FALSE)</f>
        <v>Do you have existing higher education customers?</v>
      </c>
      <c r="C41" s="38"/>
      <c r="D41" s="38"/>
      <c r="E41" s="37" t="s">
        <v>619</v>
      </c>
      <c r="F41" s="38"/>
      <c r="G41" s="47"/>
      <c r="H41" s="38"/>
      <c r="I41" s="37">
        <v>12.8</v>
      </c>
    </row>
    <row r="42" spans="1:259" ht="64.25" customHeight="1" x14ac:dyDescent="0.15">
      <c r="A42" s="15" t="s">
        <v>181</v>
      </c>
      <c r="B42" s="30" t="str">
        <f>VLOOKUP(A42,'HECVAT - Full'!A$24:B$312,2,FALSE)</f>
        <v>Have you had a significant breach in the last 5 years?</v>
      </c>
      <c r="C42" s="38"/>
      <c r="D42" s="38"/>
      <c r="E42" s="38"/>
      <c r="F42" s="38"/>
      <c r="G42" s="38"/>
      <c r="H42" s="38"/>
      <c r="I42" s="38"/>
    </row>
    <row r="43" spans="1:259" ht="54" customHeight="1" x14ac:dyDescent="0.15">
      <c r="A43" s="15" t="s">
        <v>182</v>
      </c>
      <c r="B43" s="30" t="str">
        <f>VLOOKUP(A43,'HECVAT - Full'!A$24:B$312,2,FALSE)</f>
        <v>Do you have a dedicated Information Security staff or office?</v>
      </c>
      <c r="C43" s="38"/>
      <c r="D43" s="38"/>
      <c r="E43" s="37" t="s">
        <v>619</v>
      </c>
      <c r="F43" s="38"/>
      <c r="G43" s="47"/>
      <c r="H43" s="38"/>
      <c r="I43" s="37" t="s">
        <v>2112</v>
      </c>
    </row>
    <row r="44" spans="1:259" ht="64.25" customHeight="1" x14ac:dyDescent="0.15">
      <c r="A44" s="15" t="s">
        <v>183</v>
      </c>
      <c r="B44" s="30" t="str">
        <f>VLOOKUP(A44,'HECVAT - Full'!A$24:B$312,2,FALSE)</f>
        <v>Do you have a dedicated Software and System Development team(s)? (e.g. Customer Support, Implementation, Product Management, etc.)</v>
      </c>
      <c r="C44" s="38"/>
      <c r="D44" s="38"/>
      <c r="E44" s="37" t="s">
        <v>622</v>
      </c>
      <c r="F44" s="38"/>
      <c r="G44" s="47"/>
      <c r="H44" s="37" t="s">
        <v>825</v>
      </c>
      <c r="I44" s="37">
        <v>12.8</v>
      </c>
    </row>
    <row r="45" spans="1:259" ht="83" customHeight="1" x14ac:dyDescent="0.15">
      <c r="A45" s="15" t="s">
        <v>431</v>
      </c>
      <c r="B45" s="30" t="str">
        <f>VLOOKUP(A45,'HECVAT - Full'!A$24:B$312,2,FALSE)</f>
        <v>Use this area to share information about your environment that will assist those who are assessing your company data security program.</v>
      </c>
      <c r="C45" s="38"/>
      <c r="D45" s="38"/>
      <c r="E45" s="37" t="s">
        <v>619</v>
      </c>
      <c r="F45" s="38"/>
      <c r="G45" s="47"/>
      <c r="H45" s="38"/>
      <c r="I45" s="37">
        <v>12.8</v>
      </c>
    </row>
    <row r="46" spans="1:259" ht="36" customHeight="1" x14ac:dyDescent="0.15">
      <c r="A46" s="301" t="str">
        <f>IF($C$26="No","Third Parties - Optional based on QUALIFIER response.","Third Parties")</f>
        <v>Third Parties</v>
      </c>
      <c r="B46" s="301"/>
      <c r="C46" s="36" t="str">
        <f>$C$22</f>
        <v>CIS Critical Security Controls v6.1</v>
      </c>
      <c r="D46" s="36" t="str">
        <f>$D$22</f>
        <v>HIPAA</v>
      </c>
      <c r="E46" s="36" t="str">
        <f>$E$22</f>
        <v>ISO 27002:2013</v>
      </c>
      <c r="F46" s="36" t="str">
        <f>$F$22</f>
        <v>NIST Cybersecurity Framework</v>
      </c>
      <c r="G46" s="25" t="str">
        <f>$G$22</f>
        <v>NIST SP 800-171r1</v>
      </c>
      <c r="H46" s="36" t="str">
        <f>$H$22</f>
        <v>NIST SP 800-53r4</v>
      </c>
      <c r="I46" s="173" t="s">
        <v>2046</v>
      </c>
    </row>
    <row r="47" spans="1:259" ht="96" customHeight="1" x14ac:dyDescent="0.15">
      <c r="A47" s="15" t="s">
        <v>184</v>
      </c>
      <c r="B47" s="30" t="s">
        <v>131</v>
      </c>
      <c r="C47" s="37" t="s">
        <v>569</v>
      </c>
      <c r="D47" s="38"/>
      <c r="E47" s="37" t="s">
        <v>623</v>
      </c>
      <c r="F47" s="37" t="s">
        <v>769</v>
      </c>
      <c r="G47" s="46" t="s">
        <v>701</v>
      </c>
      <c r="H47" s="37" t="s">
        <v>826</v>
      </c>
      <c r="I47" s="37">
        <v>12.8</v>
      </c>
    </row>
    <row r="48" spans="1:259" ht="80" customHeight="1" x14ac:dyDescent="0.15">
      <c r="A48" s="15" t="s">
        <v>185</v>
      </c>
      <c r="B48" s="30" t="s">
        <v>517</v>
      </c>
      <c r="C48" s="37" t="s">
        <v>569</v>
      </c>
      <c r="D48" s="38"/>
      <c r="E48" s="37" t="s">
        <v>623</v>
      </c>
      <c r="F48" s="37" t="s">
        <v>769</v>
      </c>
      <c r="G48" s="46" t="s">
        <v>701</v>
      </c>
      <c r="H48" s="38"/>
      <c r="I48" s="37">
        <v>12.8</v>
      </c>
    </row>
    <row r="49" spans="1:259" ht="80" customHeight="1" x14ac:dyDescent="0.15">
      <c r="A49" s="15" t="s">
        <v>186</v>
      </c>
      <c r="B49" s="30" t="s">
        <v>22</v>
      </c>
      <c r="C49" s="37" t="s">
        <v>569</v>
      </c>
      <c r="D49" s="38"/>
      <c r="E49" s="37" t="s">
        <v>623</v>
      </c>
      <c r="F49" s="37" t="s">
        <v>698</v>
      </c>
      <c r="G49" s="47"/>
      <c r="H49" s="37" t="s">
        <v>827</v>
      </c>
      <c r="I49" s="37">
        <v>12.8</v>
      </c>
    </row>
    <row r="50" spans="1:259" ht="80" customHeight="1" x14ac:dyDescent="0.15">
      <c r="A50" s="15" t="s">
        <v>430</v>
      </c>
      <c r="B50" s="30" t="s">
        <v>442</v>
      </c>
      <c r="C50" s="38"/>
      <c r="D50" s="38"/>
      <c r="E50" s="37" t="s">
        <v>623</v>
      </c>
      <c r="F50" s="37" t="s">
        <v>699</v>
      </c>
      <c r="G50" s="47"/>
      <c r="H50" s="37" t="s">
        <v>828</v>
      </c>
      <c r="I50" s="37">
        <v>12.8</v>
      </c>
    </row>
    <row r="51" spans="1:259" ht="36" customHeight="1" x14ac:dyDescent="0.15">
      <c r="A51" s="301" t="str">
        <f>IF($C$30="","Consulting",IF($C$30="Yes","Consulting - All questions after this section are OPTIONAL.","Consulting - Optional based on QUALIFIER response."))</f>
        <v>Consulting - Optional based on QUALIFIER response.</v>
      </c>
      <c r="B51" s="301"/>
      <c r="C51" s="36" t="str">
        <f>$C$22</f>
        <v>CIS Critical Security Controls v6.1</v>
      </c>
      <c r="D51" s="36" t="str">
        <f>$D$22</f>
        <v>HIPAA</v>
      </c>
      <c r="E51" s="36" t="str">
        <f>$E$22</f>
        <v>ISO 27002:2013</v>
      </c>
      <c r="F51" s="36" t="str">
        <f>$F$22</f>
        <v>NIST Cybersecurity Framework</v>
      </c>
      <c r="G51" s="25" t="str">
        <f>$G$22</f>
        <v>NIST SP 800-171r1</v>
      </c>
      <c r="H51" s="36" t="str">
        <f>$H$22</f>
        <v>NIST SP 800-53r4</v>
      </c>
      <c r="I51" s="173" t="s">
        <v>2046</v>
      </c>
    </row>
    <row r="52" spans="1:259" ht="36" customHeight="1" x14ac:dyDescent="0.15">
      <c r="A52" s="15" t="s">
        <v>187</v>
      </c>
      <c r="B52" s="30" t="str">
        <f>VLOOKUP(A52,'HECVAT - Full'!A$24:B$312,2,FALSE)</f>
        <v>Will the consulting take place on-premises?</v>
      </c>
      <c r="C52" s="38"/>
      <c r="D52" s="38"/>
      <c r="E52" s="37" t="s">
        <v>619</v>
      </c>
      <c r="F52" s="37" t="s">
        <v>699</v>
      </c>
      <c r="G52" s="47"/>
      <c r="H52" s="38"/>
      <c r="I52" s="38"/>
    </row>
    <row r="53" spans="1:259" ht="63" customHeight="1" x14ac:dyDescent="0.15">
      <c r="A53" s="15" t="s">
        <v>188</v>
      </c>
      <c r="B53" s="30" t="str">
        <f>VLOOKUP(A53,'HECVAT - Full'!A$24:B$312,2,FALSE)</f>
        <v>Will the consultant require access to Institution's network resources?</v>
      </c>
      <c r="C53" s="37" t="s">
        <v>572</v>
      </c>
      <c r="D53" s="38"/>
      <c r="E53" s="37" t="s">
        <v>624</v>
      </c>
      <c r="F53" s="37" t="s">
        <v>699</v>
      </c>
      <c r="G53" s="46" t="s">
        <v>702</v>
      </c>
      <c r="H53" s="37" t="s">
        <v>829</v>
      </c>
      <c r="I53" s="38"/>
    </row>
    <row r="54" spans="1:259" ht="63" customHeight="1" x14ac:dyDescent="0.15">
      <c r="A54" s="15" t="s">
        <v>189</v>
      </c>
      <c r="B54" s="30" t="str">
        <f>VLOOKUP(A54,'HECVAT - Full'!A$24:B$312,2,FALSE)</f>
        <v>Will the consultant require access to hardware in the Institution's data centers?</v>
      </c>
      <c r="C54" s="37" t="s">
        <v>572</v>
      </c>
      <c r="D54" s="38"/>
      <c r="E54" s="37" t="s">
        <v>625</v>
      </c>
      <c r="F54" s="37" t="s">
        <v>699</v>
      </c>
      <c r="G54" s="46" t="s">
        <v>703</v>
      </c>
      <c r="H54" s="38"/>
      <c r="I54" s="38"/>
    </row>
    <row r="55" spans="1:259" ht="48" customHeight="1" x14ac:dyDescent="0.15">
      <c r="A55" s="15" t="s">
        <v>190</v>
      </c>
      <c r="B55" s="30" t="str">
        <f>VLOOKUP(A55,'HECVAT - Full'!A$24:B$312,2,FALSE)</f>
        <v>Will the consultant require an account within the Institution's domain (@*.edu)?</v>
      </c>
      <c r="C55" s="37" t="s">
        <v>572</v>
      </c>
      <c r="D55" s="38"/>
      <c r="E55" s="38"/>
      <c r="F55" s="37" t="s">
        <v>699</v>
      </c>
      <c r="G55" s="47"/>
      <c r="H55" s="38"/>
      <c r="I55" s="38"/>
    </row>
    <row r="56" spans="1:259" ht="48" customHeight="1" x14ac:dyDescent="0.15">
      <c r="A56" s="15" t="s">
        <v>191</v>
      </c>
      <c r="B56" s="30" t="str">
        <f>VLOOKUP(A56,'HECVAT - Full'!A$24:B$312,2,FALSE)</f>
        <v>Has the consultant received training on [sensitive, HIPAA, PCI, etc.] data handling?</v>
      </c>
      <c r="C56" s="37" t="s">
        <v>569</v>
      </c>
      <c r="D56" s="38"/>
      <c r="E56" s="37" t="s">
        <v>617</v>
      </c>
      <c r="F56" s="37" t="s">
        <v>699</v>
      </c>
      <c r="G56" s="47"/>
      <c r="H56" s="38"/>
      <c r="I56" s="38"/>
    </row>
    <row r="57" spans="1:259" ht="48" customHeight="1" x14ac:dyDescent="0.15">
      <c r="A57" s="15" t="s">
        <v>192</v>
      </c>
      <c r="B57" s="30" t="str">
        <f>VLOOKUP(A57,'HECVAT - Full'!A$24:B$312,2,FALSE)</f>
        <v>Will any data be transferred to the consultant's possession?</v>
      </c>
      <c r="C57" s="37" t="s">
        <v>569</v>
      </c>
      <c r="D57" s="38"/>
      <c r="E57" s="37" t="s">
        <v>638</v>
      </c>
      <c r="F57" s="37" t="s">
        <v>699</v>
      </c>
      <c r="G57" s="46" t="s">
        <v>701</v>
      </c>
      <c r="H57" s="37" t="s">
        <v>830</v>
      </c>
      <c r="I57" s="38"/>
    </row>
    <row r="58" spans="1:259" s="1" customFormat="1" ht="48" customHeight="1" x14ac:dyDescent="0.2">
      <c r="A58" s="15" t="s">
        <v>193</v>
      </c>
      <c r="B58" s="30" t="str">
        <f>VLOOKUP(A58,'HECVAT - Full'!A$24:B$312,2,FALSE)</f>
        <v>Is it encrypted (at rest) while in the consultant's possession?</v>
      </c>
      <c r="C58" s="37" t="s">
        <v>569</v>
      </c>
      <c r="D58" s="38"/>
      <c r="E58" s="37" t="s">
        <v>639</v>
      </c>
      <c r="F58" s="37" t="s">
        <v>699</v>
      </c>
      <c r="G58" s="46" t="s">
        <v>704</v>
      </c>
      <c r="H58" s="37" t="s">
        <v>830</v>
      </c>
      <c r="I58" s="38"/>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row>
    <row r="59" spans="1:259" ht="36" customHeight="1" x14ac:dyDescent="0.15">
      <c r="A59" s="15" t="s">
        <v>194</v>
      </c>
      <c r="B59" s="30" t="str">
        <f>VLOOKUP(A59,'HECVAT - Full'!A$24:B$312,2,FALSE)</f>
        <v>Will the consultant need remote access to the Institution's network or systems?</v>
      </c>
      <c r="C59" s="37" t="s">
        <v>572</v>
      </c>
      <c r="D59" s="38"/>
      <c r="E59" s="37" t="s">
        <v>638</v>
      </c>
      <c r="F59" s="37" t="s">
        <v>699</v>
      </c>
      <c r="G59" s="47"/>
      <c r="H59" s="38"/>
      <c r="I59" s="38"/>
    </row>
    <row r="60" spans="1:259" s="1" customFormat="1" ht="36" customHeight="1" x14ac:dyDescent="0.2">
      <c r="A60" s="15" t="s">
        <v>195</v>
      </c>
      <c r="B60" s="30" t="str">
        <f>VLOOKUP(A60,'HECVAT - Full'!A$24:B$312,2,FALSE)</f>
        <v>Can we restrict that access based on source IP address?</v>
      </c>
      <c r="C60" s="38"/>
      <c r="D60" s="38"/>
      <c r="E60" s="37" t="s">
        <v>638</v>
      </c>
      <c r="F60" s="37" t="s">
        <v>699</v>
      </c>
      <c r="G60" s="47"/>
      <c r="H60" s="38"/>
      <c r="I60" s="38"/>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row>
    <row r="61" spans="1:259" ht="36" customHeight="1" x14ac:dyDescent="0.15">
      <c r="A61" s="301" t="str">
        <f>IF($C$30="","Application/Service Security",IF($C$30="Yes","App/Service Security - Optional based on QUALIFIER response.","Application/Service Security"))</f>
        <v>Application/Service Security</v>
      </c>
      <c r="B61" s="301"/>
      <c r="C61" s="36" t="str">
        <f>$C$22</f>
        <v>CIS Critical Security Controls v6.1</v>
      </c>
      <c r="D61" s="36" t="str">
        <f>$D$22</f>
        <v>HIPAA</v>
      </c>
      <c r="E61" s="36" t="str">
        <f>$E$22</f>
        <v>ISO 27002:2013</v>
      </c>
      <c r="F61" s="36" t="str">
        <f>$F$22</f>
        <v>NIST Cybersecurity Framework</v>
      </c>
      <c r="G61" s="25" t="str">
        <f>$G$22</f>
        <v>NIST SP 800-171r1</v>
      </c>
      <c r="H61" s="36" t="str">
        <f>$H$22</f>
        <v>NIST SP 800-53r4</v>
      </c>
      <c r="I61" s="173" t="s">
        <v>2046</v>
      </c>
    </row>
    <row r="62" spans="1:259" ht="49.25" customHeight="1" x14ac:dyDescent="0.15">
      <c r="A62" s="15" t="s">
        <v>196</v>
      </c>
      <c r="B62" s="30" t="str">
        <f>VLOOKUP(A62,'HECVAT - Full'!A$24:B$312,2,FALSE)</f>
        <v>Do you support role-based access control (RBAC) for end-users?</v>
      </c>
      <c r="C62" s="37" t="s">
        <v>570</v>
      </c>
      <c r="D62" s="38"/>
      <c r="E62" s="38"/>
      <c r="F62" s="37" t="s">
        <v>770</v>
      </c>
      <c r="G62" s="47"/>
      <c r="H62" s="38"/>
      <c r="I62" s="38"/>
    </row>
    <row r="63" spans="1:259" ht="48" customHeight="1" x14ac:dyDescent="0.15">
      <c r="A63" s="15" t="s">
        <v>197</v>
      </c>
      <c r="B63" s="30" t="str">
        <f>VLOOKUP(A63,'HECVAT - Full'!A$24:B$312,2,FALSE)</f>
        <v>Do you support role-based access control (RBAC) for system administrators?</v>
      </c>
      <c r="C63" s="37" t="s">
        <v>579</v>
      </c>
      <c r="D63" s="38"/>
      <c r="E63" s="37" t="s">
        <v>626</v>
      </c>
      <c r="F63" s="37" t="s">
        <v>770</v>
      </c>
      <c r="G63" s="47"/>
      <c r="H63" s="38"/>
      <c r="I63" s="38"/>
    </row>
    <row r="64" spans="1:259" ht="48" customHeight="1" x14ac:dyDescent="0.15">
      <c r="A64" s="15" t="s">
        <v>540</v>
      </c>
      <c r="B64" s="30" t="str">
        <f>VLOOKUP(A64,'HECVAT - Full'!A$24:B$312,2,FALSE)</f>
        <v>Can employees access customer data remotely?</v>
      </c>
      <c r="C64" s="174" t="s">
        <v>572</v>
      </c>
      <c r="D64" s="175"/>
      <c r="E64" s="174">
        <v>6.2</v>
      </c>
      <c r="F64" s="174" t="s">
        <v>773</v>
      </c>
      <c r="G64" s="174" t="s">
        <v>703</v>
      </c>
      <c r="H64" s="174" t="s">
        <v>833</v>
      </c>
      <c r="I64" s="174" t="s">
        <v>2113</v>
      </c>
    </row>
    <row r="65" spans="1:259" ht="64.25" customHeight="1" x14ac:dyDescent="0.15">
      <c r="A65" s="15" t="s">
        <v>198</v>
      </c>
      <c r="B65" s="30" t="str">
        <f>VLOOKUP(A65,'HECVAT - Full'!A$24:B$312,2,FALSE)</f>
        <v>Can you provide overall system and/or application architecture diagrams including a full description of the data communications architecture for all components of the system?</v>
      </c>
      <c r="C65" s="37" t="s">
        <v>573</v>
      </c>
      <c r="D65" s="38"/>
      <c r="E65" s="37" t="s">
        <v>628</v>
      </c>
      <c r="F65" s="37" t="s">
        <v>772</v>
      </c>
      <c r="G65" s="46" t="s">
        <v>706</v>
      </c>
      <c r="H65" s="37" t="s">
        <v>832</v>
      </c>
      <c r="I65" s="174" t="s">
        <v>2113</v>
      </c>
    </row>
    <row r="66" spans="1:259" ht="63" customHeight="1" x14ac:dyDescent="0.15">
      <c r="A66" s="196" t="s">
        <v>199</v>
      </c>
      <c r="B66" s="30" t="str">
        <f>VLOOKUP(A66,'HECVAT - Full'!A$24:B$312,2,FALSE)</f>
        <v xml:space="preserve">Does the system provide data input validation and error messages? </v>
      </c>
      <c r="C66" s="37" t="s">
        <v>570</v>
      </c>
      <c r="D66" s="38"/>
      <c r="E66" s="38"/>
      <c r="F66" s="37" t="s">
        <v>770</v>
      </c>
      <c r="G66" s="38"/>
      <c r="H66" s="38"/>
      <c r="I66" s="38"/>
    </row>
    <row r="67" spans="1:259" ht="53" customHeight="1" x14ac:dyDescent="0.15">
      <c r="A67" s="15" t="s">
        <v>200</v>
      </c>
      <c r="B67" s="30" t="str">
        <f>VLOOKUP(A67,'HECVAT - Full'!A$24:B$312,2,FALSE)</f>
        <v xml:space="preserve">Do you employ a single-tenant environment? </v>
      </c>
      <c r="C67" s="174" t="s">
        <v>574</v>
      </c>
      <c r="D67" s="175"/>
      <c r="E67" s="174">
        <v>6.2</v>
      </c>
      <c r="F67" s="174" t="s">
        <v>774</v>
      </c>
      <c r="G67" s="174" t="s">
        <v>707</v>
      </c>
      <c r="H67" s="174" t="s">
        <v>834</v>
      </c>
      <c r="I67" s="175"/>
    </row>
    <row r="68" spans="1:259" ht="80" customHeight="1" x14ac:dyDescent="0.15">
      <c r="A68" s="15" t="s">
        <v>201</v>
      </c>
      <c r="B68" s="30" t="str">
        <f>VLOOKUP(A68,'HECVAT - Full'!A$24:B$312,2,FALSE)</f>
        <v>What operating system(s) is/are leveraged by the system(s)/application(s) that will have access to institution's data?</v>
      </c>
      <c r="C68" s="174" t="s">
        <v>575</v>
      </c>
      <c r="D68" s="175"/>
      <c r="E68" s="174" t="s">
        <v>629</v>
      </c>
      <c r="F68" s="174" t="s">
        <v>774</v>
      </c>
      <c r="G68" s="175"/>
      <c r="H68" s="174" t="s">
        <v>833</v>
      </c>
      <c r="I68" s="175"/>
    </row>
    <row r="69" spans="1:259" s="1" customFormat="1" ht="80" customHeight="1" x14ac:dyDescent="0.2">
      <c r="A69" s="15" t="s">
        <v>202</v>
      </c>
      <c r="B69" s="30" t="str">
        <f>VLOOKUP(A69,'HECVAT - Full'!A$24:B$312,2,FALSE)</f>
        <v>Have you or any third party you contract with that may have access or allow access to the institution's data experienced a breach?</v>
      </c>
      <c r="C69" s="175"/>
      <c r="D69" s="175"/>
      <c r="E69" s="174">
        <v>16</v>
      </c>
      <c r="F69" s="175"/>
      <c r="G69" s="175"/>
      <c r="H69" s="175"/>
      <c r="I69" s="174" t="s">
        <v>2114</v>
      </c>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row>
    <row r="70" spans="1:259" ht="72" customHeight="1" x14ac:dyDescent="0.15">
      <c r="A70" s="15" t="s">
        <v>203</v>
      </c>
      <c r="B70" s="30" t="str">
        <f>VLOOKUP(A70,'HECVAT - Full'!A$24:B$312,2,FALSE)</f>
        <v xml:space="preserve">Describe or provide a reference to additional software/products necessary to implement a functional system on either the backend or user-interface side of the system. </v>
      </c>
      <c r="C70" s="174" t="s">
        <v>575</v>
      </c>
      <c r="D70" s="175"/>
      <c r="E70" s="174" t="s">
        <v>629</v>
      </c>
      <c r="F70" s="174" t="s">
        <v>775</v>
      </c>
      <c r="G70" s="175"/>
      <c r="H70" s="175"/>
      <c r="I70" s="175"/>
    </row>
    <row r="71" spans="1:259" ht="64.25" customHeight="1" x14ac:dyDescent="0.15">
      <c r="A71" s="15" t="s">
        <v>204</v>
      </c>
      <c r="B71" s="30" t="str">
        <f>VLOOKUP(A71,'HECVAT - Full'!A$24:B$312,2,FALSE)</f>
        <v xml:space="preserve">Describe or provide a reference to the overall system and/or application architecture(s), including appropriate diagrams. Include a full description of the data communications architecture for all components of the system. </v>
      </c>
      <c r="C71" s="174" t="s">
        <v>575</v>
      </c>
      <c r="D71" s="175"/>
      <c r="E71" s="174" t="s">
        <v>630</v>
      </c>
      <c r="F71" s="174" t="s">
        <v>776</v>
      </c>
      <c r="G71" s="175"/>
      <c r="H71" s="174" t="s">
        <v>835</v>
      </c>
      <c r="I71" s="174">
        <v>2.4</v>
      </c>
    </row>
    <row r="72" spans="1:259" ht="64.25" customHeight="1" x14ac:dyDescent="0.15">
      <c r="A72" s="15" t="s">
        <v>205</v>
      </c>
      <c r="B72" s="30" t="str">
        <f>VLOOKUP(A72,'HECVAT - Full'!A$24:B$312,2,FALSE)</f>
        <v>Are databases used in the system segregated from front-end systems? (e.g. web and application servers)</v>
      </c>
      <c r="C72" s="174" t="s">
        <v>569</v>
      </c>
      <c r="D72" s="175"/>
      <c r="E72" s="174" t="s">
        <v>631</v>
      </c>
      <c r="F72" s="175"/>
      <c r="G72" s="175"/>
      <c r="H72" s="175"/>
      <c r="I72" s="175"/>
    </row>
    <row r="73" spans="1:259" ht="48" customHeight="1" x14ac:dyDescent="0.15">
      <c r="A73" s="15" t="s">
        <v>206</v>
      </c>
      <c r="B73" s="30" t="str">
        <f>VLOOKUP(A73,'HECVAT - Full'!A$24:B$312,2,FALSE)</f>
        <v xml:space="preserve">Describe or provide a reference to all web-enabled features and functionality of the system (i.e. accessed via a web-based interface). </v>
      </c>
      <c r="C73" s="174" t="s">
        <v>576</v>
      </c>
      <c r="D73" s="175"/>
      <c r="E73" s="174" t="s">
        <v>630</v>
      </c>
      <c r="F73" s="175"/>
      <c r="G73" s="175"/>
      <c r="H73" s="175"/>
      <c r="I73" s="175"/>
    </row>
    <row r="74" spans="1:259" ht="65" customHeight="1" x14ac:dyDescent="0.15">
      <c r="A74" s="15" t="s">
        <v>207</v>
      </c>
      <c r="B74" s="30" t="str">
        <f>VLOOKUP(A74,'HECVAT - Full'!A$24:B$312,2,FALSE)</f>
        <v>Are there any OS and/or web-browser combinations that are not currently supported?</v>
      </c>
      <c r="C74" s="174" t="s">
        <v>576</v>
      </c>
      <c r="D74" s="175"/>
      <c r="E74" s="174" t="s">
        <v>629</v>
      </c>
      <c r="F74" s="175"/>
      <c r="G74" s="175"/>
      <c r="H74" s="175"/>
      <c r="I74" s="175"/>
    </row>
    <row r="75" spans="1:259" ht="65" customHeight="1" x14ac:dyDescent="0.15">
      <c r="A75" s="15" t="s">
        <v>208</v>
      </c>
      <c r="B75" s="30" t="str">
        <f>VLOOKUP(A75,'HECVAT - Full'!A$24:B$312,2,FALSE)</f>
        <v xml:space="preserve">Can your system take advantage of mobile and/or GPS enabled mobile devices?  </v>
      </c>
      <c r="C75" s="174" t="s">
        <v>575</v>
      </c>
      <c r="D75" s="175"/>
      <c r="E75" s="175"/>
      <c r="F75" s="175"/>
      <c r="G75" s="175"/>
      <c r="H75" s="175"/>
      <c r="I75" s="175"/>
    </row>
    <row r="76" spans="1:259" ht="63" customHeight="1" x14ac:dyDescent="0.15">
      <c r="A76" s="15" t="s">
        <v>541</v>
      </c>
      <c r="B76" s="30" t="str">
        <f>VLOOKUP(A76,'HECVAT - Full'!A$24:B$312,2,FALSE)</f>
        <v>Describe or provide a reference to the facilities available in the system to provide separation of duties between security administration and system administration functions.</v>
      </c>
      <c r="C76" s="174" t="s">
        <v>572</v>
      </c>
      <c r="D76" s="175"/>
      <c r="E76" s="174" t="s">
        <v>633</v>
      </c>
      <c r="F76" s="174" t="s">
        <v>772</v>
      </c>
      <c r="G76" s="174" t="s">
        <v>708</v>
      </c>
      <c r="H76" s="174" t="s">
        <v>836</v>
      </c>
      <c r="I76" s="174" t="s">
        <v>2115</v>
      </c>
    </row>
    <row r="77" spans="1:259" ht="65" customHeight="1" x14ac:dyDescent="0.15">
      <c r="A77" s="15" t="s">
        <v>209</v>
      </c>
      <c r="B77" s="30" t="str">
        <f>VLOOKUP(A77,'HECVAT - Full'!A$24:B$312,2,FALSE)</f>
        <v>Describe or provide a reference that details how administrator access is handled (e.g. provisioning, principle of least privilege, deprovisioning, etc.)</v>
      </c>
      <c r="C77" s="174" t="s">
        <v>577</v>
      </c>
      <c r="D77" s="175"/>
      <c r="E77" s="174">
        <v>9.1999999999999993</v>
      </c>
      <c r="F77" s="174" t="s">
        <v>772</v>
      </c>
      <c r="G77" s="174" t="s">
        <v>709</v>
      </c>
      <c r="H77" s="174" t="s">
        <v>837</v>
      </c>
      <c r="I77" s="174" t="s">
        <v>2116</v>
      </c>
    </row>
    <row r="78" spans="1:259" ht="65" customHeight="1" x14ac:dyDescent="0.15">
      <c r="A78" s="15" t="s">
        <v>210</v>
      </c>
      <c r="B78" s="30" t="str">
        <f>VLOOKUP(A78,'HECVAT - Full'!A$24:B$312,2,FALSE)</f>
        <v>Describe or provide references explaining how tertiary services are redundant (i.e. DNS, ISP, etc.).</v>
      </c>
      <c r="C78" s="174" t="s">
        <v>572</v>
      </c>
      <c r="D78" s="175"/>
      <c r="E78" s="174" t="s">
        <v>628</v>
      </c>
      <c r="F78" s="174" t="s">
        <v>771</v>
      </c>
      <c r="G78" s="174" t="s">
        <v>703</v>
      </c>
      <c r="H78" s="175"/>
      <c r="I78" s="175"/>
    </row>
    <row r="79" spans="1:259" ht="36" customHeight="1" x14ac:dyDescent="0.15">
      <c r="A79" s="301" t="str">
        <f>IF($C$30="","Authentication, Authorization, and Accounting",IF($C$30="Yes","AAA - Optional based on QUALIFIER response.","Authentication, Authorization, and Accounting"))</f>
        <v>Authentication, Authorization, and Accounting</v>
      </c>
      <c r="B79" s="301"/>
      <c r="C79" s="36" t="str">
        <f>$C$22</f>
        <v>CIS Critical Security Controls v6.1</v>
      </c>
      <c r="D79" s="36" t="str">
        <f>$D$22</f>
        <v>HIPAA</v>
      </c>
      <c r="E79" s="36" t="str">
        <f>$E$22</f>
        <v>ISO 27002:2013</v>
      </c>
      <c r="F79" s="36" t="str">
        <f>$F$22</f>
        <v>NIST Cybersecurity Framework</v>
      </c>
      <c r="G79" s="25" t="str">
        <f>$G$22</f>
        <v>NIST SP 800-171r1</v>
      </c>
      <c r="H79" s="36" t="str">
        <f>$H$22</f>
        <v>NIST SP 800-53r4</v>
      </c>
      <c r="I79" s="173" t="s">
        <v>2046</v>
      </c>
    </row>
    <row r="80" spans="1:259" ht="36" customHeight="1" x14ac:dyDescent="0.15">
      <c r="A80" s="15" t="s">
        <v>212</v>
      </c>
      <c r="B80" s="30" t="str">
        <f>VLOOKUP(A80,'HECVAT - Full'!A$24:B$312,2,FALSE)</f>
        <v>Can you enforce password/passphrase aging requirements?</v>
      </c>
      <c r="C80" s="37" t="s">
        <v>578</v>
      </c>
      <c r="D80" s="41"/>
      <c r="E80" s="37" t="s">
        <v>636</v>
      </c>
      <c r="F80" s="37" t="s">
        <v>778</v>
      </c>
      <c r="G80" s="46" t="s">
        <v>710</v>
      </c>
      <c r="H80" s="37" t="s">
        <v>838</v>
      </c>
      <c r="I80" s="37" t="s">
        <v>2118</v>
      </c>
    </row>
    <row r="81" spans="1:9" ht="48" customHeight="1" x14ac:dyDescent="0.15">
      <c r="A81" s="15" t="s">
        <v>213</v>
      </c>
      <c r="B81" s="30" t="str">
        <f>VLOOKUP(A81,'HECVAT - Full'!A$24:B$312,2,FALSE)</f>
        <v>Can you enforce password/passphrase complexity requirements [provided by the institution]?</v>
      </c>
      <c r="C81" s="37" t="s">
        <v>578</v>
      </c>
      <c r="D81" s="41"/>
      <c r="E81" s="37" t="s">
        <v>636</v>
      </c>
      <c r="F81" s="37" t="s">
        <v>778</v>
      </c>
      <c r="G81" s="46" t="s">
        <v>711</v>
      </c>
      <c r="H81" s="37" t="s">
        <v>839</v>
      </c>
      <c r="I81" s="37" t="s">
        <v>2118</v>
      </c>
    </row>
    <row r="82" spans="1:9" ht="48" customHeight="1" x14ac:dyDescent="0.15">
      <c r="A82" s="15" t="s">
        <v>214</v>
      </c>
      <c r="B82" s="30" t="str">
        <f>VLOOKUP(A82,'HECVAT - Full'!A$24:B$312,2,FALSE)</f>
        <v>Does the system have password complexity or length limitations and/or restrictions?</v>
      </c>
      <c r="C82" s="37" t="s">
        <v>578</v>
      </c>
      <c r="D82" s="41"/>
      <c r="E82" s="37" t="s">
        <v>636</v>
      </c>
      <c r="F82" s="37" t="s">
        <v>778</v>
      </c>
      <c r="G82" s="47"/>
      <c r="H82" s="38"/>
      <c r="I82" s="37" t="s">
        <v>2118</v>
      </c>
    </row>
    <row r="83" spans="1:9" ht="65" customHeight="1" x14ac:dyDescent="0.15">
      <c r="A83" s="15" t="s">
        <v>215</v>
      </c>
      <c r="B83" s="30" t="str">
        <f>VLOOKUP(A83,'HECVAT - Full'!A$24:B$312,2,FALSE)</f>
        <v>Do you have documented password/passphrase reset procedures that are currently implemented in the system and/or customer support?</v>
      </c>
      <c r="C83" s="37" t="s">
        <v>578</v>
      </c>
      <c r="D83" s="41"/>
      <c r="E83" s="37" t="s">
        <v>636</v>
      </c>
      <c r="F83" s="37" t="s">
        <v>778</v>
      </c>
      <c r="G83" s="46" t="s">
        <v>712</v>
      </c>
      <c r="H83" s="37" t="s">
        <v>838</v>
      </c>
      <c r="I83" s="37" t="s">
        <v>2119</v>
      </c>
    </row>
    <row r="84" spans="1:9" ht="65" customHeight="1" x14ac:dyDescent="0.15">
      <c r="A84" s="15" t="s">
        <v>216</v>
      </c>
      <c r="B84" s="30" t="str">
        <f>VLOOKUP(A84,'HECVAT - Full'!A$24:B$312,2,FALSE)</f>
        <v>Does your web-based interface support authentication, including standards-based single-sign-on? (e.g. InCommon)</v>
      </c>
      <c r="C84" s="37" t="s">
        <v>578</v>
      </c>
      <c r="D84" s="41"/>
      <c r="E84" s="37" t="s">
        <v>637</v>
      </c>
      <c r="F84" s="37" t="s">
        <v>778</v>
      </c>
      <c r="G84" s="46" t="s">
        <v>713</v>
      </c>
      <c r="H84" s="37" t="s">
        <v>840</v>
      </c>
      <c r="I84" s="37" t="s">
        <v>2118</v>
      </c>
    </row>
    <row r="85" spans="1:9" ht="48" customHeight="1" x14ac:dyDescent="0.15">
      <c r="A85" s="15" t="s">
        <v>217</v>
      </c>
      <c r="B85" s="30" t="str">
        <f>VLOOKUP(A85,'HECVAT - Full'!A$24:B$312,2,FALSE)</f>
        <v>Are there any passwords/passphrases hard coded into your systems or products?</v>
      </c>
      <c r="C85" s="37" t="s">
        <v>578</v>
      </c>
      <c r="D85" s="41"/>
      <c r="E85" s="37" t="s">
        <v>638</v>
      </c>
      <c r="F85" s="38"/>
      <c r="G85" s="47"/>
      <c r="H85" s="38"/>
      <c r="I85" s="37" t="s">
        <v>2119</v>
      </c>
    </row>
    <row r="86" spans="1:9" ht="36" customHeight="1" x14ac:dyDescent="0.15">
      <c r="A86" s="15" t="s">
        <v>218</v>
      </c>
      <c r="B86" s="30" t="str">
        <f>VLOOKUP(A86,'HECVAT - Full'!A$24:B$312,2,FALSE)</f>
        <v>Are user account passwords/passphrases visible in administration modules?</v>
      </c>
      <c r="C86" s="37" t="s">
        <v>578</v>
      </c>
      <c r="D86" s="41"/>
      <c r="E86" s="37" t="s">
        <v>638</v>
      </c>
      <c r="F86" s="37" t="s">
        <v>778</v>
      </c>
      <c r="G86" s="47"/>
      <c r="H86" s="38"/>
      <c r="I86" s="37" t="s">
        <v>2118</v>
      </c>
    </row>
    <row r="87" spans="1:9" ht="36" customHeight="1" x14ac:dyDescent="0.15">
      <c r="A87" s="15" t="s">
        <v>219</v>
      </c>
      <c r="B87" s="30" t="str">
        <f>VLOOKUP(A87,'HECVAT - Full'!A$24:B$312,2,FALSE)</f>
        <v>Are user account passwords/passphrases stored encrypted?</v>
      </c>
      <c r="C87" s="37" t="s">
        <v>578</v>
      </c>
      <c r="D87" s="41"/>
      <c r="E87" s="37" t="s">
        <v>638</v>
      </c>
      <c r="F87" s="37" t="s">
        <v>778</v>
      </c>
      <c r="G87" s="46" t="s">
        <v>714</v>
      </c>
      <c r="H87" s="37" t="s">
        <v>839</v>
      </c>
      <c r="I87" s="37" t="s">
        <v>2118</v>
      </c>
    </row>
    <row r="88" spans="1:9" ht="47" customHeight="1" x14ac:dyDescent="0.15">
      <c r="A88" s="15" t="s">
        <v>220</v>
      </c>
      <c r="B88" s="30" t="str">
        <f>VLOOKUP(A88,'HECVAT - Full'!A$24:B$312,2,FALSE)</f>
        <v>Does your application and/or user-frontend/portal support multi-factor authentication? (e.g. Duo, Google Authenticator, OTP, etc.)</v>
      </c>
      <c r="C88" s="37" t="s">
        <v>578</v>
      </c>
      <c r="D88" s="41"/>
      <c r="E88" s="37" t="s">
        <v>638</v>
      </c>
      <c r="F88" s="37" t="s">
        <v>771</v>
      </c>
      <c r="G88" s="46" t="s">
        <v>715</v>
      </c>
      <c r="H88" s="37" t="s">
        <v>841</v>
      </c>
      <c r="I88" s="37" t="s">
        <v>2118</v>
      </c>
    </row>
    <row r="89" spans="1:9" ht="53" customHeight="1" x14ac:dyDescent="0.15">
      <c r="A89" s="15" t="s">
        <v>221</v>
      </c>
      <c r="B89" s="30" t="str">
        <f>VLOOKUP(A89,'HECVAT - Full'!A$24:B$312,2,FALSE)</f>
        <v>Does your application support integration with other authentication and authorization systems?  List which ones (such as Active Directory, Kerberos and what version) in Additional Info?</v>
      </c>
      <c r="C89" s="37" t="s">
        <v>578</v>
      </c>
      <c r="D89" s="41"/>
      <c r="E89" s="37" t="s">
        <v>634</v>
      </c>
      <c r="F89" s="37" t="s">
        <v>779</v>
      </c>
      <c r="G89" s="47"/>
      <c r="H89" s="38"/>
      <c r="I89" s="38"/>
    </row>
    <row r="90" spans="1:9" ht="47" customHeight="1" x14ac:dyDescent="0.15">
      <c r="A90" s="15" t="s">
        <v>222</v>
      </c>
      <c r="B90" s="30" t="str">
        <f>VLOOKUP(A90,'HECVAT - Full'!A$24:B$312,2,FALSE)</f>
        <v>Will any external authentication or authorization system be utilized by an application with access to the institution's data?</v>
      </c>
      <c r="C90" s="37" t="s">
        <v>578</v>
      </c>
      <c r="D90" s="41"/>
      <c r="E90" s="37" t="s">
        <v>638</v>
      </c>
      <c r="F90" s="37" t="s">
        <v>779</v>
      </c>
      <c r="G90" s="47"/>
      <c r="H90" s="38"/>
      <c r="I90" s="37" t="s">
        <v>2118</v>
      </c>
    </row>
    <row r="91" spans="1:9" ht="54" customHeight="1" x14ac:dyDescent="0.15">
      <c r="A91" s="15" t="s">
        <v>223</v>
      </c>
      <c r="B91" s="30" t="str">
        <f>VLOOKUP(A91,'HECVAT - Full'!A$24:B$312,2,FALSE)</f>
        <v>Does the system (servers/infrastructure) support external authentication services (e.g. Active Directory, LDAP) in place of local authentication?</v>
      </c>
      <c r="C91" s="37" t="s">
        <v>578</v>
      </c>
      <c r="D91" s="41"/>
      <c r="E91" s="37" t="s">
        <v>634</v>
      </c>
      <c r="F91" s="37" t="s">
        <v>779</v>
      </c>
      <c r="G91" s="47"/>
      <c r="H91" s="38"/>
      <c r="I91" s="38"/>
    </row>
    <row r="92" spans="1:9" ht="54" customHeight="1" x14ac:dyDescent="0.15">
      <c r="A92" s="15" t="s">
        <v>224</v>
      </c>
      <c r="B92" s="30" t="str">
        <f>VLOOKUP(A92,'HECVAT - Full'!A$24:B$312,2,FALSE)</f>
        <v>Does the system operate in a mixed authentication mode (i.e. external and local authentication)?</v>
      </c>
      <c r="C92" s="37" t="s">
        <v>578</v>
      </c>
      <c r="D92" s="41"/>
      <c r="E92" s="38"/>
      <c r="F92" s="37" t="s">
        <v>779</v>
      </c>
      <c r="G92" s="47"/>
      <c r="H92" s="38"/>
      <c r="I92" s="38"/>
    </row>
    <row r="93" spans="1:9" ht="47" customHeight="1" x14ac:dyDescent="0.15">
      <c r="A93" s="15" t="s">
        <v>225</v>
      </c>
      <c r="B93" s="30" t="str">
        <f>VLOOKUP(A93,'HECVAT - Full'!A$24:B$312,2,FALSE)</f>
        <v>Will any external authentication or authorization system be utilized by a system with access to institution data?</v>
      </c>
      <c r="C93" s="37" t="s">
        <v>578</v>
      </c>
      <c r="D93" s="41"/>
      <c r="E93" s="38"/>
      <c r="F93" s="37" t="s">
        <v>779</v>
      </c>
      <c r="G93" s="46" t="s">
        <v>716</v>
      </c>
      <c r="H93" s="38"/>
      <c r="I93" s="37" t="s">
        <v>2118</v>
      </c>
    </row>
    <row r="94" spans="1:9" ht="48" customHeight="1" x14ac:dyDescent="0.15">
      <c r="A94" s="15" t="s">
        <v>226</v>
      </c>
      <c r="B94" s="30" t="str">
        <f>VLOOKUP(A94,'HECVAT - Full'!A$24:B$312,2,FALSE)</f>
        <v>Are audit logs available that include AT LEAST all of the following; login, logout, actions performed, and source IP address?</v>
      </c>
      <c r="C94" s="37" t="s">
        <v>580</v>
      </c>
      <c r="D94" s="41"/>
      <c r="E94" s="37" t="s">
        <v>635</v>
      </c>
      <c r="F94" s="37" t="s">
        <v>780</v>
      </c>
      <c r="G94" s="46" t="s">
        <v>717</v>
      </c>
      <c r="H94" s="37" t="s">
        <v>842</v>
      </c>
      <c r="I94" s="37" t="s">
        <v>2120</v>
      </c>
    </row>
    <row r="95" spans="1:9" ht="84" customHeight="1" x14ac:dyDescent="0.15">
      <c r="A95" s="15" t="s">
        <v>227</v>
      </c>
      <c r="B95" s="30" t="str">
        <f>VLOOKUP(A95,'HECVAT - Full'!A$24:B$312,2,FALSE)</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95" s="37" t="s">
        <v>580</v>
      </c>
      <c r="D95" s="41"/>
      <c r="E95" s="37" t="s">
        <v>635</v>
      </c>
      <c r="F95" s="37" t="s">
        <v>780</v>
      </c>
      <c r="G95" s="46" t="s">
        <v>718</v>
      </c>
      <c r="H95" s="37" t="s">
        <v>843</v>
      </c>
      <c r="I95" s="37" t="s">
        <v>2121</v>
      </c>
    </row>
    <row r="96" spans="1:9" ht="64.25" customHeight="1" x14ac:dyDescent="0.15">
      <c r="A96" s="15" t="s">
        <v>228</v>
      </c>
      <c r="B96" s="30" t="str">
        <f>VLOOKUP(A96,'HECVAT - Full'!A$24:B$312,2,FALSE)</f>
        <v>Describe or provide a reference to the retention period for those logs, how logs are protected, and whether they are accessible to the customer (and if so, how).</v>
      </c>
      <c r="C96" s="37" t="s">
        <v>580</v>
      </c>
      <c r="D96" s="41"/>
      <c r="E96" s="37" t="s">
        <v>635</v>
      </c>
      <c r="F96" s="37" t="s">
        <v>780</v>
      </c>
      <c r="G96" s="46" t="s">
        <v>719</v>
      </c>
      <c r="H96" s="37" t="s">
        <v>844</v>
      </c>
      <c r="I96" s="37">
        <v>10.7</v>
      </c>
    </row>
    <row r="97" spans="1:259" s="35" customFormat="1" ht="36" customHeight="1" x14ac:dyDescent="0.15">
      <c r="A97" s="301" t="str">
        <f>IF(OR($C$27="No",$C$30="Yes"),"BCP - Optional based on QUALIFIER response.","Business Continuity Plan")</f>
        <v>Business Continuity Plan</v>
      </c>
      <c r="B97" s="301"/>
      <c r="C97" s="36" t="str">
        <f>$C$22</f>
        <v>CIS Critical Security Controls v6.1</v>
      </c>
      <c r="D97" s="36" t="str">
        <f>$D$22</f>
        <v>HIPAA</v>
      </c>
      <c r="E97" s="36" t="str">
        <f>$E$22</f>
        <v>ISO 27002:2013</v>
      </c>
      <c r="F97" s="36" t="str">
        <f>$F$22</f>
        <v>NIST Cybersecurity Framework</v>
      </c>
      <c r="G97" s="25" t="str">
        <f>$G$22</f>
        <v>NIST SP 800-171r1</v>
      </c>
      <c r="H97" s="36" t="str">
        <f>$H$22</f>
        <v>NIST SP 800-53r4</v>
      </c>
      <c r="I97" s="173" t="s">
        <v>2046</v>
      </c>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c r="EA97" s="34"/>
      <c r="EB97" s="34"/>
      <c r="EC97" s="34"/>
      <c r="ED97" s="34"/>
      <c r="EE97" s="34"/>
      <c r="EF97" s="34"/>
      <c r="EG97" s="34"/>
      <c r="EH97" s="34"/>
      <c r="EI97" s="34"/>
      <c r="EJ97" s="34"/>
      <c r="EK97" s="34"/>
      <c r="EL97" s="34"/>
      <c r="EM97" s="34"/>
      <c r="EN97" s="34"/>
      <c r="EO97" s="34"/>
      <c r="EP97" s="34"/>
      <c r="EQ97" s="34"/>
      <c r="ER97" s="34"/>
      <c r="ES97" s="34"/>
      <c r="ET97" s="34"/>
      <c r="EU97" s="34"/>
      <c r="EV97" s="34"/>
      <c r="EW97" s="34"/>
      <c r="EX97" s="34"/>
      <c r="EY97" s="34"/>
      <c r="EZ97" s="34"/>
      <c r="FA97" s="34"/>
      <c r="FB97" s="34"/>
      <c r="FC97" s="34"/>
      <c r="FD97" s="34"/>
      <c r="FE97" s="34"/>
      <c r="FF97" s="34"/>
      <c r="FG97" s="34"/>
      <c r="FH97" s="34"/>
      <c r="FI97" s="34"/>
      <c r="FJ97" s="34"/>
      <c r="FK97" s="34"/>
      <c r="FL97" s="34"/>
      <c r="FM97" s="34"/>
      <c r="FN97" s="34"/>
      <c r="FO97" s="34"/>
      <c r="FP97" s="34"/>
      <c r="FQ97" s="34"/>
      <c r="FR97" s="34"/>
      <c r="FS97" s="34"/>
      <c r="FT97" s="34"/>
      <c r="FU97" s="34"/>
      <c r="FV97" s="34"/>
      <c r="FW97" s="34"/>
      <c r="FX97" s="34"/>
      <c r="FY97" s="34"/>
      <c r="FZ97" s="34"/>
      <c r="GA97" s="34"/>
      <c r="GB97" s="34"/>
      <c r="GC97" s="34"/>
      <c r="GD97" s="34"/>
      <c r="GE97" s="34"/>
      <c r="GF97" s="34"/>
      <c r="GG97" s="34"/>
      <c r="GH97" s="34"/>
      <c r="GI97" s="34"/>
      <c r="GJ97" s="34"/>
      <c r="GK97" s="34"/>
      <c r="GL97" s="34"/>
      <c r="GM97" s="34"/>
      <c r="GN97" s="34"/>
      <c r="GO97" s="34"/>
      <c r="GP97" s="34"/>
      <c r="GQ97" s="34"/>
      <c r="GR97" s="34"/>
      <c r="GS97" s="34"/>
      <c r="GT97" s="34"/>
      <c r="GU97" s="34"/>
      <c r="GV97" s="34"/>
      <c r="GW97" s="34"/>
      <c r="GX97" s="34"/>
      <c r="GY97" s="34"/>
      <c r="GZ97" s="34"/>
      <c r="HA97" s="34"/>
      <c r="HB97" s="34"/>
      <c r="HC97" s="34"/>
      <c r="HD97" s="34"/>
      <c r="HE97" s="34"/>
      <c r="HF97" s="34"/>
      <c r="HG97" s="34"/>
      <c r="HH97" s="34"/>
      <c r="HI97" s="34"/>
      <c r="HJ97" s="34"/>
      <c r="HK97" s="34"/>
      <c r="HL97" s="34"/>
      <c r="HM97" s="34"/>
      <c r="HN97" s="34"/>
      <c r="HO97" s="34"/>
      <c r="HP97" s="34"/>
      <c r="HQ97" s="34"/>
      <c r="HR97" s="34"/>
      <c r="HS97" s="34"/>
      <c r="HT97" s="34"/>
      <c r="HU97" s="34"/>
      <c r="HV97" s="34"/>
      <c r="HW97" s="34"/>
      <c r="HX97" s="34"/>
      <c r="HY97" s="34"/>
      <c r="HZ97" s="34"/>
      <c r="IA97" s="34"/>
      <c r="IB97" s="34"/>
      <c r="IC97" s="34"/>
      <c r="ID97" s="34"/>
      <c r="IE97" s="34"/>
      <c r="IF97" s="34"/>
      <c r="IG97" s="34"/>
      <c r="IH97" s="34"/>
      <c r="II97" s="34"/>
      <c r="IJ97" s="34"/>
      <c r="IK97" s="34"/>
      <c r="IL97" s="34"/>
      <c r="IM97" s="34"/>
      <c r="IN97" s="34"/>
      <c r="IO97" s="34"/>
      <c r="IP97" s="34"/>
      <c r="IQ97" s="34"/>
      <c r="IR97" s="34"/>
      <c r="IS97" s="34"/>
      <c r="IT97" s="34"/>
      <c r="IU97" s="34"/>
      <c r="IV97" s="34"/>
      <c r="IW97" s="34"/>
      <c r="IX97" s="34"/>
      <c r="IY97" s="34"/>
    </row>
    <row r="98" spans="1:259" ht="48" customHeight="1" x14ac:dyDescent="0.15">
      <c r="A98" s="15" t="s">
        <v>211</v>
      </c>
      <c r="B98" s="30" t="str">
        <f>VLOOKUP(A98,'HECVAT - Full'!A$24:B$312,2,FALSE)</f>
        <v>Describe or provide a reference to your Business Continuity Plan (BCP).</v>
      </c>
      <c r="C98" s="37" t="s">
        <v>571</v>
      </c>
      <c r="D98" s="41"/>
      <c r="E98" s="37" t="s">
        <v>641</v>
      </c>
      <c r="F98" s="37" t="s">
        <v>700</v>
      </c>
      <c r="G98" s="46" t="s">
        <v>720</v>
      </c>
      <c r="H98" s="37" t="s">
        <v>845</v>
      </c>
      <c r="I98" s="47"/>
    </row>
    <row r="99" spans="1:259" ht="47" customHeight="1" x14ac:dyDescent="0.15">
      <c r="A99" s="15" t="s">
        <v>229</v>
      </c>
      <c r="B99" s="30" t="str">
        <f>VLOOKUP(A99,'HECVAT - Full'!A$24:B$312,2,FALSE)</f>
        <v>May the Institution review your BCP and supporting documentation?</v>
      </c>
      <c r="C99" s="37" t="s">
        <v>571</v>
      </c>
      <c r="D99" s="41"/>
      <c r="E99" s="38"/>
      <c r="F99" s="37" t="s">
        <v>700</v>
      </c>
      <c r="G99" s="46" t="s">
        <v>720</v>
      </c>
      <c r="H99" s="37" t="s">
        <v>846</v>
      </c>
      <c r="I99" s="47"/>
    </row>
    <row r="100" spans="1:259" ht="47" customHeight="1" x14ac:dyDescent="0.15">
      <c r="A100" s="15" t="s">
        <v>230</v>
      </c>
      <c r="B100" s="30" t="str">
        <f>VLOOKUP(A100,'HECVAT - Full'!A$24:B$312,2,FALSE)</f>
        <v>Is an owner assigned who is responsible for the maintenance and review of the Business Continuity Plan?</v>
      </c>
      <c r="C100" s="37" t="s">
        <v>571</v>
      </c>
      <c r="D100" s="41"/>
      <c r="E100" s="37" t="s">
        <v>641</v>
      </c>
      <c r="F100" s="37" t="s">
        <v>700</v>
      </c>
      <c r="G100" s="46" t="s">
        <v>720</v>
      </c>
      <c r="H100" s="37" t="s">
        <v>845</v>
      </c>
      <c r="I100" s="47"/>
    </row>
    <row r="101" spans="1:259" ht="47" customHeight="1" x14ac:dyDescent="0.15">
      <c r="A101" s="15" t="s">
        <v>231</v>
      </c>
      <c r="B101" s="30" t="str">
        <f>VLOOKUP(A101,'HECVAT - Full'!A$24:B$312,2,FALSE)</f>
        <v>Is there a defined problem/issue escalation plan in your BCP for impacted clients?</v>
      </c>
      <c r="C101" s="37" t="s">
        <v>571</v>
      </c>
      <c r="D101" s="41"/>
      <c r="E101" s="37" t="s">
        <v>644</v>
      </c>
      <c r="F101" s="37" t="s">
        <v>700</v>
      </c>
      <c r="G101" s="46" t="s">
        <v>720</v>
      </c>
      <c r="H101" s="37" t="s">
        <v>845</v>
      </c>
      <c r="I101" s="47"/>
    </row>
    <row r="102" spans="1:259" ht="47" customHeight="1" x14ac:dyDescent="0.15">
      <c r="A102" s="15" t="s">
        <v>232</v>
      </c>
      <c r="B102" s="30" t="str">
        <f>VLOOKUP(A102,'HECVAT - Full'!A$24:B$312,2,FALSE)</f>
        <v>Is there a documented communication plan in your BCP for impacted clients?</v>
      </c>
      <c r="C102" s="37" t="s">
        <v>571</v>
      </c>
      <c r="D102" s="41"/>
      <c r="E102" s="37" t="s">
        <v>618</v>
      </c>
      <c r="F102" s="37" t="s">
        <v>700</v>
      </c>
      <c r="G102" s="46" t="s">
        <v>720</v>
      </c>
      <c r="H102" s="37" t="s">
        <v>845</v>
      </c>
      <c r="I102" s="47"/>
    </row>
    <row r="103" spans="1:259" ht="48" customHeight="1" x14ac:dyDescent="0.15">
      <c r="A103" s="15" t="s">
        <v>233</v>
      </c>
      <c r="B103" s="30" t="str">
        <f>VLOOKUP(A103,'HECVAT - Full'!A$24:B$312,2,FALSE)</f>
        <v xml:space="preserve">Are all components of the BCP reviewed at least annually and updated as needed to reflect change? </v>
      </c>
      <c r="C103" s="37" t="s">
        <v>571</v>
      </c>
      <c r="D103" s="41"/>
      <c r="E103" s="37" t="s">
        <v>618</v>
      </c>
      <c r="F103" s="37" t="s">
        <v>700</v>
      </c>
      <c r="G103" s="46" t="s">
        <v>720</v>
      </c>
      <c r="H103" s="106" t="s">
        <v>845</v>
      </c>
      <c r="I103" s="47"/>
    </row>
    <row r="104" spans="1:259" ht="48" customHeight="1" x14ac:dyDescent="0.15">
      <c r="A104" s="15" t="s">
        <v>234</v>
      </c>
      <c r="B104" s="30" t="str">
        <f>VLOOKUP(A104,'HECVAT - Full'!A$24:B$312,2,FALSE)</f>
        <v xml:space="preserve">Has your BCP been tested in the last year? </v>
      </c>
      <c r="C104" s="37" t="s">
        <v>571</v>
      </c>
      <c r="D104" s="41"/>
      <c r="E104" s="37" t="s">
        <v>642</v>
      </c>
      <c r="F104" s="37" t="s">
        <v>700</v>
      </c>
      <c r="G104" s="46" t="s">
        <v>720</v>
      </c>
      <c r="H104" s="37" t="s">
        <v>845</v>
      </c>
      <c r="I104" s="47"/>
    </row>
    <row r="105" spans="1:259" ht="47" customHeight="1" x14ac:dyDescent="0.15">
      <c r="A105" s="15" t="s">
        <v>235</v>
      </c>
      <c r="B105" s="30" t="str">
        <f>VLOOKUP(A105,'HECVAT - Full'!A$24:B$312,2,FALSE)</f>
        <v>Does your organization conduct training and awareness activities to validate its employees understanding of their roles and responsibilities during a crisis?</v>
      </c>
      <c r="C105" s="37" t="s">
        <v>571</v>
      </c>
      <c r="D105" s="41"/>
      <c r="E105" s="37" t="s">
        <v>646</v>
      </c>
      <c r="F105" s="37" t="s">
        <v>700</v>
      </c>
      <c r="G105" s="46" t="s">
        <v>721</v>
      </c>
      <c r="H105" s="37" t="s">
        <v>847</v>
      </c>
      <c r="I105" s="37" t="s">
        <v>2115</v>
      </c>
    </row>
    <row r="106" spans="1:259" ht="47" customHeight="1" x14ac:dyDescent="0.15">
      <c r="A106" s="15" t="s">
        <v>236</v>
      </c>
      <c r="B106" s="30" t="str">
        <f>VLOOKUP(A106,'HECVAT - Full'!A$24:B$312,2,FALSE)</f>
        <v>Are specific crisis management roles and responsibilities defined and documented?</v>
      </c>
      <c r="C106" s="37" t="s">
        <v>571</v>
      </c>
      <c r="D106" s="41"/>
      <c r="E106" s="37" t="s">
        <v>645</v>
      </c>
      <c r="F106" s="37" t="s">
        <v>700</v>
      </c>
      <c r="G106" s="47"/>
      <c r="H106" s="37" t="s">
        <v>846</v>
      </c>
      <c r="I106" s="37" t="s">
        <v>2115</v>
      </c>
    </row>
    <row r="107" spans="1:259" ht="47" customHeight="1" x14ac:dyDescent="0.15">
      <c r="A107" s="15" t="s">
        <v>237</v>
      </c>
      <c r="B107" s="30" t="str">
        <f>VLOOKUP(A107,'HECVAT - Full'!A$24:B$312,2,FALSE)</f>
        <v>Does your organization have an alternative business site or a contracted Business Recovery provider?</v>
      </c>
      <c r="C107" s="37" t="s">
        <v>571</v>
      </c>
      <c r="D107" s="41"/>
      <c r="E107" s="37" t="s">
        <v>643</v>
      </c>
      <c r="F107" s="37" t="s">
        <v>700</v>
      </c>
      <c r="G107" s="47"/>
      <c r="H107" s="37" t="s">
        <v>846</v>
      </c>
      <c r="I107" s="37">
        <v>12.1</v>
      </c>
    </row>
    <row r="108" spans="1:259" ht="47" customHeight="1" x14ac:dyDescent="0.15">
      <c r="A108" s="15" t="s">
        <v>238</v>
      </c>
      <c r="B108" s="30" t="str">
        <f>VLOOKUP(A108,'HECVAT - Full'!A$24:B$312,2,FALSE)</f>
        <v>Does your organization conduct an annual test of relocating to an alternate site for business recovery purposes?</v>
      </c>
      <c r="C108" s="37" t="s">
        <v>571</v>
      </c>
      <c r="D108" s="41"/>
      <c r="E108" s="37" t="s">
        <v>642</v>
      </c>
      <c r="F108" s="37" t="s">
        <v>700</v>
      </c>
      <c r="G108" s="47"/>
      <c r="H108" s="37" t="s">
        <v>846</v>
      </c>
      <c r="I108" s="37">
        <v>12.1</v>
      </c>
    </row>
    <row r="109" spans="1:259" ht="64.25" customHeight="1" x14ac:dyDescent="0.15">
      <c r="A109" s="15" t="s">
        <v>239</v>
      </c>
      <c r="B109" s="30" t="str">
        <f>VLOOKUP(A109,'HECVAT - Full'!A$24:B$312,2,FALSE)</f>
        <v>Is this product a core service of your organization, and as such, the top priority during business continuity planning?</v>
      </c>
      <c r="C109" s="37" t="s">
        <v>571</v>
      </c>
      <c r="D109" s="41"/>
      <c r="E109" s="38"/>
      <c r="F109" s="37" t="s">
        <v>700</v>
      </c>
      <c r="G109" s="47"/>
      <c r="H109" s="37" t="s">
        <v>846</v>
      </c>
      <c r="I109" s="37">
        <v>12.1</v>
      </c>
    </row>
    <row r="110" spans="1:259" ht="36" customHeight="1" x14ac:dyDescent="0.15">
      <c r="A110" s="301" t="str">
        <f>IF($C$30="","Change Management",IF($C$30="Yes","Change Management - Optional based on QUALIFIER response.","Change Management"))</f>
        <v>Change Management</v>
      </c>
      <c r="B110" s="301"/>
      <c r="C110" s="36" t="str">
        <f>$C$22</f>
        <v>CIS Critical Security Controls v6.1</v>
      </c>
      <c r="D110" s="36" t="str">
        <f>$D$22</f>
        <v>HIPAA</v>
      </c>
      <c r="E110" s="36" t="str">
        <f>$E$22</f>
        <v>ISO 27002:2013</v>
      </c>
      <c r="F110" s="36" t="str">
        <f>$F$22</f>
        <v>NIST Cybersecurity Framework</v>
      </c>
      <c r="G110" s="25" t="str">
        <f>$G$22</f>
        <v>NIST SP 800-171r1</v>
      </c>
      <c r="H110" s="36" t="str">
        <f>$H$22</f>
        <v>NIST SP 800-53r4</v>
      </c>
      <c r="I110" s="173" t="s">
        <v>2046</v>
      </c>
    </row>
    <row r="111" spans="1:259" ht="48" customHeight="1" x14ac:dyDescent="0.15">
      <c r="A111" s="15" t="s">
        <v>240</v>
      </c>
      <c r="B111" s="30" t="str">
        <f>VLOOKUP(A111,'HECVAT - Full'!A$24:B$312,2,FALSE)</f>
        <v xml:space="preserve">Do you have a documented and currently followed change management process (CMP)? </v>
      </c>
      <c r="C111" s="37" t="s">
        <v>571</v>
      </c>
      <c r="D111" s="41"/>
      <c r="E111" s="37" t="s">
        <v>647</v>
      </c>
      <c r="F111" s="37" t="s">
        <v>781</v>
      </c>
      <c r="G111" s="46" t="s">
        <v>722</v>
      </c>
      <c r="H111" s="37" t="s">
        <v>848</v>
      </c>
      <c r="I111" s="37" t="s">
        <v>2123</v>
      </c>
    </row>
    <row r="112" spans="1:259" ht="80" customHeight="1" x14ac:dyDescent="0.15">
      <c r="A112" s="15" t="s">
        <v>241</v>
      </c>
      <c r="B112" s="30" t="str">
        <f>VLOOKUP(A112,'HECVAT - Full'!A$24:B$312,2,FALSE)</f>
        <v>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v>
      </c>
      <c r="C112" s="37" t="s">
        <v>571</v>
      </c>
      <c r="D112" s="41"/>
      <c r="E112" s="37" t="s">
        <v>647</v>
      </c>
      <c r="F112" s="37" t="s">
        <v>782</v>
      </c>
      <c r="G112" s="46" t="s">
        <v>723</v>
      </c>
      <c r="H112" s="37" t="s">
        <v>848</v>
      </c>
      <c r="I112" s="37" t="s">
        <v>2123</v>
      </c>
    </row>
    <row r="113" spans="1:259" ht="64.25" customHeight="1" x14ac:dyDescent="0.15">
      <c r="A113" s="15" t="s">
        <v>242</v>
      </c>
      <c r="B113" s="30" t="str">
        <f>VLOOKUP(A113,'HECVAT - Full'!A$24:B$312,2,FALSE)</f>
        <v>Will the Institution be notified of major changes to your environment that could impact the Institution's security posture?</v>
      </c>
      <c r="C113" s="37" t="s">
        <v>571</v>
      </c>
      <c r="D113" s="41"/>
      <c r="E113" s="37" t="s">
        <v>647</v>
      </c>
      <c r="F113" s="38"/>
      <c r="G113" s="47"/>
      <c r="H113" s="37" t="s">
        <v>848</v>
      </c>
      <c r="I113" s="37" t="s">
        <v>2124</v>
      </c>
    </row>
    <row r="114" spans="1:259" ht="64.25" customHeight="1" x14ac:dyDescent="0.15">
      <c r="A114" s="15" t="s">
        <v>243</v>
      </c>
      <c r="B114" s="30" t="str">
        <f>VLOOKUP(A114,'HECVAT - Full'!A$24:B$312,2,FALSE)</f>
        <v>Do clients have the option to not participate in or postpone an upgrade to a new release?</v>
      </c>
      <c r="C114" s="37" t="s">
        <v>571</v>
      </c>
      <c r="D114" s="42"/>
      <c r="E114" s="38"/>
      <c r="F114" s="38"/>
      <c r="G114" s="47"/>
      <c r="H114" s="37" t="s">
        <v>848</v>
      </c>
      <c r="I114" s="37">
        <v>12.1</v>
      </c>
    </row>
    <row r="115" spans="1:259" ht="64.25" customHeight="1" x14ac:dyDescent="0.15">
      <c r="A115" s="15" t="s">
        <v>244</v>
      </c>
      <c r="B115" s="30" t="str">
        <f>VLOOKUP(A115,'HECVAT - Full'!A$24:B$312,2,FALSE)</f>
        <v>Describe or provide a reference to your solution support strategy in relation to maintaining software currency. (i.e. how many concurrent versions are you willing to run and support?)</v>
      </c>
      <c r="C115" s="37" t="s">
        <v>575</v>
      </c>
      <c r="D115" s="41"/>
      <c r="E115" s="38"/>
      <c r="F115" s="38"/>
      <c r="G115" s="47"/>
      <c r="H115" s="37" t="s">
        <v>848</v>
      </c>
      <c r="I115" s="37" t="s">
        <v>2125</v>
      </c>
    </row>
    <row r="116" spans="1:259" ht="64.25" customHeight="1" x14ac:dyDescent="0.15">
      <c r="A116" s="15" t="s">
        <v>245</v>
      </c>
      <c r="B116" s="30" t="str">
        <f>VLOOKUP(A116,'HECVAT - Full'!A$24:B$312,2,FALSE)</f>
        <v>Identify the most current version of the software. Detail the percentage of live customers that are utilizing the proposed version of the software as well as each version of the software currently in use.</v>
      </c>
      <c r="C116" s="37" t="s">
        <v>575</v>
      </c>
      <c r="D116" s="41"/>
      <c r="E116" s="38"/>
      <c r="F116" s="38"/>
      <c r="G116" s="47"/>
      <c r="H116" s="37" t="s">
        <v>848</v>
      </c>
      <c r="I116" s="47"/>
    </row>
    <row r="117" spans="1:259" ht="64.25" customHeight="1" x14ac:dyDescent="0.15">
      <c r="A117" s="15" t="s">
        <v>246</v>
      </c>
      <c r="B117" s="30" t="str">
        <f>VLOOKUP(A117,'HECVAT - Full'!A$24:B$312,2,FALSE)</f>
        <v>Does the system support client customizations from one release to another?</v>
      </c>
      <c r="C117" s="37" t="s">
        <v>571</v>
      </c>
      <c r="D117" s="41"/>
      <c r="E117" s="38"/>
      <c r="F117" s="38"/>
      <c r="G117" s="47"/>
      <c r="H117" s="37" t="s">
        <v>848</v>
      </c>
      <c r="I117" s="47"/>
    </row>
    <row r="118" spans="1:259" ht="64.25" customHeight="1" x14ac:dyDescent="0.15">
      <c r="A118" s="15" t="s">
        <v>247</v>
      </c>
      <c r="B118" s="30" t="str">
        <f>VLOOKUP(A118,'HECVAT - Full'!A$24:B$312,2,FALSE)</f>
        <v>Does your organization ensure through policy and procedure (that is currently implemented) that only application software verifiable as authorized, tested, and approved for production, and having met all other requirements and reviews necessary for commissioning, is placed into production?</v>
      </c>
      <c r="C118" s="37" t="s">
        <v>575</v>
      </c>
      <c r="D118" s="41"/>
      <c r="E118" s="37" t="s">
        <v>630</v>
      </c>
      <c r="F118" s="37" t="s">
        <v>777</v>
      </c>
      <c r="G118" s="46" t="s">
        <v>724</v>
      </c>
      <c r="H118" s="37" t="s">
        <v>848</v>
      </c>
      <c r="I118" s="37">
        <v>12.1</v>
      </c>
    </row>
    <row r="119" spans="1:259" ht="64.25" customHeight="1" x14ac:dyDescent="0.15">
      <c r="A119" s="15" t="s">
        <v>248</v>
      </c>
      <c r="B119" s="30" t="str">
        <f>VLOOKUP(A119,'HECVAT - Full'!A$24:B$312,2,FALSE)</f>
        <v>Do you have a release schedule for product updates?</v>
      </c>
      <c r="C119" s="37" t="s">
        <v>571</v>
      </c>
      <c r="D119" s="41"/>
      <c r="E119" s="38"/>
      <c r="F119" s="38"/>
      <c r="G119" s="46" t="s">
        <v>725</v>
      </c>
      <c r="H119" s="37" t="s">
        <v>848</v>
      </c>
      <c r="I119" s="47"/>
    </row>
    <row r="120" spans="1:259" ht="64.25" customHeight="1" x14ac:dyDescent="0.15">
      <c r="A120" s="15" t="s">
        <v>249</v>
      </c>
      <c r="B120" s="30" t="str">
        <f>VLOOKUP(A120,'HECVAT - Full'!A$24:B$312,2,FALSE)</f>
        <v>Do you have a technology roadmap, for the next 2 years, for enhancements and bug fixes for the product/service being assessed?</v>
      </c>
      <c r="C120" s="37" t="s">
        <v>575</v>
      </c>
      <c r="D120" s="41"/>
      <c r="E120" s="38"/>
      <c r="F120" s="38"/>
      <c r="G120" s="47"/>
      <c r="H120" s="37" t="s">
        <v>848</v>
      </c>
      <c r="I120" s="47"/>
    </row>
    <row r="121" spans="1:259" ht="64.25" customHeight="1" x14ac:dyDescent="0.15">
      <c r="A121" s="15" t="s">
        <v>250</v>
      </c>
      <c r="B121" s="30" t="str">
        <f>VLOOKUP(A121,'HECVAT - Full'!A$24:B$312,2,FALSE)</f>
        <v>Is Institution involvement (i.e. technically or organizationally) required during product updates?</v>
      </c>
      <c r="C121" s="38"/>
      <c r="D121" s="41"/>
      <c r="E121" s="38"/>
      <c r="F121" s="38"/>
      <c r="G121" s="47"/>
      <c r="H121" s="37" t="s">
        <v>848</v>
      </c>
      <c r="I121" s="47"/>
    </row>
    <row r="122" spans="1:259" ht="64.25" customHeight="1" x14ac:dyDescent="0.15">
      <c r="A122" s="15" t="s">
        <v>251</v>
      </c>
      <c r="B122" s="30" t="str">
        <f>VLOOKUP(A122,'HECVAT - Full'!A$24:B$312,2,FALSE)</f>
        <v>Do you have policy and procedure, currently implemented, managing how critical patches are applied to all systems and applications?</v>
      </c>
      <c r="C122" s="37" t="s">
        <v>575</v>
      </c>
      <c r="D122" s="41"/>
      <c r="E122" s="37" t="s">
        <v>648</v>
      </c>
      <c r="F122" s="38"/>
      <c r="G122" s="47"/>
      <c r="H122" s="37" t="s">
        <v>848</v>
      </c>
      <c r="I122" s="37" t="s">
        <v>2126</v>
      </c>
    </row>
    <row r="123" spans="1:259" ht="64.25" customHeight="1" x14ac:dyDescent="0.15">
      <c r="A123" s="15" t="s">
        <v>252</v>
      </c>
      <c r="B123" s="30" t="str">
        <f>VLOOKUP(A123,'HECVAT - Full'!A$24:B$312,2,FALSE)</f>
        <v>Do you have policy and procedure, currently implemented, guiding how security risks are mitigated until patches can be applied?</v>
      </c>
      <c r="C123" s="37" t="s">
        <v>569</v>
      </c>
      <c r="D123" s="37" t="s">
        <v>601</v>
      </c>
      <c r="E123" s="37" t="s">
        <v>648</v>
      </c>
      <c r="F123" s="38"/>
      <c r="G123" s="47"/>
      <c r="H123" s="37" t="s">
        <v>848</v>
      </c>
      <c r="I123" s="37" t="s">
        <v>2127</v>
      </c>
    </row>
    <row r="124" spans="1:259" ht="48" customHeight="1" x14ac:dyDescent="0.15">
      <c r="A124" s="15" t="s">
        <v>253</v>
      </c>
      <c r="B124" s="30" t="str">
        <f>VLOOKUP(A124,'HECVAT - Full'!A$24:B$312,2,FALSE)</f>
        <v>Are upgrades or system changes installed during off-peak hours or in a manner that does not impact the customer?</v>
      </c>
      <c r="C124" s="37" t="s">
        <v>571</v>
      </c>
      <c r="D124" s="42"/>
      <c r="E124" s="38"/>
      <c r="F124" s="38"/>
      <c r="G124" s="47"/>
      <c r="H124" s="37" t="s">
        <v>848</v>
      </c>
      <c r="I124" s="37" t="s">
        <v>2128</v>
      </c>
    </row>
    <row r="125" spans="1:259" ht="48" customHeight="1" x14ac:dyDescent="0.15">
      <c r="A125" s="15" t="s">
        <v>254</v>
      </c>
      <c r="B125" s="30" t="str">
        <f>VLOOKUP(A125,'HECVAT - Full'!A$24:B$312,2,FALSE)</f>
        <v>Do procedures exist to provide that emergency changes are documented and authorized (including after the fact approval)?</v>
      </c>
      <c r="C125" s="37" t="s">
        <v>571</v>
      </c>
      <c r="D125" s="42"/>
      <c r="E125" s="37" t="s">
        <v>647</v>
      </c>
      <c r="F125" s="37" t="s">
        <v>781</v>
      </c>
      <c r="G125" s="47"/>
      <c r="H125" s="37" t="s">
        <v>848</v>
      </c>
      <c r="I125" s="37" t="s">
        <v>2129</v>
      </c>
    </row>
    <row r="126" spans="1:259" ht="36" customHeight="1" x14ac:dyDescent="0.2">
      <c r="A126" s="301" t="str">
        <f>IF($C$30="","Data",IF($C$30="Yes","Data - Optional based on QUALIFIER response.","Data"))</f>
        <v>Data</v>
      </c>
      <c r="B126" s="301"/>
      <c r="C126" s="36" t="str">
        <f>$C$22</f>
        <v>CIS Critical Security Controls v6.1</v>
      </c>
      <c r="D126" s="36" t="str">
        <f>$D$22</f>
        <v>HIPAA</v>
      </c>
      <c r="E126" s="36" t="str">
        <f>$E$22</f>
        <v>ISO 27002:2013</v>
      </c>
      <c r="F126" s="36" t="str">
        <f>$F$22</f>
        <v>NIST Cybersecurity Framework</v>
      </c>
      <c r="G126" s="25" t="str">
        <f>$G$22</f>
        <v>NIST SP 800-171r1</v>
      </c>
      <c r="H126" s="36" t="str">
        <f>$H$22</f>
        <v>NIST SP 800-53r4</v>
      </c>
      <c r="I126" s="173" t="s">
        <v>2046</v>
      </c>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row>
    <row r="127" spans="1:259" ht="48" customHeight="1" x14ac:dyDescent="0.2">
      <c r="A127" s="15" t="s">
        <v>255</v>
      </c>
      <c r="B127" s="30" t="str">
        <f>VLOOKUP(A127,'HECVAT - Full'!A$24:B$312,2,FALSE)</f>
        <v>Do you physically and logically separate Institution's data from that of other customers?</v>
      </c>
      <c r="C127" s="37" t="s">
        <v>574</v>
      </c>
      <c r="D127" s="38"/>
      <c r="E127" s="38"/>
      <c r="F127" s="37" t="s">
        <v>784</v>
      </c>
      <c r="G127" s="46" t="s">
        <v>726</v>
      </c>
      <c r="H127" s="37" t="s">
        <v>849</v>
      </c>
      <c r="I127" s="37">
        <v>12.8</v>
      </c>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row>
    <row r="128" spans="1:259" ht="48" customHeight="1" x14ac:dyDescent="0.2">
      <c r="A128" s="15" t="s">
        <v>256</v>
      </c>
      <c r="B128" s="30" t="str">
        <f>VLOOKUP(A128,'HECVAT - Full'!A$24:B$312,2,FALSE)</f>
        <v>Will Institution's data be stored on any devices (database servers, file servers, SAN, NAS, …) configured with non-RFC 1918/4193 (i.e. publicly routable) IP addresses?</v>
      </c>
      <c r="C128" s="37" t="s">
        <v>574</v>
      </c>
      <c r="D128" s="38"/>
      <c r="E128" s="38"/>
      <c r="F128" s="37" t="s">
        <v>784</v>
      </c>
      <c r="G128" s="46" t="s">
        <v>727</v>
      </c>
      <c r="H128" s="37" t="s">
        <v>850</v>
      </c>
      <c r="I128" s="37" t="s">
        <v>2130</v>
      </c>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row>
    <row r="129" spans="1:259" ht="48" customHeight="1" x14ac:dyDescent="0.2">
      <c r="A129" s="15" t="s">
        <v>257</v>
      </c>
      <c r="B129" s="30" t="str">
        <f>VLOOKUP(A129,'HECVAT - Full'!A$24:B$312,2,FALSE)</f>
        <v>Is sensitive data encrypted in transport? (e.g. system-to-client)</v>
      </c>
      <c r="C129" s="37" t="s">
        <v>569</v>
      </c>
      <c r="D129" s="38"/>
      <c r="E129" s="37" t="s">
        <v>650</v>
      </c>
      <c r="F129" s="37" t="s">
        <v>785</v>
      </c>
      <c r="G129" s="47"/>
      <c r="H129" s="38"/>
      <c r="I129" s="37" t="s">
        <v>2131</v>
      </c>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row>
    <row r="130" spans="1:259" ht="48" customHeight="1" x14ac:dyDescent="0.2">
      <c r="A130" s="15" t="s">
        <v>258</v>
      </c>
      <c r="B130" s="30" t="str">
        <f>VLOOKUP(A130,'HECVAT - Full'!A$24:B$312,2,FALSE)</f>
        <v>Is sensitive data encrypted in storage (e.g. disk encryption, at-rest)?</v>
      </c>
      <c r="C130" s="37" t="s">
        <v>569</v>
      </c>
      <c r="D130" s="38"/>
      <c r="E130" s="37" t="s">
        <v>651</v>
      </c>
      <c r="F130" s="37" t="s">
        <v>786</v>
      </c>
      <c r="G130" s="46" t="s">
        <v>728</v>
      </c>
      <c r="H130" s="37" t="s">
        <v>851</v>
      </c>
      <c r="I130" s="37">
        <v>12.8</v>
      </c>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row>
    <row r="131" spans="1:259" ht="48" customHeight="1" x14ac:dyDescent="0.2">
      <c r="A131" s="15" t="s">
        <v>259</v>
      </c>
      <c r="B131" s="30" t="str">
        <f>VLOOKUP(A131,'HECVAT - Full'!A$24:B$312,2,FALSE)</f>
        <v>Do you employ or allow any cryptographic modules that do not conform to the Federal Information Processing Standards (FIPS PUB 140-2)?</v>
      </c>
      <c r="C131" s="37" t="s">
        <v>569</v>
      </c>
      <c r="D131" s="38"/>
      <c r="E131" s="37" t="s">
        <v>651</v>
      </c>
      <c r="F131" s="38"/>
      <c r="G131" s="46" t="s">
        <v>737</v>
      </c>
      <c r="H131" s="38"/>
      <c r="I131" s="37">
        <v>12.1</v>
      </c>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row>
    <row r="132" spans="1:259" ht="65" customHeight="1" x14ac:dyDescent="0.2">
      <c r="A132" s="15" t="s">
        <v>260</v>
      </c>
      <c r="B132" s="30" t="str">
        <f>VLOOKUP(A132,'HECVAT - Full'!A$24:B$312,2,FALSE)</f>
        <v>Does your system employ encryption technologies when transmitting sensitive information over TCP/IP networks (e.g., SSH, SSL/TLS, VPN)? (e.g. system-to-system and system-to-client)</v>
      </c>
      <c r="C132" s="37" t="s">
        <v>569</v>
      </c>
      <c r="D132" s="38"/>
      <c r="E132" s="37" t="s">
        <v>657</v>
      </c>
      <c r="F132" s="37" t="s">
        <v>785</v>
      </c>
      <c r="G132" s="47"/>
      <c r="H132" s="37" t="s">
        <v>852</v>
      </c>
      <c r="I132" s="37" t="s">
        <v>2131</v>
      </c>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row>
    <row r="133" spans="1:259" ht="60" customHeight="1" x14ac:dyDescent="0.2">
      <c r="A133" s="15" t="s">
        <v>261</v>
      </c>
      <c r="B133" s="30" t="str">
        <f>VLOOKUP(A133,'HECVAT - Full'!A$24:B$312,2,FALSE)</f>
        <v>List all locations (i.e. city + datacenter name) where the institution's data will be stored?</v>
      </c>
      <c r="C133" s="37" t="s">
        <v>581</v>
      </c>
      <c r="D133" s="38"/>
      <c r="E133" s="38"/>
      <c r="F133" s="38"/>
      <c r="G133" s="46" t="s">
        <v>729</v>
      </c>
      <c r="H133" s="37" t="s">
        <v>830</v>
      </c>
      <c r="I133" s="37" t="s">
        <v>2130</v>
      </c>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row>
    <row r="134" spans="1:259" ht="36" customHeight="1" x14ac:dyDescent="0.2">
      <c r="A134" s="15" t="s">
        <v>262</v>
      </c>
      <c r="B134" s="30" t="str">
        <f>VLOOKUP(A134,'HECVAT - Full'!A$24:B$312,2,FALSE)</f>
        <v>At the completion of this contract, will data be returned to the institution?</v>
      </c>
      <c r="C134" s="37" t="s">
        <v>569</v>
      </c>
      <c r="D134" s="38"/>
      <c r="E134" s="37" t="s">
        <v>652</v>
      </c>
      <c r="F134" s="38"/>
      <c r="G134" s="46" t="s">
        <v>729</v>
      </c>
      <c r="H134" s="37" t="s">
        <v>830</v>
      </c>
      <c r="I134" s="37">
        <v>12.8</v>
      </c>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row>
    <row r="135" spans="1:259" ht="48" customHeight="1" x14ac:dyDescent="0.2">
      <c r="A135" s="15" t="s">
        <v>263</v>
      </c>
      <c r="B135" s="30" t="str">
        <f>VLOOKUP(A135,'HECVAT - Full'!A$24:B$312,2,FALSE)</f>
        <v>Will the institution's data be available within the system for a period of time at the completion of this contract?</v>
      </c>
      <c r="C135" s="37" t="s">
        <v>569</v>
      </c>
      <c r="D135" s="38"/>
      <c r="E135" s="37" t="s">
        <v>652</v>
      </c>
      <c r="F135" s="38"/>
      <c r="G135" s="47"/>
      <c r="H135" s="38"/>
      <c r="I135" s="37">
        <v>12.8</v>
      </c>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row>
    <row r="136" spans="1:259" ht="36" customHeight="1" x14ac:dyDescent="0.2">
      <c r="A136" s="15" t="s">
        <v>264</v>
      </c>
      <c r="B136" s="30" t="str">
        <f>VLOOKUP(A136,'HECVAT - Full'!A$24:B$312,2,FALSE)</f>
        <v>Can the institution extract a full backup of data?</v>
      </c>
      <c r="C136" s="38"/>
      <c r="D136" s="38"/>
      <c r="E136" s="37" t="s">
        <v>653</v>
      </c>
      <c r="F136" s="38"/>
      <c r="G136" s="47"/>
      <c r="H136" s="38"/>
      <c r="I136" s="37">
        <v>12.8</v>
      </c>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row>
    <row r="137" spans="1:259" ht="48" customHeight="1" x14ac:dyDescent="0.2">
      <c r="A137" s="15" t="s">
        <v>265</v>
      </c>
      <c r="B137" s="30" t="str">
        <f>VLOOKUP(A137,'HECVAT - Full'!A$24:B$312,2,FALSE)</f>
        <v>Are ownership rights to all data, inputs, outputs, and metadata retained by the institution?</v>
      </c>
      <c r="C137" s="37" t="s">
        <v>569</v>
      </c>
      <c r="D137" s="38"/>
      <c r="E137" s="37" t="s">
        <v>654</v>
      </c>
      <c r="F137" s="38"/>
      <c r="G137" s="46" t="s">
        <v>729</v>
      </c>
      <c r="H137" s="38"/>
      <c r="I137" s="37">
        <v>12.8</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row>
    <row r="138" spans="1:259" ht="36" customHeight="1" x14ac:dyDescent="0.2">
      <c r="A138" s="15" t="s">
        <v>266</v>
      </c>
      <c r="B138" s="30" t="str">
        <f>VLOOKUP(A138,'HECVAT - Full'!A$24:B$312,2,FALSE)</f>
        <v>Are these rights retained even through a provider acquisition or bankruptcy event?</v>
      </c>
      <c r="C138" s="37" t="s">
        <v>569</v>
      </c>
      <c r="D138" s="38"/>
      <c r="E138" s="37" t="s">
        <v>654</v>
      </c>
      <c r="F138" s="38"/>
      <c r="G138" s="46" t="s">
        <v>701</v>
      </c>
      <c r="H138" s="38"/>
      <c r="I138" s="37">
        <v>12.8</v>
      </c>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row>
    <row r="139" spans="1:259" ht="54" customHeight="1" x14ac:dyDescent="0.2">
      <c r="A139" s="15" t="s">
        <v>267</v>
      </c>
      <c r="B139" s="30" t="str">
        <f>VLOOKUP(A139,'HECVAT - Full'!A$24:B$312,2,FALSE)</f>
        <v>In the event of imminent bankruptcy, closing of business, or retirement of service, will you provide 90 days for customers to get their data out of the system and migrate applications?</v>
      </c>
      <c r="C139" s="37" t="s">
        <v>582</v>
      </c>
      <c r="D139" s="38"/>
      <c r="E139" s="37" t="s">
        <v>654</v>
      </c>
      <c r="F139" s="38"/>
      <c r="G139" s="46" t="s">
        <v>729</v>
      </c>
      <c r="H139" s="38"/>
      <c r="I139" s="37">
        <v>12.8</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row>
    <row r="140" spans="1:259" ht="48" customHeight="1" x14ac:dyDescent="0.2">
      <c r="A140" s="15" t="s">
        <v>268</v>
      </c>
      <c r="B140" s="30" t="str">
        <f>VLOOKUP(A140,'HECVAT - Full'!A$24:B$312,2,FALSE)</f>
        <v xml:space="preserve">Describe or provide a reference to the backup processes for the servers on which the service and/or data resides. </v>
      </c>
      <c r="C140" s="37" t="s">
        <v>571</v>
      </c>
      <c r="D140" s="38"/>
      <c r="E140" s="37" t="s">
        <v>653</v>
      </c>
      <c r="F140" s="37" t="s">
        <v>787</v>
      </c>
      <c r="G140" s="46" t="s">
        <v>730</v>
      </c>
      <c r="H140" s="37" t="s">
        <v>853</v>
      </c>
      <c r="I140" s="37" t="s">
        <v>2132</v>
      </c>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row>
    <row r="141" spans="1:259" ht="48" customHeight="1" x14ac:dyDescent="0.2">
      <c r="A141" s="15" t="s">
        <v>269</v>
      </c>
      <c r="B141" s="30" t="str">
        <f>VLOOKUP(A141,'HECVAT - Full'!A$24:B$312,2,FALSE)</f>
        <v>Are backup copies made according to pre-defined schedules and securely stored and protected?</v>
      </c>
      <c r="C141" s="37" t="s">
        <v>571</v>
      </c>
      <c r="D141" s="38"/>
      <c r="E141" s="37" t="s">
        <v>653</v>
      </c>
      <c r="F141" s="37" t="s">
        <v>787</v>
      </c>
      <c r="G141" s="46" t="s">
        <v>730</v>
      </c>
      <c r="H141" s="37" t="s">
        <v>853</v>
      </c>
      <c r="I141" s="37">
        <v>12.8</v>
      </c>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row>
    <row r="142" spans="1:259" ht="36" customHeight="1" x14ac:dyDescent="0.2">
      <c r="A142" s="15" t="s">
        <v>270</v>
      </c>
      <c r="B142" s="30" t="str">
        <f>VLOOKUP(A142,'HECVAT - Full'!A$24:B$312,2,FALSE)</f>
        <v>How long are data backups stored?</v>
      </c>
      <c r="C142" s="37" t="s">
        <v>571</v>
      </c>
      <c r="D142" s="38"/>
      <c r="E142" s="37" t="s">
        <v>653</v>
      </c>
      <c r="F142" s="37" t="s">
        <v>787</v>
      </c>
      <c r="G142" s="46" t="s">
        <v>730</v>
      </c>
      <c r="H142" s="37" t="s">
        <v>853</v>
      </c>
      <c r="I142" s="38"/>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row>
    <row r="143" spans="1:259" ht="36" customHeight="1" x14ac:dyDescent="0.2">
      <c r="A143" s="15" t="s">
        <v>271</v>
      </c>
      <c r="B143" s="30" t="str">
        <f>VLOOKUP(A143,'HECVAT - Full'!A$24:B$312,2,FALSE)</f>
        <v>Are data backups encrypted?</v>
      </c>
      <c r="C143" s="37" t="s">
        <v>571</v>
      </c>
      <c r="D143" s="38"/>
      <c r="E143" s="37" t="s">
        <v>653</v>
      </c>
      <c r="F143" s="37" t="s">
        <v>788</v>
      </c>
      <c r="G143" s="46" t="s">
        <v>730</v>
      </c>
      <c r="H143" s="37" t="s">
        <v>853</v>
      </c>
      <c r="I143" s="38"/>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row>
    <row r="144" spans="1:259" ht="72" customHeight="1" x14ac:dyDescent="0.2">
      <c r="A144" s="15" t="s">
        <v>272</v>
      </c>
      <c r="B144" s="30" t="str">
        <f>VLOOKUP(A144,'HECVAT - Full'!A$24:B$312,2,FALSE)</f>
        <v>Do you have a cryptographic key management process (generation, exchange, storage, safeguards, use, vetting, and replacement), that is documented and currently implemented, for all system components? (e.g. database, system, web, etc.)</v>
      </c>
      <c r="C144" s="37" t="s">
        <v>571</v>
      </c>
      <c r="D144" s="38"/>
      <c r="E144" s="37" t="s">
        <v>655</v>
      </c>
      <c r="F144" s="38"/>
      <c r="G144" s="46" t="s">
        <v>731</v>
      </c>
      <c r="H144" s="37" t="s">
        <v>858</v>
      </c>
      <c r="I144" s="38"/>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row>
    <row r="145" spans="1:259" ht="48" customHeight="1" x14ac:dyDescent="0.2">
      <c r="A145" s="15" t="s">
        <v>273</v>
      </c>
      <c r="B145" s="30" t="str">
        <f>VLOOKUP(A145,'HECVAT - Full'!A$24:B$312,2,FALSE)</f>
        <v>Do current backups include all operating system software, utilities, security software, application software, and data files necessary for recovery?</v>
      </c>
      <c r="C145" s="37" t="s">
        <v>571</v>
      </c>
      <c r="D145" s="38"/>
      <c r="E145" s="37" t="s">
        <v>653</v>
      </c>
      <c r="F145" s="37" t="s">
        <v>789</v>
      </c>
      <c r="G145" s="46" t="s">
        <v>730</v>
      </c>
      <c r="H145" s="37" t="s">
        <v>853</v>
      </c>
      <c r="I145" s="38"/>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row>
    <row r="146" spans="1:259" ht="36" customHeight="1" x14ac:dyDescent="0.2">
      <c r="A146" s="15" t="s">
        <v>274</v>
      </c>
      <c r="B146" s="30" t="str">
        <f>VLOOKUP(A146,'HECVAT - Full'!A$24:B$312,2,FALSE)</f>
        <v>Are you performing off site backups? (i.e. digitally moved off site)</v>
      </c>
      <c r="C146" s="37" t="s">
        <v>571</v>
      </c>
      <c r="D146" s="38"/>
      <c r="E146" s="37" t="s">
        <v>653</v>
      </c>
      <c r="F146" s="37" t="s">
        <v>787</v>
      </c>
      <c r="G146" s="46" t="s">
        <v>732</v>
      </c>
      <c r="H146" s="37" t="s">
        <v>853</v>
      </c>
      <c r="I146" s="37" t="s">
        <v>2132</v>
      </c>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row>
    <row r="147" spans="1:259" ht="48" customHeight="1" x14ac:dyDescent="0.2">
      <c r="A147" s="15" t="s">
        <v>275</v>
      </c>
      <c r="B147" s="30" t="str">
        <f>VLOOKUP(A147,'HECVAT - Full'!A$24:B$312,2,FALSE)</f>
        <v>Are physical backups taken off site? (i.e. physically moved off site)</v>
      </c>
      <c r="C147" s="37" t="s">
        <v>571</v>
      </c>
      <c r="D147" s="38"/>
      <c r="E147" s="37" t="s">
        <v>653</v>
      </c>
      <c r="F147" s="37" t="s">
        <v>787</v>
      </c>
      <c r="G147" s="46" t="s">
        <v>733</v>
      </c>
      <c r="H147" s="37" t="s">
        <v>859</v>
      </c>
      <c r="I147" s="37" t="s">
        <v>2132</v>
      </c>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row>
    <row r="148" spans="1:259" ht="48" customHeight="1" x14ac:dyDescent="0.2">
      <c r="A148" s="15" t="s">
        <v>276</v>
      </c>
      <c r="B148" s="30" t="str">
        <f>VLOOKUP(A148,'HECVAT - Full'!A$24:B$312,2,FALSE)</f>
        <v>Do backups containing the institution's data ever leave the Institution's Data Zone either physically or via network routing?</v>
      </c>
      <c r="C148" s="37" t="s">
        <v>569</v>
      </c>
      <c r="D148" s="38"/>
      <c r="E148" s="37" t="s">
        <v>653</v>
      </c>
      <c r="F148" s="38"/>
      <c r="G148" s="46" t="s">
        <v>730</v>
      </c>
      <c r="H148" s="37" t="s">
        <v>859</v>
      </c>
      <c r="I148" s="37">
        <v>12.8</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row>
    <row r="149" spans="1:259" ht="73.25" customHeight="1" x14ac:dyDescent="0.2">
      <c r="A149" s="15" t="s">
        <v>277</v>
      </c>
      <c r="B149" s="30" t="str">
        <f>VLOOKUP(A149,'HECVAT - Full'!A$24:B$312,2,FALSE)</f>
        <v>Do you have a media handling process, that is documented and currently implemented, including end-of-life, repurposing, and data sanitization procedures?</v>
      </c>
      <c r="C149" s="37" t="s">
        <v>569</v>
      </c>
      <c r="D149" s="38"/>
      <c r="E149" s="37" t="s">
        <v>656</v>
      </c>
      <c r="F149" s="37" t="s">
        <v>790</v>
      </c>
      <c r="G149" s="46" t="s">
        <v>734</v>
      </c>
      <c r="H149" s="37" t="s">
        <v>854</v>
      </c>
      <c r="I149" s="37" t="s">
        <v>2132</v>
      </c>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row>
    <row r="150" spans="1:259" ht="36" customHeight="1" x14ac:dyDescent="0.2">
      <c r="A150" s="15" t="s">
        <v>278</v>
      </c>
      <c r="B150" s="30" t="str">
        <f>VLOOKUP(A150,'HECVAT - Full'!A$24:B$312,2,FALSE)</f>
        <v>Does the process described in DATA-23 adhere to DoD 5220.22-M and/or NIST SP 800-88 standards?</v>
      </c>
      <c r="C150" s="37" t="s">
        <v>569</v>
      </c>
      <c r="D150" s="38"/>
      <c r="E150" s="37" t="s">
        <v>658</v>
      </c>
      <c r="F150" s="37" t="s">
        <v>790</v>
      </c>
      <c r="G150" s="46" t="s">
        <v>735</v>
      </c>
      <c r="H150" s="37" t="s">
        <v>855</v>
      </c>
      <c r="I150" s="38"/>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row>
    <row r="151" spans="1:259" ht="48" customHeight="1" x14ac:dyDescent="0.2">
      <c r="A151" s="15" t="s">
        <v>279</v>
      </c>
      <c r="B151" s="30" t="str">
        <f>VLOOKUP(A151,'HECVAT - Full'!A$24:B$312,2,FALSE)</f>
        <v>Do procedures exist to ensure that retention and destruction of data meets established business and regulatory requirements?</v>
      </c>
      <c r="C151" s="37" t="s">
        <v>569</v>
      </c>
      <c r="D151" s="38"/>
      <c r="E151" s="37" t="s">
        <v>658</v>
      </c>
      <c r="F151" s="37" t="s">
        <v>791</v>
      </c>
      <c r="G151" s="46" t="s">
        <v>735</v>
      </c>
      <c r="H151" s="37" t="s">
        <v>856</v>
      </c>
      <c r="I151" s="38"/>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row>
    <row r="152" spans="1:259" ht="48" customHeight="1" x14ac:dyDescent="0.2">
      <c r="A152" s="15" t="s">
        <v>280</v>
      </c>
      <c r="B152" s="30" t="str">
        <f>VLOOKUP(A152,'HECVAT - Full'!A$24:B$312,2,FALSE)</f>
        <v>Is media used for long-term retention of business data and archival purposes stored in a secure, environmentally protected area?</v>
      </c>
      <c r="C152" s="37" t="s">
        <v>569</v>
      </c>
      <c r="D152" s="38"/>
      <c r="E152" s="37" t="s">
        <v>658</v>
      </c>
      <c r="F152" s="37" t="s">
        <v>790</v>
      </c>
      <c r="G152" s="46" t="s">
        <v>736</v>
      </c>
      <c r="H152" s="37" t="s">
        <v>857</v>
      </c>
      <c r="I152" s="37" t="s">
        <v>2130</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row>
    <row r="153" spans="1:259" ht="36" customHeight="1" x14ac:dyDescent="0.2">
      <c r="A153" s="15" t="s">
        <v>281</v>
      </c>
      <c r="B153" s="30" t="str">
        <f>VLOOKUP(A153,'HECVAT - Full'!A$24:B$312,2,FALSE)</f>
        <v>Will you handle data in a FERPA compliant manner?</v>
      </c>
      <c r="C153" s="37" t="s">
        <v>569</v>
      </c>
      <c r="D153" s="38"/>
      <c r="E153" s="37" t="s">
        <v>617</v>
      </c>
      <c r="F153" s="37" t="s">
        <v>698</v>
      </c>
      <c r="G153" s="47"/>
      <c r="H153" s="38"/>
      <c r="I153" s="38"/>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row>
    <row r="154" spans="1:259" ht="36" customHeight="1" x14ac:dyDescent="0.2">
      <c r="A154" s="15" t="s">
        <v>282</v>
      </c>
      <c r="B154" s="30" t="str">
        <f>VLOOKUP(A154,'HECVAT - Full'!A$24:B$312,2,FALSE)</f>
        <v>Is any institution data visible in system administration modules/tools?</v>
      </c>
      <c r="C154" s="37" t="s">
        <v>583</v>
      </c>
      <c r="D154" s="38"/>
      <c r="E154" s="37" t="s">
        <v>632</v>
      </c>
      <c r="F154" s="37" t="s">
        <v>771</v>
      </c>
      <c r="G154" s="47"/>
      <c r="H154" s="38"/>
      <c r="I154" s="38"/>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row>
    <row r="155" spans="1:259" ht="36" customHeight="1" x14ac:dyDescent="0.2">
      <c r="A155" s="301" t="str">
        <f>IF($C$30="","Database",IF($C$30="Yes","Database - Optional based on QUALIFIER response.","Database"))</f>
        <v>Database</v>
      </c>
      <c r="B155" s="301"/>
      <c r="C155" s="36" t="str">
        <f>$C$22</f>
        <v>CIS Critical Security Controls v6.1</v>
      </c>
      <c r="D155" s="36" t="str">
        <f>$D$22</f>
        <v>HIPAA</v>
      </c>
      <c r="E155" s="36" t="str">
        <f>$E$22</f>
        <v>ISO 27002:2013</v>
      </c>
      <c r="F155" s="36" t="str">
        <f>$F$22</f>
        <v>NIST Cybersecurity Framework</v>
      </c>
      <c r="G155" s="25" t="str">
        <f>$G$22</f>
        <v>NIST SP 800-171r1</v>
      </c>
      <c r="H155" s="36" t="str">
        <f>$H$22</f>
        <v>NIST SP 800-53r4</v>
      </c>
      <c r="I155" s="173" t="s">
        <v>2046</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row>
    <row r="156" spans="1:259" ht="36" customHeight="1" x14ac:dyDescent="0.2">
      <c r="A156" s="15" t="s">
        <v>283</v>
      </c>
      <c r="B156" s="30" t="str">
        <f>VLOOKUP(A156,'HECVAT - Full'!A$24:B$312,2,FALSE)</f>
        <v>Does the database support encryption of specified data elements in storage?</v>
      </c>
      <c r="C156" s="37" t="s">
        <v>569</v>
      </c>
      <c r="D156" s="41"/>
      <c r="E156" s="37" t="s">
        <v>650</v>
      </c>
      <c r="F156" s="37" t="s">
        <v>786</v>
      </c>
      <c r="G156" s="47"/>
      <c r="H156" s="41"/>
      <c r="I156" s="41"/>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row>
    <row r="157" spans="1:259" ht="37.25" customHeight="1" x14ac:dyDescent="0.2">
      <c r="A157" s="15" t="s">
        <v>284</v>
      </c>
      <c r="B157" s="30" t="str">
        <f>VLOOKUP(A157,'HECVAT - Full'!A$24:B$312,2,FALSE)</f>
        <v>Do you currently use encryption in your database(s)?</v>
      </c>
      <c r="C157" s="37" t="s">
        <v>569</v>
      </c>
      <c r="D157" s="41"/>
      <c r="E157" s="37" t="s">
        <v>650</v>
      </c>
      <c r="F157" s="37" t="s">
        <v>792</v>
      </c>
      <c r="G157" s="47"/>
      <c r="H157" s="41"/>
      <c r="I157" s="41"/>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row>
    <row r="158" spans="1:259" ht="36" customHeight="1" x14ac:dyDescent="0.2">
      <c r="A158" s="301" t="str">
        <f>IF($C$30="","Datacenter",IF($C$30="Yes","Datacenter - Optional based on QUALIFIER response.","Datacenter"))</f>
        <v>Datacenter</v>
      </c>
      <c r="B158" s="301"/>
      <c r="C158" s="36" t="str">
        <f>$C$22</f>
        <v>CIS Critical Security Controls v6.1</v>
      </c>
      <c r="D158" s="36" t="str">
        <f>$D$22</f>
        <v>HIPAA</v>
      </c>
      <c r="E158" s="36" t="str">
        <f>$E$22</f>
        <v>ISO 27002:2013</v>
      </c>
      <c r="F158" s="36" t="str">
        <f>$F$22</f>
        <v>NIST Cybersecurity Framework</v>
      </c>
      <c r="G158" s="25" t="str">
        <f>$G$22</f>
        <v>NIST SP 800-171r1</v>
      </c>
      <c r="H158" s="36" t="str">
        <f>$H$22</f>
        <v>NIST SP 800-53r4</v>
      </c>
      <c r="I158" s="173" t="s">
        <v>2046</v>
      </c>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row>
    <row r="159" spans="1:259" ht="49.25" customHeight="1" x14ac:dyDescent="0.2">
      <c r="A159" s="15" t="s">
        <v>285</v>
      </c>
      <c r="B159" s="30" t="str">
        <f>VLOOKUP(A159,'HECVAT - Full'!A$24:B$312,2,FALSE)</f>
        <v>Does your company own the physical data center where the Institution's data will reside?</v>
      </c>
      <c r="C159" s="37" t="s">
        <v>572</v>
      </c>
      <c r="D159" s="41"/>
      <c r="E159" s="37" t="s">
        <v>659</v>
      </c>
      <c r="F159" s="37" t="s">
        <v>784</v>
      </c>
      <c r="G159" s="47"/>
      <c r="H159" s="41"/>
      <c r="I159" s="37" t="s">
        <v>2130</v>
      </c>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row>
    <row r="160" spans="1:259" ht="48" customHeight="1" x14ac:dyDescent="0.2">
      <c r="A160" s="15" t="s">
        <v>286</v>
      </c>
      <c r="B160" s="30" t="str">
        <f>VLOOKUP(A160,'HECVAT - Full'!A$24:B$312,2,FALSE)</f>
        <v>Does the hosting provider have a SOC 2 Type 2 report available?</v>
      </c>
      <c r="C160" s="37" t="s">
        <v>569</v>
      </c>
      <c r="D160" s="41"/>
      <c r="E160" s="37" t="s">
        <v>659</v>
      </c>
      <c r="F160" s="38"/>
      <c r="G160" s="47"/>
      <c r="H160" s="41"/>
      <c r="I160" s="41"/>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row>
    <row r="161" spans="1:259" ht="36" customHeight="1" x14ac:dyDescent="0.2">
      <c r="A161" s="15" t="s">
        <v>287</v>
      </c>
      <c r="B161" s="30" t="str">
        <f>VLOOKUP(A161,'HECVAT - Full'!A$24:B$312,2,FALSE)</f>
        <v>Are the data centers staffed 24 hours a day, seven days a week (i.e., 24x7x365)?</v>
      </c>
      <c r="C161" s="37" t="s">
        <v>584</v>
      </c>
      <c r="D161" s="41"/>
      <c r="E161" s="37" t="s">
        <v>643</v>
      </c>
      <c r="F161" s="38"/>
      <c r="G161" s="47"/>
      <c r="H161" s="41"/>
      <c r="I161" s="4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row>
    <row r="162" spans="1:259" ht="47" customHeight="1" x14ac:dyDescent="0.2">
      <c r="A162" s="15" t="s">
        <v>288</v>
      </c>
      <c r="B162" s="30" t="str">
        <f>VLOOKUP(A162,'HECVAT - Full'!A$24:B$312,2,FALSE)</f>
        <v>Do any of your servers reside in a co-located data center?</v>
      </c>
      <c r="C162" s="37" t="s">
        <v>586</v>
      </c>
      <c r="D162" s="41"/>
      <c r="E162" s="38"/>
      <c r="F162" s="38"/>
      <c r="G162" s="47"/>
      <c r="H162" s="37" t="s">
        <v>829</v>
      </c>
      <c r="I162" s="37">
        <v>12.8</v>
      </c>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row>
    <row r="163" spans="1:259" ht="47" customHeight="1" x14ac:dyDescent="0.2">
      <c r="A163" s="15" t="s">
        <v>289</v>
      </c>
      <c r="B163" s="30" t="str">
        <f>VLOOKUP(A163,'HECVAT - Full'!A$24:B$312,2,FALSE)</f>
        <v>Are your servers separated from other companies via a physical barrier, such as a cage or hardened walls?</v>
      </c>
      <c r="C163" s="37" t="s">
        <v>586</v>
      </c>
      <c r="D163" s="41"/>
      <c r="E163" s="37" t="s">
        <v>660</v>
      </c>
      <c r="F163" s="37" t="s">
        <v>793</v>
      </c>
      <c r="G163" s="47"/>
      <c r="H163" s="41"/>
      <c r="I163" s="37" t="s">
        <v>2132</v>
      </c>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row>
    <row r="164" spans="1:259" ht="48" customHeight="1" x14ac:dyDescent="0.2">
      <c r="A164" s="15" t="s">
        <v>290</v>
      </c>
      <c r="B164" s="30" t="str">
        <f>VLOOKUP(A164,'HECVAT - Full'!A$24:B$312,2,FALSE)</f>
        <v>Does a physical barrier fully enclose the physical space preventing unauthorized physical contact with any of your devices?</v>
      </c>
      <c r="C164" s="37" t="s">
        <v>572</v>
      </c>
      <c r="D164" s="41"/>
      <c r="E164" s="37" t="s">
        <v>663</v>
      </c>
      <c r="F164" s="37" t="s">
        <v>793</v>
      </c>
      <c r="G164" s="46" t="s">
        <v>736</v>
      </c>
      <c r="H164" s="41"/>
      <c r="I164" s="37" t="s">
        <v>2132</v>
      </c>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row>
    <row r="165" spans="1:259" ht="47" customHeight="1" x14ac:dyDescent="0.2">
      <c r="A165" s="15" t="s">
        <v>291</v>
      </c>
      <c r="B165" s="30" t="str">
        <f>VLOOKUP(A165,'HECVAT - Full'!A$24:B$312,2,FALSE)</f>
        <v>Select the option that best describes the network segment that servers are connected to.</v>
      </c>
      <c r="C165" s="37" t="s">
        <v>585</v>
      </c>
      <c r="D165" s="41"/>
      <c r="E165" s="38"/>
      <c r="F165" s="37" t="s">
        <v>794</v>
      </c>
      <c r="G165" s="46" t="s">
        <v>738</v>
      </c>
      <c r="H165" s="41"/>
      <c r="I165" s="41"/>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row>
    <row r="166" spans="1:259" ht="36" customHeight="1" x14ac:dyDescent="0.2">
      <c r="A166" s="15" t="s">
        <v>292</v>
      </c>
      <c r="B166" s="30" t="str">
        <f>VLOOKUP(A166,'HECVAT - Full'!A$24:B$312,2,FALSE)</f>
        <v>Does this data center operate outside of the Institution's Data Zone?</v>
      </c>
      <c r="C166" s="37" t="s">
        <v>574</v>
      </c>
      <c r="D166" s="41"/>
      <c r="E166" s="37" t="s">
        <v>617</v>
      </c>
      <c r="F166" s="38"/>
      <c r="G166" s="47"/>
      <c r="H166" s="41"/>
      <c r="I166" s="37">
        <v>12.8</v>
      </c>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row>
    <row r="167" spans="1:259" ht="36" customHeight="1" x14ac:dyDescent="0.2">
      <c r="A167" s="15" t="s">
        <v>293</v>
      </c>
      <c r="B167" s="30" t="str">
        <f>VLOOKUP(A167,'HECVAT - Full'!A$24:B$312,2,FALSE)</f>
        <v>Will any institution data leave the Institution's Data Zone?</v>
      </c>
      <c r="C167" s="37" t="s">
        <v>574</v>
      </c>
      <c r="D167" s="41"/>
      <c r="E167" s="37" t="s">
        <v>617</v>
      </c>
      <c r="F167" s="38"/>
      <c r="G167" s="47"/>
      <c r="H167" s="41"/>
      <c r="I167" s="37">
        <v>12.9</v>
      </c>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row>
    <row r="168" spans="1:259" ht="64.25" customHeight="1" x14ac:dyDescent="0.2">
      <c r="A168" s="15" t="s">
        <v>294</v>
      </c>
      <c r="B168" s="30" t="str">
        <f>VLOOKUP(A168,'HECVAT - Full'!A$24:B$312,2,FALSE)</f>
        <v xml:space="preserve">List all datacenters and the cities, states (provinces), and countries where the Institution's data will be stored (including within the Institution's Data Zone).   </v>
      </c>
      <c r="C168" s="37" t="s">
        <v>574</v>
      </c>
      <c r="D168" s="41"/>
      <c r="E168" s="37" t="s">
        <v>661</v>
      </c>
      <c r="F168" s="38"/>
      <c r="G168" s="48"/>
      <c r="H168" s="41"/>
      <c r="I168" s="37">
        <v>12.8</v>
      </c>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row>
    <row r="169" spans="1:259" ht="53" customHeight="1" x14ac:dyDescent="0.2">
      <c r="A169" s="15" t="s">
        <v>295</v>
      </c>
      <c r="B169" s="30" t="str">
        <f>VLOOKUP(A169,'HECVAT - Full'!A$24:B$312,2,FALSE)</f>
        <v>Are your primary and secondary data centers geographically diverse?</v>
      </c>
      <c r="C169" s="37" t="s">
        <v>571</v>
      </c>
      <c r="D169" s="41"/>
      <c r="E169" s="37" t="s">
        <v>662</v>
      </c>
      <c r="F169" s="38"/>
      <c r="G169" s="47"/>
      <c r="H169" s="41"/>
      <c r="I169" s="37">
        <v>12.8</v>
      </c>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row>
    <row r="170" spans="1:259" ht="36" customHeight="1" x14ac:dyDescent="0.2">
      <c r="A170" s="15" t="s">
        <v>296</v>
      </c>
      <c r="B170" s="30" t="str">
        <f>VLOOKUP(A170,'HECVAT - Full'!A$24:B$312,2,FALSE)</f>
        <v>If outsourced or co-located, is there a contract in place to prevent data from leaving the Institution's Data Zone?</v>
      </c>
      <c r="C170" s="37" t="s">
        <v>574</v>
      </c>
      <c r="D170" s="41"/>
      <c r="E170" s="37" t="s">
        <v>617</v>
      </c>
      <c r="F170" s="38"/>
      <c r="G170" s="47"/>
      <c r="H170" s="41"/>
      <c r="I170" s="37">
        <v>12.8</v>
      </c>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row>
    <row r="171" spans="1:259" ht="36" customHeight="1" x14ac:dyDescent="0.2">
      <c r="A171" s="15" t="s">
        <v>297</v>
      </c>
      <c r="B171" s="30" t="str">
        <f>VLOOKUP(A171,'HECVAT - Full'!A$24:B$312,2,FALSE)</f>
        <v>What Tier Level is your data center (per levels defined by the Uptime Institute)?</v>
      </c>
      <c r="C171" s="38"/>
      <c r="D171" s="41"/>
      <c r="E171" s="37" t="s">
        <v>641</v>
      </c>
      <c r="F171" s="38"/>
      <c r="G171" s="47"/>
      <c r="H171" s="41"/>
      <c r="I171" s="4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row>
    <row r="172" spans="1:259" s="1" customFormat="1" ht="48" customHeight="1" x14ac:dyDescent="0.2">
      <c r="A172" s="15" t="s">
        <v>298</v>
      </c>
      <c r="B172" s="30" t="str">
        <f>VLOOKUP(A172,'HECVAT - Full'!A$24:B$312,2,FALSE)</f>
        <v>Is the service hosted in a high availability environment?</v>
      </c>
      <c r="C172" s="37" t="s">
        <v>571</v>
      </c>
      <c r="D172" s="41"/>
      <c r="E172" s="37" t="s">
        <v>641</v>
      </c>
      <c r="F172" s="37" t="s">
        <v>795</v>
      </c>
      <c r="G172" s="47"/>
      <c r="H172" s="41"/>
      <c r="I172" s="41"/>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row>
    <row r="173" spans="1:259" ht="64.25" customHeight="1" x14ac:dyDescent="0.2">
      <c r="A173" s="15" t="s">
        <v>299</v>
      </c>
      <c r="B173" s="30" t="str">
        <f>VLOOKUP(A173,'HECVAT - Full'!A$24:B$312,2,FALSE)</f>
        <v xml:space="preserve">Is redundant power available for all datacenters where institution data will reside? </v>
      </c>
      <c r="C173" s="38"/>
      <c r="D173" s="41"/>
      <c r="E173" s="37" t="s">
        <v>643</v>
      </c>
      <c r="F173" s="37" t="s">
        <v>795</v>
      </c>
      <c r="G173" s="47"/>
      <c r="H173" s="41"/>
      <c r="I173" s="41"/>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row>
    <row r="174" spans="1:259" ht="36" customHeight="1" x14ac:dyDescent="0.2">
      <c r="A174" s="15" t="s">
        <v>300</v>
      </c>
      <c r="B174" s="30" t="str">
        <f>VLOOKUP(A174,'HECVAT - Full'!A$24:B$312,2,FALSE)</f>
        <v>Are redundant power strategies tested?</v>
      </c>
      <c r="C174" s="38"/>
      <c r="D174" s="41"/>
      <c r="E174" s="37" t="s">
        <v>642</v>
      </c>
      <c r="F174" s="37" t="s">
        <v>795</v>
      </c>
      <c r="G174" s="48"/>
      <c r="H174" s="41"/>
      <c r="I174" s="41"/>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row>
    <row r="175" spans="1:259" ht="48" customHeight="1" x14ac:dyDescent="0.2">
      <c r="A175" s="15" t="s">
        <v>301</v>
      </c>
      <c r="B175" s="30" t="str">
        <f>VLOOKUP(A175,'HECVAT - Full'!A$24:B$312,2,FALSE)</f>
        <v>Describe or provide a reference to the availability of cooling and fire suppression systems in all datacenters where institution data will reside.</v>
      </c>
      <c r="C175" s="38"/>
      <c r="D175" s="41"/>
      <c r="E175" s="37" t="s">
        <v>643</v>
      </c>
      <c r="F175" s="38"/>
      <c r="G175" s="48"/>
      <c r="H175" s="37" t="s">
        <v>860</v>
      </c>
      <c r="I175" s="41"/>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row>
    <row r="176" spans="1:259" ht="48" customHeight="1" x14ac:dyDescent="0.2">
      <c r="A176" s="15" t="s">
        <v>302</v>
      </c>
      <c r="B176" s="30" t="str">
        <f>VLOOKUP(A176,'HECVAT - Full'!A$24:B$312,2,FALSE)</f>
        <v xml:space="preserve">State how many Internet Service Providers (ISPs) provide connectivity to each datacenter where the institution's data will reside. </v>
      </c>
      <c r="C176" s="37" t="s">
        <v>571</v>
      </c>
      <c r="D176" s="41"/>
      <c r="E176" s="37" t="s">
        <v>643</v>
      </c>
      <c r="F176" s="37" t="s">
        <v>795</v>
      </c>
      <c r="G176" s="48"/>
      <c r="H176" s="37" t="s">
        <v>860</v>
      </c>
      <c r="I176" s="37">
        <v>12.8</v>
      </c>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row>
    <row r="177" spans="1:259" ht="48" customHeight="1" x14ac:dyDescent="0.2">
      <c r="A177" s="15" t="s">
        <v>303</v>
      </c>
      <c r="B177" s="30" t="str">
        <f>VLOOKUP(A177,'HECVAT - Full'!A$24:B$312,2,FALSE)</f>
        <v>Does every datacenter where the Institution's data will reside have multiple telephone company or network provider entrances to the facility?</v>
      </c>
      <c r="C177" s="37" t="s">
        <v>569</v>
      </c>
      <c r="D177" s="41"/>
      <c r="E177" s="37" t="s">
        <v>643</v>
      </c>
      <c r="F177" s="37" t="s">
        <v>795</v>
      </c>
      <c r="G177" s="47"/>
      <c r="H177" s="37" t="s">
        <v>860</v>
      </c>
      <c r="I177" s="37">
        <v>12.8</v>
      </c>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row>
    <row r="178" spans="1:259" ht="36" customHeight="1" x14ac:dyDescent="0.2">
      <c r="A178" s="301" t="str">
        <f>IF(OR($C$28="No",$C$30="Yes"),"DRP - Optional based on QUALIFIER response.","Disaster Recovery Plan")</f>
        <v>Disaster Recovery Plan</v>
      </c>
      <c r="B178" s="301"/>
      <c r="C178" s="36" t="str">
        <f>$C$22</f>
        <v>CIS Critical Security Controls v6.1</v>
      </c>
      <c r="D178" s="36" t="str">
        <f>$D$22</f>
        <v>HIPAA</v>
      </c>
      <c r="E178" s="36" t="str">
        <f>$E$22</f>
        <v>ISO 27002:2013</v>
      </c>
      <c r="F178" s="36" t="str">
        <f>$F$22</f>
        <v>NIST Cybersecurity Framework</v>
      </c>
      <c r="G178" s="25" t="str">
        <f>$G$22</f>
        <v>NIST SP 800-171r1</v>
      </c>
      <c r="H178" s="36" t="str">
        <f>$H$22</f>
        <v>NIST SP 800-53r4</v>
      </c>
      <c r="I178" s="173" t="s">
        <v>2046</v>
      </c>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row>
    <row r="179" spans="1:259" ht="48" customHeight="1" x14ac:dyDescent="0.2">
      <c r="A179" s="15" t="s">
        <v>304</v>
      </c>
      <c r="B179" s="30" t="str">
        <f>VLOOKUP(A179,'HECVAT - Full'!A$24:B$312,2,FALSE)</f>
        <v>Describe or provide a reference to your Disaster Recovery Plan (DRP).</v>
      </c>
      <c r="C179" s="37" t="s">
        <v>571</v>
      </c>
      <c r="D179" s="41"/>
      <c r="E179" s="37" t="s">
        <v>641</v>
      </c>
      <c r="F179" s="37" t="s">
        <v>700</v>
      </c>
      <c r="G179" s="46" t="s">
        <v>720</v>
      </c>
      <c r="H179" s="39" t="s">
        <v>846</v>
      </c>
      <c r="I179" s="39">
        <v>12.8</v>
      </c>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row>
    <row r="180" spans="1:259" ht="47" customHeight="1" x14ac:dyDescent="0.2">
      <c r="A180" s="15" t="s">
        <v>305</v>
      </c>
      <c r="B180" s="30" t="str">
        <f>VLOOKUP(A180,'HECVAT - Full'!A$24:B$312,2,FALSE)</f>
        <v>Is an owner assigned who is responsible for the maintenance and review of the DRP?</v>
      </c>
      <c r="C180" s="37" t="s">
        <v>571</v>
      </c>
      <c r="D180" s="41"/>
      <c r="E180" s="37" t="s">
        <v>665</v>
      </c>
      <c r="F180" s="37" t="s">
        <v>700</v>
      </c>
      <c r="G180" s="46" t="s">
        <v>720</v>
      </c>
      <c r="H180" s="39" t="s">
        <v>846</v>
      </c>
      <c r="I180" s="39">
        <v>12.8</v>
      </c>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row>
    <row r="181" spans="1:259" ht="47" customHeight="1" x14ac:dyDescent="0.2">
      <c r="A181" s="15" t="s">
        <v>306</v>
      </c>
      <c r="B181" s="30" t="str">
        <f>VLOOKUP(A181,'HECVAT - Full'!A$24:B$312,2,FALSE)</f>
        <v>Can the Institution review your DRP and supporting documentation?</v>
      </c>
      <c r="C181" s="37" t="s">
        <v>571</v>
      </c>
      <c r="D181" s="41"/>
      <c r="E181" s="38"/>
      <c r="F181" s="37" t="s">
        <v>700</v>
      </c>
      <c r="G181" s="46" t="s">
        <v>720</v>
      </c>
      <c r="H181" s="39" t="s">
        <v>846</v>
      </c>
      <c r="I181" s="39">
        <v>12.8</v>
      </c>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row>
    <row r="182" spans="1:259" ht="47" customHeight="1" x14ac:dyDescent="0.2">
      <c r="A182" s="15" t="s">
        <v>307</v>
      </c>
      <c r="B182" s="30" t="str">
        <f>VLOOKUP(A182,'HECVAT - Full'!A$24:B$312,2,FALSE)</f>
        <v>Are any disaster recovery locations outside the Institution's Data Zone?</v>
      </c>
      <c r="C182" s="37" t="s">
        <v>587</v>
      </c>
      <c r="D182" s="41"/>
      <c r="E182" s="37" t="s">
        <v>641</v>
      </c>
      <c r="F182" s="37" t="s">
        <v>700</v>
      </c>
      <c r="G182" s="47"/>
      <c r="H182" s="39" t="s">
        <v>846</v>
      </c>
      <c r="I182" s="39">
        <v>12.8</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row>
    <row r="183" spans="1:259" ht="47" customHeight="1" x14ac:dyDescent="0.2">
      <c r="A183" s="15" t="s">
        <v>308</v>
      </c>
      <c r="B183" s="30" t="str">
        <f>VLOOKUP(A183,'HECVAT - Full'!A$24:B$312,2,FALSE)</f>
        <v>Does your organization have a disaster recovery site or a contracted Disaster Recovery provider?</v>
      </c>
      <c r="C183" s="37" t="s">
        <v>571</v>
      </c>
      <c r="D183" s="41"/>
      <c r="E183" s="37" t="s">
        <v>643</v>
      </c>
      <c r="F183" s="37" t="s">
        <v>700</v>
      </c>
      <c r="G183" s="47"/>
      <c r="H183" s="39" t="s">
        <v>846</v>
      </c>
      <c r="I183" s="47"/>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row>
    <row r="184" spans="1:259" ht="47" customHeight="1" x14ac:dyDescent="0.2">
      <c r="A184" s="15" t="s">
        <v>309</v>
      </c>
      <c r="B184" s="30" t="str">
        <f>VLOOKUP(A184,'HECVAT - Full'!A$24:B$312,2,FALSE)</f>
        <v>Does your organization conduct an annual test of relocating to this site for disaster recovery purposes?</v>
      </c>
      <c r="C184" s="37" t="s">
        <v>571</v>
      </c>
      <c r="D184" s="41"/>
      <c r="E184" s="37" t="s">
        <v>642</v>
      </c>
      <c r="F184" s="37" t="s">
        <v>700</v>
      </c>
      <c r="G184" s="47"/>
      <c r="H184" s="39" t="s">
        <v>846</v>
      </c>
      <c r="I184" s="47"/>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row>
    <row r="185" spans="1:259" ht="47" customHeight="1" x14ac:dyDescent="0.2">
      <c r="A185" s="15" t="s">
        <v>310</v>
      </c>
      <c r="B185" s="30" t="str">
        <f>VLOOKUP(A185,'HECVAT - Full'!A$24:B$312,2,FALSE)</f>
        <v>Is there a defined problem/issue escalation plan in your DRP for impacted clients?</v>
      </c>
      <c r="C185" s="37" t="s">
        <v>571</v>
      </c>
      <c r="D185" s="41"/>
      <c r="E185" s="38"/>
      <c r="F185" s="37" t="s">
        <v>700</v>
      </c>
      <c r="G185" s="46" t="s">
        <v>720</v>
      </c>
      <c r="H185" s="39" t="s">
        <v>846</v>
      </c>
      <c r="I185" s="39">
        <v>12.8</v>
      </c>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row>
    <row r="186" spans="1:259" ht="47" customHeight="1" x14ac:dyDescent="0.2">
      <c r="A186" s="15" t="s">
        <v>311</v>
      </c>
      <c r="B186" s="30" t="str">
        <f>VLOOKUP(A186,'HECVAT - Full'!A$24:B$312,2,FALSE)</f>
        <v>Is there a documented communication plan in your DRP for impacted clients?</v>
      </c>
      <c r="C186" s="37" t="s">
        <v>571</v>
      </c>
      <c r="D186" s="41"/>
      <c r="E186" s="37" t="s">
        <v>618</v>
      </c>
      <c r="F186" s="37" t="s">
        <v>700</v>
      </c>
      <c r="G186" s="46" t="s">
        <v>720</v>
      </c>
      <c r="H186" s="39" t="s">
        <v>846</v>
      </c>
      <c r="I186" s="39">
        <v>12.8</v>
      </c>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row>
    <row r="187" spans="1:259" ht="64.25" customHeight="1" x14ac:dyDescent="0.2">
      <c r="A187" s="15" t="s">
        <v>312</v>
      </c>
      <c r="B187" s="30" t="str">
        <f>VLOOKUP(A187,'HECVAT - Full'!A$24:B$312,2,FALSE)</f>
        <v>Describe or provide a reference to how your disaster recovery plan is tested? (i.e. scope of DR tests, end-to-end testing, etc.)</v>
      </c>
      <c r="C187" s="37" t="s">
        <v>571</v>
      </c>
      <c r="D187" s="41"/>
      <c r="E187" s="37" t="s">
        <v>642</v>
      </c>
      <c r="F187" s="37" t="s">
        <v>700</v>
      </c>
      <c r="G187" s="46" t="s">
        <v>720</v>
      </c>
      <c r="H187" s="39" t="s">
        <v>846</v>
      </c>
      <c r="I187" s="4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row>
    <row r="188" spans="1:259" ht="64.25" customHeight="1" x14ac:dyDescent="0.2">
      <c r="A188" s="15" t="s">
        <v>313</v>
      </c>
      <c r="B188" s="30" t="str">
        <f>VLOOKUP(A188,'HECVAT - Full'!A$24:B$312,2,FALSE)</f>
        <v>Has the Disaster Recovery Plan been tested in the last year?  Please provide a summary of the results in Additional Information (including actual recovery time).</v>
      </c>
      <c r="C188" s="37" t="s">
        <v>571</v>
      </c>
      <c r="D188" s="41"/>
      <c r="E188" s="37" t="s">
        <v>642</v>
      </c>
      <c r="F188" s="37" t="s">
        <v>700</v>
      </c>
      <c r="G188" s="46" t="s">
        <v>720</v>
      </c>
      <c r="H188" s="39" t="s">
        <v>846</v>
      </c>
      <c r="I188" s="47"/>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row>
    <row r="189" spans="1:259" ht="48" customHeight="1" x14ac:dyDescent="0.2">
      <c r="A189" s="15" t="s">
        <v>314</v>
      </c>
      <c r="B189" s="30" t="str">
        <f>VLOOKUP(A189,'HECVAT - Full'!A$24:B$312,2,FALSE)</f>
        <v>Do the documented test results identify your organizations actual recovery time capabilities for technology and facilities?</v>
      </c>
      <c r="C189" s="37" t="s">
        <v>571</v>
      </c>
      <c r="D189" s="41"/>
      <c r="E189" s="37" t="s">
        <v>664</v>
      </c>
      <c r="F189" s="37" t="s">
        <v>700</v>
      </c>
      <c r="G189" s="47"/>
      <c r="H189" s="39" t="s">
        <v>846</v>
      </c>
      <c r="I189" s="39">
        <v>12.8</v>
      </c>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row>
    <row r="190" spans="1:259" ht="48" customHeight="1" x14ac:dyDescent="0.2">
      <c r="A190" s="15" t="s">
        <v>315</v>
      </c>
      <c r="B190" s="30" t="str">
        <f>VLOOKUP(A190,'HECVAT - Full'!A$24:B$312,2,FALSE)</f>
        <v xml:space="preserve">Are all components of the DRP reviewed at least annually and updated as needed to reflect change? </v>
      </c>
      <c r="C190" s="37" t="s">
        <v>571</v>
      </c>
      <c r="D190" s="41"/>
      <c r="E190" s="37" t="s">
        <v>641</v>
      </c>
      <c r="F190" s="37" t="s">
        <v>700</v>
      </c>
      <c r="G190" s="46" t="s">
        <v>720</v>
      </c>
      <c r="H190" s="39" t="s">
        <v>846</v>
      </c>
      <c r="I190" s="47"/>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row>
    <row r="191" spans="1:259" ht="48" customHeight="1" x14ac:dyDescent="0.2">
      <c r="A191" s="15" t="s">
        <v>316</v>
      </c>
      <c r="B191" s="30" t="str">
        <f>VLOOKUP(A191,'HECVAT - Full'!A$24:B$312,2,FALSE)</f>
        <v>Do you carry cyber-risk insurance to protect against unforeseen service outages, data that is lost or stolen, and security incidents?</v>
      </c>
      <c r="C191" s="38"/>
      <c r="D191" s="41"/>
      <c r="E191" s="38"/>
      <c r="F191" s="38"/>
      <c r="G191" s="46" t="s">
        <v>739</v>
      </c>
      <c r="H191" s="39" t="s">
        <v>846</v>
      </c>
      <c r="I191" s="39">
        <v>12.8</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row>
    <row r="192" spans="1:259" ht="36" customHeight="1" x14ac:dyDescent="0.2">
      <c r="A192" s="301" t="str">
        <f>IF($C$30="","Firewalls, IDS, IPS, and Networking",IF($C$30="Yes","FW/IDPS/Networks - Optional based on QUALIFIER response.","Firewalls, IDS, IPS, and Networking"))</f>
        <v>Firewalls, IDS, IPS, and Networking</v>
      </c>
      <c r="B192" s="301"/>
      <c r="C192" s="36" t="str">
        <f>$C$22</f>
        <v>CIS Critical Security Controls v6.1</v>
      </c>
      <c r="D192" s="36" t="str">
        <f>$D$22</f>
        <v>HIPAA</v>
      </c>
      <c r="E192" s="36" t="str">
        <f>$E$22</f>
        <v>ISO 27002:2013</v>
      </c>
      <c r="F192" s="36" t="str">
        <f>$F$22</f>
        <v>NIST Cybersecurity Framework</v>
      </c>
      <c r="G192" s="25" t="str">
        <f>$G$22</f>
        <v>NIST SP 800-171r1</v>
      </c>
      <c r="H192" s="36" t="str">
        <f>$H$22</f>
        <v>NIST SP 800-53r4</v>
      </c>
      <c r="I192" s="173" t="s">
        <v>2046</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row>
    <row r="193" spans="1:259" ht="36" customHeight="1" x14ac:dyDescent="0.2">
      <c r="A193" s="15" t="s">
        <v>317</v>
      </c>
      <c r="B193" s="30" t="str">
        <f>VLOOKUP(A193,'HECVAT - Full'!A$24:B$312,2,FALSE)</f>
        <v>Are you utilizing a web application firewall (WAF)?</v>
      </c>
      <c r="C193" s="37" t="s">
        <v>585</v>
      </c>
      <c r="D193" s="41"/>
      <c r="E193" s="37" t="s">
        <v>666</v>
      </c>
      <c r="F193" s="37" t="s">
        <v>796</v>
      </c>
      <c r="G193" s="47"/>
      <c r="H193" s="38"/>
      <c r="I193" s="174">
        <v>1.1000000000000001</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row>
    <row r="194" spans="1:259" ht="36" customHeight="1" x14ac:dyDescent="0.2">
      <c r="A194" s="15" t="s">
        <v>318</v>
      </c>
      <c r="B194" s="30" t="str">
        <f>VLOOKUP(A194,'HECVAT - Full'!A$24:B$312,2,FALSE)</f>
        <v>Are you utilizing a stateful packet inspection (SPI) firewall?</v>
      </c>
      <c r="C194" s="37" t="s">
        <v>585</v>
      </c>
      <c r="D194" s="41"/>
      <c r="E194" s="37" t="s">
        <v>666</v>
      </c>
      <c r="F194" s="37" t="s">
        <v>796</v>
      </c>
      <c r="G194" s="47"/>
      <c r="H194" s="38"/>
      <c r="I194" s="174">
        <v>1.1000000000000001</v>
      </c>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row>
    <row r="195" spans="1:259" ht="48" customHeight="1" x14ac:dyDescent="0.2">
      <c r="A195" s="15" t="s">
        <v>319</v>
      </c>
      <c r="B195" s="30" t="str">
        <f>VLOOKUP(A195,'HECVAT - Full'!A$24:B$312,2,FALSE)</f>
        <v>State and describe who has the authority to change firewall rules?</v>
      </c>
      <c r="C195" s="37" t="s">
        <v>585</v>
      </c>
      <c r="D195" s="41"/>
      <c r="E195" s="37" t="s">
        <v>640</v>
      </c>
      <c r="F195" s="37" t="s">
        <v>794</v>
      </c>
      <c r="G195" s="47"/>
      <c r="H195" s="38"/>
      <c r="I195" s="174">
        <v>1.1000000000000001</v>
      </c>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row>
    <row r="196" spans="1:259" ht="36" customHeight="1" x14ac:dyDescent="0.2">
      <c r="A196" s="15" t="s">
        <v>320</v>
      </c>
      <c r="B196" s="30" t="str">
        <f>VLOOKUP(A196,'HECVAT - Full'!A$24:B$312,2,FALSE)</f>
        <v>Do you have a documented policy for firewall change requests?</v>
      </c>
      <c r="C196" s="37" t="s">
        <v>585</v>
      </c>
      <c r="D196" s="41"/>
      <c r="E196" s="37" t="s">
        <v>647</v>
      </c>
      <c r="F196" s="37" t="s">
        <v>794</v>
      </c>
      <c r="G196" s="47"/>
      <c r="H196" s="38"/>
      <c r="I196" s="174">
        <v>1.1000000000000001</v>
      </c>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row>
    <row r="197" spans="1:259" ht="36" customHeight="1" x14ac:dyDescent="0.2">
      <c r="A197" s="15" t="s">
        <v>321</v>
      </c>
      <c r="B197" s="30" t="str">
        <f>VLOOKUP(A197,'HECVAT - Full'!A$24:B$312,2,FALSE)</f>
        <v>Have you implemented an Intrusion Detection System (network-based)?</v>
      </c>
      <c r="C197" s="37" t="s">
        <v>588</v>
      </c>
      <c r="D197" s="41"/>
      <c r="E197" s="37" t="s">
        <v>660</v>
      </c>
      <c r="F197" s="37" t="s">
        <v>797</v>
      </c>
      <c r="G197" s="46" t="s">
        <v>740</v>
      </c>
      <c r="H197" s="37" t="s">
        <v>861</v>
      </c>
      <c r="I197" s="174">
        <v>11.4</v>
      </c>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row>
    <row r="198" spans="1:259" ht="36" customHeight="1" x14ac:dyDescent="0.2">
      <c r="A198" s="15" t="s">
        <v>322</v>
      </c>
      <c r="B198" s="30" t="str">
        <f>VLOOKUP(A198,'HECVAT - Full'!A$24:B$312,2,FALSE)</f>
        <v>Have you implemented an Intrusion Prevention System (network-based)?</v>
      </c>
      <c r="C198" s="37" t="s">
        <v>588</v>
      </c>
      <c r="D198" s="41"/>
      <c r="E198" s="37" t="s">
        <v>660</v>
      </c>
      <c r="F198" s="37" t="s">
        <v>797</v>
      </c>
      <c r="G198" s="46" t="s">
        <v>740</v>
      </c>
      <c r="H198" s="37" t="s">
        <v>861</v>
      </c>
      <c r="I198" s="174">
        <v>11.4</v>
      </c>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row>
    <row r="199" spans="1:259" ht="36" customHeight="1" x14ac:dyDescent="0.2">
      <c r="A199" s="15" t="s">
        <v>323</v>
      </c>
      <c r="B199" s="30" t="str">
        <f>VLOOKUP(A199,'HECVAT - Full'!A$24:B$312,2,FALSE)</f>
        <v>Do you employ host-based intrusion detection?</v>
      </c>
      <c r="C199" s="37" t="s">
        <v>588</v>
      </c>
      <c r="D199" s="41"/>
      <c r="E199" s="37" t="s">
        <v>660</v>
      </c>
      <c r="F199" s="37" t="s">
        <v>797</v>
      </c>
      <c r="G199" s="46" t="s">
        <v>740</v>
      </c>
      <c r="H199" s="37" t="s">
        <v>861</v>
      </c>
      <c r="I199" s="174">
        <v>11.4</v>
      </c>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row>
    <row r="200" spans="1:259" ht="36" customHeight="1" x14ac:dyDescent="0.2">
      <c r="A200" s="15" t="s">
        <v>324</v>
      </c>
      <c r="B200" s="30" t="str">
        <f>VLOOKUP(A200,'HECVAT - Full'!A$24:B$312,2,FALSE)</f>
        <v>Do you employ host-based intrusion prevention?</v>
      </c>
      <c r="C200" s="37" t="s">
        <v>588</v>
      </c>
      <c r="D200" s="41"/>
      <c r="E200" s="37" t="s">
        <v>660</v>
      </c>
      <c r="F200" s="37" t="s">
        <v>797</v>
      </c>
      <c r="G200" s="46" t="s">
        <v>740</v>
      </c>
      <c r="H200" s="37" t="s">
        <v>861</v>
      </c>
      <c r="I200" s="174">
        <v>11.4</v>
      </c>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row>
    <row r="201" spans="1:259" ht="48" customHeight="1" x14ac:dyDescent="0.2">
      <c r="A201" s="15" t="s">
        <v>325</v>
      </c>
      <c r="B201" s="30" t="str">
        <f>VLOOKUP(A201,'HECVAT - Full'!A$24:B$312,2,FALSE)</f>
        <v>Are you employing any next-generation persistent threat (NGPT) monitoring?</v>
      </c>
      <c r="C201" s="37" t="s">
        <v>588</v>
      </c>
      <c r="D201" s="41"/>
      <c r="E201" s="37" t="s">
        <v>667</v>
      </c>
      <c r="F201" s="38"/>
      <c r="G201" s="46" t="s">
        <v>740</v>
      </c>
      <c r="H201" s="37" t="s">
        <v>861</v>
      </c>
      <c r="I201" s="174">
        <v>11.5</v>
      </c>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row>
    <row r="202" spans="1:259" ht="36" customHeight="1" x14ac:dyDescent="0.2">
      <c r="A202" s="15" t="s">
        <v>326</v>
      </c>
      <c r="B202" s="30" t="str">
        <f>VLOOKUP(A202,'HECVAT - Full'!A$24:B$312,2,FALSE)</f>
        <v>Do you monitor for intrusions on a 24x7x365 basis?</v>
      </c>
      <c r="C202" s="37" t="s">
        <v>588</v>
      </c>
      <c r="D202" s="41"/>
      <c r="E202" s="37" t="s">
        <v>667</v>
      </c>
      <c r="F202" s="37" t="s">
        <v>798</v>
      </c>
      <c r="G202" s="46" t="s">
        <v>740</v>
      </c>
      <c r="H202" s="37" t="s">
        <v>861</v>
      </c>
      <c r="I202" s="174">
        <v>11.4</v>
      </c>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row>
    <row r="203" spans="1:259" ht="36" customHeight="1" x14ac:dyDescent="0.2">
      <c r="A203" s="15" t="s">
        <v>327</v>
      </c>
      <c r="B203" s="30" t="str">
        <f>VLOOKUP(A203,'HECVAT - Full'!A$24:B$312,2,FALSE)</f>
        <v>Is intrusion monitoring performed internally or by a third-party service?</v>
      </c>
      <c r="C203" s="37" t="s">
        <v>589</v>
      </c>
      <c r="D203" s="41"/>
      <c r="E203" s="37" t="s">
        <v>667</v>
      </c>
      <c r="F203" s="37" t="s">
        <v>798</v>
      </c>
      <c r="G203" s="46" t="s">
        <v>740</v>
      </c>
      <c r="H203" s="37" t="s">
        <v>861</v>
      </c>
      <c r="I203" s="174" t="s">
        <v>2133</v>
      </c>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row>
    <row r="204" spans="1:259" ht="36" customHeight="1" x14ac:dyDescent="0.2">
      <c r="A204" s="15" t="s">
        <v>328</v>
      </c>
      <c r="B204" s="30" t="str">
        <f>VLOOKUP(A204,'HECVAT - Full'!A$24:B$312,2,FALSE)</f>
        <v>Are audit logs available for all changes to the network, firewall, IDS, and IPS systems?</v>
      </c>
      <c r="C204" s="37" t="s">
        <v>580</v>
      </c>
      <c r="D204" s="41"/>
      <c r="E204" s="37" t="s">
        <v>667</v>
      </c>
      <c r="F204" s="37" t="s">
        <v>799</v>
      </c>
      <c r="G204" s="46" t="s">
        <v>741</v>
      </c>
      <c r="H204" s="37" t="s">
        <v>864</v>
      </c>
      <c r="I204" s="174" t="s">
        <v>2134</v>
      </c>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row>
    <row r="205" spans="1:259" ht="36" customHeight="1" x14ac:dyDescent="0.2">
      <c r="A205" s="301" t="str">
        <f>IF(OR($C$25="No",$C$30="Yes"),"Mobile Applications - Optional based on QUALIFIER response.","Mobile Applications")</f>
        <v>Mobile Applications</v>
      </c>
      <c r="B205" s="301"/>
      <c r="C205" s="36" t="str">
        <f>$C$22</f>
        <v>CIS Critical Security Controls v6.1</v>
      </c>
      <c r="D205" s="36" t="str">
        <f>$D$22</f>
        <v>HIPAA</v>
      </c>
      <c r="E205" s="36" t="str">
        <f>$E$22</f>
        <v>ISO 27002:2013</v>
      </c>
      <c r="F205" s="36" t="str">
        <f>$F$22</f>
        <v>NIST Cybersecurity Framework</v>
      </c>
      <c r="G205" s="25" t="str">
        <f>$G$22</f>
        <v>NIST SP 800-171r1</v>
      </c>
      <c r="H205" s="36" t="str">
        <f>$H$22</f>
        <v>NIST SP 800-53r4</v>
      </c>
      <c r="I205" s="173" t="s">
        <v>2046</v>
      </c>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row>
    <row r="206" spans="1:259" ht="48" customHeight="1" x14ac:dyDescent="0.2">
      <c r="A206" s="15" t="s">
        <v>329</v>
      </c>
      <c r="B206" s="30" t="str">
        <f>VLOOKUP(A206,'HECVAT - Full'!A$24:B$312,2,FALSE)</f>
        <v>On which mobile operating systems is your software or service supported?</v>
      </c>
      <c r="C206" s="37" t="s">
        <v>570</v>
      </c>
      <c r="D206" s="41"/>
      <c r="E206" s="38"/>
      <c r="F206" s="38"/>
      <c r="G206" s="48"/>
      <c r="H206" s="38"/>
      <c r="I206" s="38"/>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row>
    <row r="207" spans="1:259" ht="47" customHeight="1" x14ac:dyDescent="0.2">
      <c r="A207" s="15" t="s">
        <v>330</v>
      </c>
      <c r="B207" s="30" t="str">
        <f>VLOOKUP(A207,'HECVAT - Full'!A$24:B$312,2,FALSE)</f>
        <v>Describe or provide a reference to the application's architecture and functionality.</v>
      </c>
      <c r="C207" s="37" t="s">
        <v>584</v>
      </c>
      <c r="D207" s="41"/>
      <c r="E207" s="38"/>
      <c r="F207" s="37" t="s">
        <v>800</v>
      </c>
      <c r="G207" s="48"/>
      <c r="H207" s="38"/>
      <c r="I207" s="38"/>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row>
    <row r="208" spans="1:259" ht="36" customHeight="1" x14ac:dyDescent="0.2">
      <c r="A208" s="15" t="s">
        <v>331</v>
      </c>
      <c r="B208" s="30" t="str">
        <f>VLOOKUP(A208,'HECVAT - Full'!A$24:B$312,2,FALSE)</f>
        <v>Is the application available from a trusted source (e.g., iTunes App Store, Android Market, BB World)?</v>
      </c>
      <c r="C208" s="37" t="s">
        <v>570</v>
      </c>
      <c r="D208" s="41"/>
      <c r="E208" s="38"/>
      <c r="F208" s="37" t="s">
        <v>800</v>
      </c>
      <c r="G208" s="47"/>
      <c r="H208" s="38"/>
      <c r="I208" s="3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row>
    <row r="209" spans="1:259" ht="65" customHeight="1" x14ac:dyDescent="0.2">
      <c r="A209" s="15" t="s">
        <v>332</v>
      </c>
      <c r="B209" s="30" t="str">
        <f>VLOOKUP(A209,'HECVAT - Full'!A$24:B$312,2,FALSE)</f>
        <v>Does the application store, process, or transmit critical data?</v>
      </c>
      <c r="C209" s="37" t="s">
        <v>590</v>
      </c>
      <c r="D209" s="41"/>
      <c r="E209" s="37" t="s">
        <v>668</v>
      </c>
      <c r="F209" s="37" t="s">
        <v>801</v>
      </c>
      <c r="G209" s="47"/>
      <c r="H209" s="38"/>
      <c r="I209" s="38"/>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row>
    <row r="210" spans="1:259" ht="36" customHeight="1" x14ac:dyDescent="0.2">
      <c r="A210" s="15" t="s">
        <v>333</v>
      </c>
      <c r="B210" s="30" t="str">
        <f>VLOOKUP(A210,'HECVAT - Full'!A$24:B$312,2,FALSE)</f>
        <v>Is Institution's data encrypted in transport?</v>
      </c>
      <c r="C210" s="37" t="s">
        <v>569</v>
      </c>
      <c r="D210" s="41"/>
      <c r="E210" s="37" t="s">
        <v>669</v>
      </c>
      <c r="F210" s="37" t="s">
        <v>801</v>
      </c>
      <c r="G210" s="46" t="s">
        <v>742</v>
      </c>
      <c r="H210" s="37" t="s">
        <v>865</v>
      </c>
      <c r="I210" s="37">
        <v>4.0999999999999996</v>
      </c>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row>
    <row r="211" spans="1:259" ht="36" customHeight="1" x14ac:dyDescent="0.2">
      <c r="A211" s="15" t="s">
        <v>334</v>
      </c>
      <c r="B211" s="30" t="str">
        <f>VLOOKUP(A211,'HECVAT - Full'!A$24:B$312,2,FALSE)</f>
        <v>Is Institution's data encrypted in storage? (e.g. disk encryption, at-rest)</v>
      </c>
      <c r="C211" s="37" t="s">
        <v>572</v>
      </c>
      <c r="D211" s="41"/>
      <c r="E211" s="37" t="s">
        <v>669</v>
      </c>
      <c r="F211" s="37" t="s">
        <v>802</v>
      </c>
      <c r="G211" s="47"/>
      <c r="H211" s="38"/>
      <c r="I211" s="38"/>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row>
    <row r="212" spans="1:259" ht="48" customHeight="1" x14ac:dyDescent="0.2">
      <c r="A212" s="15" t="s">
        <v>335</v>
      </c>
      <c r="B212" s="30" t="str">
        <f>VLOOKUP(A212,'HECVAT - Full'!A$24:B$312,2,FALSE)</f>
        <v>Does the mobile application support Kerberos, CAS, or Active Directory authentication?</v>
      </c>
      <c r="C212" s="37" t="s">
        <v>578</v>
      </c>
      <c r="D212" s="41"/>
      <c r="E212" s="37" t="s">
        <v>670</v>
      </c>
      <c r="F212" s="38"/>
      <c r="G212" s="47"/>
      <c r="H212" s="38"/>
      <c r="I212" s="38"/>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row>
    <row r="213" spans="1:259" ht="48" customHeight="1" x14ac:dyDescent="0.2">
      <c r="A213" s="15" t="s">
        <v>336</v>
      </c>
      <c r="B213" s="30" t="str">
        <f>VLOOKUP(A213,'HECVAT - Full'!A$24:B$312,2,FALSE)</f>
        <v>Will any of these systems be implemented on systems hosting the Institution's data?</v>
      </c>
      <c r="C213" s="37" t="s">
        <v>578</v>
      </c>
      <c r="D213" s="41"/>
      <c r="E213" s="38"/>
      <c r="F213" s="38"/>
      <c r="G213" s="47"/>
      <c r="H213" s="38"/>
      <c r="I213" s="38"/>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row>
    <row r="214" spans="1:259" ht="36" customHeight="1" x14ac:dyDescent="0.2">
      <c r="A214" s="15" t="s">
        <v>337</v>
      </c>
      <c r="B214" s="30" t="str">
        <f>VLOOKUP(A214,'HECVAT - Full'!A$24:B$312,2,FALSE)</f>
        <v>Does the application adhere to secure coding practices (e.g. OWASP, etc.)?</v>
      </c>
      <c r="C214" s="37" t="s">
        <v>570</v>
      </c>
      <c r="D214" s="41"/>
      <c r="E214" s="37" t="s">
        <v>622</v>
      </c>
      <c r="F214" s="37" t="s">
        <v>800</v>
      </c>
      <c r="G214" s="47"/>
      <c r="H214" s="38"/>
      <c r="I214" s="38"/>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row>
    <row r="215" spans="1:259" ht="36" customHeight="1" x14ac:dyDescent="0.2">
      <c r="A215" s="15" t="s">
        <v>338</v>
      </c>
      <c r="B215" s="30" t="str">
        <f>VLOOKUP(A215,'HECVAT - Full'!A$24:B$312,2,FALSE)</f>
        <v>Has the application been tested for vulnerabilities by a third party?</v>
      </c>
      <c r="C215" s="37" t="s">
        <v>570</v>
      </c>
      <c r="D215" s="41"/>
      <c r="E215" s="37" t="s">
        <v>671</v>
      </c>
      <c r="F215" s="37" t="s">
        <v>803</v>
      </c>
      <c r="G215" s="47"/>
      <c r="H215" s="38"/>
      <c r="I215" s="38"/>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row>
    <row r="216" spans="1:259" ht="48" customHeight="1" x14ac:dyDescent="0.2">
      <c r="A216" s="15" t="s">
        <v>556</v>
      </c>
      <c r="B216" s="30" t="str">
        <f>VLOOKUP(A216,'HECVAT - Full'!A$24:B$312,2,FALSE)</f>
        <v>State the party that performed the vulnerability test and the date it was conducted?</v>
      </c>
      <c r="C216" s="37" t="s">
        <v>570</v>
      </c>
      <c r="D216" s="41"/>
      <c r="E216" s="37" t="s">
        <v>671</v>
      </c>
      <c r="F216" s="37" t="s">
        <v>803</v>
      </c>
      <c r="G216" s="48"/>
      <c r="H216" s="38"/>
      <c r="I216" s="38"/>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row>
    <row r="217" spans="1:259" ht="36" customHeight="1" x14ac:dyDescent="0.2">
      <c r="A217" s="301" t="str">
        <f>IF($C$30="","Physical Security",IF($C$30="Yes","Physical Security - Optional based on QUALIFIER response.","Physical Security"))</f>
        <v>Physical Security</v>
      </c>
      <c r="B217" s="301"/>
      <c r="C217" s="36" t="str">
        <f>$C$22</f>
        <v>CIS Critical Security Controls v6.1</v>
      </c>
      <c r="D217" s="36" t="str">
        <f>$D$22</f>
        <v>HIPAA</v>
      </c>
      <c r="E217" s="36" t="str">
        <f>$E$22</f>
        <v>ISO 27002:2013</v>
      </c>
      <c r="F217" s="36" t="str">
        <f>$F$22</f>
        <v>NIST Cybersecurity Framework</v>
      </c>
      <c r="G217" s="25" t="str">
        <f>$G$22</f>
        <v>NIST SP 800-171r1</v>
      </c>
      <c r="H217" s="36" t="str">
        <f>$H$22</f>
        <v>NIST SP 800-53r4</v>
      </c>
      <c r="I217" s="173" t="s">
        <v>2046</v>
      </c>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row>
    <row r="218" spans="1:259" ht="64.25" customHeight="1" x14ac:dyDescent="0.2">
      <c r="A218" s="15" t="s">
        <v>339</v>
      </c>
      <c r="B218" s="30" t="str">
        <f>VLOOKUP(A218,'HECVAT - Full'!A$24:B$312,2,FALSE)</f>
        <v>Does your organization have physical security controls and policies in place?</v>
      </c>
      <c r="C218" s="37" t="s">
        <v>584</v>
      </c>
      <c r="D218" s="42"/>
      <c r="E218" s="37" t="s">
        <v>659</v>
      </c>
      <c r="F218" s="37" t="s">
        <v>804</v>
      </c>
      <c r="G218" s="46" t="s">
        <v>743</v>
      </c>
      <c r="H218" s="37" t="s">
        <v>866</v>
      </c>
      <c r="I218" s="37" t="s">
        <v>2132</v>
      </c>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row>
    <row r="219" spans="1:259" ht="36" customHeight="1" x14ac:dyDescent="0.2">
      <c r="A219" s="15" t="s">
        <v>340</v>
      </c>
      <c r="B219" s="30" t="str">
        <f>VLOOKUP(A219,'HECVAT - Full'!A$24:B$312,2,FALSE)</f>
        <v>Are employees allowed to take home Institution's data in any form?</v>
      </c>
      <c r="C219" s="37" t="s">
        <v>569</v>
      </c>
      <c r="D219" s="42"/>
      <c r="E219" s="37" t="s">
        <v>669</v>
      </c>
      <c r="F219" s="37" t="s">
        <v>805</v>
      </c>
      <c r="G219" s="46" t="s">
        <v>745</v>
      </c>
      <c r="H219" s="37" t="s">
        <v>867</v>
      </c>
      <c r="I219" s="37" t="s">
        <v>2135</v>
      </c>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row>
    <row r="220" spans="1:259" ht="36" customHeight="1" x14ac:dyDescent="0.2">
      <c r="A220" s="15" t="s">
        <v>341</v>
      </c>
      <c r="B220" s="30" t="str">
        <f>VLOOKUP(A220,'HECVAT - Full'!A$24:B$312,2,FALSE)</f>
        <v>Are video monitoring feeds retained?</v>
      </c>
      <c r="C220" s="37" t="s">
        <v>584</v>
      </c>
      <c r="D220" s="42"/>
      <c r="E220" s="37" t="s">
        <v>673</v>
      </c>
      <c r="F220" s="37" t="s">
        <v>806</v>
      </c>
      <c r="G220" s="46" t="s">
        <v>744</v>
      </c>
      <c r="H220" s="37" t="s">
        <v>868</v>
      </c>
      <c r="I220" s="37" t="s">
        <v>2132</v>
      </c>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row>
    <row r="221" spans="1:259" ht="36" customHeight="1" x14ac:dyDescent="0.2">
      <c r="A221" s="15" t="s">
        <v>342</v>
      </c>
      <c r="B221" s="30" t="str">
        <f>VLOOKUP(A221,'HECVAT - Full'!A$24:B$312,2,FALSE)</f>
        <v>Are video feeds monitored by datacenter staff?</v>
      </c>
      <c r="C221" s="37" t="s">
        <v>584</v>
      </c>
      <c r="D221" s="42"/>
      <c r="E221" s="37" t="s">
        <v>674</v>
      </c>
      <c r="F221" s="37" t="s">
        <v>806</v>
      </c>
      <c r="G221" s="46" t="s">
        <v>744</v>
      </c>
      <c r="H221" s="37" t="s">
        <v>868</v>
      </c>
      <c r="I221" s="37" t="s">
        <v>2132</v>
      </c>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row>
    <row r="222" spans="1:259" ht="36" customHeight="1" x14ac:dyDescent="0.2">
      <c r="A222" s="15" t="s">
        <v>343</v>
      </c>
      <c r="B222" s="30" t="str">
        <f>VLOOKUP(A222,'HECVAT - Full'!A$24:B$312,2,FALSE)</f>
        <v>Are individuals required to sign in/out for installation and removal of equipment?</v>
      </c>
      <c r="C222" s="37" t="s">
        <v>572</v>
      </c>
      <c r="D222" s="42"/>
      <c r="E222" s="37" t="s">
        <v>672</v>
      </c>
      <c r="F222" s="37" t="s">
        <v>790</v>
      </c>
      <c r="G222" s="46" t="s">
        <v>746</v>
      </c>
      <c r="H222" s="106" t="s">
        <v>867</v>
      </c>
      <c r="I222" s="37" t="s">
        <v>2132</v>
      </c>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row>
    <row r="223" spans="1:259" ht="36" customHeight="1" x14ac:dyDescent="0.2">
      <c r="A223" s="301" t="str">
        <f>IF($C$30="","Policies, Procedures, and Processes",IF($C$30="Yes","Pol/Pro/Proc - Optional based on QUALIFIER response.","Policies, Procedures, and Processes"))</f>
        <v>Policies, Procedures, and Processes</v>
      </c>
      <c r="B223" s="301"/>
      <c r="C223" s="36" t="str">
        <f>$C$22</f>
        <v>CIS Critical Security Controls v6.1</v>
      </c>
      <c r="D223" s="36" t="str">
        <f>$D$22</f>
        <v>HIPAA</v>
      </c>
      <c r="E223" s="36" t="str">
        <f>$E$22</f>
        <v>ISO 27002:2013</v>
      </c>
      <c r="F223" s="36" t="str">
        <f>$F$22</f>
        <v>NIST Cybersecurity Framework</v>
      </c>
      <c r="G223" s="25" t="str">
        <f>$G$22</f>
        <v>NIST SP 800-171r1</v>
      </c>
      <c r="H223" s="36" t="str">
        <f>$H$22</f>
        <v>NIST SP 800-53r4</v>
      </c>
      <c r="I223" s="173" t="s">
        <v>2046</v>
      </c>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row>
    <row r="224" spans="1:259" ht="72" customHeight="1" x14ac:dyDescent="0.2">
      <c r="A224" s="15" t="s">
        <v>344</v>
      </c>
      <c r="B224" s="30" t="str">
        <f>VLOOKUP(A224,'HECVAT - Full'!A$24:B$312,2,FALSE)</f>
        <v>Can you share the organization chart, mission statement, and policies for your information security unit?</v>
      </c>
      <c r="C224" s="38"/>
      <c r="D224" s="38"/>
      <c r="E224" s="37" t="s">
        <v>675</v>
      </c>
      <c r="F224" s="37" t="s">
        <v>807</v>
      </c>
      <c r="G224" s="46" t="s">
        <v>747</v>
      </c>
      <c r="H224" s="37" t="s">
        <v>869</v>
      </c>
      <c r="I224" s="37" t="s">
        <v>2136</v>
      </c>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row>
    <row r="225" spans="1:259" ht="36" customHeight="1" x14ac:dyDescent="0.2">
      <c r="A225" s="15" t="s">
        <v>345</v>
      </c>
      <c r="B225" s="30" t="str">
        <f>VLOOKUP(A225,'HECVAT - Full'!A$24:B$312,2,FALSE)</f>
        <v>Do you have a documented patch management process?</v>
      </c>
      <c r="C225" s="37" t="s">
        <v>591</v>
      </c>
      <c r="D225" s="38"/>
      <c r="E225" s="37" t="s">
        <v>648</v>
      </c>
      <c r="F225" s="37" t="s">
        <v>808</v>
      </c>
      <c r="G225" s="47"/>
      <c r="H225" s="37" t="s">
        <v>870</v>
      </c>
      <c r="I225" s="37" t="s">
        <v>2137</v>
      </c>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row>
    <row r="226" spans="1:259" ht="36" customHeight="1" x14ac:dyDescent="0.2">
      <c r="A226" s="15" t="s">
        <v>346</v>
      </c>
      <c r="B226" s="30" t="str">
        <f>VLOOKUP(A226,'HECVAT - Full'!A$24:B$312,2,FALSE)</f>
        <v>Can you accommodate encryption requirements using open standards?</v>
      </c>
      <c r="C226" s="37" t="s">
        <v>569</v>
      </c>
      <c r="D226" s="38"/>
      <c r="E226" s="37" t="s">
        <v>683</v>
      </c>
      <c r="F226" s="38"/>
      <c r="G226" s="47"/>
      <c r="H226" s="37" t="s">
        <v>870</v>
      </c>
      <c r="I226" s="37"/>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row>
    <row r="227" spans="1:259" ht="48" customHeight="1" x14ac:dyDescent="0.2">
      <c r="A227" s="15" t="s">
        <v>347</v>
      </c>
      <c r="B227" s="30" t="str">
        <f>VLOOKUP(A227,'HECVAT - Full'!A$24:B$312,2,FALSE)</f>
        <v>Have your developers been trained in secure coding techniques?</v>
      </c>
      <c r="C227" s="37" t="s">
        <v>593</v>
      </c>
      <c r="D227" s="38"/>
      <c r="E227" s="37" t="s">
        <v>622</v>
      </c>
      <c r="F227" s="38"/>
      <c r="G227" s="47"/>
      <c r="H227" s="37" t="s">
        <v>870</v>
      </c>
      <c r="I227" s="37" t="s">
        <v>2138</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row>
    <row r="228" spans="1:259" ht="48" customHeight="1" x14ac:dyDescent="0.2">
      <c r="A228" s="15" t="s">
        <v>348</v>
      </c>
      <c r="B228" s="30" t="str">
        <f>VLOOKUP(A228,'HECVAT - Full'!A$24:B$312,2,FALSE)</f>
        <v>Was your application developed using secure coding techniques?</v>
      </c>
      <c r="C228" s="37" t="s">
        <v>591</v>
      </c>
      <c r="D228" s="38"/>
      <c r="E228" s="37" t="s">
        <v>622</v>
      </c>
      <c r="F228" s="38"/>
      <c r="G228" s="47"/>
      <c r="H228" s="37" t="s">
        <v>870</v>
      </c>
      <c r="I228" s="37">
        <v>6.3</v>
      </c>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row>
    <row r="229" spans="1:259" ht="48" customHeight="1" x14ac:dyDescent="0.2">
      <c r="A229" s="15" t="s">
        <v>349</v>
      </c>
      <c r="B229" s="30" t="str">
        <f>VLOOKUP(A229,'HECVAT - Full'!A$24:B$312,2,FALSE)</f>
        <v>Do you subject your code to static code analysis and/or static application security testing prior to release?</v>
      </c>
      <c r="C229" s="37" t="s">
        <v>591</v>
      </c>
      <c r="D229" s="38"/>
      <c r="E229" s="37" t="s">
        <v>684</v>
      </c>
      <c r="F229" s="37" t="s">
        <v>809</v>
      </c>
      <c r="G229" s="47"/>
      <c r="H229" s="37" t="s">
        <v>870</v>
      </c>
      <c r="I229" s="37" t="s">
        <v>2139</v>
      </c>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row>
    <row r="230" spans="1:259" ht="84" customHeight="1" x14ac:dyDescent="0.2">
      <c r="A230" s="15" t="s">
        <v>350</v>
      </c>
      <c r="B230" s="30" t="str">
        <f>VLOOKUP(A230,'HECVAT - Full'!A$24:B$312,2,FALSE)</f>
        <v>Do you have software testing processes (dynamic or static) that are established and followed?</v>
      </c>
      <c r="C230" s="37" t="s">
        <v>591</v>
      </c>
      <c r="D230" s="38"/>
      <c r="E230" s="37" t="s">
        <v>676</v>
      </c>
      <c r="F230" s="37" t="s">
        <v>810</v>
      </c>
      <c r="G230" s="46" t="s">
        <v>720</v>
      </c>
      <c r="H230" s="37" t="s">
        <v>870</v>
      </c>
      <c r="I230" s="37" t="s">
        <v>2140</v>
      </c>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row>
    <row r="231" spans="1:259" ht="48" customHeight="1" x14ac:dyDescent="0.2">
      <c r="A231" s="15" t="s">
        <v>351</v>
      </c>
      <c r="B231" s="30" t="str">
        <f>VLOOKUP(A231,'HECVAT - Full'!A$24:B$312,2,FALSE)</f>
        <v>Are information security principles designed into the product lifecycle?</v>
      </c>
      <c r="C231" s="37" t="s">
        <v>591</v>
      </c>
      <c r="D231" s="38"/>
      <c r="E231" s="37" t="s">
        <v>622</v>
      </c>
      <c r="F231" s="38"/>
      <c r="G231" s="46" t="s">
        <v>748</v>
      </c>
      <c r="H231" s="37" t="s">
        <v>870</v>
      </c>
      <c r="I231" s="37" t="s">
        <v>2141</v>
      </c>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row>
    <row r="232" spans="1:259" ht="36" customHeight="1" x14ac:dyDescent="0.2">
      <c r="A232" s="15" t="s">
        <v>352</v>
      </c>
      <c r="B232" s="30" t="str">
        <f>VLOOKUP(A232,'HECVAT - Full'!A$24:B$312,2,FALSE)</f>
        <v>Do you have a documented systems development life cycle (SDLC)?</v>
      </c>
      <c r="C232" s="37" t="s">
        <v>591</v>
      </c>
      <c r="D232" s="38"/>
      <c r="E232" s="37" t="s">
        <v>622</v>
      </c>
      <c r="F232" s="37" t="s">
        <v>811</v>
      </c>
      <c r="G232" s="47"/>
      <c r="H232" s="37" t="s">
        <v>871</v>
      </c>
      <c r="I232" s="37" t="s">
        <v>2139</v>
      </c>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row>
    <row r="233" spans="1:259" ht="36" customHeight="1" x14ac:dyDescent="0.2">
      <c r="A233" s="15" t="s">
        <v>353</v>
      </c>
      <c r="B233" s="30" t="str">
        <f>VLOOKUP(A233,'HECVAT - Full'!A$24:B$312,2,FALSE)</f>
        <v>Do you have a formal incident response plan?</v>
      </c>
      <c r="C233" s="37" t="s">
        <v>588</v>
      </c>
      <c r="D233" s="38"/>
      <c r="E233" s="37" t="s">
        <v>677</v>
      </c>
      <c r="F233" s="37" t="s">
        <v>700</v>
      </c>
      <c r="G233" s="46" t="s">
        <v>749</v>
      </c>
      <c r="H233" s="37" t="s">
        <v>872</v>
      </c>
      <c r="I233" s="37" t="s">
        <v>2142</v>
      </c>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row>
    <row r="234" spans="1:259" ht="36" customHeight="1" x14ac:dyDescent="0.2">
      <c r="A234" s="15" t="s">
        <v>354</v>
      </c>
      <c r="B234" s="30" t="str">
        <f>VLOOKUP(A234,'HECVAT - Full'!A$24:B$312,2,FALSE)</f>
        <v>Will you comply with applicable breach notification laws?</v>
      </c>
      <c r="C234" s="37" t="s">
        <v>588</v>
      </c>
      <c r="D234" s="38"/>
      <c r="E234" s="37" t="s">
        <v>617</v>
      </c>
      <c r="F234" s="37" t="s">
        <v>698</v>
      </c>
      <c r="G234" s="46" t="s">
        <v>750</v>
      </c>
      <c r="H234" s="37" t="s">
        <v>873</v>
      </c>
      <c r="I234" s="37">
        <v>12.8</v>
      </c>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row>
    <row r="235" spans="1:259" ht="48" customHeight="1" x14ac:dyDescent="0.2">
      <c r="A235" s="15" t="s">
        <v>355</v>
      </c>
      <c r="B235" s="30" t="str">
        <f>VLOOKUP(A235,'HECVAT - Full'!A$24:B$312,2,FALSE)</f>
        <v>Will you comply with the Institution's IT policies with regards to user privacy and data protection?</v>
      </c>
      <c r="C235" s="37" t="s">
        <v>569</v>
      </c>
      <c r="D235" s="38"/>
      <c r="E235" s="37" t="s">
        <v>617</v>
      </c>
      <c r="F235" s="38"/>
      <c r="G235" s="46" t="s">
        <v>739</v>
      </c>
      <c r="H235" s="37" t="s">
        <v>874</v>
      </c>
      <c r="I235" s="37">
        <v>12.8</v>
      </c>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row>
    <row r="236" spans="1:259" ht="36" customHeight="1" x14ac:dyDescent="0.2">
      <c r="A236" s="15" t="s">
        <v>356</v>
      </c>
      <c r="B236" s="30" t="str">
        <f>VLOOKUP(A236,'HECVAT - Full'!A$24:B$312,2,FALSE)</f>
        <v>Is your company subject to Institution's Data Zone laws and regulations?</v>
      </c>
      <c r="C236" s="37" t="s">
        <v>588</v>
      </c>
      <c r="D236" s="38"/>
      <c r="E236" s="37" t="s">
        <v>617</v>
      </c>
      <c r="F236" s="37" t="s">
        <v>698</v>
      </c>
      <c r="G236" s="47"/>
      <c r="H236" s="37" t="s">
        <v>870</v>
      </c>
      <c r="I236" s="37"/>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row>
    <row r="237" spans="1:259" ht="48" customHeight="1" x14ac:dyDescent="0.2">
      <c r="A237" s="15" t="s">
        <v>357</v>
      </c>
      <c r="B237" s="30" t="str">
        <f>VLOOKUP(A237,'HECVAT - Full'!A$24:B$312,2,FALSE)</f>
        <v>Do you perform background screenings or multi-state background checks on all employees prior to their first day of work?</v>
      </c>
      <c r="C237" s="37" t="s">
        <v>577</v>
      </c>
      <c r="D237" s="38"/>
      <c r="E237" s="37" t="s">
        <v>678</v>
      </c>
      <c r="F237" s="37" t="s">
        <v>812</v>
      </c>
      <c r="G237" s="46" t="s">
        <v>751</v>
      </c>
      <c r="H237" s="37" t="s">
        <v>875</v>
      </c>
      <c r="I237" s="37">
        <v>12.7</v>
      </c>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row>
    <row r="238" spans="1:259" ht="36" customHeight="1" x14ac:dyDescent="0.2">
      <c r="A238" s="15" t="s">
        <v>358</v>
      </c>
      <c r="B238" s="30" t="str">
        <f>VLOOKUP(A238,'HECVAT - Full'!A$24:B$312,2,FALSE)</f>
        <v xml:space="preserve">Do you require new employees to fill out agreements and review policies?  </v>
      </c>
      <c r="C238" s="37" t="s">
        <v>592</v>
      </c>
      <c r="D238" s="38"/>
      <c r="E238" s="37" t="s">
        <v>679</v>
      </c>
      <c r="F238" s="37" t="s">
        <v>812</v>
      </c>
      <c r="G238" s="47"/>
      <c r="H238" s="37" t="s">
        <v>870</v>
      </c>
      <c r="I238" s="37" t="s">
        <v>2143</v>
      </c>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row>
    <row r="239" spans="1:259" ht="48" customHeight="1" x14ac:dyDescent="0.2">
      <c r="A239" s="15" t="s">
        <v>359</v>
      </c>
      <c r="B239" s="30" t="str">
        <f>VLOOKUP(A239,'HECVAT - Full'!A$24:B$312,2,FALSE)</f>
        <v>Do you have documented information security policy?</v>
      </c>
      <c r="C239" s="37" t="s">
        <v>592</v>
      </c>
      <c r="D239" s="37" t="s">
        <v>600</v>
      </c>
      <c r="E239" s="37" t="s">
        <v>675</v>
      </c>
      <c r="F239" s="37" t="s">
        <v>698</v>
      </c>
      <c r="G239" s="47"/>
      <c r="H239" s="37" t="s">
        <v>870</v>
      </c>
      <c r="I239" s="37" t="s">
        <v>2145</v>
      </c>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row>
    <row r="240" spans="1:259" ht="48" customHeight="1" x14ac:dyDescent="0.2">
      <c r="A240" s="15" t="s">
        <v>360</v>
      </c>
      <c r="B240" s="30" t="str">
        <f>VLOOKUP(A240,'HECVAT - Full'!A$24:B$312,2,FALSE)</f>
        <v>Do you have an information security awareness program?</v>
      </c>
      <c r="C240" s="37" t="s">
        <v>592</v>
      </c>
      <c r="D240" s="37" t="s">
        <v>602</v>
      </c>
      <c r="E240" s="37" t="s">
        <v>680</v>
      </c>
      <c r="F240" s="37" t="s">
        <v>813</v>
      </c>
      <c r="G240" s="46" t="s">
        <v>752</v>
      </c>
      <c r="H240" s="37" t="s">
        <v>876</v>
      </c>
      <c r="I240" s="37">
        <v>12.6</v>
      </c>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row>
    <row r="241" spans="1:259" ht="48" customHeight="1" x14ac:dyDescent="0.2">
      <c r="A241" s="15" t="s">
        <v>361</v>
      </c>
      <c r="B241" s="30" t="str">
        <f>VLOOKUP(A241,'HECVAT - Full'!A$24:B$312,2,FALSE)</f>
        <v>Is security awareness training mandatory for all employees?</v>
      </c>
      <c r="C241" s="37" t="s">
        <v>592</v>
      </c>
      <c r="D241" s="37" t="s">
        <v>602</v>
      </c>
      <c r="E241" s="37" t="s">
        <v>680</v>
      </c>
      <c r="F241" s="37" t="s">
        <v>813</v>
      </c>
      <c r="G241" s="46" t="s">
        <v>753</v>
      </c>
      <c r="H241" s="37" t="s">
        <v>877</v>
      </c>
      <c r="I241" s="37">
        <v>12.6</v>
      </c>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row>
    <row r="242" spans="1:259" ht="48" customHeight="1" x14ac:dyDescent="0.2">
      <c r="A242" s="15" t="s">
        <v>362</v>
      </c>
      <c r="B242" s="30" t="str">
        <f>VLOOKUP(A242,'HECVAT - Full'!A$24:B$312,2,FALSE)</f>
        <v>Do you have process and procedure(s) documented, and currently followed, that require a review and update of the access-list(s) for privileged accounts?</v>
      </c>
      <c r="C242" s="37" t="s">
        <v>592</v>
      </c>
      <c r="D242" s="38"/>
      <c r="E242" s="37" t="s">
        <v>681</v>
      </c>
      <c r="F242" s="37" t="s">
        <v>772</v>
      </c>
      <c r="G242" s="46" t="s">
        <v>754</v>
      </c>
      <c r="H242" s="37" t="s">
        <v>870</v>
      </c>
      <c r="I242" s="37" t="s">
        <v>2146</v>
      </c>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row>
    <row r="243" spans="1:259" ht="70.25" customHeight="1" x14ac:dyDescent="0.2">
      <c r="A243" s="15" t="s">
        <v>363</v>
      </c>
      <c r="B243" s="30" t="str">
        <f>VLOOKUP(A243,'HECVAT - Full'!A$24:B$312,2,FALSE)</f>
        <v>Do you have documented, and currently implemented, internal audit processes and procedures?</v>
      </c>
      <c r="C243" s="38"/>
      <c r="D243" s="38"/>
      <c r="E243" s="37" t="s">
        <v>682</v>
      </c>
      <c r="F243" s="38"/>
      <c r="G243" s="47"/>
      <c r="H243" s="37" t="s">
        <v>878</v>
      </c>
      <c r="I243" s="47"/>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row>
    <row r="244" spans="1:259" ht="36" customHeight="1" x14ac:dyDescent="0.2">
      <c r="A244" s="301" t="str">
        <f>IF($C$30="","Product Evaluation",IF($C$30="Yes","Product Evaluation - Optional based on QUALIFIER response.","Product Evaluation"))</f>
        <v>Product Evaluation</v>
      </c>
      <c r="B244" s="301"/>
      <c r="C244" s="36" t="str">
        <f>$C$22</f>
        <v>CIS Critical Security Controls v6.1</v>
      </c>
      <c r="D244" s="36" t="str">
        <f>$D$22</f>
        <v>HIPAA</v>
      </c>
      <c r="E244" s="36" t="str">
        <f>$E$22</f>
        <v>ISO 27002:2013</v>
      </c>
      <c r="F244" s="36" t="str">
        <f>$F$22</f>
        <v>NIST Cybersecurity Framework</v>
      </c>
      <c r="G244" s="25" t="str">
        <f>$G$22</f>
        <v>NIST SP 800-171r1</v>
      </c>
      <c r="H244" s="36" t="str">
        <f>$H$22</f>
        <v>NIST SP 800-53r4</v>
      </c>
      <c r="I244" s="173" t="s">
        <v>2046</v>
      </c>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row>
    <row r="245" spans="1:259" ht="48" customHeight="1" x14ac:dyDescent="0.2">
      <c r="A245" s="15" t="s">
        <v>364</v>
      </c>
      <c r="B245" s="30" t="str">
        <f>VLOOKUP(A245,'HECVAT - Full'!A$24:B$312,2,FALSE)</f>
        <v>Do you incorporate customer feedback into security feature requests?</v>
      </c>
      <c r="C245" s="38"/>
      <c r="D245" s="41"/>
      <c r="E245" s="41"/>
      <c r="F245" s="38"/>
      <c r="G245" s="47"/>
      <c r="H245" s="41"/>
      <c r="I245" s="41"/>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row>
    <row r="246" spans="1:259" ht="36" customHeight="1" x14ac:dyDescent="0.2">
      <c r="A246" s="15" t="s">
        <v>365</v>
      </c>
      <c r="B246" s="30" t="str">
        <f>VLOOKUP(A246,'HECVAT - Full'!A$24:B$312,2,FALSE)</f>
        <v>Can you provide an evaluation site to the institution for testing?</v>
      </c>
      <c r="C246" s="38"/>
      <c r="D246" s="41"/>
      <c r="E246" s="41"/>
      <c r="F246" s="37" t="s">
        <v>810</v>
      </c>
      <c r="G246" s="47"/>
      <c r="H246" s="41"/>
      <c r="I246" s="41"/>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row>
    <row r="247" spans="1:259" ht="36" customHeight="1" x14ac:dyDescent="0.2">
      <c r="A247" s="301" t="str">
        <f>IF($C$30="","Quality Assurance",IF($C$30="Yes","Quality Assurance - Optional based on QUALIFIER response.","Quality Assurance"))</f>
        <v>Quality Assurance</v>
      </c>
      <c r="B247" s="301"/>
      <c r="C247" s="36" t="str">
        <f>$C$22</f>
        <v>CIS Critical Security Controls v6.1</v>
      </c>
      <c r="D247" s="36" t="str">
        <f>$D$22</f>
        <v>HIPAA</v>
      </c>
      <c r="E247" s="36" t="str">
        <f>$E$22</f>
        <v>ISO 27002:2013</v>
      </c>
      <c r="F247" s="36" t="str">
        <f>$F$22</f>
        <v>NIST Cybersecurity Framework</v>
      </c>
      <c r="G247" s="25" t="str">
        <f>$G$22</f>
        <v>NIST SP 800-171r1</v>
      </c>
      <c r="H247" s="36" t="str">
        <f>$H$22</f>
        <v>NIST SP 800-53r4</v>
      </c>
      <c r="I247" s="173" t="s">
        <v>2046</v>
      </c>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row>
    <row r="248" spans="1:259" ht="48" customHeight="1" x14ac:dyDescent="0.2">
      <c r="A248" s="15" t="s">
        <v>366</v>
      </c>
      <c r="B248" s="30" t="str">
        <f>VLOOKUP(A248,'HECVAT - Full'!A$24:B$312,2,FALSE)</f>
        <v>Provide a general summary of your Quality Assurance program.</v>
      </c>
      <c r="C248" s="37" t="s">
        <v>569</v>
      </c>
      <c r="D248" s="41"/>
      <c r="E248" s="41"/>
      <c r="F248" s="41"/>
      <c r="G248" s="48"/>
      <c r="H248" s="41"/>
      <c r="I248" s="41"/>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row>
    <row r="249" spans="1:259" ht="36" customHeight="1" x14ac:dyDescent="0.2">
      <c r="A249" s="15" t="s">
        <v>367</v>
      </c>
      <c r="B249" s="30" t="str">
        <f>VLOOKUP(A249,'HECVAT - Full'!A$24:B$312,2,FALSE)</f>
        <v>Do you comply with ISO 9001?</v>
      </c>
      <c r="C249" s="37" t="s">
        <v>569</v>
      </c>
      <c r="D249" s="41"/>
      <c r="E249" s="37" t="s">
        <v>617</v>
      </c>
      <c r="F249" s="38"/>
      <c r="G249" s="47"/>
      <c r="H249" s="41"/>
      <c r="I249" s="41"/>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row>
    <row r="250" spans="1:259" ht="53" customHeight="1" x14ac:dyDescent="0.2">
      <c r="A250" s="15" t="s">
        <v>368</v>
      </c>
      <c r="B250" s="30" t="str">
        <f>VLOOKUP(A250,'HECVAT - Full'!A$24:B$312,2,FALSE)</f>
        <v>Will your company provide quality and performance metrics in relation to the scope of services and performance expectations for the services you are offering?</v>
      </c>
      <c r="C250" s="37" t="s">
        <v>569</v>
      </c>
      <c r="D250" s="41"/>
      <c r="E250" s="41"/>
      <c r="F250" s="38"/>
      <c r="G250" s="47"/>
      <c r="H250" s="41"/>
      <c r="I250" s="41"/>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row>
    <row r="251" spans="1:259" ht="53" customHeight="1" x14ac:dyDescent="0.2">
      <c r="A251" s="15" t="s">
        <v>369</v>
      </c>
      <c r="B251" s="30" t="str">
        <f>VLOOKUP(A251,'HECVAT - Full'!A$24:B$312,2,FALSE)</f>
        <v>Have you supplied products and/or services to the Institution (or its Campuses) in the last five years?</v>
      </c>
      <c r="C251" s="38"/>
      <c r="D251" s="41"/>
      <c r="E251" s="41"/>
      <c r="F251" s="38"/>
      <c r="G251" s="47"/>
      <c r="H251" s="41"/>
      <c r="I251" s="4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row>
    <row r="252" spans="1:259" ht="48" customHeight="1" x14ac:dyDescent="0.2">
      <c r="A252" s="15" t="s">
        <v>370</v>
      </c>
      <c r="B252" s="30" t="str">
        <f>VLOOKUP(A252,'HECVAT - Full'!A$24:B$312,2,FALSE)</f>
        <v>Do you have a program to keep your customers abreast of higher education and/or industry issues?</v>
      </c>
      <c r="C252" s="37" t="s">
        <v>592</v>
      </c>
      <c r="D252" s="41"/>
      <c r="E252" s="41"/>
      <c r="F252" s="38"/>
      <c r="G252" s="47"/>
      <c r="H252" s="41"/>
      <c r="I252" s="41"/>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row>
    <row r="253" spans="1:259" ht="36" customHeight="1" x14ac:dyDescent="0.2">
      <c r="A253" s="301" t="str">
        <f>IF($C$30="","Systems Management &amp; Configuration",IF($C$30="Yes","System Mgmt/Config - Optional based on QUALIFIER response.","Systems Management &amp; Configuration"))</f>
        <v>Systems Management &amp; Configuration</v>
      </c>
      <c r="B253" s="301"/>
      <c r="C253" s="36" t="str">
        <f>$C$22</f>
        <v>CIS Critical Security Controls v6.1</v>
      </c>
      <c r="D253" s="36" t="str">
        <f>$D$22</f>
        <v>HIPAA</v>
      </c>
      <c r="E253" s="36" t="str">
        <f>$E$22</f>
        <v>ISO 27002:2013</v>
      </c>
      <c r="F253" s="36" t="str">
        <f>$F$22</f>
        <v>NIST Cybersecurity Framework</v>
      </c>
      <c r="G253" s="25" t="str">
        <f>$G$22</f>
        <v>NIST SP 800-171r1</v>
      </c>
      <c r="H253" s="36" t="str">
        <f>$H$22</f>
        <v>NIST SP 800-53r4</v>
      </c>
      <c r="I253" s="173" t="s">
        <v>2046</v>
      </c>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row>
    <row r="254" spans="1:259" ht="49.25" customHeight="1" x14ac:dyDescent="0.2">
      <c r="A254" s="15" t="s">
        <v>371</v>
      </c>
      <c r="B254" s="30" t="str">
        <f>VLOOKUP(A254,'HECVAT - Full'!A$24:B$312,2,FALSE)</f>
        <v>Are systems that support this service managed via a separate management network?</v>
      </c>
      <c r="C254" s="37" t="s">
        <v>574</v>
      </c>
      <c r="D254" s="38"/>
      <c r="E254" s="37" t="s">
        <v>666</v>
      </c>
      <c r="F254" s="37" t="s">
        <v>814</v>
      </c>
      <c r="G254" s="46" t="s">
        <v>738</v>
      </c>
      <c r="H254" s="37" t="s">
        <v>829</v>
      </c>
      <c r="I254" s="41"/>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row>
    <row r="255" spans="1:259" ht="48" customHeight="1" x14ac:dyDescent="0.2">
      <c r="A255" s="15" t="s">
        <v>372</v>
      </c>
      <c r="B255" s="30" t="str">
        <f>VLOOKUP(A255,'HECVAT - Full'!A$24:B$312,2,FALSE)</f>
        <v>Do you have an implemented system configuration management process? (e.g. secure "gold" images, etc.)</v>
      </c>
      <c r="C255" s="37" t="s">
        <v>584</v>
      </c>
      <c r="D255" s="38"/>
      <c r="E255" s="38"/>
      <c r="F255" s="37" t="s">
        <v>815</v>
      </c>
      <c r="G255" s="46" t="s">
        <v>755</v>
      </c>
      <c r="H255" s="37" t="s">
        <v>879</v>
      </c>
      <c r="I255" s="41"/>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row>
    <row r="256" spans="1:259" ht="48" customHeight="1" x14ac:dyDescent="0.2">
      <c r="A256" s="15" t="s">
        <v>373</v>
      </c>
      <c r="B256" s="30" t="str">
        <f>VLOOKUP(A256,'HECVAT - Full'!A$24:B$312,2,FALSE)</f>
        <v>Are employee mobile devices managed by your company's Mobile Device Management (MDM) platform?</v>
      </c>
      <c r="C256" s="37" t="s">
        <v>584</v>
      </c>
      <c r="D256" s="38"/>
      <c r="E256" s="37" t="s">
        <v>685</v>
      </c>
      <c r="F256" s="38"/>
      <c r="G256" s="46" t="s">
        <v>756</v>
      </c>
      <c r="H256" s="38"/>
      <c r="I256" s="41"/>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row>
    <row r="257" spans="1:259" ht="64.25" customHeight="1" x14ac:dyDescent="0.2">
      <c r="A257" s="15" t="s">
        <v>374</v>
      </c>
      <c r="B257" s="30" t="str">
        <f>VLOOKUP(A257,'HECVAT - Full'!A$24:B$312,2,FALSE)</f>
        <v>Do you have a systems management and configuration strategy that encompasses servers, appliances, and mobile devices (company and employee owned)?</v>
      </c>
      <c r="C257" s="37" t="s">
        <v>584</v>
      </c>
      <c r="D257" s="38"/>
      <c r="E257" s="37" t="s">
        <v>630</v>
      </c>
      <c r="F257" s="37" t="s">
        <v>816</v>
      </c>
      <c r="G257" s="46" t="s">
        <v>757</v>
      </c>
      <c r="H257" s="106" t="s">
        <v>880</v>
      </c>
      <c r="I257" s="41"/>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row>
    <row r="258" spans="1:259" ht="36" customHeight="1" x14ac:dyDescent="0.2">
      <c r="A258" s="301" t="str">
        <f>IF($C$30="","Vulnerability Scanning",IF($C$30="Yes","Vulnerability Scanning - Optional based on QUALIFIER response.","Vulnerability Scanning"))</f>
        <v>Vulnerability Scanning</v>
      </c>
      <c r="B258" s="301"/>
      <c r="C258" s="36" t="str">
        <f>$C$22</f>
        <v>CIS Critical Security Controls v6.1</v>
      </c>
      <c r="D258" s="36" t="str">
        <f>$D$22</f>
        <v>HIPAA</v>
      </c>
      <c r="E258" s="36" t="str">
        <f>$E$22</f>
        <v>ISO 27002:2013</v>
      </c>
      <c r="F258" s="36" t="str">
        <f>$F$22</f>
        <v>NIST Cybersecurity Framework</v>
      </c>
      <c r="G258" s="25" t="str">
        <f>$G$22</f>
        <v>NIST SP 800-171r1</v>
      </c>
      <c r="H258" s="36" t="str">
        <f>$H$22</f>
        <v>NIST SP 800-53r4</v>
      </c>
      <c r="I258" s="173" t="s">
        <v>2046</v>
      </c>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row>
    <row r="259" spans="1:259" ht="36" customHeight="1" x14ac:dyDescent="0.2">
      <c r="A259" s="15" t="s">
        <v>375</v>
      </c>
      <c r="B259" s="30" t="str">
        <f>VLOOKUP(A259,'HECVAT - Full'!A$24:B$312,2,FALSE)</f>
        <v>Are your applications scanned externally for vulnerabilities?</v>
      </c>
      <c r="C259" s="37" t="s">
        <v>591</v>
      </c>
      <c r="D259" s="41"/>
      <c r="E259" s="37" t="s">
        <v>648</v>
      </c>
      <c r="F259" s="37" t="s">
        <v>817</v>
      </c>
      <c r="G259" s="46" t="s">
        <v>758</v>
      </c>
      <c r="H259" s="37" t="s">
        <v>881</v>
      </c>
      <c r="I259" s="174">
        <v>11.2</v>
      </c>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row>
    <row r="260" spans="1:259" ht="36" customHeight="1" x14ac:dyDescent="0.2">
      <c r="A260" s="15" t="s">
        <v>376</v>
      </c>
      <c r="B260" s="30" t="str">
        <f>VLOOKUP(A260,'HECVAT - Full'!A$24:B$312,2,FALSE)</f>
        <v>Have your applications had an external vulnerability assessment in the last year?</v>
      </c>
      <c r="C260" s="37" t="s">
        <v>591</v>
      </c>
      <c r="D260" s="41"/>
      <c r="E260" s="37" t="s">
        <v>648</v>
      </c>
      <c r="F260" s="37" t="s">
        <v>817</v>
      </c>
      <c r="G260" s="46" t="s">
        <v>758</v>
      </c>
      <c r="H260" s="37" t="s">
        <v>881</v>
      </c>
      <c r="I260" s="174">
        <v>11.2</v>
      </c>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row>
    <row r="261" spans="1:259" ht="65" customHeight="1" x14ac:dyDescent="0.2">
      <c r="A261" s="15" t="s">
        <v>377</v>
      </c>
      <c r="B261" s="30" t="str">
        <f>VLOOKUP(A261,'HECVAT - Full'!A$24:B$312,2,FALSE)</f>
        <v>Are your applications scanned for vulnerabilities prior to new releases?</v>
      </c>
      <c r="C261" s="37" t="s">
        <v>591</v>
      </c>
      <c r="D261" s="41"/>
      <c r="E261" s="38"/>
      <c r="F261" s="37" t="s">
        <v>817</v>
      </c>
      <c r="G261" s="46" t="s">
        <v>758</v>
      </c>
      <c r="H261" s="37" t="s">
        <v>881</v>
      </c>
      <c r="I261" s="174">
        <v>11.2</v>
      </c>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row>
    <row r="262" spans="1:259" ht="49.25" customHeight="1" x14ac:dyDescent="0.2">
      <c r="A262" s="15" t="s">
        <v>378</v>
      </c>
      <c r="B262" s="30" t="str">
        <f>VLOOKUP(A262,'HECVAT - Full'!A$24:B$312,2,FALSE)</f>
        <v>Are your systems scanned externally for vulnerabilities?</v>
      </c>
      <c r="C262" s="37" t="s">
        <v>591</v>
      </c>
      <c r="D262" s="41"/>
      <c r="E262" s="38"/>
      <c r="F262" s="37" t="s">
        <v>817</v>
      </c>
      <c r="G262" s="46" t="s">
        <v>758</v>
      </c>
      <c r="H262" s="106" t="s">
        <v>881</v>
      </c>
      <c r="I262" s="174">
        <v>11.2</v>
      </c>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row>
    <row r="263" spans="1:259" ht="36" customHeight="1" x14ac:dyDescent="0.2">
      <c r="A263" s="15" t="s">
        <v>379</v>
      </c>
      <c r="B263" s="30" t="str">
        <f>VLOOKUP(A263,'HECVAT - Full'!A$24:B$312,2,FALSE)</f>
        <v>Have your systems had an external vulnerability assessment in the last year?</v>
      </c>
      <c r="C263" s="37" t="s">
        <v>591</v>
      </c>
      <c r="D263" s="41"/>
      <c r="E263" s="38"/>
      <c r="F263" s="37" t="s">
        <v>817</v>
      </c>
      <c r="G263" s="47"/>
      <c r="H263" s="37" t="s">
        <v>881</v>
      </c>
      <c r="I263" s="174">
        <v>11.2</v>
      </c>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row>
    <row r="264" spans="1:259" ht="65" customHeight="1" x14ac:dyDescent="0.2">
      <c r="A264" s="15" t="s">
        <v>380</v>
      </c>
      <c r="B264" s="30" t="str">
        <f>VLOOKUP(A264,'HECVAT - Full'!A$24:B$312,2,FALSE)</f>
        <v>Describe or provide a reference to the tool(s) used to scan for vulnerabilities in your applications and systems.</v>
      </c>
      <c r="C264" s="37" t="s">
        <v>591</v>
      </c>
      <c r="D264" s="41"/>
      <c r="E264" s="38"/>
      <c r="F264" s="37" t="s">
        <v>817</v>
      </c>
      <c r="G264" s="46" t="s">
        <v>758</v>
      </c>
      <c r="H264" s="37" t="s">
        <v>881</v>
      </c>
      <c r="I264" s="174">
        <v>11.2</v>
      </c>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row>
    <row r="265" spans="1:259" ht="36" customHeight="1" x14ac:dyDescent="0.2">
      <c r="A265" s="15" t="s">
        <v>381</v>
      </c>
      <c r="B265" s="30" t="str">
        <f>VLOOKUP(A265,'HECVAT - Full'!A$24:B$312,2,FALSE)</f>
        <v>Will you provide results of security scans to the Institution?</v>
      </c>
      <c r="C265" s="37" t="s">
        <v>591</v>
      </c>
      <c r="D265" s="41"/>
      <c r="E265" s="38"/>
      <c r="F265" s="37" t="s">
        <v>817</v>
      </c>
      <c r="G265" s="47"/>
      <c r="H265" s="37" t="s">
        <v>881</v>
      </c>
      <c r="I265" s="174">
        <v>11.2</v>
      </c>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row>
    <row r="266" spans="1:259" ht="65" customHeight="1" x14ac:dyDescent="0.2">
      <c r="A266" s="15" t="s">
        <v>382</v>
      </c>
      <c r="B266" s="30" t="str">
        <f>VLOOKUP(A266,'HECVAT - Full'!A$24:B$312,2,FALSE)</f>
        <v>Describe or provide a reference to how you monitor for and protect against common web application security vulnerabilities (e.g. SQL injection, XSS, XSRF, etc.).</v>
      </c>
      <c r="C266" s="37" t="s">
        <v>595</v>
      </c>
      <c r="D266" s="41"/>
      <c r="E266" s="37" t="s">
        <v>648</v>
      </c>
      <c r="F266" s="37" t="s">
        <v>818</v>
      </c>
      <c r="G266" s="46" t="s">
        <v>759</v>
      </c>
      <c r="H266" s="37" t="s">
        <v>881</v>
      </c>
      <c r="I266" s="174" t="s">
        <v>2147</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row>
    <row r="267" spans="1:259" ht="54" customHeight="1" x14ac:dyDescent="0.2">
      <c r="A267" s="15" t="s">
        <v>383</v>
      </c>
      <c r="B267" s="30" t="str">
        <f>VLOOKUP(A267,'HECVAT - Full'!A$24:B$312,2,FALSE)</f>
        <v>Will you allow the institution to perform its own security testing of your systems and/or application provided that testing is performed at a mutually agreed upon time and date?</v>
      </c>
      <c r="C267" s="37" t="s">
        <v>594</v>
      </c>
      <c r="D267" s="41"/>
      <c r="E267" s="37" t="s">
        <v>686</v>
      </c>
      <c r="F267" s="37" t="s">
        <v>817</v>
      </c>
      <c r="G267" s="46" t="s">
        <v>758</v>
      </c>
      <c r="H267" s="37" t="s">
        <v>881</v>
      </c>
      <c r="I267" s="174" t="s">
        <v>2148</v>
      </c>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row>
    <row r="268" spans="1:259" ht="36" customHeight="1" x14ac:dyDescent="0.2">
      <c r="A268" s="301" t="str">
        <f>IF(OR($C$24="No",$C$30="Yes"),"HIPAA - Optional based on QUALIFIER response.","HIPAA")</f>
        <v>HIPAA</v>
      </c>
      <c r="B268" s="301"/>
      <c r="C268" s="36" t="str">
        <f>$C$22</f>
        <v>CIS Critical Security Controls v6.1</v>
      </c>
      <c r="D268" s="36" t="str">
        <f>$D$22</f>
        <v>HIPAA</v>
      </c>
      <c r="E268" s="36" t="str">
        <f>$E$22</f>
        <v>ISO 27002:2013</v>
      </c>
      <c r="F268" s="36" t="str">
        <f>$F$22</f>
        <v>NIST Cybersecurity Framework</v>
      </c>
      <c r="G268" s="25" t="str">
        <f>$G$22</f>
        <v>NIST SP 800-171r1</v>
      </c>
      <c r="H268" s="36" t="str">
        <f>$H$22</f>
        <v>NIST SP 800-53r4</v>
      </c>
      <c r="I268" s="173" t="s">
        <v>2046</v>
      </c>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row>
    <row r="269" spans="1:259" ht="65" customHeight="1" x14ac:dyDescent="0.2">
      <c r="A269" s="15" t="s">
        <v>384</v>
      </c>
      <c r="B269" s="30" t="str">
        <f>VLOOKUP(A269,'HECVAT - Full'!A$24:B$312,2,FALSE)</f>
        <v>Do your workforce members receive regular training related to the HIPAA Privacy and Security Rules and the HITECH Act?</v>
      </c>
      <c r="C269" s="37" t="s">
        <v>592</v>
      </c>
      <c r="D269" s="37" t="s">
        <v>602</v>
      </c>
      <c r="E269" s="37" t="s">
        <v>689</v>
      </c>
      <c r="F269" s="37" t="s">
        <v>698</v>
      </c>
      <c r="G269" s="46" t="s">
        <v>760</v>
      </c>
      <c r="H269" s="37" t="s">
        <v>882</v>
      </c>
      <c r="I269" s="38"/>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row>
    <row r="270" spans="1:259" ht="48" customHeight="1" x14ac:dyDescent="0.2">
      <c r="A270" s="15" t="s">
        <v>385</v>
      </c>
      <c r="B270" s="30" t="str">
        <f>VLOOKUP(A270,'HECVAT - Full'!A$24:B$312,2,FALSE)</f>
        <v>Do you monitor or receive information regarding changes in HIPAA regulations?</v>
      </c>
      <c r="C270" s="37" t="s">
        <v>569</v>
      </c>
      <c r="D270" s="37" t="s">
        <v>603</v>
      </c>
      <c r="E270" s="37" t="s">
        <v>617</v>
      </c>
      <c r="F270" s="37" t="s">
        <v>698</v>
      </c>
      <c r="G270" s="47"/>
      <c r="H270" s="38"/>
      <c r="I270" s="38"/>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row>
    <row r="271" spans="1:259" ht="48" customHeight="1" x14ac:dyDescent="0.2">
      <c r="A271" s="15" t="s">
        <v>386</v>
      </c>
      <c r="B271" s="30" t="str">
        <f>VLOOKUP(A271,'HECVAT - Full'!A$24:B$312,2,FALSE)</f>
        <v>Has your organization designated HIPAA Privacy and Security officers as required by the Rules?</v>
      </c>
      <c r="C271" s="37" t="s">
        <v>592</v>
      </c>
      <c r="D271" s="37" t="s">
        <v>604</v>
      </c>
      <c r="E271" s="37" t="s">
        <v>617</v>
      </c>
      <c r="F271" s="37" t="s">
        <v>698</v>
      </c>
      <c r="G271" s="47"/>
      <c r="H271" s="38"/>
      <c r="I271" s="38"/>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row>
    <row r="272" spans="1:259" ht="48" customHeight="1" x14ac:dyDescent="0.2">
      <c r="A272" s="15" t="s">
        <v>387</v>
      </c>
      <c r="B272" s="30" t="str">
        <f>VLOOKUP(A272,'HECVAT - Full'!A$24:B$312,2,FALSE)</f>
        <v>Do you comply with the requirements of the Health Information Technology for Economic and Clinical Health Act (HITECH)?</v>
      </c>
      <c r="C272" s="37" t="s">
        <v>569</v>
      </c>
      <c r="D272" s="38"/>
      <c r="E272" s="37" t="s">
        <v>617</v>
      </c>
      <c r="F272" s="37" t="s">
        <v>698</v>
      </c>
      <c r="G272" s="47"/>
      <c r="H272" s="38"/>
      <c r="I272" s="38"/>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row>
    <row r="273" spans="1:259" ht="48" customHeight="1" x14ac:dyDescent="0.2">
      <c r="A273" s="15" t="s">
        <v>388</v>
      </c>
      <c r="B273" s="30" t="str">
        <f>VLOOKUP(A273,'HECVAT - Full'!A$24:B$312,2,FALSE)</f>
        <v>Do you have an incident response process and reporting in place to investigate any potential incidents and report actual incidents?</v>
      </c>
      <c r="C273" s="37" t="s">
        <v>588</v>
      </c>
      <c r="D273" s="37" t="s">
        <v>605</v>
      </c>
      <c r="E273" s="37" t="s">
        <v>687</v>
      </c>
      <c r="F273" s="37" t="s">
        <v>698</v>
      </c>
      <c r="G273" s="46" t="s">
        <v>761</v>
      </c>
      <c r="H273" s="37" t="s">
        <v>883</v>
      </c>
      <c r="I273" s="37" t="s">
        <v>2149</v>
      </c>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row>
    <row r="274" spans="1:259" ht="48" customHeight="1" x14ac:dyDescent="0.2">
      <c r="A274" s="15" t="s">
        <v>389</v>
      </c>
      <c r="B274" s="30" t="str">
        <f>VLOOKUP(A274,'HECVAT - Full'!A$24:B$312,2,FALSE)</f>
        <v>Do you have a plan to comply with the Breach Notification requirements if there is a breach of data?</v>
      </c>
      <c r="C274" s="37" t="s">
        <v>588</v>
      </c>
      <c r="D274" s="37" t="s">
        <v>691</v>
      </c>
      <c r="E274" s="37" t="s">
        <v>690</v>
      </c>
      <c r="F274" s="37" t="s">
        <v>698</v>
      </c>
      <c r="G274" s="46" t="s">
        <v>762</v>
      </c>
      <c r="H274" s="37" t="s">
        <v>884</v>
      </c>
      <c r="I274" s="37">
        <v>12.8</v>
      </c>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row>
    <row r="275" spans="1:259" ht="48" customHeight="1" x14ac:dyDescent="0.2">
      <c r="A275" s="15" t="s">
        <v>390</v>
      </c>
      <c r="B275" s="30" t="str">
        <f>VLOOKUP(A275,'HECVAT - Full'!A$24:B$312,2,FALSE)</f>
        <v>Have you conducted a risk analysis as required under the Security Rule?</v>
      </c>
      <c r="C275" s="37" t="s">
        <v>569</v>
      </c>
      <c r="D275" s="37" t="s">
        <v>600</v>
      </c>
      <c r="E275" s="38"/>
      <c r="F275" s="37" t="s">
        <v>698</v>
      </c>
      <c r="G275" s="47"/>
      <c r="H275" s="38"/>
      <c r="I275" s="37">
        <v>12.2</v>
      </c>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row>
    <row r="276" spans="1:259" ht="48" customHeight="1" x14ac:dyDescent="0.2">
      <c r="A276" s="15" t="s">
        <v>391</v>
      </c>
      <c r="B276" s="30" t="str">
        <f>VLOOKUP(A276,'HECVAT - Full'!A$24:B$312,2,FALSE)</f>
        <v>Have you identified areas of risks?</v>
      </c>
      <c r="C276" s="37" t="s">
        <v>591</v>
      </c>
      <c r="D276" s="37" t="s">
        <v>612</v>
      </c>
      <c r="E276" s="38"/>
      <c r="F276" s="37" t="s">
        <v>698</v>
      </c>
      <c r="G276" s="47"/>
      <c r="H276" s="38"/>
      <c r="I276" s="37">
        <v>12.2</v>
      </c>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row>
    <row r="277" spans="1:259" ht="48" customHeight="1" x14ac:dyDescent="0.2">
      <c r="A277" s="15" t="s">
        <v>392</v>
      </c>
      <c r="B277" s="30" t="str">
        <f>VLOOKUP(A277,'HECVAT - Full'!A$24:B$312,2,FALSE)</f>
        <v>Have you taken actions to mitigate the identified risks?</v>
      </c>
      <c r="C277" s="37" t="s">
        <v>591</v>
      </c>
      <c r="D277" s="37" t="s">
        <v>601</v>
      </c>
      <c r="E277" s="38"/>
      <c r="F277" s="37" t="s">
        <v>698</v>
      </c>
      <c r="G277" s="47"/>
      <c r="H277" s="38"/>
      <c r="I277" s="37">
        <v>12.2</v>
      </c>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row>
    <row r="278" spans="1:259" ht="48" customHeight="1" x14ac:dyDescent="0.2">
      <c r="A278" s="15" t="s">
        <v>393</v>
      </c>
      <c r="B278" s="30" t="str">
        <f>VLOOKUP(A278,'HECVAT - Full'!A$24:B$312,2,FALSE)</f>
        <v>Does your application require user and system administrator password changes at a frequency no greater than 90 days?</v>
      </c>
      <c r="C278" s="37" t="s">
        <v>578</v>
      </c>
      <c r="D278" s="37" t="s">
        <v>606</v>
      </c>
      <c r="E278" s="37" t="s">
        <v>634</v>
      </c>
      <c r="F278" s="37" t="s">
        <v>698</v>
      </c>
      <c r="G278" s="46" t="s">
        <v>710</v>
      </c>
      <c r="H278" s="37" t="s">
        <v>838</v>
      </c>
      <c r="I278" s="3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row>
    <row r="279" spans="1:259" ht="48" customHeight="1" x14ac:dyDescent="0.2">
      <c r="A279" s="15" t="s">
        <v>394</v>
      </c>
      <c r="B279" s="30" t="str">
        <f>VLOOKUP(A279,'HECVAT - Full'!A$24:B$312,2,FALSE)</f>
        <v>Does your application require a user to set their own password after an administrator reset or on first use of the account?</v>
      </c>
      <c r="C279" s="37" t="s">
        <v>578</v>
      </c>
      <c r="D279" s="37" t="s">
        <v>606</v>
      </c>
      <c r="E279" s="37" t="s">
        <v>634</v>
      </c>
      <c r="F279" s="37" t="s">
        <v>698</v>
      </c>
      <c r="G279" s="46" t="s">
        <v>763</v>
      </c>
      <c r="H279" s="37" t="s">
        <v>839</v>
      </c>
      <c r="I279" s="38"/>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row>
    <row r="280" spans="1:259" ht="48" customHeight="1" x14ac:dyDescent="0.2">
      <c r="A280" s="15" t="s">
        <v>395</v>
      </c>
      <c r="B280" s="30" t="str">
        <f>VLOOKUP(A280,'HECVAT - Full'!A$24:B$312,2,FALSE)</f>
        <v xml:space="preserve">Does your application lock-out an account after a number of failed login attempts? </v>
      </c>
      <c r="C280" s="37" t="s">
        <v>578</v>
      </c>
      <c r="D280" s="37" t="s">
        <v>613</v>
      </c>
      <c r="E280" s="37" t="s">
        <v>634</v>
      </c>
      <c r="F280" s="37" t="s">
        <v>698</v>
      </c>
      <c r="G280" s="46" t="s">
        <v>764</v>
      </c>
      <c r="H280" s="37" t="s">
        <v>885</v>
      </c>
      <c r="I280" s="38"/>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row>
    <row r="281" spans="1:259" ht="48" customHeight="1" x14ac:dyDescent="0.2">
      <c r="A281" s="15" t="s">
        <v>396</v>
      </c>
      <c r="B281" s="30" t="str">
        <f>VLOOKUP(A281,'HECVAT - Full'!A$24:B$312,2,FALSE)</f>
        <v>Does your application automatically lock or log-out an account after a period of inactivity?</v>
      </c>
      <c r="C281" s="37" t="s">
        <v>578</v>
      </c>
      <c r="D281" s="37" t="s">
        <v>614</v>
      </c>
      <c r="E281" s="37" t="s">
        <v>634</v>
      </c>
      <c r="F281" s="37" t="s">
        <v>698</v>
      </c>
      <c r="G281" s="46" t="s">
        <v>765</v>
      </c>
      <c r="H281" s="37" t="s">
        <v>886</v>
      </c>
      <c r="I281" s="37" t="s">
        <v>2118</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row>
    <row r="282" spans="1:259" ht="48" customHeight="1" x14ac:dyDescent="0.2">
      <c r="A282" s="15" t="s">
        <v>397</v>
      </c>
      <c r="B282" s="30" t="str">
        <f>VLOOKUP(A282,'HECVAT - Full'!A$24:B$312,2,FALSE)</f>
        <v>Are passwords visible in plain text, whether when stored or entered, including service level accounts (i.e. database accounts, etc.)?</v>
      </c>
      <c r="C282" s="37" t="s">
        <v>578</v>
      </c>
      <c r="D282" s="37" t="s">
        <v>697</v>
      </c>
      <c r="E282" s="37" t="s">
        <v>634</v>
      </c>
      <c r="F282" s="37" t="s">
        <v>698</v>
      </c>
      <c r="G282" s="46" t="s">
        <v>714</v>
      </c>
      <c r="H282" s="37" t="s">
        <v>839</v>
      </c>
      <c r="I282" s="37" t="s">
        <v>2118</v>
      </c>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row>
    <row r="283" spans="1:259" ht="48" customHeight="1" x14ac:dyDescent="0.2">
      <c r="A283" s="15" t="s">
        <v>398</v>
      </c>
      <c r="B283" s="30" t="str">
        <f>VLOOKUP(A283,'HECVAT - Full'!A$24:B$312,2,FALSE)</f>
        <v>If the application is institution-hosted, can all service level and administrative account passwords be changed by the institution?</v>
      </c>
      <c r="C283" s="37" t="s">
        <v>578</v>
      </c>
      <c r="D283" s="37" t="s">
        <v>697</v>
      </c>
      <c r="E283" s="38"/>
      <c r="F283" s="37" t="s">
        <v>698</v>
      </c>
      <c r="G283" s="47"/>
      <c r="H283" s="38"/>
      <c r="I283" s="37" t="s">
        <v>2118</v>
      </c>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row>
    <row r="284" spans="1:259" ht="64.25" customHeight="1" x14ac:dyDescent="0.2">
      <c r="A284" s="15" t="s">
        <v>399</v>
      </c>
      <c r="B284" s="30" t="str">
        <f>VLOOKUP(A284,'HECVAT - Full'!A$24:B$312,2,FALSE)</f>
        <v>Does your application provide the ability to define user access levels?</v>
      </c>
      <c r="C284" s="37" t="s">
        <v>578</v>
      </c>
      <c r="D284" s="37" t="s">
        <v>694</v>
      </c>
      <c r="E284" s="38"/>
      <c r="F284" s="37" t="s">
        <v>698</v>
      </c>
      <c r="G284" s="46" t="s">
        <v>703</v>
      </c>
      <c r="H284" s="38"/>
      <c r="I284" s="37" t="s">
        <v>2118</v>
      </c>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row>
    <row r="285" spans="1:259" ht="64.25" customHeight="1" x14ac:dyDescent="0.2">
      <c r="A285" s="15" t="s">
        <v>400</v>
      </c>
      <c r="B285" s="30" t="str">
        <f>VLOOKUP(A285,'HECVAT - Full'!A$24:B$312,2,FALSE)</f>
        <v>Does your application support varying levels of access to administrative tasks defined individually per user?</v>
      </c>
      <c r="C285" s="37" t="s">
        <v>596</v>
      </c>
      <c r="D285" s="37" t="s">
        <v>692</v>
      </c>
      <c r="E285" s="37" t="s">
        <v>628</v>
      </c>
      <c r="F285" s="37" t="s">
        <v>698</v>
      </c>
      <c r="G285" s="46" t="s">
        <v>766</v>
      </c>
      <c r="H285" s="38"/>
      <c r="I285" s="37" t="s">
        <v>2118</v>
      </c>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row>
    <row r="286" spans="1:259" ht="64.25" customHeight="1" x14ac:dyDescent="0.2">
      <c r="A286" s="15" t="s">
        <v>401</v>
      </c>
      <c r="B286" s="30" t="str">
        <f>VLOOKUP(A286,'HECVAT - Full'!A$24:B$312,2,FALSE)</f>
        <v>Does your application support varying levels of access to records based on user ID?</v>
      </c>
      <c r="C286" s="37" t="s">
        <v>578</v>
      </c>
      <c r="D286" s="37" t="s">
        <v>693</v>
      </c>
      <c r="E286" s="37" t="s">
        <v>688</v>
      </c>
      <c r="F286" s="37" t="s">
        <v>698</v>
      </c>
      <c r="G286" s="46" t="s">
        <v>703</v>
      </c>
      <c r="H286" s="38"/>
      <c r="I286" s="37" t="s">
        <v>2118</v>
      </c>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row>
    <row r="287" spans="1:259" ht="47" customHeight="1" x14ac:dyDescent="0.2">
      <c r="A287" s="15" t="s">
        <v>402</v>
      </c>
      <c r="B287" s="30" t="str">
        <f>VLOOKUP(A287,'HECVAT - Full'!A$24:B$312,2,FALSE)</f>
        <v>Is there a limit to the number of groups a user can be assigned?</v>
      </c>
      <c r="C287" s="37" t="s">
        <v>578</v>
      </c>
      <c r="D287" s="37" t="s">
        <v>696</v>
      </c>
      <c r="E287" s="37" t="s">
        <v>688</v>
      </c>
      <c r="F287" s="37" t="s">
        <v>698</v>
      </c>
      <c r="G287" s="47"/>
      <c r="H287" s="38"/>
      <c r="I287" s="38"/>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row>
    <row r="288" spans="1:259" ht="47" customHeight="1" x14ac:dyDescent="0.2">
      <c r="A288" s="15" t="s">
        <v>403</v>
      </c>
      <c r="B288" s="30" t="str">
        <f>VLOOKUP(A288,'HECVAT - Full'!A$24:B$312,2,FALSE)</f>
        <v>Do accounts used for vendor supplied remote support abide by the same authentication policies and access logging as the rest of the system?</v>
      </c>
      <c r="C288" s="37" t="s">
        <v>597</v>
      </c>
      <c r="D288" s="37" t="s">
        <v>696</v>
      </c>
      <c r="E288" s="38"/>
      <c r="F288" s="37" t="s">
        <v>698</v>
      </c>
      <c r="G288" s="46" t="s">
        <v>741</v>
      </c>
      <c r="H288" s="37" t="s">
        <v>887</v>
      </c>
      <c r="I288" s="37" t="s">
        <v>2118</v>
      </c>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row>
    <row r="289" spans="1:259" ht="48" customHeight="1" x14ac:dyDescent="0.2">
      <c r="A289" s="15" t="s">
        <v>404</v>
      </c>
      <c r="B289" s="30" t="str">
        <f>VLOOKUP(A289,'HECVAT - Full'!A$24:B$312,2,FALSE)</f>
        <v xml:space="preserve">Does the application log record access including specific user, date/time of access, and originating IP or device? </v>
      </c>
      <c r="C289" s="37" t="s">
        <v>580</v>
      </c>
      <c r="D289" s="37" t="s">
        <v>607</v>
      </c>
      <c r="E289" s="37" t="s">
        <v>667</v>
      </c>
      <c r="F289" s="37" t="s">
        <v>698</v>
      </c>
      <c r="G289" s="46" t="s">
        <v>767</v>
      </c>
      <c r="H289" s="37" t="s">
        <v>888</v>
      </c>
      <c r="I289" s="37">
        <v>10.7</v>
      </c>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row>
    <row r="290" spans="1:259" ht="65" customHeight="1" x14ac:dyDescent="0.2">
      <c r="A290" s="15" t="s">
        <v>405</v>
      </c>
      <c r="B290" s="30" t="str">
        <f>VLOOKUP(A290,'HECVAT - Full'!A$24:B$312,2,FALSE)</f>
        <v>Does the application log administrative activity, such user account access changes and password changes, including specific user, date/time of changes, and originating IP or device?</v>
      </c>
      <c r="C290" s="37" t="s">
        <v>580</v>
      </c>
      <c r="D290" s="37" t="s">
        <v>608</v>
      </c>
      <c r="E290" s="37" t="s">
        <v>667</v>
      </c>
      <c r="F290" s="37" t="s">
        <v>698</v>
      </c>
      <c r="G290" s="47"/>
      <c r="H290" s="38"/>
      <c r="I290" s="37">
        <v>10.7</v>
      </c>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row>
    <row r="291" spans="1:259" ht="36" customHeight="1" x14ac:dyDescent="0.2">
      <c r="A291" s="15" t="s">
        <v>406</v>
      </c>
      <c r="B291" s="30" t="str">
        <f>VLOOKUP(A291,'HECVAT - Full'!A$24:B$312,2,FALSE)</f>
        <v>How long does the application keep access/change logs?</v>
      </c>
      <c r="C291" s="37" t="s">
        <v>580</v>
      </c>
      <c r="D291" s="37" t="s">
        <v>608</v>
      </c>
      <c r="E291" s="37" t="s">
        <v>667</v>
      </c>
      <c r="F291" s="37" t="s">
        <v>698</v>
      </c>
      <c r="G291" s="47"/>
      <c r="H291" s="38"/>
      <c r="I291" s="37">
        <v>10.7</v>
      </c>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row>
    <row r="292" spans="1:259" ht="36" customHeight="1" x14ac:dyDescent="0.2">
      <c r="A292" s="15" t="s">
        <v>407</v>
      </c>
      <c r="B292" s="30" t="str">
        <f>VLOOKUP(A292,'HECVAT - Full'!A$24:B$312,2,FALSE)</f>
        <v xml:space="preserve">Can the application logs be archived? </v>
      </c>
      <c r="C292" s="37" t="s">
        <v>580</v>
      </c>
      <c r="D292" s="37" t="s">
        <v>608</v>
      </c>
      <c r="E292" s="37" t="s">
        <v>667</v>
      </c>
      <c r="F292" s="37" t="s">
        <v>698</v>
      </c>
      <c r="G292" s="47"/>
      <c r="H292" s="38"/>
      <c r="I292" s="37">
        <v>10.7</v>
      </c>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row>
    <row r="293" spans="1:259" ht="36" customHeight="1" x14ac:dyDescent="0.2">
      <c r="A293" s="15" t="s">
        <v>408</v>
      </c>
      <c r="B293" s="30" t="str">
        <f>VLOOKUP(A293,'HECVAT - Full'!A$24:B$312,2,FALSE)</f>
        <v xml:space="preserve">Can the application logs be saved externally? </v>
      </c>
      <c r="C293" s="37" t="s">
        <v>580</v>
      </c>
      <c r="D293" s="37" t="s">
        <v>608</v>
      </c>
      <c r="E293" s="37" t="s">
        <v>667</v>
      </c>
      <c r="F293" s="37" t="s">
        <v>698</v>
      </c>
      <c r="G293" s="47"/>
      <c r="H293" s="38"/>
      <c r="I293" s="37">
        <v>10.7</v>
      </c>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row>
    <row r="294" spans="1:259" ht="48" customHeight="1" x14ac:dyDescent="0.2">
      <c r="A294" s="15" t="s">
        <v>409</v>
      </c>
      <c r="B294" s="30" t="str">
        <f>VLOOKUP(A294,'HECVAT - Full'!A$24:B$312,2,FALSE)</f>
        <v>Does your data backup and retention policies and practices meet HIPAA requirements?</v>
      </c>
      <c r="C294" s="37" t="s">
        <v>571</v>
      </c>
      <c r="D294" s="37" t="s">
        <v>609</v>
      </c>
      <c r="E294" s="37" t="s">
        <v>617</v>
      </c>
      <c r="F294" s="37" t="s">
        <v>698</v>
      </c>
      <c r="G294" s="47"/>
      <c r="H294" s="38"/>
      <c r="I294" s="37">
        <v>10.7</v>
      </c>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row>
    <row r="295" spans="1:259" ht="47" customHeight="1" x14ac:dyDescent="0.2">
      <c r="A295" s="15" t="s">
        <v>410</v>
      </c>
      <c r="B295" s="30" t="str">
        <f>VLOOKUP(A295,'HECVAT - Full'!A$24:B$312,2,FALSE)</f>
        <v>Do you have a disaster recovery plan and emergency mode operation plan?</v>
      </c>
      <c r="C295" s="37" t="s">
        <v>571</v>
      </c>
      <c r="D295" s="37" t="s">
        <v>610</v>
      </c>
      <c r="E295" s="37" t="s">
        <v>641</v>
      </c>
      <c r="F295" s="37" t="s">
        <v>698</v>
      </c>
      <c r="G295" s="46" t="s">
        <v>720</v>
      </c>
      <c r="H295" s="38"/>
      <c r="I295" s="37">
        <v>12.1</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row>
    <row r="296" spans="1:259" ht="36" customHeight="1" x14ac:dyDescent="0.2">
      <c r="A296" s="15" t="s">
        <v>411</v>
      </c>
      <c r="B296" s="30" t="str">
        <f>VLOOKUP(A296,'HECVAT - Full'!A$24:B$312,2,FALSE)</f>
        <v>Have the policies/plans mentioned above been tested?</v>
      </c>
      <c r="C296" s="37" t="s">
        <v>571</v>
      </c>
      <c r="D296" s="37" t="s">
        <v>610</v>
      </c>
      <c r="E296" s="37" t="s">
        <v>642</v>
      </c>
      <c r="F296" s="37" t="s">
        <v>698</v>
      </c>
      <c r="G296" s="46" t="s">
        <v>768</v>
      </c>
      <c r="H296" s="38"/>
      <c r="I296" s="37">
        <v>12.1</v>
      </c>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row>
    <row r="297" spans="1:259" ht="36" customHeight="1" x14ac:dyDescent="0.2">
      <c r="A297" s="15" t="s">
        <v>412</v>
      </c>
      <c r="B297" s="30" t="str">
        <f>VLOOKUP(A297,'HECVAT - Full'!A$24:B$312,2,FALSE)</f>
        <v>Can you provide a HIPAA compliance attestation document?</v>
      </c>
      <c r="C297" s="37" t="s">
        <v>571</v>
      </c>
      <c r="D297" s="37" t="s">
        <v>611</v>
      </c>
      <c r="E297" s="37" t="s">
        <v>617</v>
      </c>
      <c r="F297" s="37" t="s">
        <v>698</v>
      </c>
      <c r="G297" s="47"/>
      <c r="H297" s="38"/>
      <c r="I297" s="37">
        <v>10.7</v>
      </c>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row>
    <row r="298" spans="1:259" ht="53" customHeight="1" x14ac:dyDescent="0.2">
      <c r="A298" s="15" t="s">
        <v>413</v>
      </c>
      <c r="B298" s="30" t="str">
        <f>VLOOKUP(A298,'HECVAT - Full'!A$24:B$312,2,FALSE)</f>
        <v>Are you willing to enter into a Business Associate Agreement (BAA)?</v>
      </c>
      <c r="C298" s="37" t="s">
        <v>571</v>
      </c>
      <c r="D298" s="37" t="s">
        <v>615</v>
      </c>
      <c r="E298" s="37" t="s">
        <v>617</v>
      </c>
      <c r="F298" s="37" t="s">
        <v>698</v>
      </c>
      <c r="G298" s="47"/>
      <c r="H298" s="38"/>
      <c r="I298" s="3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row>
    <row r="299" spans="1:259" ht="63" customHeight="1" x14ac:dyDescent="0.2">
      <c r="A299" s="15" t="s">
        <v>414</v>
      </c>
      <c r="B299" s="30" t="str">
        <f>VLOOKUP(A299,'HECVAT - Full'!A$24:B$312,2,FALSE)</f>
        <v>Have you entered into a BAA with all subcontractors who may have access to protected health information (PHI)?</v>
      </c>
      <c r="C299" s="37" t="s">
        <v>571</v>
      </c>
      <c r="D299" s="37" t="s">
        <v>695</v>
      </c>
      <c r="E299" s="37" t="s">
        <v>617</v>
      </c>
      <c r="F299" s="37" t="s">
        <v>698</v>
      </c>
      <c r="G299" s="47"/>
      <c r="H299" s="38"/>
      <c r="I299" s="37">
        <v>12.8</v>
      </c>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row>
    <row r="300" spans="1:259" ht="36" customHeight="1" x14ac:dyDescent="0.2">
      <c r="A300" s="301" t="str">
        <f>IF(OR($C$29="No",$C$30="Yes"),"PCI DSS - Optional based on QUALIFIER response.","PCI DSS")</f>
        <v>PCI DSS</v>
      </c>
      <c r="B300" s="301"/>
      <c r="C300" s="36" t="str">
        <f>$C$22</f>
        <v>CIS Critical Security Controls v6.1</v>
      </c>
      <c r="D300" s="36" t="str">
        <f>$D$22</f>
        <v>HIPAA</v>
      </c>
      <c r="E300" s="36" t="str">
        <f>$E$22</f>
        <v>ISO 27002:2013</v>
      </c>
      <c r="F300" s="36" t="str">
        <f>$F$22</f>
        <v>NIST Cybersecurity Framework</v>
      </c>
      <c r="G300" s="25" t="str">
        <f>$G$22</f>
        <v>NIST SP 800-171r1</v>
      </c>
      <c r="H300" s="36" t="str">
        <f>$H$22</f>
        <v>NIST SP 800-53r4</v>
      </c>
      <c r="I300" s="173" t="s">
        <v>2046</v>
      </c>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row>
    <row r="301" spans="1:259" ht="48" customHeight="1" x14ac:dyDescent="0.2">
      <c r="A301" s="15" t="s">
        <v>415</v>
      </c>
      <c r="B301" s="30" t="str">
        <f>VLOOKUP(A301,'HECVAT - Full'!A$24:B$312,2,FALSE)</f>
        <v>Do your systems or products store, process, or transmit cardholder (payment/credit/debt card) data?</v>
      </c>
      <c r="C301" s="37" t="s">
        <v>571</v>
      </c>
      <c r="D301" s="41"/>
      <c r="E301" s="37" t="s">
        <v>617</v>
      </c>
      <c r="F301" s="37" t="s">
        <v>698</v>
      </c>
      <c r="G301" s="47"/>
      <c r="H301" s="41"/>
      <c r="I301" s="37">
        <v>12.8</v>
      </c>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row>
    <row r="302" spans="1:259" ht="48" customHeight="1" x14ac:dyDescent="0.2">
      <c r="A302" s="15" t="s">
        <v>416</v>
      </c>
      <c r="B302" s="30" t="str">
        <f>VLOOKUP(A302,'HECVAT - Full'!A$24:B$312,2,FALSE)</f>
        <v>Are you compliant with the Payment Card Industry Data Security Standard (PCI DSS)?</v>
      </c>
      <c r="C302" s="37" t="s">
        <v>571</v>
      </c>
      <c r="D302" s="41"/>
      <c r="E302" s="37" t="s">
        <v>617</v>
      </c>
      <c r="F302" s="37" t="s">
        <v>698</v>
      </c>
      <c r="G302" s="47"/>
      <c r="H302" s="41"/>
      <c r="I302" s="37">
        <v>12.8</v>
      </c>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row>
    <row r="303" spans="1:259" ht="48" customHeight="1" x14ac:dyDescent="0.2">
      <c r="A303" s="15" t="s">
        <v>417</v>
      </c>
      <c r="B303" s="30" t="str">
        <f>VLOOKUP(A303,'HECVAT - Full'!A$24:B$312,2,FALSE)</f>
        <v>Do you have a current, executed within the past year, Attestation of Compliance (AoC) or Report on Compliance (RoC)?</v>
      </c>
      <c r="C303" s="37" t="s">
        <v>571</v>
      </c>
      <c r="D303" s="41"/>
      <c r="E303" s="37" t="s">
        <v>617</v>
      </c>
      <c r="F303" s="37" t="s">
        <v>698</v>
      </c>
      <c r="G303" s="47"/>
      <c r="H303" s="41"/>
      <c r="I303" s="37">
        <v>12.8</v>
      </c>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row>
    <row r="304" spans="1:259" ht="36" customHeight="1" x14ac:dyDescent="0.2">
      <c r="A304" s="15" t="s">
        <v>418</v>
      </c>
      <c r="B304" s="30" t="str">
        <f>VLOOKUP(A304,'HECVAT - Full'!A$24:B$312,2,FALSE)</f>
        <v>Are you classified as a service provider?</v>
      </c>
      <c r="C304" s="38"/>
      <c r="D304" s="41"/>
      <c r="E304" s="41"/>
      <c r="F304" s="37" t="s">
        <v>698</v>
      </c>
      <c r="G304" s="47"/>
      <c r="H304" s="41"/>
      <c r="I304" s="37">
        <v>12.8</v>
      </c>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row>
    <row r="305" spans="1:259" ht="36" customHeight="1" x14ac:dyDescent="0.2">
      <c r="A305" s="15" t="s">
        <v>419</v>
      </c>
      <c r="B305" s="30" t="str">
        <f>VLOOKUP(A305,'HECVAT - Full'!A$24:B$312,2,FALSE)</f>
        <v xml:space="preserve">Are you on the list of VISA approved service providers? </v>
      </c>
      <c r="C305" s="38"/>
      <c r="D305" s="41"/>
      <c r="E305" s="41"/>
      <c r="F305" s="37" t="s">
        <v>698</v>
      </c>
      <c r="G305" s="47"/>
      <c r="H305" s="41"/>
      <c r="I305" s="37">
        <v>12.8</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row>
    <row r="306" spans="1:259" ht="36" customHeight="1" x14ac:dyDescent="0.2">
      <c r="A306" s="15" t="s">
        <v>420</v>
      </c>
      <c r="B306" s="30" t="str">
        <f>VLOOKUP(A306,'HECVAT - Full'!A$24:B$312,2,FALSE)</f>
        <v>Are you classified as a merchant?  If so, what level (1, 2, 3, 4)?</v>
      </c>
      <c r="C306" s="38"/>
      <c r="D306" s="41"/>
      <c r="E306" s="41"/>
      <c r="F306" s="37" t="s">
        <v>698</v>
      </c>
      <c r="G306" s="47"/>
      <c r="H306" s="41"/>
      <c r="I306" s="37">
        <v>12.8</v>
      </c>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row>
    <row r="307" spans="1:259" ht="64.25" customHeight="1" x14ac:dyDescent="0.2">
      <c r="A307" s="15" t="s">
        <v>421</v>
      </c>
      <c r="B307" s="30" t="str">
        <f>VLOOKUP(A307,'HECVAT - Full'!A$24:B$312,2,FALSE)</f>
        <v>Describe the architecture employed by the system to verify and authorize credit card transactions.</v>
      </c>
      <c r="C307" s="37" t="s">
        <v>598</v>
      </c>
      <c r="D307" s="41"/>
      <c r="E307" s="41"/>
      <c r="F307" s="37" t="s">
        <v>698</v>
      </c>
      <c r="G307" s="48"/>
      <c r="H307" s="41"/>
      <c r="I307" s="37" t="s">
        <v>2110</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row>
    <row r="308" spans="1:259" ht="64.25" customHeight="1" x14ac:dyDescent="0.2">
      <c r="A308" s="15" t="s">
        <v>422</v>
      </c>
      <c r="B308" s="30" t="str">
        <f>VLOOKUP(A308,'HECVAT - Full'!A$24:B$312,2,FALSE)</f>
        <v xml:space="preserve">What payment processors/gateways does the system support? </v>
      </c>
      <c r="C308" s="37" t="s">
        <v>570</v>
      </c>
      <c r="D308" s="41"/>
      <c r="E308" s="41"/>
      <c r="F308" s="37" t="s">
        <v>698</v>
      </c>
      <c r="G308" s="48"/>
      <c r="H308" s="41"/>
      <c r="I308" s="37">
        <v>12.8</v>
      </c>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row>
    <row r="309" spans="1:259" ht="36" customHeight="1" x14ac:dyDescent="0.2">
      <c r="A309" s="15" t="s">
        <v>423</v>
      </c>
      <c r="B309" s="30" t="str">
        <f>VLOOKUP(A309,'HECVAT - Full'!A$24:B$312,2,FALSE)</f>
        <v>Can the application be installed in a PCI DSS compliant manner ?</v>
      </c>
      <c r="C309" s="37" t="s">
        <v>571</v>
      </c>
      <c r="D309" s="41"/>
      <c r="E309" s="41"/>
      <c r="F309" s="37" t="s">
        <v>698</v>
      </c>
      <c r="G309" s="47"/>
      <c r="H309" s="41"/>
      <c r="I309" s="37">
        <v>12.8</v>
      </c>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row>
    <row r="310" spans="1:259" ht="36" customHeight="1" x14ac:dyDescent="0.2">
      <c r="A310" s="15" t="s">
        <v>424</v>
      </c>
      <c r="B310" s="30" t="str">
        <f>VLOOKUP(A310,'HECVAT - Full'!A$24:B$312,2,FALSE)</f>
        <v xml:space="preserve">Is the application listed as an approved PA-DSS application? </v>
      </c>
      <c r="C310" s="38"/>
      <c r="D310" s="41"/>
      <c r="E310" s="41"/>
      <c r="F310" s="37" t="s">
        <v>698</v>
      </c>
      <c r="G310" s="47"/>
      <c r="H310" s="41"/>
      <c r="I310" s="37">
        <v>12.8</v>
      </c>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row>
    <row r="311" spans="1:259" ht="54" customHeight="1" x14ac:dyDescent="0.2">
      <c r="A311" s="15" t="s">
        <v>425</v>
      </c>
      <c r="B311" s="30" t="str">
        <f>VLOOKUP(A311,'HECVAT - Full'!A$24:B$312,2,FALSE)</f>
        <v>Does the system or products use a third party to collect, store, process, or transmit cardholder (payment/credit/debt card) data?</v>
      </c>
      <c r="C311" s="37" t="s">
        <v>599</v>
      </c>
      <c r="D311" s="41"/>
      <c r="E311" s="41"/>
      <c r="F311" s="37" t="s">
        <v>698</v>
      </c>
      <c r="G311" s="47"/>
      <c r="H311" s="41"/>
      <c r="I311" s="37">
        <v>12.8</v>
      </c>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row>
    <row r="312" spans="1:259" ht="64.25" customHeight="1" x14ac:dyDescent="0.2">
      <c r="A312" s="15" t="s">
        <v>426</v>
      </c>
      <c r="B312" s="30" t="str">
        <f>VLOOKUP(A312,'HECVAT - Full'!A$24:B$312,2,FALSE)</f>
        <v xml:space="preserve">Include documentation describing the systems' abilities to comply with the PCI DSS and any features or capabilities of the system that must be added or changed in order to operate in compliance with the standards. </v>
      </c>
      <c r="C312" s="37" t="s">
        <v>571</v>
      </c>
      <c r="D312" s="41"/>
      <c r="E312" s="41"/>
      <c r="F312" s="37" t="s">
        <v>698</v>
      </c>
      <c r="G312" s="48"/>
      <c r="H312" s="41"/>
      <c r="I312" s="37">
        <v>12.8</v>
      </c>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row>
    <row r="315" spans="1:259" ht="15" customHeight="1" x14ac:dyDescent="0.15">
      <c r="A315" s="189" t="s">
        <v>562</v>
      </c>
      <c r="B315" s="190">
        <v>4</v>
      </c>
    </row>
    <row r="316" spans="1:259" ht="15" customHeight="1" x14ac:dyDescent="0.15">
      <c r="A316" s="189" t="s">
        <v>563</v>
      </c>
      <c r="B316" s="190">
        <v>5</v>
      </c>
    </row>
    <row r="317" spans="1:259" ht="15" customHeight="1" x14ac:dyDescent="0.15">
      <c r="A317" s="189" t="s">
        <v>889</v>
      </c>
      <c r="B317" s="190">
        <v>6</v>
      </c>
    </row>
    <row r="318" spans="1:259" ht="15" customHeight="1" x14ac:dyDescent="0.15">
      <c r="A318" s="189" t="s">
        <v>566</v>
      </c>
      <c r="B318" s="190">
        <v>7</v>
      </c>
    </row>
    <row r="319" spans="1:259" ht="15" customHeight="1" x14ac:dyDescent="0.15">
      <c r="A319" s="189" t="s">
        <v>565</v>
      </c>
      <c r="B319" s="190">
        <v>8</v>
      </c>
    </row>
    <row r="320" spans="1:259" ht="15" customHeight="1" x14ac:dyDescent="0.15">
      <c r="A320" s="189" t="s">
        <v>564</v>
      </c>
      <c r="B320" s="190">
        <v>9</v>
      </c>
    </row>
    <row r="321" spans="1:2" ht="15" customHeight="1" x14ac:dyDescent="0.15">
      <c r="A321" s="191" t="s">
        <v>2046</v>
      </c>
      <c r="B321" s="190">
        <v>10</v>
      </c>
    </row>
  </sheetData>
  <mergeCells count="25">
    <mergeCell ref="A155:B155"/>
    <mergeCell ref="A158:B158"/>
    <mergeCell ref="A126:B126"/>
    <mergeCell ref="A110:B110"/>
    <mergeCell ref="A244:B244"/>
    <mergeCell ref="A217:B217"/>
    <mergeCell ref="A223:B223"/>
    <mergeCell ref="A205:B205"/>
    <mergeCell ref="A178:B178"/>
    <mergeCell ref="A192:B192"/>
    <mergeCell ref="A268:B268"/>
    <mergeCell ref="A300:B300"/>
    <mergeCell ref="A247:B247"/>
    <mergeCell ref="A253:B253"/>
    <mergeCell ref="A258:B258"/>
    <mergeCell ref="A97:B97"/>
    <mergeCell ref="A79:B79"/>
    <mergeCell ref="A61:B61"/>
    <mergeCell ref="A51:B51"/>
    <mergeCell ref="A46:B46"/>
    <mergeCell ref="A2:H2"/>
    <mergeCell ref="A1:I1"/>
    <mergeCell ref="A31:B31"/>
    <mergeCell ref="A38:B38"/>
    <mergeCell ref="A22:B22"/>
  </mergeCells>
  <conditionalFormatting sqref="A205">
    <cfRule type="expression" dxfId="2607" priority="290">
      <formula>$C$25="No"</formula>
    </cfRule>
  </conditionalFormatting>
  <conditionalFormatting sqref="A268">
    <cfRule type="expression" dxfId="2606" priority="289">
      <formula>$C$24="No"</formula>
    </cfRule>
  </conditionalFormatting>
  <conditionalFormatting sqref="A46">
    <cfRule type="expression" dxfId="2605" priority="288">
      <formula>$C$26="No"</formula>
    </cfRule>
  </conditionalFormatting>
  <conditionalFormatting sqref="A178">
    <cfRule type="expression" dxfId="2604" priority="287">
      <formula>$C$28="No"</formula>
    </cfRule>
  </conditionalFormatting>
  <conditionalFormatting sqref="A163:A164 H163:H164 C163:E164">
    <cfRule type="expression" dxfId="2603" priority="237">
      <formula>$C$162="No"</formula>
    </cfRule>
  </conditionalFormatting>
  <conditionalFormatting sqref="A168 H168 C168:E168">
    <cfRule type="expression" dxfId="2602" priority="284">
      <formula>$C$167="No"</formula>
    </cfRule>
  </conditionalFormatting>
  <conditionalFormatting sqref="A164 H164 C164:E164">
    <cfRule type="expression" dxfId="2601" priority="236">
      <formula>$C$163="No"</formula>
    </cfRule>
  </conditionalFormatting>
  <conditionalFormatting sqref="D63:E63 H63">
    <cfRule type="expression" dxfId="2600" priority="283">
      <formula>$C$62="No"</formula>
    </cfRule>
  </conditionalFormatting>
  <conditionalFormatting sqref="C90:E90 H90">
    <cfRule type="expression" dxfId="2599" priority="247">
      <formula>$C$89="No"</formula>
    </cfRule>
  </conditionalFormatting>
  <conditionalFormatting sqref="C92:E93 H92:H93">
    <cfRule type="expression" dxfId="2598" priority="279">
      <formula>$C$91="No"</formula>
    </cfRule>
  </conditionalFormatting>
  <conditionalFormatting sqref="A260 H260 C260:E260">
    <cfRule type="expression" dxfId="2597" priority="218">
      <formula>$C$259="No"</formula>
    </cfRule>
  </conditionalFormatting>
  <conditionalFormatting sqref="A263 H263 C263:E263">
    <cfRule type="expression" dxfId="2596" priority="219">
      <formula>$C$262="No"</formula>
    </cfRule>
  </conditionalFormatting>
  <conditionalFormatting sqref="C213:E213 H213">
    <cfRule type="expression" dxfId="2595" priority="230">
      <formula>$C$212="No"</formula>
    </cfRule>
  </conditionalFormatting>
  <conditionalFormatting sqref="C216:E216 H216">
    <cfRule type="expression" dxfId="2594" priority="231">
      <formula>$C$215="No"</formula>
    </cfRule>
  </conditionalFormatting>
  <conditionalFormatting sqref="A300">
    <cfRule type="expression" dxfId="2593" priority="274">
      <formula>$C$29="No"</formula>
    </cfRule>
  </conditionalFormatting>
  <conditionalFormatting sqref="A293 H293 C293:E293">
    <cfRule type="expression" dxfId="2592" priority="258">
      <formula>$C$292="No"</formula>
    </cfRule>
  </conditionalFormatting>
  <conditionalFormatting sqref="A241 H241 C241:E241">
    <cfRule type="expression" dxfId="2591" priority="227">
      <formula>$C$240="No"</formula>
    </cfRule>
  </conditionalFormatting>
  <conditionalFormatting sqref="C58:H58">
    <cfRule type="expression" dxfId="2590" priority="270">
      <formula>$C$57="No"</formula>
    </cfRule>
  </conditionalFormatting>
  <conditionalFormatting sqref="C60 E60:H60">
    <cfRule type="expression" dxfId="2589" priority="269">
      <formula>$C$59="No"</formula>
    </cfRule>
  </conditionalFormatting>
  <conditionalFormatting sqref="A51">
    <cfRule type="expression" dxfId="2588" priority="268">
      <formula>$C$30="No"</formula>
    </cfRule>
  </conditionalFormatting>
  <conditionalFormatting sqref="C150:D150 C151:C154">
    <cfRule type="expression" dxfId="2587" priority="266">
      <formula>$C$149="No"</formula>
    </cfRule>
  </conditionalFormatting>
  <conditionalFormatting sqref="C138:E138 H138">
    <cfRule type="expression" dxfId="2586" priority="241">
      <formula>$C$137="No"</formula>
    </cfRule>
  </conditionalFormatting>
  <conditionalFormatting sqref="A112 H112 C112:E112">
    <cfRule type="expression" dxfId="2585" priority="242">
      <formula>$C$111="No"</formula>
    </cfRule>
  </conditionalFormatting>
  <conditionalFormatting sqref="A174 H174 C174:E174">
    <cfRule type="expression" dxfId="2584" priority="263">
      <formula>$C$173="No"</formula>
    </cfRule>
  </conditionalFormatting>
  <conditionalFormatting sqref="A203 H203 C203:E203">
    <cfRule type="expression" dxfId="2583" priority="232">
      <formula>$C$202="No"</formula>
    </cfRule>
  </conditionalFormatting>
  <conditionalFormatting sqref="I185:I186 I189 C184:H184">
    <cfRule type="expression" dxfId="2582" priority="234">
      <formula>$C$183="No"</formula>
    </cfRule>
  </conditionalFormatting>
  <conditionalFormatting sqref="A97">
    <cfRule type="expression" dxfId="2581" priority="260">
      <formula>$C$27="No"</formula>
    </cfRule>
  </conditionalFormatting>
  <conditionalFormatting sqref="A276:A277 H276:H277 C276:E277">
    <cfRule type="expression" dxfId="2580" priority="216">
      <formula>$C$275="No"</formula>
    </cfRule>
  </conditionalFormatting>
  <conditionalFormatting sqref="A277 H277 C277:E277">
    <cfRule type="expression" dxfId="2579" priority="217">
      <formula>$C$276="No"</formula>
    </cfRule>
  </conditionalFormatting>
  <conditionalFormatting sqref="E52:E60 H52:I60">
    <cfRule type="expression" dxfId="2578" priority="257">
      <formula>$C$30="No"</formula>
    </cfRule>
  </conditionalFormatting>
  <conditionalFormatting sqref="E47:E50">
    <cfRule type="expression" dxfId="2577" priority="256">
      <formula>$C$26="No"</formula>
    </cfRule>
  </conditionalFormatting>
  <conditionalFormatting sqref="C257:D257">
    <cfRule type="expression" dxfId="2576" priority="255">
      <formula>$C$167="No"</formula>
    </cfRule>
  </conditionalFormatting>
  <conditionalFormatting sqref="C243:D243">
    <cfRule type="expression" dxfId="2575" priority="254">
      <formula>$C$238="No"</formula>
    </cfRule>
  </conditionalFormatting>
  <conditionalFormatting sqref="A61:B61 A79:B79 A97:B97 A110:B110 A126:B126 A158:B158 A178:B178 A192:B192 A205:B205 A223:B223 A244:B244 A247:B247 A253:B253 A268:B268 A300:B300">
    <cfRule type="expression" dxfId="2574" priority="252">
      <formula>$C$30="Yes"</formula>
    </cfRule>
  </conditionalFormatting>
  <conditionalFormatting sqref="A155:B155">
    <cfRule type="expression" dxfId="2573" priority="251">
      <formula>$C$30="Yes"</formula>
    </cfRule>
  </conditionalFormatting>
  <conditionalFormatting sqref="A217:B217">
    <cfRule type="expression" dxfId="2572" priority="250">
      <formula>$C$30="Yes"</formula>
    </cfRule>
  </conditionalFormatting>
  <conditionalFormatting sqref="A258:B258">
    <cfRule type="expression" dxfId="2571" priority="249">
      <formula>$C$30="Yes"</formula>
    </cfRule>
  </conditionalFormatting>
  <conditionalFormatting sqref="E63 E269:E299 H269:H299 E65 E224:E243 H224:I242 H65 I90 I93:I96 I118 I122:I125 I152 I162:I164 I166:I170 I176:I177 I185:I186 I189 I281:I286 I288:I297 I299 I80:I88 E80:E96 H80:H96 E98:E109 H98:H109 E179:E191 H179:H191 H243 E127:E154 H127:H154 I127:I149">
    <cfRule type="expression" dxfId="2570" priority="280">
      <formula>$C$30="Yes"</formula>
    </cfRule>
  </conditionalFormatting>
  <conditionalFormatting sqref="E111:E125">
    <cfRule type="expression" dxfId="2569" priority="243">
      <formula>$C$30="Yes"</formula>
    </cfRule>
  </conditionalFormatting>
  <conditionalFormatting sqref="E156:E157">
    <cfRule type="expression" dxfId="2568" priority="238">
      <formula>$C$30="Yes"</formula>
    </cfRule>
  </conditionalFormatting>
  <conditionalFormatting sqref="E159:E177">
    <cfRule type="expression" dxfId="2567" priority="285">
      <formula>$C$30="Yes"</formula>
    </cfRule>
  </conditionalFormatting>
  <conditionalFormatting sqref="E193:E204">
    <cfRule type="expression" dxfId="2566" priority="233">
      <formula>$C$30="Yes"</formula>
    </cfRule>
  </conditionalFormatting>
  <conditionalFormatting sqref="E206:E216">
    <cfRule type="expression" dxfId="2565" priority="275">
      <formula>$C$30="Yes"</formula>
    </cfRule>
  </conditionalFormatting>
  <conditionalFormatting sqref="E218:E222">
    <cfRule type="expression" dxfId="2564" priority="228">
      <formula>$C$30="Yes"</formula>
    </cfRule>
  </conditionalFormatting>
  <conditionalFormatting sqref="E245:E246">
    <cfRule type="expression" dxfId="2563" priority="224">
      <formula>$C$30="Yes"</formula>
    </cfRule>
  </conditionalFormatting>
  <conditionalFormatting sqref="E248:E252">
    <cfRule type="expression" dxfId="2562" priority="222">
      <formula>$C$30="Yes"</formula>
    </cfRule>
  </conditionalFormatting>
  <conditionalFormatting sqref="E254:E257">
    <cfRule type="expression" dxfId="2561" priority="220">
      <formula>$C$30="Yes"</formula>
    </cfRule>
  </conditionalFormatting>
  <conditionalFormatting sqref="E259:E267">
    <cfRule type="expression" dxfId="2560" priority="277">
      <formula>$C$30="Yes"</formula>
    </cfRule>
  </conditionalFormatting>
  <conditionalFormatting sqref="E301:E312">
    <cfRule type="expression" dxfId="2559" priority="214">
      <formula>$C$30="Yes"</formula>
    </cfRule>
  </conditionalFormatting>
  <conditionalFormatting sqref="A296:A299 H296 C296:E296">
    <cfRule type="expression" dxfId="2558" priority="213">
      <formula>$C$295="No"</formula>
    </cfRule>
  </conditionalFormatting>
  <conditionalFormatting sqref="F163:F164">
    <cfRule type="expression" dxfId="2557" priority="170">
      <formula>$C$162="No"</formula>
    </cfRule>
  </conditionalFormatting>
  <conditionalFormatting sqref="F168">
    <cfRule type="expression" dxfId="2556" priority="206">
      <formula>$C$167="No"</formula>
    </cfRule>
  </conditionalFormatting>
  <conditionalFormatting sqref="F164">
    <cfRule type="expression" dxfId="2555" priority="169">
      <formula>$C$163="No"</formula>
    </cfRule>
  </conditionalFormatting>
  <conditionalFormatting sqref="F90">
    <cfRule type="expression" dxfId="2554" priority="178">
      <formula>$C$89="No"</formula>
    </cfRule>
  </conditionalFormatting>
  <conditionalFormatting sqref="F92:F93">
    <cfRule type="expression" dxfId="2553" priority="202">
      <formula>$C$91="No"</formula>
    </cfRule>
  </conditionalFormatting>
  <conditionalFormatting sqref="F260">
    <cfRule type="expression" dxfId="2552" priority="155">
      <formula>$C$259="No"</formula>
    </cfRule>
  </conditionalFormatting>
  <conditionalFormatting sqref="F263">
    <cfRule type="expression" dxfId="2551" priority="156">
      <formula>$C$262="No"</formula>
    </cfRule>
  </conditionalFormatting>
  <conditionalFormatting sqref="F213">
    <cfRule type="expression" dxfId="2550" priority="163">
      <formula>$C$212="No"</formula>
    </cfRule>
  </conditionalFormatting>
  <conditionalFormatting sqref="F216">
    <cfRule type="expression" dxfId="2549" priority="164">
      <formula>$C$215="No"</formula>
    </cfRule>
  </conditionalFormatting>
  <conditionalFormatting sqref="F293">
    <cfRule type="expression" dxfId="2548" priority="188">
      <formula>$C$292="No"</formula>
    </cfRule>
  </conditionalFormatting>
  <conditionalFormatting sqref="F241">
    <cfRule type="expression" dxfId="2547" priority="161">
      <formula>$C$240="No"</formula>
    </cfRule>
  </conditionalFormatting>
  <conditionalFormatting sqref="F150:F154">
    <cfRule type="expression" dxfId="2546" priority="193">
      <formula>$C$149="No"</formula>
    </cfRule>
  </conditionalFormatting>
  <conditionalFormatting sqref="F138">
    <cfRule type="expression" dxfId="2545" priority="173">
      <formula>$C$137="No"</formula>
    </cfRule>
  </conditionalFormatting>
  <conditionalFormatting sqref="F112">
    <cfRule type="expression" dxfId="2544" priority="174">
      <formula>$C$111="No"</formula>
    </cfRule>
  </conditionalFormatting>
  <conditionalFormatting sqref="F174">
    <cfRule type="expression" dxfId="2543" priority="191">
      <formula>$C$173="No"</formula>
    </cfRule>
  </conditionalFormatting>
  <conditionalFormatting sqref="F203">
    <cfRule type="expression" dxfId="2542" priority="165">
      <formula>$C$202="No"</formula>
    </cfRule>
  </conditionalFormatting>
  <conditionalFormatting sqref="F276:F277">
    <cfRule type="expression" dxfId="2541" priority="153">
      <formula>$C$275="No"</formula>
    </cfRule>
  </conditionalFormatting>
  <conditionalFormatting sqref="F277">
    <cfRule type="expression" dxfId="2540" priority="154">
      <formula>$C$276="No"</formula>
    </cfRule>
  </conditionalFormatting>
  <conditionalFormatting sqref="H47:H50">
    <cfRule type="expression" dxfId="2539" priority="186">
      <formula>$C$26="No"</formula>
    </cfRule>
  </conditionalFormatting>
  <conditionalFormatting sqref="F257">
    <cfRule type="expression" dxfId="2538" priority="185">
      <formula>$C$167="No"</formula>
    </cfRule>
  </conditionalFormatting>
  <conditionalFormatting sqref="F243">
    <cfRule type="expression" dxfId="2537" priority="184">
      <formula>$C$238="No"</formula>
    </cfRule>
  </conditionalFormatting>
  <conditionalFormatting sqref="H62:H63">
    <cfRule type="expression" dxfId="2536" priority="203">
      <formula>$C$30="Yes"</formula>
    </cfRule>
  </conditionalFormatting>
  <conditionalFormatting sqref="H111:H125">
    <cfRule type="expression" dxfId="2535" priority="175">
      <formula>$C$30="Yes"</formula>
    </cfRule>
  </conditionalFormatting>
  <conditionalFormatting sqref="H156:H157">
    <cfRule type="expression" dxfId="2534" priority="171">
      <formula>$C$30="Yes"</formula>
    </cfRule>
  </conditionalFormatting>
  <conditionalFormatting sqref="H159:H177">
    <cfRule type="expression" dxfId="2533" priority="207">
      <formula>$C$30="Yes"</formula>
    </cfRule>
  </conditionalFormatting>
  <conditionalFormatting sqref="H193:H204">
    <cfRule type="expression" dxfId="2532" priority="166">
      <formula>$C$30="Yes"</formula>
    </cfRule>
  </conditionalFormatting>
  <conditionalFormatting sqref="H206:H216">
    <cfRule type="expression" dxfId="2531" priority="200">
      <formula>$C$30="Yes"</formula>
    </cfRule>
  </conditionalFormatting>
  <conditionalFormatting sqref="H218:H222">
    <cfRule type="expression" dxfId="2530" priority="162">
      <formula>$C$30="Yes"</formula>
    </cfRule>
  </conditionalFormatting>
  <conditionalFormatting sqref="H245:H246">
    <cfRule type="expression" dxfId="2529" priority="159">
      <formula>$C$30="Yes"</formula>
    </cfRule>
  </conditionalFormatting>
  <conditionalFormatting sqref="H248:H252">
    <cfRule type="expression" dxfId="2528" priority="158">
      <formula>$C$30="Yes"</formula>
    </cfRule>
  </conditionalFormatting>
  <conditionalFormatting sqref="H254:H257">
    <cfRule type="expression" dxfId="2527" priority="157">
      <formula>$C$30="Yes"</formula>
    </cfRule>
  </conditionalFormatting>
  <conditionalFormatting sqref="H259:H267">
    <cfRule type="expression" dxfId="2526" priority="201">
      <formula>$C$30="Yes"</formula>
    </cfRule>
  </conditionalFormatting>
  <conditionalFormatting sqref="H301:H312">
    <cfRule type="expression" dxfId="2525" priority="152">
      <formula>$C$30="Yes"</formula>
    </cfRule>
  </conditionalFormatting>
  <conditionalFormatting sqref="F296">
    <cfRule type="expression" dxfId="2524" priority="151">
      <formula>$C$295="No"</formula>
    </cfRule>
  </conditionalFormatting>
  <conditionalFormatting sqref="G163:G164">
    <cfRule type="expression" dxfId="2523" priority="134">
      <formula>$C$162="No"</formula>
    </cfRule>
  </conditionalFormatting>
  <conditionalFormatting sqref="G168">
    <cfRule type="expression" dxfId="2522" priority="150">
      <formula>$C$167="No"</formula>
    </cfRule>
  </conditionalFormatting>
  <conditionalFormatting sqref="G164">
    <cfRule type="expression" dxfId="2521" priority="133">
      <formula>$C$163="No"</formula>
    </cfRule>
  </conditionalFormatting>
  <conditionalFormatting sqref="G90">
    <cfRule type="expression" dxfId="2520" priority="139">
      <formula>$C$89="No"</formula>
    </cfRule>
  </conditionalFormatting>
  <conditionalFormatting sqref="G92:G93">
    <cfRule type="expression" dxfId="2519" priority="149">
      <formula>$C$91="No"</formula>
    </cfRule>
  </conditionalFormatting>
  <conditionalFormatting sqref="G260">
    <cfRule type="expression" dxfId="2518" priority="125">
      <formula>$C$259="No"</formula>
    </cfRule>
  </conditionalFormatting>
  <conditionalFormatting sqref="G263">
    <cfRule type="expression" dxfId="2517" priority="126">
      <formula>$C$262="No"</formula>
    </cfRule>
  </conditionalFormatting>
  <conditionalFormatting sqref="G213">
    <cfRule type="expression" dxfId="2516" priority="129">
      <formula>$C$212="No"</formula>
    </cfRule>
  </conditionalFormatting>
  <conditionalFormatting sqref="G216">
    <cfRule type="expression" dxfId="2515" priority="130">
      <formula>$C$215="No"</formula>
    </cfRule>
  </conditionalFormatting>
  <conditionalFormatting sqref="G293">
    <cfRule type="expression" dxfId="2514" priority="143">
      <formula>$C$292="No"</formula>
    </cfRule>
  </conditionalFormatting>
  <conditionalFormatting sqref="G241">
    <cfRule type="expression" dxfId="2513" priority="128">
      <formula>$C$240="No"</formula>
    </cfRule>
  </conditionalFormatting>
  <conditionalFormatting sqref="G150:G154">
    <cfRule type="expression" dxfId="2512" priority="146">
      <formula>$C$149="No"</formula>
    </cfRule>
  </conditionalFormatting>
  <conditionalFormatting sqref="G138">
    <cfRule type="expression" dxfId="2511" priority="136">
      <formula>$C$137="No"</formula>
    </cfRule>
  </conditionalFormatting>
  <conditionalFormatting sqref="G112">
    <cfRule type="expression" dxfId="2510" priority="137">
      <formula>$C$111="No"</formula>
    </cfRule>
  </conditionalFormatting>
  <conditionalFormatting sqref="G174">
    <cfRule type="expression" dxfId="2509" priority="144">
      <formula>$C$173="No"</formula>
    </cfRule>
  </conditionalFormatting>
  <conditionalFormatting sqref="G203">
    <cfRule type="expression" dxfId="2508" priority="131">
      <formula>$C$202="No"</formula>
    </cfRule>
  </conditionalFormatting>
  <conditionalFormatting sqref="G276:G277">
    <cfRule type="expression" dxfId="2507" priority="123">
      <formula>$C$275="No"</formula>
    </cfRule>
  </conditionalFormatting>
  <conditionalFormatting sqref="G277">
    <cfRule type="expression" dxfId="2506" priority="124">
      <formula>$C$276="No"</formula>
    </cfRule>
  </conditionalFormatting>
  <conditionalFormatting sqref="G257">
    <cfRule type="expression" dxfId="2505" priority="142">
      <formula>$C$167="No"</formula>
    </cfRule>
  </conditionalFormatting>
  <conditionalFormatting sqref="G243">
    <cfRule type="expression" dxfId="2504" priority="141">
      <formula>$C$238="No"</formula>
    </cfRule>
  </conditionalFormatting>
  <conditionalFormatting sqref="G296">
    <cfRule type="expression" dxfId="2503" priority="122">
      <formula>$C$295="No"</formula>
    </cfRule>
  </conditionalFormatting>
  <conditionalFormatting sqref="I47:I50">
    <cfRule type="expression" dxfId="2502" priority="121">
      <formula>$C$26="No"</formula>
    </cfRule>
  </conditionalFormatting>
  <conditionalFormatting sqref="I62:I63">
    <cfRule type="expression" dxfId="2501" priority="119">
      <formula>$C$62="No"</formula>
    </cfRule>
  </conditionalFormatting>
  <conditionalFormatting sqref="I62:I63">
    <cfRule type="expression" dxfId="2500" priority="118">
      <formula>$C$30="Yes"</formula>
    </cfRule>
  </conditionalFormatting>
  <conditionalFormatting sqref="I89">
    <cfRule type="expression" dxfId="2499" priority="116">
      <formula>$C$30="Yes"</formula>
    </cfRule>
  </conditionalFormatting>
  <conditionalFormatting sqref="I91:I92">
    <cfRule type="expression" dxfId="2498" priority="115">
      <formula>$C$30="Yes"</formula>
    </cfRule>
  </conditionalFormatting>
  <conditionalFormatting sqref="I105:I109">
    <cfRule type="expression" dxfId="2497" priority="114">
      <formula>$C$30="Yes"</formula>
    </cfRule>
  </conditionalFormatting>
  <conditionalFormatting sqref="I111:I115">
    <cfRule type="expression" dxfId="2496" priority="113">
      <formula>$C$30="Yes"</formula>
    </cfRule>
  </conditionalFormatting>
  <conditionalFormatting sqref="I150:I151">
    <cfRule type="expression" dxfId="2495" priority="110">
      <formula>$C$30="Yes"</formula>
    </cfRule>
  </conditionalFormatting>
  <conditionalFormatting sqref="I153:I154">
    <cfRule type="expression" dxfId="2494" priority="109">
      <formula>$C$30="Yes"</formula>
    </cfRule>
  </conditionalFormatting>
  <conditionalFormatting sqref="I156:I157">
    <cfRule type="expression" dxfId="2493" priority="108">
      <formula>$C$30="Yes"</formula>
    </cfRule>
  </conditionalFormatting>
  <conditionalFormatting sqref="I159">
    <cfRule type="expression" dxfId="2492" priority="107">
      <formula>$C$30="Yes"</formula>
    </cfRule>
  </conditionalFormatting>
  <conditionalFormatting sqref="I160:I161">
    <cfRule type="expression" dxfId="2491" priority="106">
      <formula>$C$30="Yes"</formula>
    </cfRule>
  </conditionalFormatting>
  <conditionalFormatting sqref="I165">
    <cfRule type="expression" dxfId="2490" priority="105">
      <formula>$C$30="Yes"</formula>
    </cfRule>
  </conditionalFormatting>
  <conditionalFormatting sqref="I171:I175">
    <cfRule type="expression" dxfId="2489" priority="104">
      <formula>$C$30="Yes"</formula>
    </cfRule>
  </conditionalFormatting>
  <conditionalFormatting sqref="I179:I182">
    <cfRule type="expression" dxfId="2488" priority="103">
      <formula>$C$183="No"</formula>
    </cfRule>
  </conditionalFormatting>
  <conditionalFormatting sqref="I179:I182">
    <cfRule type="expression" dxfId="2487" priority="102">
      <formula>$C$30="Yes"</formula>
    </cfRule>
  </conditionalFormatting>
  <conditionalFormatting sqref="I191">
    <cfRule type="expression" dxfId="2486" priority="101">
      <formula>$C$30="Yes"</formula>
    </cfRule>
  </conditionalFormatting>
  <conditionalFormatting sqref="I210">
    <cfRule type="expression" dxfId="2485" priority="100">
      <formula>$C$30="Yes"</formula>
    </cfRule>
  </conditionalFormatting>
  <conditionalFormatting sqref="I206:I209">
    <cfRule type="expression" dxfId="2484" priority="99">
      <formula>$C$30="Yes"</formula>
    </cfRule>
  </conditionalFormatting>
  <conditionalFormatting sqref="I211:I216">
    <cfRule type="expression" dxfId="2483" priority="98">
      <formula>$C$30="Yes"</formula>
    </cfRule>
  </conditionalFormatting>
  <conditionalFormatting sqref="I218:I222">
    <cfRule type="expression" dxfId="2482" priority="97">
      <formula>$C$30="Yes"</formula>
    </cfRule>
  </conditionalFormatting>
  <conditionalFormatting sqref="I245:I246">
    <cfRule type="expression" dxfId="2481" priority="95">
      <formula>$C$30="Yes"</formula>
    </cfRule>
  </conditionalFormatting>
  <conditionalFormatting sqref="I248:I252">
    <cfRule type="expression" dxfId="2480" priority="94">
      <formula>$C$30="Yes"</formula>
    </cfRule>
  </conditionalFormatting>
  <conditionalFormatting sqref="I254:I257">
    <cfRule type="expression" dxfId="2479" priority="93">
      <formula>$C$30="Yes"</formula>
    </cfRule>
  </conditionalFormatting>
  <conditionalFormatting sqref="I273:I277">
    <cfRule type="expression" dxfId="2478" priority="92">
      <formula>$C$30="Yes"</formula>
    </cfRule>
  </conditionalFormatting>
  <conditionalFormatting sqref="I269:I272">
    <cfRule type="expression" dxfId="2477" priority="91">
      <formula>$C$30="Yes"</formula>
    </cfRule>
  </conditionalFormatting>
  <conditionalFormatting sqref="I278:I280">
    <cfRule type="expression" dxfId="2476" priority="88">
      <formula>$C$275="No"</formula>
    </cfRule>
  </conditionalFormatting>
  <conditionalFormatting sqref="I278:I280">
    <cfRule type="expression" dxfId="2475" priority="89">
      <formula>$C$276="No"</formula>
    </cfRule>
  </conditionalFormatting>
  <conditionalFormatting sqref="I278:I280">
    <cfRule type="expression" dxfId="2474" priority="90">
      <formula>$C$30="Yes"</formula>
    </cfRule>
  </conditionalFormatting>
  <conditionalFormatting sqref="I287">
    <cfRule type="expression" dxfId="2473" priority="87">
      <formula>$C$30="Yes"</formula>
    </cfRule>
  </conditionalFormatting>
  <conditionalFormatting sqref="I298">
    <cfRule type="expression" dxfId="2472" priority="86">
      <formula>$C$30="Yes"</formula>
    </cfRule>
  </conditionalFormatting>
  <conditionalFormatting sqref="I301:I312">
    <cfRule type="expression" dxfId="2471" priority="85">
      <formula>$C$30="Yes"</formula>
    </cfRule>
  </conditionalFormatting>
  <conditionalFormatting sqref="B47:B49">
    <cfRule type="expression" dxfId="2470" priority="83">
      <formula>$C$26="No"</formula>
    </cfRule>
  </conditionalFormatting>
  <conditionalFormatting sqref="B50">
    <cfRule type="expression" dxfId="2469" priority="82">
      <formula>$C$26="No"</formula>
    </cfRule>
  </conditionalFormatting>
  <conditionalFormatting sqref="I243">
    <cfRule type="expression" dxfId="2468" priority="1">
      <formula>$C$238="No"</formula>
    </cfRule>
  </conditionalFormatting>
  <pageMargins left="0.75" right="0.75" top="1" bottom="1" header="0.5" footer="0.5"/>
  <pageSetup orientation="landscape" r:id="rId1"/>
  <headerFooter>
    <oddFooter>&amp;L&amp;"Helvetica,Regular"&amp;12&amp;K000000	&amp;P</oddFooter>
  </headerFooter>
  <ignoredErrors>
    <ignoredError sqref="E132 E195 E57 E60 E101 E85:E87 E58:E59 E88 E89:E95" numberStoredAsText="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00B050"/>
  </sheetPr>
  <dimension ref="A1:H303"/>
  <sheetViews>
    <sheetView workbookViewId="0">
      <selection sqref="A1:G1"/>
    </sheetView>
  </sheetViews>
  <sheetFormatPr baseColWidth="10" defaultColWidth="8.5" defaultRowHeight="16" x14ac:dyDescent="0.2"/>
  <cols>
    <col min="1" max="1" width="20.125" style="142" customWidth="1"/>
    <col min="2" max="2" width="14.5" style="142" customWidth="1"/>
    <col min="3" max="3" width="26" style="142" customWidth="1"/>
    <col min="4" max="4" width="11.5" style="142" customWidth="1"/>
    <col min="5" max="5" width="14.625" style="142" customWidth="1"/>
    <col min="6" max="6" width="16.625" style="142" customWidth="1"/>
    <col min="7" max="7" width="11.25" style="142" customWidth="1"/>
    <col min="8" max="8" width="21.75" style="142" customWidth="1"/>
    <col min="9" max="16384" width="8.5" style="142"/>
  </cols>
  <sheetData>
    <row r="1" spans="1:8" ht="36" customHeight="1" x14ac:dyDescent="0.2">
      <c r="A1" s="321" t="s">
        <v>2991</v>
      </c>
      <c r="B1" s="321"/>
      <c r="C1" s="321"/>
      <c r="D1" s="321"/>
      <c r="E1" s="321"/>
      <c r="F1" s="321"/>
      <c r="G1" s="322"/>
      <c r="H1" s="209" t="str">
        <f>'HECVAT - Full'!E1</f>
        <v>Version 2.10</v>
      </c>
    </row>
    <row r="2" spans="1:8" ht="26" customHeight="1" x14ac:dyDescent="0.2">
      <c r="A2" s="298" t="s">
        <v>97</v>
      </c>
      <c r="B2" s="298"/>
      <c r="C2" s="298"/>
      <c r="D2" s="298"/>
      <c r="E2" s="298"/>
      <c r="F2" s="298"/>
      <c r="G2" s="298"/>
      <c r="H2" s="298"/>
    </row>
    <row r="3" spans="1:8" s="235" customFormat="1" ht="26" customHeight="1" x14ac:dyDescent="0.2">
      <c r="A3" s="326" t="s">
        <v>11</v>
      </c>
      <c r="B3" s="327"/>
      <c r="C3" s="327"/>
      <c r="D3" s="327"/>
      <c r="E3" s="327"/>
      <c r="F3" s="327"/>
      <c r="G3" s="327"/>
      <c r="H3" s="327"/>
    </row>
    <row r="4" spans="1:8" s="235" customFormat="1" ht="40.5" customHeight="1" x14ac:dyDescent="0.2">
      <c r="A4" s="328" t="s">
        <v>2669</v>
      </c>
      <c r="B4" s="329"/>
      <c r="C4" s="329"/>
      <c r="D4" s="329"/>
      <c r="E4" s="329"/>
      <c r="F4" s="329"/>
      <c r="G4" s="329"/>
      <c r="H4" s="329"/>
    </row>
    <row r="5" spans="1:8" s="17" customFormat="1" ht="48" customHeight="1" x14ac:dyDescent="0.2">
      <c r="A5" s="163" t="s">
        <v>3</v>
      </c>
      <c r="B5" s="323" t="str">
        <f>'HECVAT - Full'!C7</f>
        <v>Vendor Name</v>
      </c>
      <c r="C5" s="323"/>
      <c r="D5" s="192"/>
      <c r="E5" s="163" t="s">
        <v>4</v>
      </c>
      <c r="F5" s="316" t="str">
        <f>'HECVAT - Full'!C8</f>
        <v>Product Name and Version Information</v>
      </c>
      <c r="G5" s="316"/>
      <c r="H5" s="316"/>
    </row>
    <row r="6" spans="1:8" s="17" customFormat="1" ht="48" customHeight="1" x14ac:dyDescent="0.2">
      <c r="A6" s="163" t="s">
        <v>7</v>
      </c>
      <c r="B6" s="287" t="str">
        <f>'HECVAT - Full'!C11</f>
        <v>Vendor Contact Name</v>
      </c>
      <c r="C6" s="287"/>
      <c r="D6" s="193"/>
      <c r="E6" s="163" t="s">
        <v>5</v>
      </c>
      <c r="F6" s="316" t="str">
        <f>'HECVAT - Full'!C9</f>
        <v>Brief Description of the Product</v>
      </c>
      <c r="G6" s="316"/>
      <c r="H6" s="316"/>
    </row>
    <row r="7" spans="1:8" s="17" customFormat="1" ht="48" customHeight="1" x14ac:dyDescent="0.2">
      <c r="A7" s="163" t="s">
        <v>8</v>
      </c>
      <c r="B7" s="324" t="str">
        <f>'HECVAT - Full'!C12</f>
        <v>Vendor Contact Title</v>
      </c>
      <c r="C7" s="325"/>
      <c r="D7" s="194"/>
      <c r="E7" s="163" t="s">
        <v>2059</v>
      </c>
      <c r="F7" s="316" t="s">
        <v>2060</v>
      </c>
      <c r="G7" s="316"/>
      <c r="H7" s="316"/>
    </row>
    <row r="8" spans="1:8" s="17" customFormat="1" ht="48" customHeight="1" x14ac:dyDescent="0.2">
      <c r="A8" s="163" t="s">
        <v>2617</v>
      </c>
      <c r="B8" s="287" t="str">
        <f>'HECVAT - Full'!C13</f>
        <v>Vendor Contact E-mail Address</v>
      </c>
      <c r="C8" s="287"/>
      <c r="D8" s="195"/>
      <c r="E8" s="163" t="s">
        <v>2061</v>
      </c>
      <c r="F8" s="317" t="str">
        <f>'HECVAT - Full'!C3</f>
        <v>mm/dd/yyyy</v>
      </c>
      <c r="G8" s="317"/>
      <c r="H8" s="317"/>
    </row>
    <row r="9" spans="1:8" s="17" customFormat="1" ht="24.75" customHeight="1" x14ac:dyDescent="0.2">
      <c r="A9" s="163"/>
      <c r="B9" s="234"/>
      <c r="C9" s="234"/>
      <c r="D9" s="236"/>
      <c r="E9" s="237"/>
      <c r="F9" s="238"/>
      <c r="G9" s="238"/>
      <c r="H9" s="239"/>
    </row>
    <row r="10" spans="1:8" s="17" customFormat="1" ht="48" customHeight="1" x14ac:dyDescent="0.2">
      <c r="A10" s="179" t="s">
        <v>2621</v>
      </c>
      <c r="B10" s="178"/>
      <c r="C10" s="134" t="str">
        <f>IF(B10="","&lt;- Select your security framework.","")</f>
        <v>&lt;- Select your security framework.</v>
      </c>
      <c r="D10" s="318"/>
      <c r="E10" s="319"/>
      <c r="F10" s="319"/>
      <c r="G10" s="319"/>
      <c r="H10" s="320"/>
    </row>
    <row r="11" spans="1:8" s="162" customFormat="1" ht="24" customHeight="1" x14ac:dyDescent="0.2">
      <c r="A11" s="333"/>
      <c r="B11" s="333"/>
      <c r="C11" s="333"/>
    </row>
    <row r="12" spans="1:8" ht="24" customHeight="1" x14ac:dyDescent="0.2">
      <c r="C12" s="169" t="s">
        <v>2062</v>
      </c>
      <c r="D12" s="169" t="s">
        <v>2054</v>
      </c>
      <c r="E12" s="169" t="s">
        <v>2053</v>
      </c>
      <c r="F12" s="169" t="s">
        <v>2055</v>
      </c>
    </row>
    <row r="13" spans="1:8" x14ac:dyDescent="0.15">
      <c r="C13" s="165" t="str">
        <f>Questions!T2</f>
        <v>Documentation</v>
      </c>
      <c r="D13" s="166">
        <f>Questions!X2</f>
        <v>105</v>
      </c>
      <c r="E13" s="166">
        <f>Questions!W2</f>
        <v>0</v>
      </c>
      <c r="F13" s="167">
        <f>Questions!Y2</f>
        <v>0</v>
      </c>
    </row>
    <row r="14" spans="1:8" x14ac:dyDescent="0.15">
      <c r="C14" s="165" t="str">
        <f>Questions!T3</f>
        <v>Application Security</v>
      </c>
      <c r="D14" s="166">
        <f>Questions!X3</f>
        <v>375</v>
      </c>
      <c r="E14" s="166">
        <f>Questions!W3</f>
        <v>0</v>
      </c>
      <c r="F14" s="167">
        <f>Questions!Y3</f>
        <v>0</v>
      </c>
    </row>
    <row r="15" spans="1:8" ht="30" x14ac:dyDescent="0.15">
      <c r="C15" s="165" t="str">
        <f>Questions!T4</f>
        <v>Authentication, Authorization, and Accounting</v>
      </c>
      <c r="D15" s="166">
        <f>Questions!X4</f>
        <v>365</v>
      </c>
      <c r="E15" s="166">
        <f>Questions!W4</f>
        <v>0</v>
      </c>
      <c r="F15" s="167">
        <f>Questions!Y4</f>
        <v>0</v>
      </c>
    </row>
    <row r="16" spans="1:8" x14ac:dyDescent="0.15">
      <c r="C16" s="165" t="str">
        <f>Questions!T5</f>
        <v>Change Management</v>
      </c>
      <c r="D16" s="166">
        <f>Questions!X5</f>
        <v>275</v>
      </c>
      <c r="E16" s="166">
        <f>Questions!W5</f>
        <v>0</v>
      </c>
      <c r="F16" s="167">
        <f>Questions!Y5</f>
        <v>0</v>
      </c>
    </row>
    <row r="17" spans="3:6" x14ac:dyDescent="0.15">
      <c r="C17" s="165" t="str">
        <f>Questions!T6</f>
        <v>Company</v>
      </c>
      <c r="D17" s="166">
        <f>Questions!X6</f>
        <v>120</v>
      </c>
      <c r="E17" s="166">
        <f>Questions!W6</f>
        <v>0</v>
      </c>
      <c r="F17" s="167">
        <f>Questions!Y6</f>
        <v>0</v>
      </c>
    </row>
    <row r="18" spans="3:6" x14ac:dyDescent="0.15">
      <c r="C18" s="165" t="str">
        <f>Questions!T7</f>
        <v>Data</v>
      </c>
      <c r="D18" s="166">
        <f>Questions!X7</f>
        <v>550</v>
      </c>
      <c r="E18" s="166">
        <f>Questions!W7</f>
        <v>0</v>
      </c>
      <c r="F18" s="167">
        <f>Questions!Y7</f>
        <v>0</v>
      </c>
    </row>
    <row r="19" spans="3:6" x14ac:dyDescent="0.15">
      <c r="C19" s="165" t="str">
        <f>Questions!T8</f>
        <v>Database</v>
      </c>
      <c r="D19" s="166">
        <f>Questions!X8</f>
        <v>50</v>
      </c>
      <c r="E19" s="166">
        <f>Questions!W8</f>
        <v>0</v>
      </c>
      <c r="F19" s="167">
        <f>Questions!Y8</f>
        <v>0</v>
      </c>
    </row>
    <row r="20" spans="3:6" x14ac:dyDescent="0.15">
      <c r="C20" s="165" t="str">
        <f>Questions!T9</f>
        <v>Datacenter</v>
      </c>
      <c r="D20" s="166">
        <f>Questions!X9</f>
        <v>290</v>
      </c>
      <c r="E20" s="166">
        <f>Questions!W9</f>
        <v>0</v>
      </c>
      <c r="F20" s="167">
        <f>Questions!Y9</f>
        <v>0</v>
      </c>
    </row>
    <row r="21" spans="3:6" ht="30" x14ac:dyDescent="0.15">
      <c r="C21" s="165" t="str">
        <f>Questions!T10</f>
        <v>Firewalls, IDS, IPS, and Networking</v>
      </c>
      <c r="D21" s="166">
        <f>Questions!X10</f>
        <v>245</v>
      </c>
      <c r="E21" s="166">
        <f>Questions!W10</f>
        <v>0</v>
      </c>
      <c r="F21" s="167">
        <f>Questions!Y10</f>
        <v>0</v>
      </c>
    </row>
    <row r="22" spans="3:6" x14ac:dyDescent="0.15">
      <c r="C22" s="165" t="str">
        <f>Questions!T11</f>
        <v>Physical Security</v>
      </c>
      <c r="D22" s="166">
        <f>Questions!X11</f>
        <v>100</v>
      </c>
      <c r="E22" s="166">
        <f>Questions!W11</f>
        <v>0</v>
      </c>
      <c r="F22" s="167">
        <f>Questions!Y11</f>
        <v>0</v>
      </c>
    </row>
    <row r="23" spans="3:6" ht="30" x14ac:dyDescent="0.15">
      <c r="C23" s="165" t="str">
        <f>Questions!T12</f>
        <v>Policies, Procedures, and Processes</v>
      </c>
      <c r="D23" s="166">
        <f>Questions!X12</f>
        <v>420</v>
      </c>
      <c r="E23" s="166">
        <f>Questions!W12</f>
        <v>0</v>
      </c>
      <c r="F23" s="167">
        <f>Questions!Y12</f>
        <v>0</v>
      </c>
    </row>
    <row r="24" spans="3:6" ht="30" x14ac:dyDescent="0.15">
      <c r="C24" s="165" t="str">
        <f>Questions!T13</f>
        <v>Systems Management &amp; Configuration</v>
      </c>
      <c r="D24" s="166">
        <f>Questions!X13</f>
        <v>70</v>
      </c>
      <c r="E24" s="166">
        <f>Questions!W13</f>
        <v>0</v>
      </c>
      <c r="F24" s="167">
        <f>Questions!Y13</f>
        <v>0</v>
      </c>
    </row>
    <row r="25" spans="3:6" x14ac:dyDescent="0.15">
      <c r="C25" s="165" t="str">
        <f>Questions!T14</f>
        <v>Vulnerability Scanning</v>
      </c>
      <c r="D25" s="166">
        <f>Questions!X14</f>
        <v>170</v>
      </c>
      <c r="E25" s="166">
        <f>Questions!W14</f>
        <v>0</v>
      </c>
      <c r="F25" s="167">
        <f>Questions!Y14</f>
        <v>0</v>
      </c>
    </row>
    <row r="26" spans="3:6" x14ac:dyDescent="0.15">
      <c r="C26" s="165" t="str">
        <f>Questions!T15</f>
        <v/>
      </c>
      <c r="D26" s="166" t="str">
        <f>Questions!X15</f>
        <v/>
      </c>
      <c r="E26" s="166" t="str">
        <f>Questions!W15</f>
        <v/>
      </c>
      <c r="F26" s="167" t="str">
        <f>Questions!Y15</f>
        <v/>
      </c>
    </row>
    <row r="27" spans="3:6" x14ac:dyDescent="0.15">
      <c r="C27" s="165" t="str">
        <f>Questions!T16</f>
        <v/>
      </c>
      <c r="D27" s="166" t="str">
        <f>Questions!X16</f>
        <v/>
      </c>
      <c r="E27" s="166" t="str">
        <f>Questions!W16</f>
        <v/>
      </c>
      <c r="F27" s="167" t="str">
        <f>Questions!Y16</f>
        <v/>
      </c>
    </row>
    <row r="28" spans="3:6" x14ac:dyDescent="0.15">
      <c r="C28" s="165" t="str">
        <f>Questions!T17</f>
        <v/>
      </c>
      <c r="D28" s="166" t="str">
        <f>Questions!X17</f>
        <v/>
      </c>
      <c r="E28" s="166" t="str">
        <f>Questions!W17</f>
        <v/>
      </c>
      <c r="F28" s="167" t="str">
        <f>Questions!Y17</f>
        <v/>
      </c>
    </row>
    <row r="29" spans="3:6" x14ac:dyDescent="0.15">
      <c r="C29" s="165" t="str">
        <f>Questions!T18</f>
        <v/>
      </c>
      <c r="D29" s="166" t="str">
        <f>Questions!X18</f>
        <v/>
      </c>
      <c r="E29" s="166" t="str">
        <f>Questions!W18</f>
        <v/>
      </c>
      <c r="F29" s="167" t="str">
        <f>Questions!Y18</f>
        <v/>
      </c>
    </row>
    <row r="30" spans="3:6" x14ac:dyDescent="0.15">
      <c r="C30" s="165" t="str">
        <f>Questions!T19</f>
        <v/>
      </c>
      <c r="D30" s="166" t="str">
        <f>Questions!X19</f>
        <v/>
      </c>
      <c r="E30" s="166" t="str">
        <f>Questions!W19</f>
        <v/>
      </c>
      <c r="F30" s="167" t="str">
        <f>Questions!Y19</f>
        <v/>
      </c>
    </row>
    <row r="31" spans="3:6" x14ac:dyDescent="0.15">
      <c r="C31" s="165" t="str">
        <f>Questions!T20</f>
        <v/>
      </c>
      <c r="D31" s="166" t="str">
        <f>Questions!X20</f>
        <v/>
      </c>
      <c r="E31" s="166" t="str">
        <f>Questions!W20</f>
        <v/>
      </c>
      <c r="F31" s="167" t="str">
        <f>Questions!Y20</f>
        <v/>
      </c>
    </row>
    <row r="32" spans="3:6" x14ac:dyDescent="0.15">
      <c r="C32" s="165" t="str">
        <f>Questions!T21</f>
        <v/>
      </c>
      <c r="D32" s="166" t="str">
        <f>Questions!X21</f>
        <v/>
      </c>
      <c r="E32" s="166" t="str">
        <f>Questions!W21</f>
        <v/>
      </c>
      <c r="F32" s="167"/>
    </row>
    <row r="33" spans="1:8" s="18" customFormat="1" ht="36" customHeight="1" x14ac:dyDescent="0.2">
      <c r="C33" s="169" t="s">
        <v>2103</v>
      </c>
      <c r="D33" s="169" t="str">
        <f>Questions!X23</f>
        <v>F</v>
      </c>
      <c r="E33" s="170">
        <f>Questions!Y23</f>
        <v>0</v>
      </c>
      <c r="F33" s="171">
        <f>Questions!W23</f>
        <v>0</v>
      </c>
    </row>
    <row r="36" spans="1:8" s="157" customFormat="1" ht="36" customHeight="1" x14ac:dyDescent="0.2">
      <c r="A36" s="332" t="s">
        <v>2064</v>
      </c>
      <c r="B36" s="332"/>
      <c r="C36" s="332"/>
      <c r="D36" s="332"/>
      <c r="E36" s="332"/>
      <c r="F36" s="332"/>
      <c r="G36" s="332"/>
    </row>
    <row r="37" spans="1:8" s="140" customFormat="1" ht="36" customHeight="1" x14ac:dyDescent="0.2">
      <c r="A37" s="145" t="s">
        <v>2026</v>
      </c>
      <c r="B37" s="334" t="s">
        <v>2027</v>
      </c>
      <c r="C37" s="334"/>
      <c r="D37" s="334" t="s">
        <v>2065</v>
      </c>
      <c r="E37" s="334"/>
      <c r="F37" s="334"/>
      <c r="G37" s="145" t="s">
        <v>2066</v>
      </c>
    </row>
    <row r="38" spans="1:8" ht="48" customHeight="1" x14ac:dyDescent="0.2">
      <c r="A38" s="142" t="str">
        <f>'HECVAT - Full'!A39</f>
        <v>COMP-01</v>
      </c>
      <c r="B38" s="330" t="str">
        <f>'HECVAT - Full'!B39</f>
        <v>Describe your organization’s business background and ownership structure, including all parent and subsidiary relationships.</v>
      </c>
      <c r="C38" s="330"/>
      <c r="D38" s="331">
        <f>'HECVAT - Full'!C39</f>
        <v>0</v>
      </c>
      <c r="E38" s="331"/>
      <c r="F38" s="331"/>
      <c r="H38" s="158" t="str">
        <f t="shared" ref="H38:H40" si="0">IF(G38="","Please rate the vendor's answer","")</f>
        <v>Please rate the vendor's answer</v>
      </c>
    </row>
    <row r="39" spans="1:8" ht="48" customHeight="1" x14ac:dyDescent="0.2">
      <c r="A39" s="142" t="str">
        <f>'HECVAT - Full'!A40</f>
        <v>COMP-02</v>
      </c>
      <c r="B39" s="330" t="str">
        <f>'HECVAT - Full'!B40</f>
        <v>Describe how long your organization has conducted business in this product area.</v>
      </c>
      <c r="C39" s="330"/>
      <c r="D39" s="331">
        <f>'HECVAT - Full'!C40</f>
        <v>0</v>
      </c>
      <c r="E39" s="331"/>
      <c r="F39" s="331"/>
      <c r="H39" s="158" t="str">
        <f t="shared" si="0"/>
        <v>Please rate the vendor's answer</v>
      </c>
    </row>
    <row r="40" spans="1:8" ht="48" customHeight="1" x14ac:dyDescent="0.2">
      <c r="A40" s="142" t="str">
        <f>'HECVAT - Full'!A45</f>
        <v>COMP-07</v>
      </c>
      <c r="B40" s="330" t="str">
        <f>'HECVAT - Full'!B45</f>
        <v>Use this area to share information about your environment that will assist those who are assessing your company data security program.</v>
      </c>
      <c r="C40" s="330"/>
      <c r="D40" s="331">
        <f>'HECVAT - Full'!C45</f>
        <v>0</v>
      </c>
      <c r="E40" s="331"/>
      <c r="F40" s="331"/>
      <c r="H40" s="158" t="str">
        <f t="shared" si="0"/>
        <v>Please rate the vendor's answer</v>
      </c>
    </row>
    <row r="41" spans="1:8" ht="48" customHeight="1" x14ac:dyDescent="0.2">
      <c r="A41" s="142" t="str">
        <f>'HECVAT - Full'!A68</f>
        <v>APPL-07</v>
      </c>
      <c r="B41" s="330" t="str">
        <f>'HECVAT - Full'!B68</f>
        <v>What operating system(s) is/are leveraged by the system(s)/application(s) that will have access to institution's data?</v>
      </c>
      <c r="C41" s="330"/>
      <c r="D41" s="331">
        <f>'HECVAT - Full'!C68</f>
        <v>0</v>
      </c>
      <c r="E41" s="331"/>
      <c r="F41" s="331"/>
      <c r="H41" s="158" t="str">
        <f t="shared" ref="H41:H65" si="1">IF(G41="","Please rate the vendor's answer","")</f>
        <v>Please rate the vendor's answer</v>
      </c>
    </row>
    <row r="42" spans="1:8" ht="48" customHeight="1" x14ac:dyDescent="0.2">
      <c r="A42" s="142" t="str">
        <f>'HECVAT - Full'!A70</f>
        <v>APPL-09</v>
      </c>
      <c r="B42" s="330" t="str">
        <f>'HECVAT - Full'!B70</f>
        <v xml:space="preserve">Describe or provide a reference to additional software/products necessary to implement a functional system on either the backend or user-interface side of the system. </v>
      </c>
      <c r="C42" s="330"/>
      <c r="D42" s="331">
        <f>'HECVAT - Full'!C70</f>
        <v>0</v>
      </c>
      <c r="E42" s="331"/>
      <c r="F42" s="331"/>
      <c r="H42" s="158" t="str">
        <f t="shared" si="1"/>
        <v>Please rate the vendor's answer</v>
      </c>
    </row>
    <row r="43" spans="1:8" ht="48" customHeight="1" x14ac:dyDescent="0.2">
      <c r="A43" s="142" t="str">
        <f>'HECVAT - Full'!A71</f>
        <v>APPL-10</v>
      </c>
      <c r="B43" s="330" t="str">
        <f>'HECVAT - Full'!B71</f>
        <v xml:space="preserve">Describe or provide a reference to the overall system and/or application architecture(s), including appropriate diagrams. Include a full description of the data communications architecture for all components of the system. </v>
      </c>
      <c r="C43" s="330"/>
      <c r="D43" s="331">
        <f>'HECVAT - Full'!C71</f>
        <v>0</v>
      </c>
      <c r="E43" s="331"/>
      <c r="F43" s="331"/>
      <c r="H43" s="158" t="str">
        <f t="shared" si="1"/>
        <v>Please rate the vendor's answer</v>
      </c>
    </row>
    <row r="44" spans="1:8" ht="48" customHeight="1" x14ac:dyDescent="0.2">
      <c r="A44" s="142" t="str">
        <f>'HECVAT - Full'!A73</f>
        <v>APPL-12</v>
      </c>
      <c r="B44" s="330" t="str">
        <f>'HECVAT - Full'!B73</f>
        <v xml:space="preserve">Describe or provide a reference to all web-enabled features and functionality of the system (i.e. accessed via a web-based interface). </v>
      </c>
      <c r="C44" s="330"/>
      <c r="D44" s="331">
        <f>'HECVAT - Full'!C73</f>
        <v>0</v>
      </c>
      <c r="E44" s="331"/>
      <c r="F44" s="331"/>
      <c r="H44" s="158" t="str">
        <f t="shared" si="1"/>
        <v>Please rate the vendor's answer</v>
      </c>
    </row>
    <row r="45" spans="1:8" ht="48" customHeight="1" x14ac:dyDescent="0.2">
      <c r="A45" s="142" t="str">
        <f>'HECVAT - Full'!A74</f>
        <v>APPL-13</v>
      </c>
      <c r="B45" s="330" t="str">
        <f>'HECVAT - Full'!B74</f>
        <v>Are there any OS and/or web-browser combinations that are not currently supported?</v>
      </c>
      <c r="C45" s="330"/>
      <c r="D45" s="331">
        <f>'HECVAT - Full'!C74</f>
        <v>0</v>
      </c>
      <c r="E45" s="331"/>
      <c r="F45" s="331"/>
      <c r="H45" s="158" t="str">
        <f t="shared" si="1"/>
        <v>Please rate the vendor's answer</v>
      </c>
    </row>
    <row r="46" spans="1:8" ht="48" customHeight="1" x14ac:dyDescent="0.2">
      <c r="A46" s="142" t="str">
        <f>'HECVAT - Full'!A76</f>
        <v>APPL-15</v>
      </c>
      <c r="B46" s="330" t="str">
        <f>'HECVAT - Full'!B76</f>
        <v>Describe or provide a reference to the facilities available in the system to provide separation of duties between security administration and system administration functions.</v>
      </c>
      <c r="C46" s="330"/>
      <c r="D46" s="331">
        <f>'HECVAT - Full'!C76</f>
        <v>0</v>
      </c>
      <c r="E46" s="331"/>
      <c r="F46" s="331"/>
      <c r="H46" s="158" t="str">
        <f t="shared" si="1"/>
        <v>Please rate the vendor's answer</v>
      </c>
    </row>
    <row r="47" spans="1:8" ht="48" customHeight="1" x14ac:dyDescent="0.2">
      <c r="A47" s="142" t="str">
        <f>'HECVAT - Full'!A77</f>
        <v>APPL-16</v>
      </c>
      <c r="B47" s="330" t="str">
        <f>'HECVAT - Full'!B77</f>
        <v>Describe or provide a reference that details how administrator access is handled (e.g. provisioning, principle of least privilege, deprovisioning, etc.)</v>
      </c>
      <c r="C47" s="330"/>
      <c r="D47" s="331">
        <f>'HECVAT - Full'!C77</f>
        <v>0</v>
      </c>
      <c r="E47" s="331"/>
      <c r="F47" s="331"/>
      <c r="H47" s="158" t="str">
        <f t="shared" si="1"/>
        <v>Please rate the vendor's answer</v>
      </c>
    </row>
    <row r="48" spans="1:8" ht="48" customHeight="1" x14ac:dyDescent="0.2">
      <c r="A48" s="142" t="str">
        <f>'HECVAT - Full'!A78</f>
        <v>APPL-17</v>
      </c>
      <c r="B48" s="330" t="str">
        <f>'HECVAT - Full'!B78</f>
        <v>Describe or provide references explaining how tertiary services are redundant (i.e. DNS, ISP, etc.).</v>
      </c>
      <c r="C48" s="330"/>
      <c r="D48" s="331">
        <f>'HECVAT - Full'!C78</f>
        <v>0</v>
      </c>
      <c r="E48" s="331"/>
      <c r="F48" s="331"/>
      <c r="H48" s="158" t="str">
        <f t="shared" si="1"/>
        <v>Please rate the vendor's answer</v>
      </c>
    </row>
    <row r="49" spans="1:8" ht="48" customHeight="1" x14ac:dyDescent="0.2">
      <c r="A49" s="142" t="str">
        <f>'HECVAT - Full'!A95</f>
        <v>AAAI-16</v>
      </c>
      <c r="B49" s="330" t="str">
        <f>'HECVAT - Full'!B95</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49" s="330"/>
      <c r="D49" s="331">
        <f>'HECVAT - Full'!C95</f>
        <v>0</v>
      </c>
      <c r="E49" s="331"/>
      <c r="F49" s="331"/>
      <c r="H49" s="158" t="str">
        <f t="shared" si="1"/>
        <v>Please rate the vendor's answer</v>
      </c>
    </row>
    <row r="50" spans="1:8" ht="48" customHeight="1" x14ac:dyDescent="0.2">
      <c r="A50" s="142" t="str">
        <f>'HECVAT - Full'!A112</f>
        <v>CHNG-02</v>
      </c>
      <c r="B50" s="330" t="str">
        <f>'HECVAT - Full'!B112</f>
        <v>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v>
      </c>
      <c r="C50" s="330"/>
      <c r="D50" s="331">
        <f>'HECVAT - Full'!C112</f>
        <v>0</v>
      </c>
      <c r="E50" s="331"/>
      <c r="F50" s="331"/>
      <c r="H50" s="158" t="str">
        <f t="shared" si="1"/>
        <v>Please rate the vendor's answer</v>
      </c>
    </row>
    <row r="51" spans="1:8" ht="48" customHeight="1" x14ac:dyDescent="0.2">
      <c r="A51" s="142" t="str">
        <f>'HECVAT - Full'!A115</f>
        <v>CHNG-05</v>
      </c>
      <c r="B51" s="330" t="str">
        <f>'HECVAT - Full'!B115</f>
        <v>Describe or provide a reference to your solution support strategy in relation to maintaining software currency. (i.e. how many concurrent versions are you willing to run and support?)</v>
      </c>
      <c r="C51" s="330"/>
      <c r="D51" s="331">
        <f>'HECVAT - Full'!C115</f>
        <v>0</v>
      </c>
      <c r="E51" s="331"/>
      <c r="F51" s="331"/>
      <c r="H51" s="158" t="str">
        <f t="shared" si="1"/>
        <v>Please rate the vendor's answer</v>
      </c>
    </row>
    <row r="52" spans="1:8" ht="48" customHeight="1" x14ac:dyDescent="0.2">
      <c r="A52" s="142" t="str">
        <f>'HECVAT - Full'!A116</f>
        <v>CHNG-06</v>
      </c>
      <c r="B52" s="330" t="str">
        <f>'HECVAT - Full'!B116</f>
        <v>Identify the most current version of the software. Detail the percentage of live customers that are utilizing the proposed version of the software as well as each version of the software currently in use.</v>
      </c>
      <c r="C52" s="330"/>
      <c r="D52" s="331">
        <f>'HECVAT - Full'!C116</f>
        <v>0</v>
      </c>
      <c r="E52" s="331"/>
      <c r="F52" s="331"/>
      <c r="H52" s="158" t="str">
        <f t="shared" si="1"/>
        <v>Please rate the vendor's answer</v>
      </c>
    </row>
    <row r="53" spans="1:8" ht="48" customHeight="1" x14ac:dyDescent="0.2">
      <c r="A53" s="142" t="str">
        <f>'HECVAT - Full'!A117</f>
        <v>CHNG-07</v>
      </c>
      <c r="B53" s="330" t="str">
        <f>'HECVAT - Full'!B117</f>
        <v>Does the system support client customizations from one release to another?</v>
      </c>
      <c r="C53" s="330"/>
      <c r="D53" s="331">
        <f>'HECVAT - Full'!C117</f>
        <v>0</v>
      </c>
      <c r="E53" s="331"/>
      <c r="F53" s="331"/>
      <c r="H53" s="158" t="str">
        <f t="shared" si="1"/>
        <v>Please rate the vendor's answer</v>
      </c>
    </row>
    <row r="54" spans="1:8" ht="48" customHeight="1" x14ac:dyDescent="0.2">
      <c r="A54" s="142" t="str">
        <f>'HECVAT - Full'!A133</f>
        <v>DATA-07</v>
      </c>
      <c r="B54" s="330" t="str">
        <f>'HECVAT - Full'!B133</f>
        <v>List all locations (i.e. city + datacenter name) where the institution's data will be stored?</v>
      </c>
      <c r="C54" s="330"/>
      <c r="D54" s="331">
        <f>'HECVAT - Full'!C133</f>
        <v>0</v>
      </c>
      <c r="E54" s="331"/>
      <c r="F54" s="331"/>
      <c r="H54" s="158" t="str">
        <f t="shared" si="1"/>
        <v>Please rate the vendor's answer</v>
      </c>
    </row>
    <row r="55" spans="1:8" ht="48" customHeight="1" x14ac:dyDescent="0.2">
      <c r="A55" s="142" t="str">
        <f>'HECVAT - Full'!A140</f>
        <v>DATA-14</v>
      </c>
      <c r="B55" s="330" t="str">
        <f>'HECVAT - Full'!B140</f>
        <v xml:space="preserve">Describe or provide a reference to the backup processes for the servers on which the service and/or data resides. </v>
      </c>
      <c r="C55" s="330"/>
      <c r="D55" s="331">
        <f>'HECVAT - Full'!C140</f>
        <v>0</v>
      </c>
      <c r="E55" s="331"/>
      <c r="F55" s="331"/>
      <c r="H55" s="158" t="str">
        <f t="shared" si="1"/>
        <v>Please rate the vendor's answer</v>
      </c>
    </row>
    <row r="56" spans="1:8" ht="48" customHeight="1" x14ac:dyDescent="0.2">
      <c r="A56" s="142" t="str">
        <f>'HECVAT - Full'!A142</f>
        <v>DATA-16</v>
      </c>
      <c r="B56" s="330" t="str">
        <f>'HECVAT - Full'!B142</f>
        <v>How long are data backups stored?</v>
      </c>
      <c r="C56" s="330"/>
      <c r="D56" s="331">
        <f>'HECVAT - Full'!C142</f>
        <v>0</v>
      </c>
      <c r="E56" s="331"/>
      <c r="F56" s="331"/>
      <c r="H56" s="158" t="str">
        <f t="shared" si="1"/>
        <v>Please rate the vendor's answer</v>
      </c>
    </row>
    <row r="57" spans="1:8" ht="48" customHeight="1" x14ac:dyDescent="0.2">
      <c r="A57" s="142" t="str">
        <f>'HECVAT - Full'!A165</f>
        <v>DCTR-07</v>
      </c>
      <c r="B57" s="330" t="str">
        <f>'HECVAT - Full'!B165</f>
        <v>Select the option that best describes the network segment that servers are connected to.</v>
      </c>
      <c r="C57" s="330"/>
      <c r="D57" s="331">
        <f>'HECVAT - Full'!C165</f>
        <v>0</v>
      </c>
      <c r="E57" s="331"/>
      <c r="F57" s="331"/>
      <c r="H57" s="158" t="str">
        <f t="shared" si="1"/>
        <v>Please rate the vendor's answer</v>
      </c>
    </row>
    <row r="58" spans="1:8" ht="48" customHeight="1" x14ac:dyDescent="0.2">
      <c r="A58" s="142" t="str">
        <f>'HECVAT - Full'!A168</f>
        <v>DCTR-10</v>
      </c>
      <c r="B58" s="330" t="str">
        <f>'HECVAT - Full'!B168</f>
        <v xml:space="preserve">List all datacenters and the cities, states (provinces), and countries where the Institution's data will be stored (including within the Institution's Data Zone).   </v>
      </c>
      <c r="C58" s="330"/>
      <c r="D58" s="331">
        <f>'HECVAT - Full'!C168</f>
        <v>0</v>
      </c>
      <c r="E58" s="331"/>
      <c r="F58" s="331"/>
      <c r="H58" s="158" t="str">
        <f t="shared" si="1"/>
        <v>Please rate the vendor's answer</v>
      </c>
    </row>
    <row r="59" spans="1:8" ht="48" customHeight="1" x14ac:dyDescent="0.2">
      <c r="A59" s="142" t="str">
        <f>'HECVAT - Full'!A171</f>
        <v>DCTR-13</v>
      </c>
      <c r="B59" s="330" t="str">
        <f>'HECVAT - Full'!B171</f>
        <v>What Tier Level is your data center (per levels defined by the Uptime Institute)?</v>
      </c>
      <c r="C59" s="330"/>
      <c r="D59" s="331">
        <f>'HECVAT - Full'!C171</f>
        <v>0</v>
      </c>
      <c r="E59" s="331"/>
      <c r="F59" s="331"/>
      <c r="H59" s="158" t="str">
        <f t="shared" si="1"/>
        <v>Please rate the vendor's answer</v>
      </c>
    </row>
    <row r="60" spans="1:8" ht="48" customHeight="1" x14ac:dyDescent="0.2">
      <c r="A60" s="142" t="str">
        <f>'HECVAT - Full'!A175</f>
        <v>DCTR-17</v>
      </c>
      <c r="B60" s="330" t="str">
        <f>'HECVAT - Full'!B175</f>
        <v>Describe or provide a reference to the availability of cooling and fire suppression systems in all datacenters where institution data will reside.</v>
      </c>
      <c r="C60" s="330"/>
      <c r="D60" s="331">
        <f>'HECVAT - Full'!C175</f>
        <v>0</v>
      </c>
      <c r="E60" s="331"/>
      <c r="F60" s="331"/>
      <c r="H60" s="158" t="str">
        <f t="shared" si="1"/>
        <v>Please rate the vendor's answer</v>
      </c>
    </row>
    <row r="61" spans="1:8" ht="48" customHeight="1" x14ac:dyDescent="0.2">
      <c r="A61" s="142" t="str">
        <f>'HECVAT - Full'!A176</f>
        <v>DCTR-18</v>
      </c>
      <c r="B61" s="330" t="str">
        <f>'HECVAT - Full'!B176</f>
        <v xml:space="preserve">State how many Internet Service Providers (ISPs) provide connectivity to each datacenter where the institution's data will reside. </v>
      </c>
      <c r="C61" s="330"/>
      <c r="D61" s="331">
        <f>'HECVAT - Full'!C176</f>
        <v>0</v>
      </c>
      <c r="E61" s="331"/>
      <c r="F61" s="331"/>
      <c r="H61" s="158" t="str">
        <f t="shared" si="1"/>
        <v>Please rate the vendor's answer</v>
      </c>
    </row>
    <row r="62" spans="1:8" ht="48" customHeight="1" x14ac:dyDescent="0.2">
      <c r="A62" s="142" t="str">
        <f>'HECVAT - Full'!A195</f>
        <v>FIDP-03</v>
      </c>
      <c r="B62" s="330" t="str">
        <f>'HECVAT - Full'!B195</f>
        <v>State and describe who has the authority to change firewall rules?</v>
      </c>
      <c r="C62" s="330"/>
      <c r="D62" s="331">
        <f>'HECVAT - Full'!C195</f>
        <v>0</v>
      </c>
      <c r="E62" s="331"/>
      <c r="F62" s="331"/>
      <c r="H62" s="158" t="str">
        <f t="shared" si="1"/>
        <v>Please rate the vendor's answer</v>
      </c>
    </row>
    <row r="63" spans="1:8" ht="48" customHeight="1" x14ac:dyDescent="0.2">
      <c r="A63" s="142" t="str">
        <f>'HECVAT - Full'!A203</f>
        <v>FIDP-11</v>
      </c>
      <c r="B63" s="330" t="str">
        <f>'HECVAT - Full'!B203</f>
        <v>Is intrusion monitoring performed internally or by a third-party service?</v>
      </c>
      <c r="C63" s="330"/>
      <c r="D63" s="331">
        <f>'HECVAT - Full'!C203</f>
        <v>0</v>
      </c>
      <c r="E63" s="331"/>
      <c r="F63" s="331"/>
      <c r="H63" s="158" t="str">
        <f t="shared" si="1"/>
        <v>Please rate the vendor's answer</v>
      </c>
    </row>
    <row r="64" spans="1:8" ht="48" customHeight="1" x14ac:dyDescent="0.2">
      <c r="A64" s="142" t="str">
        <f>'HECVAT - Full'!A248</f>
        <v>QLAS-01</v>
      </c>
      <c r="B64" s="331" t="str">
        <f>'HECVAT - Full'!B248</f>
        <v>Provide a general summary of your Quality Assurance program.</v>
      </c>
      <c r="C64" s="331"/>
      <c r="D64" s="331">
        <f>'HECVAT - Full'!C248</f>
        <v>0</v>
      </c>
      <c r="E64" s="331"/>
      <c r="F64" s="331"/>
      <c r="H64" s="158" t="str">
        <f t="shared" si="1"/>
        <v>Please rate the vendor's answer</v>
      </c>
    </row>
    <row r="65" spans="1:8" ht="48" customHeight="1" x14ac:dyDescent="0.2">
      <c r="A65" s="142" t="str">
        <f>'HECVAT - Full'!A264</f>
        <v>VULN-06</v>
      </c>
      <c r="B65" s="331" t="str">
        <f>'HECVAT - Full'!B264</f>
        <v>Describe or provide a reference to the tool(s) used to scan for vulnerabilities in your applications and systems.</v>
      </c>
      <c r="C65" s="331"/>
      <c r="D65" s="331">
        <f>'HECVAT - Full'!C264</f>
        <v>0</v>
      </c>
      <c r="E65" s="331"/>
      <c r="F65" s="331"/>
      <c r="H65" s="158" t="str">
        <f t="shared" si="1"/>
        <v>Please rate the vendor's answer</v>
      </c>
    </row>
    <row r="66" spans="1:8" ht="48" customHeight="1" x14ac:dyDescent="0.2">
      <c r="A66" s="142" t="str">
        <f>'HECVAT - Full'!A266</f>
        <v>VULN-08</v>
      </c>
      <c r="B66" s="331" t="str">
        <f>'HECVAT - Full'!B266</f>
        <v>Describe or provide a reference to how you monitor for and protect against common web application security vulnerabilities (e.g. SQL injection, XSS, XSRF, etc.).</v>
      </c>
      <c r="C66" s="331"/>
      <c r="D66" s="331">
        <f>'HECVAT - Full'!C266</f>
        <v>0</v>
      </c>
      <c r="E66" s="331"/>
      <c r="F66" s="331"/>
      <c r="H66" s="158" t="str">
        <f>IF(G66="","Please rate the vendor's answer","")</f>
        <v>Please rate the vendor's answer</v>
      </c>
    </row>
    <row r="67" spans="1:8" ht="48" customHeight="1" x14ac:dyDescent="0.2">
      <c r="A67" s="159" t="s">
        <v>2095</v>
      </c>
      <c r="B67" s="160">
        <f>'HECVAT - Full'!C24</f>
        <v>0</v>
      </c>
      <c r="C67" s="161"/>
      <c r="D67" s="161"/>
      <c r="E67" s="161"/>
      <c r="F67" s="161"/>
      <c r="G67" s="159" t="s">
        <v>2066</v>
      </c>
    </row>
    <row r="68" spans="1:8" ht="48" customHeight="1" x14ac:dyDescent="0.2">
      <c r="A68" s="142" t="str">
        <f>'HECVAT - Full'!A291</f>
        <v>HIPA-23</v>
      </c>
      <c r="B68" s="331" t="str">
        <f>'HECVAT - Full'!B291</f>
        <v>How long does the application keep access/change logs?</v>
      </c>
      <c r="C68" s="331"/>
      <c r="D68" s="331">
        <f>'HECVAT - Full'!C291</f>
        <v>0</v>
      </c>
      <c r="E68" s="331"/>
      <c r="F68" s="331"/>
      <c r="H68" s="158" t="str">
        <f>IF(G68="",IF(B67=1,"Please rate the vendor's answer",""),"")</f>
        <v/>
      </c>
    </row>
    <row r="69" spans="1:8" ht="48" customHeight="1" x14ac:dyDescent="0.2">
      <c r="A69" s="159" t="s">
        <v>2091</v>
      </c>
      <c r="B69" s="159">
        <f>'HECVAT - Full'!C25</f>
        <v>0</v>
      </c>
      <c r="C69" s="159"/>
      <c r="D69" s="161"/>
      <c r="E69" s="161"/>
      <c r="F69" s="161"/>
      <c r="G69" s="159" t="s">
        <v>2066</v>
      </c>
    </row>
    <row r="70" spans="1:8" ht="48" customHeight="1" x14ac:dyDescent="0.2">
      <c r="A70" s="142" t="str">
        <f>'HECVAT - Full'!A206</f>
        <v>MAPP-01</v>
      </c>
      <c r="B70" s="330" t="str">
        <f>'HECVAT - Full'!B206</f>
        <v>On which mobile operating systems is your software or service supported?</v>
      </c>
      <c r="C70" s="330"/>
      <c r="D70" s="331">
        <f>'HECVAT - Full'!C206</f>
        <v>0</v>
      </c>
      <c r="E70" s="331"/>
      <c r="F70" s="331"/>
      <c r="H70" s="158" t="str">
        <f t="shared" ref="H70:H71" si="2">IF(G70="",IF(B$69=1,"Please rate the vendor's answer",""),"")</f>
        <v/>
      </c>
    </row>
    <row r="71" spans="1:8" ht="48" customHeight="1" x14ac:dyDescent="0.2">
      <c r="A71" s="142" t="str">
        <f>'HECVAT - Full'!A207</f>
        <v>MAPP-02</v>
      </c>
      <c r="B71" s="330" t="str">
        <f>'HECVAT - Full'!B207</f>
        <v>Describe or provide a reference to the application's architecture and functionality.</v>
      </c>
      <c r="C71" s="330"/>
      <c r="D71" s="331">
        <f>'HECVAT - Full'!C207</f>
        <v>0</v>
      </c>
      <c r="E71" s="331"/>
      <c r="F71" s="331"/>
      <c r="H71" s="158" t="str">
        <f t="shared" si="2"/>
        <v/>
      </c>
    </row>
    <row r="72" spans="1:8" ht="48" customHeight="1" x14ac:dyDescent="0.2">
      <c r="A72" s="142" t="str">
        <f>'HECVAT - Full'!A213</f>
        <v>MAPP-08</v>
      </c>
      <c r="B72" s="330" t="str">
        <f>'HECVAT - Full'!B213</f>
        <v>Will any of these systems be implemented on systems hosting the Institution's data?</v>
      </c>
      <c r="C72" s="330"/>
      <c r="D72" s="331">
        <f>'HECVAT - Full'!C213</f>
        <v>0</v>
      </c>
      <c r="E72" s="331"/>
      <c r="F72" s="331"/>
      <c r="H72" s="158"/>
    </row>
    <row r="73" spans="1:8" ht="48" customHeight="1" x14ac:dyDescent="0.2">
      <c r="A73" s="142" t="str">
        <f>'HECVAT - Full'!A216</f>
        <v>MAPP-11</v>
      </c>
      <c r="B73" s="330" t="str">
        <f>'HECVAT - Full'!B216</f>
        <v>State the party that performed the vulnerability test and the date it was conducted?</v>
      </c>
      <c r="C73" s="330"/>
      <c r="D73" s="331">
        <f>'HECVAT - Full'!C216</f>
        <v>0</v>
      </c>
      <c r="E73" s="331"/>
      <c r="F73" s="331"/>
      <c r="H73" s="158" t="str">
        <f>IF(G73="",IF(B$69=1,"Please rate the vendor's answer",""),"")</f>
        <v/>
      </c>
    </row>
    <row r="74" spans="1:8" ht="48" customHeight="1" x14ac:dyDescent="0.2">
      <c r="A74" s="159" t="s">
        <v>2092</v>
      </c>
      <c r="B74" s="159">
        <f>'HECVAT - Full'!C26</f>
        <v>0</v>
      </c>
      <c r="C74" s="159"/>
      <c r="D74" s="161"/>
      <c r="E74" s="161"/>
      <c r="F74" s="161"/>
      <c r="G74" s="159" t="s">
        <v>2066</v>
      </c>
    </row>
    <row r="75" spans="1:8" ht="48" customHeight="1" x14ac:dyDescent="0.2">
      <c r="A75" s="142" t="str">
        <f>'HECVAT - Full'!A47</f>
        <v>THRD-01</v>
      </c>
      <c r="B75" s="330" t="str">
        <f>'HECVAT - Full'!B47</f>
        <v>Describe how you perform security assessments of third party companies with which you share data (i.e. hosting providers, cloud services, PaaS, IaaS, SaaS, etc.). Provide a summary of your practices that assures that the third party will be subject to the appropriate standards regarding security, service recoverability, and confidentiality.</v>
      </c>
      <c r="C75" s="330"/>
      <c r="D75" s="331">
        <f>'HECVAT - Full'!C47</f>
        <v>0</v>
      </c>
      <c r="E75" s="331"/>
      <c r="F75" s="331"/>
      <c r="H75" s="158" t="str">
        <f t="shared" ref="H75" si="3">IF(G75="",IF(B$74=1,"Please rate the vendor's answer",""),"")</f>
        <v/>
      </c>
    </row>
    <row r="76" spans="1:8" ht="48" customHeight="1" x14ac:dyDescent="0.2">
      <c r="A76" s="142" t="str">
        <f>'HECVAT - Full'!A48</f>
        <v>THRD-02</v>
      </c>
      <c r="B76" s="330" t="str">
        <f>'HECVAT - Full'!B48</f>
        <v>Provide a brief description for why each of these third parties will have access to institution data.</v>
      </c>
      <c r="C76" s="330"/>
      <c r="D76" s="331">
        <f>'HECVAT - Full'!C48</f>
        <v>0</v>
      </c>
      <c r="E76" s="331"/>
      <c r="F76" s="331"/>
      <c r="H76" s="158" t="str">
        <f>IF(G76="",IF(B$74=1,"Please rate the vendor's answer",""),"")</f>
        <v/>
      </c>
    </row>
    <row r="77" spans="1:8" ht="48" customHeight="1" x14ac:dyDescent="0.2">
      <c r="A77" s="142" t="str">
        <f>'HECVAT - Full'!A49</f>
        <v>THRD-03</v>
      </c>
      <c r="B77" s="330" t="str">
        <f>'HECVAT - Full'!B49</f>
        <v>What legal agreements (i.e. contracts) do you have in place with these third parties that address liability in the event of a data breach?</v>
      </c>
      <c r="C77" s="330"/>
      <c r="D77" s="331">
        <f>'HECVAT - Full'!C49</f>
        <v>0</v>
      </c>
      <c r="E77" s="331"/>
      <c r="F77" s="331"/>
      <c r="H77" s="158" t="str">
        <f t="shared" ref="H77:H78" si="4">IF(G77="",IF(B$74=1,"Please rate the vendor's answer",""),"")</f>
        <v/>
      </c>
    </row>
    <row r="78" spans="1:8" ht="48" customHeight="1" x14ac:dyDescent="0.2">
      <c r="A78" s="142" t="str">
        <f>'HECVAT - Full'!A50</f>
        <v>THRD-04</v>
      </c>
      <c r="B78" s="330" t="str">
        <f>'HECVAT - Full'!B50</f>
        <v>Describe or provide references to your third party management strategy or provide additional information that may help analysts better understand your environment and how it relates to third-party solutions.</v>
      </c>
      <c r="C78" s="330"/>
      <c r="D78" s="331">
        <f>'HECVAT - Full'!C50</f>
        <v>0</v>
      </c>
      <c r="E78" s="331"/>
      <c r="F78" s="331"/>
      <c r="H78" s="158" t="str">
        <f t="shared" si="4"/>
        <v/>
      </c>
    </row>
    <row r="79" spans="1:8" ht="48" customHeight="1" x14ac:dyDescent="0.2">
      <c r="A79" s="159" t="s">
        <v>2093</v>
      </c>
      <c r="B79" s="159">
        <f>'HECVAT - Full'!C27</f>
        <v>0</v>
      </c>
      <c r="C79" s="159"/>
      <c r="D79" s="161"/>
      <c r="E79" s="161"/>
      <c r="F79" s="161"/>
      <c r="G79" s="159" t="s">
        <v>2066</v>
      </c>
    </row>
    <row r="80" spans="1:8" ht="48" customHeight="1" x14ac:dyDescent="0.2">
      <c r="A80" s="142" t="str">
        <f>'HECVAT - Full'!A98</f>
        <v>BCPL-01</v>
      </c>
      <c r="B80" s="330" t="str">
        <f>'HECVAT - Full'!B98</f>
        <v>Describe or provide a reference to your Business Continuity Plan (BCP).</v>
      </c>
      <c r="C80" s="330"/>
      <c r="D80" s="331">
        <f>'HECVAT - Full'!C98</f>
        <v>0</v>
      </c>
      <c r="E80" s="331"/>
      <c r="F80" s="331"/>
      <c r="H80" s="158" t="str">
        <f>IF(G80="",IF(B$79=1,"Please rate the vendor's answer",""),"")</f>
        <v/>
      </c>
    </row>
    <row r="81" spans="1:8" ht="48" customHeight="1" x14ac:dyDescent="0.2">
      <c r="A81" s="159" t="s">
        <v>2096</v>
      </c>
      <c r="B81" s="159">
        <f>'HECVAT - Full'!C30</f>
        <v>0</v>
      </c>
      <c r="C81" s="159"/>
      <c r="D81" s="161"/>
      <c r="E81" s="161"/>
      <c r="F81" s="161"/>
      <c r="G81" s="159" t="s">
        <v>2066</v>
      </c>
    </row>
    <row r="82" spans="1:8" ht="48" customHeight="1" x14ac:dyDescent="0.2">
      <c r="A82" s="142" t="str">
        <f>'HECVAT - Full'!A179</f>
        <v>DRPL-01</v>
      </c>
      <c r="B82" s="330" t="str">
        <f>'HECVAT - Full'!B179</f>
        <v>Describe or provide a reference to your Disaster Recovery Plan (DRP).</v>
      </c>
      <c r="C82" s="330"/>
      <c r="D82" s="331">
        <f>'HECVAT - Full'!C179</f>
        <v>0</v>
      </c>
      <c r="E82" s="331"/>
      <c r="F82" s="331"/>
      <c r="H82" s="158" t="str">
        <f>IF(G82="",IF(B$81=1,"Please rate the vendor's answer",""),"")</f>
        <v/>
      </c>
    </row>
    <row r="83" spans="1:8" ht="48" customHeight="1" x14ac:dyDescent="0.2">
      <c r="A83" s="142" t="str">
        <f>'HECVAT - Full'!A187</f>
        <v>DRPL-09</v>
      </c>
      <c r="B83" s="330" t="str">
        <f>'HECVAT - Full'!B187</f>
        <v>Describe or provide a reference to how your disaster recovery plan is tested? (i.e. scope of DR tests, end-to-end testing, etc.)</v>
      </c>
      <c r="C83" s="330"/>
      <c r="D83" s="331">
        <f>'HECVAT - Full'!C187</f>
        <v>0</v>
      </c>
      <c r="E83" s="331"/>
      <c r="F83" s="331"/>
      <c r="H83" s="158" t="str">
        <f>IF(G83="",IF(B$81=1,"Please rate the vendor's answer",""),"")</f>
        <v/>
      </c>
    </row>
    <row r="84" spans="1:8" ht="48" customHeight="1" x14ac:dyDescent="0.2">
      <c r="A84" s="159" t="s">
        <v>2094</v>
      </c>
      <c r="B84" s="159">
        <f>'HECVAT - Full'!C29</f>
        <v>0</v>
      </c>
      <c r="C84" s="159"/>
      <c r="D84" s="161"/>
      <c r="E84" s="161"/>
      <c r="F84" s="161"/>
      <c r="G84" s="159" t="s">
        <v>2066</v>
      </c>
    </row>
    <row r="85" spans="1:8" ht="48" customHeight="1" x14ac:dyDescent="0.2">
      <c r="A85" s="142" t="str">
        <f>'HECVAT - Full'!A306</f>
        <v>PCID-06</v>
      </c>
      <c r="B85" s="330" t="str">
        <f>'HECVAT - Full'!B306</f>
        <v>Are you classified as a merchant?  If so, what level (1, 2, 3, 4)?</v>
      </c>
      <c r="C85" s="330"/>
      <c r="D85" s="331">
        <f>'HECVAT - Full'!C306</f>
        <v>0</v>
      </c>
      <c r="E85" s="331"/>
      <c r="F85" s="331"/>
      <c r="H85" s="158" t="str">
        <f>IF(G85="",IF(B$84=1,"Please rate the vendor's answer",""),"")</f>
        <v/>
      </c>
    </row>
    <row r="86" spans="1:8" ht="48" customHeight="1" x14ac:dyDescent="0.2">
      <c r="A86" s="142" t="str">
        <f>'HECVAT - Full'!A307</f>
        <v>PCID-07</v>
      </c>
      <c r="B86" s="330" t="str">
        <f>'HECVAT - Full'!B307</f>
        <v>Describe the architecture employed by the system to verify and authorize credit card transactions.</v>
      </c>
      <c r="C86" s="330"/>
      <c r="D86" s="331">
        <f>'HECVAT - Full'!C307</f>
        <v>0</v>
      </c>
      <c r="E86" s="331"/>
      <c r="F86" s="331"/>
      <c r="H86" s="158" t="str">
        <f t="shared" ref="H86:H88" si="5">IF(G86="",IF(B$84=1,"Please rate the vendor's answer",""),"")</f>
        <v/>
      </c>
    </row>
    <row r="87" spans="1:8" ht="48" customHeight="1" x14ac:dyDescent="0.2">
      <c r="A87" s="142" t="str">
        <f>'HECVAT - Full'!A308</f>
        <v>PCID-08</v>
      </c>
      <c r="B87" s="330" t="str">
        <f>'HECVAT - Full'!B308</f>
        <v xml:space="preserve">What payment processors/gateways does the system support? </v>
      </c>
      <c r="C87" s="330"/>
      <c r="D87" s="331">
        <f>'HECVAT - Full'!C308</f>
        <v>0</v>
      </c>
      <c r="E87" s="331"/>
      <c r="F87" s="331"/>
      <c r="H87" s="158" t="str">
        <f t="shared" si="5"/>
        <v/>
      </c>
    </row>
    <row r="88" spans="1:8" ht="48" customHeight="1" x14ac:dyDescent="0.2">
      <c r="A88" s="142" t="str">
        <f>'HECVAT - Full'!A312</f>
        <v>PCID-12</v>
      </c>
      <c r="B88" s="330" t="str">
        <f>'HECVAT - Full'!B312</f>
        <v xml:space="preserve">Include documentation describing the systems' abilities to comply with the PCI DSS and any features or capabilities of the system that must be added or changed in order to operate in compliance with the standards. </v>
      </c>
      <c r="C88" s="330"/>
      <c r="D88" s="331">
        <f>'HECVAT - Full'!C312</f>
        <v>0</v>
      </c>
      <c r="E88" s="331"/>
      <c r="F88" s="331"/>
      <c r="H88" s="158" t="str">
        <f t="shared" si="5"/>
        <v/>
      </c>
    </row>
    <row r="89" spans="1:8" ht="48" customHeight="1" x14ac:dyDescent="0.2"/>
    <row r="90" spans="1:8" ht="48" customHeight="1" x14ac:dyDescent="0.2"/>
    <row r="91" spans="1:8" ht="48" customHeight="1" x14ac:dyDescent="0.2"/>
    <row r="92" spans="1:8" ht="48" customHeight="1" x14ac:dyDescent="0.2"/>
    <row r="93" spans="1:8" ht="48" customHeight="1" x14ac:dyDescent="0.2"/>
    <row r="94" spans="1:8" ht="48" customHeight="1" x14ac:dyDescent="0.2"/>
    <row r="95" spans="1:8" ht="48" customHeight="1" x14ac:dyDescent="0.2"/>
    <row r="96" spans="1:8" ht="48" customHeight="1" x14ac:dyDescent="0.2"/>
    <row r="97" ht="48" customHeight="1" x14ac:dyDescent="0.2"/>
    <row r="98" ht="48" customHeight="1" x14ac:dyDescent="0.2"/>
    <row r="99" ht="48" customHeight="1" x14ac:dyDescent="0.2"/>
    <row r="100" ht="48" customHeight="1" x14ac:dyDescent="0.2"/>
    <row r="101" ht="48" customHeight="1" x14ac:dyDescent="0.2"/>
    <row r="102" ht="48" customHeight="1" x14ac:dyDescent="0.2"/>
    <row r="103" ht="48" customHeight="1" x14ac:dyDescent="0.2"/>
    <row r="104" ht="48" customHeight="1" x14ac:dyDescent="0.2"/>
    <row r="105" ht="48" customHeight="1" x14ac:dyDescent="0.2"/>
    <row r="106" ht="48" customHeight="1" x14ac:dyDescent="0.2"/>
    <row r="107" ht="48" customHeight="1" x14ac:dyDescent="0.2"/>
    <row r="108" ht="48" customHeight="1" x14ac:dyDescent="0.2"/>
    <row r="109" ht="48" customHeight="1" x14ac:dyDescent="0.2"/>
    <row r="110" ht="48" customHeight="1" x14ac:dyDescent="0.2"/>
    <row r="111" ht="48" customHeight="1" x14ac:dyDescent="0.2"/>
    <row r="112" ht="48" customHeight="1" x14ac:dyDescent="0.2"/>
    <row r="113" ht="48" customHeight="1" x14ac:dyDescent="0.2"/>
    <row r="114" ht="48" customHeight="1" x14ac:dyDescent="0.2"/>
    <row r="115" ht="48" customHeight="1" x14ac:dyDescent="0.2"/>
    <row r="116" ht="48" customHeight="1" x14ac:dyDescent="0.2"/>
    <row r="117" ht="48" customHeight="1" x14ac:dyDescent="0.2"/>
    <row r="118" ht="48" customHeight="1" x14ac:dyDescent="0.2"/>
    <row r="119" ht="48" customHeight="1" x14ac:dyDescent="0.2"/>
    <row r="120" ht="48" customHeight="1" x14ac:dyDescent="0.2"/>
    <row r="121" ht="48" customHeight="1" x14ac:dyDescent="0.2"/>
    <row r="122" ht="48" customHeight="1" x14ac:dyDescent="0.2"/>
    <row r="123" ht="48" customHeight="1" x14ac:dyDescent="0.2"/>
    <row r="124" ht="48" customHeight="1" x14ac:dyDescent="0.2"/>
    <row r="125" ht="48" customHeight="1" x14ac:dyDescent="0.2"/>
    <row r="126" ht="48" customHeight="1" x14ac:dyDescent="0.2"/>
    <row r="127" ht="48" customHeight="1" x14ac:dyDescent="0.2"/>
    <row r="128" ht="48" customHeight="1" x14ac:dyDescent="0.2"/>
    <row r="129" ht="48" customHeight="1" x14ac:dyDescent="0.2"/>
    <row r="130" ht="48" customHeight="1" x14ac:dyDescent="0.2"/>
    <row r="131" ht="48" customHeight="1" x14ac:dyDescent="0.2"/>
    <row r="132" ht="48" customHeight="1" x14ac:dyDescent="0.2"/>
    <row r="133" ht="48" customHeight="1" x14ac:dyDescent="0.2"/>
    <row r="134" ht="48" customHeight="1" x14ac:dyDescent="0.2"/>
    <row r="135" ht="48" customHeight="1" x14ac:dyDescent="0.2"/>
    <row r="136" ht="48" customHeight="1" x14ac:dyDescent="0.2"/>
    <row r="137" ht="48" customHeight="1" x14ac:dyDescent="0.2"/>
    <row r="138" ht="48" customHeight="1" x14ac:dyDescent="0.2"/>
    <row r="139" ht="48" customHeight="1" x14ac:dyDescent="0.2"/>
    <row r="140" ht="48" customHeight="1" x14ac:dyDescent="0.2"/>
    <row r="141" ht="48" customHeight="1" x14ac:dyDescent="0.2"/>
    <row r="142" ht="48" customHeight="1" x14ac:dyDescent="0.2"/>
    <row r="143" ht="48" customHeight="1" x14ac:dyDescent="0.2"/>
    <row r="144" ht="48" customHeight="1" x14ac:dyDescent="0.2"/>
    <row r="145" ht="48" customHeight="1" x14ac:dyDescent="0.2"/>
    <row r="146" ht="48" customHeight="1" x14ac:dyDescent="0.2"/>
    <row r="147" ht="48" customHeight="1" x14ac:dyDescent="0.2"/>
    <row r="148" ht="48" customHeight="1" x14ac:dyDescent="0.2"/>
    <row r="149" ht="48" customHeight="1" x14ac:dyDescent="0.2"/>
    <row r="150" ht="48" customHeight="1" x14ac:dyDescent="0.2"/>
    <row r="151" ht="48" customHeight="1" x14ac:dyDescent="0.2"/>
    <row r="152" ht="48" customHeight="1" x14ac:dyDescent="0.2"/>
    <row r="153" ht="48" customHeight="1" x14ac:dyDescent="0.2"/>
    <row r="154" ht="48" customHeight="1" x14ac:dyDescent="0.2"/>
    <row r="155" ht="48" customHeight="1" x14ac:dyDescent="0.2"/>
    <row r="156" ht="48" customHeight="1" x14ac:dyDescent="0.2"/>
    <row r="157" ht="48" customHeight="1" x14ac:dyDescent="0.2"/>
    <row r="158" ht="48" customHeight="1" x14ac:dyDescent="0.2"/>
    <row r="159" ht="48" customHeight="1" x14ac:dyDescent="0.2"/>
    <row r="160" ht="48" customHeight="1" x14ac:dyDescent="0.2"/>
    <row r="161" ht="48" customHeight="1" x14ac:dyDescent="0.2"/>
    <row r="162" ht="48" customHeight="1" x14ac:dyDescent="0.2"/>
    <row r="163" ht="48" customHeight="1" x14ac:dyDescent="0.2"/>
    <row r="164" ht="48" customHeight="1" x14ac:dyDescent="0.2"/>
    <row r="165" ht="48" customHeight="1" x14ac:dyDescent="0.2"/>
    <row r="166" ht="48" customHeight="1" x14ac:dyDescent="0.2"/>
    <row r="167" ht="48" customHeight="1" x14ac:dyDescent="0.2"/>
    <row r="168" ht="48" customHeight="1" x14ac:dyDescent="0.2"/>
    <row r="169" ht="48" customHeight="1" x14ac:dyDescent="0.2"/>
    <row r="170" ht="48" customHeight="1" x14ac:dyDescent="0.2"/>
    <row r="171" ht="48" customHeight="1" x14ac:dyDescent="0.2"/>
    <row r="172" ht="48" customHeight="1" x14ac:dyDescent="0.2"/>
    <row r="173" ht="48" customHeight="1" x14ac:dyDescent="0.2"/>
    <row r="174" ht="48" customHeight="1" x14ac:dyDescent="0.2"/>
    <row r="175" ht="48" customHeight="1" x14ac:dyDescent="0.2"/>
    <row r="176" ht="48" customHeight="1" x14ac:dyDescent="0.2"/>
    <row r="177" ht="48" customHeight="1" x14ac:dyDescent="0.2"/>
    <row r="178" ht="48" customHeight="1" x14ac:dyDescent="0.2"/>
    <row r="179" ht="48" customHeight="1" x14ac:dyDescent="0.2"/>
    <row r="180" ht="48" customHeight="1" x14ac:dyDescent="0.2"/>
    <row r="181" ht="48" customHeight="1" x14ac:dyDescent="0.2"/>
    <row r="182" ht="48" customHeight="1" x14ac:dyDescent="0.2"/>
    <row r="183" ht="48" customHeight="1" x14ac:dyDescent="0.2"/>
    <row r="184" ht="48" customHeight="1" x14ac:dyDescent="0.2"/>
    <row r="185" ht="48" customHeight="1" x14ac:dyDescent="0.2"/>
    <row r="186" ht="48" customHeight="1" x14ac:dyDescent="0.2"/>
    <row r="187" ht="48" customHeight="1" x14ac:dyDescent="0.2"/>
    <row r="188" ht="48" customHeight="1" x14ac:dyDescent="0.2"/>
    <row r="189" ht="48" customHeight="1" x14ac:dyDescent="0.2"/>
    <row r="190" ht="48" customHeight="1" x14ac:dyDescent="0.2"/>
    <row r="191" ht="48" customHeight="1" x14ac:dyDescent="0.2"/>
    <row r="192" ht="48" customHeight="1" x14ac:dyDescent="0.2"/>
    <row r="193" ht="48" customHeight="1" x14ac:dyDescent="0.2"/>
    <row r="194" ht="48" customHeight="1" x14ac:dyDescent="0.2"/>
    <row r="195" ht="48" customHeight="1" x14ac:dyDescent="0.2"/>
    <row r="196" ht="48" customHeight="1" x14ac:dyDescent="0.2"/>
    <row r="197" ht="48" customHeight="1" x14ac:dyDescent="0.2"/>
    <row r="198" ht="48" customHeight="1" x14ac:dyDescent="0.2"/>
    <row r="199" ht="48" customHeight="1" x14ac:dyDescent="0.2"/>
    <row r="200" ht="48" customHeight="1" x14ac:dyDescent="0.2"/>
    <row r="201" ht="48" customHeight="1" x14ac:dyDescent="0.2"/>
    <row r="202" ht="48" customHeight="1" x14ac:dyDescent="0.2"/>
    <row r="203" ht="48" customHeight="1" x14ac:dyDescent="0.2"/>
    <row r="204" ht="48" customHeight="1" x14ac:dyDescent="0.2"/>
    <row r="205" ht="48" customHeight="1" x14ac:dyDescent="0.2"/>
    <row r="206" ht="48" customHeight="1" x14ac:dyDescent="0.2"/>
    <row r="207" ht="48" customHeight="1" x14ac:dyDescent="0.2"/>
    <row r="208" ht="48" customHeight="1" x14ac:dyDescent="0.2"/>
    <row r="209" ht="48" customHeight="1" x14ac:dyDescent="0.2"/>
    <row r="210" ht="48" customHeight="1" x14ac:dyDescent="0.2"/>
    <row r="211" ht="48" customHeight="1" x14ac:dyDescent="0.2"/>
    <row r="212" ht="48" customHeight="1" x14ac:dyDescent="0.2"/>
    <row r="213" ht="48" customHeight="1" x14ac:dyDescent="0.2"/>
    <row r="214" ht="48" customHeight="1" x14ac:dyDescent="0.2"/>
    <row r="215" ht="48" customHeight="1" x14ac:dyDescent="0.2"/>
    <row r="216" ht="48" customHeight="1" x14ac:dyDescent="0.2"/>
    <row r="217" ht="48" customHeight="1" x14ac:dyDescent="0.2"/>
    <row r="218" ht="48" customHeight="1" x14ac:dyDescent="0.2"/>
    <row r="219" ht="48" customHeight="1" x14ac:dyDescent="0.2"/>
    <row r="220" ht="48" customHeight="1" x14ac:dyDescent="0.2"/>
    <row r="221" ht="48" customHeight="1" x14ac:dyDescent="0.2"/>
    <row r="222" ht="48" customHeight="1" x14ac:dyDescent="0.2"/>
    <row r="223" ht="48" customHeight="1" x14ac:dyDescent="0.2"/>
    <row r="224" ht="48" customHeight="1" x14ac:dyDescent="0.2"/>
    <row r="225" ht="48" customHeight="1" x14ac:dyDescent="0.2"/>
    <row r="226" ht="48" customHeight="1" x14ac:dyDescent="0.2"/>
    <row r="227" ht="48" customHeight="1" x14ac:dyDescent="0.2"/>
    <row r="228" ht="48" customHeight="1" x14ac:dyDescent="0.2"/>
    <row r="229" ht="48" customHeight="1" x14ac:dyDescent="0.2"/>
    <row r="230" ht="48" customHeight="1" x14ac:dyDescent="0.2"/>
    <row r="231" ht="48" customHeight="1" x14ac:dyDescent="0.2"/>
    <row r="232" ht="48" customHeight="1" x14ac:dyDescent="0.2"/>
    <row r="233" ht="48" customHeight="1" x14ac:dyDescent="0.2"/>
    <row r="234" ht="48" customHeight="1" x14ac:dyDescent="0.2"/>
    <row r="235" ht="48" customHeight="1" x14ac:dyDescent="0.2"/>
    <row r="236" ht="48" customHeight="1" x14ac:dyDescent="0.2"/>
    <row r="237" ht="48" customHeight="1" x14ac:dyDescent="0.2"/>
    <row r="238" ht="48" customHeight="1" x14ac:dyDescent="0.2"/>
    <row r="239" ht="48" customHeight="1" x14ac:dyDescent="0.2"/>
    <row r="240" ht="48" customHeight="1" x14ac:dyDescent="0.2"/>
    <row r="241" ht="48" customHeight="1" x14ac:dyDescent="0.2"/>
    <row r="242" ht="48" customHeight="1" x14ac:dyDescent="0.2"/>
    <row r="243" ht="48" customHeight="1" x14ac:dyDescent="0.2"/>
    <row r="244" ht="48" customHeight="1" x14ac:dyDescent="0.2"/>
    <row r="245" ht="48" customHeight="1" x14ac:dyDescent="0.2"/>
    <row r="246" ht="48" customHeight="1" x14ac:dyDescent="0.2"/>
    <row r="247" ht="48" customHeight="1" x14ac:dyDescent="0.2"/>
    <row r="248" ht="48" customHeight="1" x14ac:dyDescent="0.2"/>
    <row r="249" ht="48" customHeight="1" x14ac:dyDescent="0.2"/>
    <row r="250" ht="48" customHeight="1" x14ac:dyDescent="0.2"/>
    <row r="251" ht="48" customHeight="1" x14ac:dyDescent="0.2"/>
    <row r="252" ht="48" customHeight="1" x14ac:dyDescent="0.2"/>
    <row r="253" ht="48" customHeight="1" x14ac:dyDescent="0.2"/>
    <row r="254" ht="48" customHeight="1" x14ac:dyDescent="0.2"/>
    <row r="255" ht="48" customHeight="1" x14ac:dyDescent="0.2"/>
    <row r="256" ht="48" customHeight="1" x14ac:dyDescent="0.2"/>
    <row r="257" ht="48" customHeight="1" x14ac:dyDescent="0.2"/>
    <row r="258" ht="48" customHeight="1" x14ac:dyDescent="0.2"/>
    <row r="259" ht="48" customHeight="1" x14ac:dyDescent="0.2"/>
    <row r="260" ht="48" customHeight="1" x14ac:dyDescent="0.2"/>
    <row r="261" ht="48" customHeight="1" x14ac:dyDescent="0.2"/>
    <row r="262" ht="48" customHeight="1" x14ac:dyDescent="0.2"/>
    <row r="263" ht="48" customHeight="1" x14ac:dyDescent="0.2"/>
    <row r="264" ht="48" customHeight="1" x14ac:dyDescent="0.2"/>
    <row r="265" ht="48" customHeight="1" x14ac:dyDescent="0.2"/>
    <row r="266" ht="48" customHeight="1" x14ac:dyDescent="0.2"/>
    <row r="267" ht="48" customHeight="1" x14ac:dyDescent="0.2"/>
    <row r="268" ht="48" customHeight="1" x14ac:dyDescent="0.2"/>
    <row r="269" ht="48" customHeight="1" x14ac:dyDescent="0.2"/>
    <row r="270" ht="48" customHeight="1" x14ac:dyDescent="0.2"/>
    <row r="271" ht="48" customHeight="1" x14ac:dyDescent="0.2"/>
    <row r="272" ht="48" customHeight="1" x14ac:dyDescent="0.2"/>
    <row r="273" ht="48" customHeight="1" x14ac:dyDescent="0.2"/>
    <row r="274" ht="48" customHeight="1" x14ac:dyDescent="0.2"/>
    <row r="275" ht="48" customHeight="1" x14ac:dyDescent="0.2"/>
    <row r="276" ht="48" customHeight="1" x14ac:dyDescent="0.2"/>
    <row r="277" ht="48" customHeight="1" x14ac:dyDescent="0.2"/>
    <row r="278" ht="48" customHeight="1" x14ac:dyDescent="0.2"/>
    <row r="279" ht="48" customHeight="1" x14ac:dyDescent="0.2"/>
    <row r="280" ht="48" customHeight="1" x14ac:dyDescent="0.2"/>
    <row r="281" ht="48" customHeight="1" x14ac:dyDescent="0.2"/>
    <row r="282" ht="48" customHeight="1" x14ac:dyDescent="0.2"/>
    <row r="283" ht="48" customHeight="1" x14ac:dyDescent="0.2"/>
    <row r="284" ht="48" customHeight="1" x14ac:dyDescent="0.2"/>
    <row r="285" ht="48" customHeight="1" x14ac:dyDescent="0.2"/>
    <row r="286" ht="48" customHeight="1" x14ac:dyDescent="0.2"/>
    <row r="287" ht="48" customHeight="1" x14ac:dyDescent="0.2"/>
    <row r="288" ht="48" customHeight="1" x14ac:dyDescent="0.2"/>
    <row r="289" ht="48" customHeight="1" x14ac:dyDescent="0.2"/>
    <row r="290" ht="48" customHeight="1" x14ac:dyDescent="0.2"/>
    <row r="291" ht="48" customHeight="1" x14ac:dyDescent="0.2"/>
    <row r="292" ht="48" customHeight="1" x14ac:dyDescent="0.2"/>
    <row r="293" ht="48" customHeight="1" x14ac:dyDescent="0.2"/>
    <row r="294" ht="48" customHeight="1" x14ac:dyDescent="0.2"/>
    <row r="295" ht="48" customHeight="1" x14ac:dyDescent="0.2"/>
    <row r="296" ht="48" customHeight="1" x14ac:dyDescent="0.2"/>
    <row r="297" ht="48" customHeight="1" x14ac:dyDescent="0.2"/>
    <row r="298" ht="48" customHeight="1" x14ac:dyDescent="0.2"/>
    <row r="299" ht="48" customHeight="1" x14ac:dyDescent="0.2"/>
    <row r="300" ht="48" customHeight="1" x14ac:dyDescent="0.2"/>
    <row r="301" ht="48" customHeight="1" x14ac:dyDescent="0.2"/>
    <row r="302" ht="48" customHeight="1" x14ac:dyDescent="0.2"/>
    <row r="303" ht="48" customHeight="1" x14ac:dyDescent="0.2"/>
  </sheetData>
  <mergeCells count="107">
    <mergeCell ref="B50:C50"/>
    <mergeCell ref="D50:F50"/>
    <mergeCell ref="B51:C51"/>
    <mergeCell ref="D51:F51"/>
    <mergeCell ref="B52:C52"/>
    <mergeCell ref="D52:F52"/>
    <mergeCell ref="B49:C49"/>
    <mergeCell ref="D49:F49"/>
    <mergeCell ref="B44:C44"/>
    <mergeCell ref="B48:C48"/>
    <mergeCell ref="D48:F48"/>
    <mergeCell ref="B46:C46"/>
    <mergeCell ref="D46:F46"/>
    <mergeCell ref="B47:C47"/>
    <mergeCell ref="D47:F47"/>
    <mergeCell ref="B45:C45"/>
    <mergeCell ref="D45:F45"/>
    <mergeCell ref="D37:F37"/>
    <mergeCell ref="D41:F41"/>
    <mergeCell ref="D42:F42"/>
    <mergeCell ref="D43:F43"/>
    <mergeCell ref="D44:F44"/>
    <mergeCell ref="B37:C37"/>
    <mergeCell ref="B41:C41"/>
    <mergeCell ref="B42:C42"/>
    <mergeCell ref="B43:C43"/>
    <mergeCell ref="B38:C38"/>
    <mergeCell ref="D38:F38"/>
    <mergeCell ref="B39:C39"/>
    <mergeCell ref="D39:F39"/>
    <mergeCell ref="B40:C40"/>
    <mergeCell ref="D40:F40"/>
    <mergeCell ref="B60:C60"/>
    <mergeCell ref="D60:F60"/>
    <mergeCell ref="B61:C61"/>
    <mergeCell ref="D61:F61"/>
    <mergeCell ref="B59:C59"/>
    <mergeCell ref="D59:F59"/>
    <mergeCell ref="B56:C56"/>
    <mergeCell ref="D56:F56"/>
    <mergeCell ref="B53:C53"/>
    <mergeCell ref="D53:F53"/>
    <mergeCell ref="B54:C54"/>
    <mergeCell ref="D54:F54"/>
    <mergeCell ref="B55:C55"/>
    <mergeCell ref="D55:F55"/>
    <mergeCell ref="A11:C11"/>
    <mergeCell ref="B75:C75"/>
    <mergeCell ref="D75:F75"/>
    <mergeCell ref="B76:C76"/>
    <mergeCell ref="D76:F76"/>
    <mergeCell ref="B77:C77"/>
    <mergeCell ref="D77:F77"/>
    <mergeCell ref="B80:C80"/>
    <mergeCell ref="D80:F80"/>
    <mergeCell ref="B71:C71"/>
    <mergeCell ref="D71:F71"/>
    <mergeCell ref="B73:C73"/>
    <mergeCell ref="D73:F73"/>
    <mergeCell ref="B72:C72"/>
    <mergeCell ref="D72:F72"/>
    <mergeCell ref="B64:C64"/>
    <mergeCell ref="D64:F64"/>
    <mergeCell ref="B68:C68"/>
    <mergeCell ref="D68:F68"/>
    <mergeCell ref="B66:C66"/>
    <mergeCell ref="D66:F66"/>
    <mergeCell ref="B62:C62"/>
    <mergeCell ref="D62:F62"/>
    <mergeCell ref="B63:C63"/>
    <mergeCell ref="B83:C83"/>
    <mergeCell ref="D83:F83"/>
    <mergeCell ref="B88:C88"/>
    <mergeCell ref="D88:F88"/>
    <mergeCell ref="B86:C86"/>
    <mergeCell ref="D86:F86"/>
    <mergeCell ref="B87:C87"/>
    <mergeCell ref="D87:F87"/>
    <mergeCell ref="A36:G36"/>
    <mergeCell ref="B70:C70"/>
    <mergeCell ref="D70:F70"/>
    <mergeCell ref="B78:C78"/>
    <mergeCell ref="D78:F78"/>
    <mergeCell ref="B85:C85"/>
    <mergeCell ref="D85:F85"/>
    <mergeCell ref="B82:C82"/>
    <mergeCell ref="D82:F82"/>
    <mergeCell ref="D63:F63"/>
    <mergeCell ref="B65:C65"/>
    <mergeCell ref="D65:F65"/>
    <mergeCell ref="B57:C57"/>
    <mergeCell ref="D57:F57"/>
    <mergeCell ref="B58:C58"/>
    <mergeCell ref="D58:F58"/>
    <mergeCell ref="B8:C8"/>
    <mergeCell ref="F5:H5"/>
    <mergeCell ref="F6:H6"/>
    <mergeCell ref="F7:H7"/>
    <mergeCell ref="F8:H8"/>
    <mergeCell ref="D10:H10"/>
    <mergeCell ref="A2:H2"/>
    <mergeCell ref="A1:G1"/>
    <mergeCell ref="B6:C6"/>
    <mergeCell ref="B5:C5"/>
    <mergeCell ref="B7:C7"/>
    <mergeCell ref="A3:H3"/>
    <mergeCell ref="A4:H4"/>
  </mergeCells>
  <conditionalFormatting sqref="F13:F16 F18:F25">
    <cfRule type="dataBar" priority="3">
      <dataBar>
        <cfvo type="num" val="0"/>
        <cfvo type="num" val="1"/>
        <color rgb="FF638EC6"/>
      </dataBar>
      <extLst>
        <ext xmlns:x14="http://schemas.microsoft.com/office/spreadsheetml/2009/9/main" uri="{B025F937-C7B1-47D3-B67F-A62EFF666E3E}">
          <x14:id>{9F790BD4-183E-4119-9436-A01EA1594D8C}</x14:id>
        </ext>
      </extLst>
    </cfRule>
  </conditionalFormatting>
  <conditionalFormatting sqref="F26:F33">
    <cfRule type="dataBar" priority="2">
      <dataBar>
        <cfvo type="num" val="0"/>
        <cfvo type="num" val="1"/>
        <color rgb="FF638EC6"/>
      </dataBar>
      <extLst>
        <ext xmlns:x14="http://schemas.microsoft.com/office/spreadsheetml/2009/9/main" uri="{B025F937-C7B1-47D3-B67F-A62EFF666E3E}">
          <x14:id>{DEDB6CB6-F46C-4E16-9A05-AB63190D1DA2}</x14:id>
        </ext>
      </extLst>
    </cfRule>
  </conditionalFormatting>
  <conditionalFormatting sqref="F17">
    <cfRule type="dataBar" priority="1">
      <dataBar>
        <cfvo type="num" val="0"/>
        <cfvo type="num" val="1"/>
        <color rgb="FF638EC6"/>
      </dataBar>
      <extLst>
        <ext xmlns:x14="http://schemas.microsoft.com/office/spreadsheetml/2009/9/main" uri="{B025F937-C7B1-47D3-B67F-A62EFF666E3E}">
          <x14:id>{A280AE77-B966-4601-A0A9-608CEBA57142}</x14:id>
        </ext>
      </extLst>
    </cfRule>
  </conditionalFormatting>
  <dataValidations count="1">
    <dataValidation type="list" allowBlank="1" showInputMessage="1" showErrorMessage="1" sqref="G68 G70:G73 G75:G78 G80 G82:G83 G85:G88 G38:G66" xr:uid="{00000000-0002-0000-0400-000000000000}">
      <formula1>yes</formula1>
    </dataValidation>
  </dataValidations>
  <pageMargins left="0.7" right="0.7" top="0.75" bottom="0.75" header="0.3" footer="0.3"/>
  <pageSetup orientation="portrait" verticalDpi="0" r:id="rId1"/>
  <extLst>
    <ext xmlns:x14="http://schemas.microsoft.com/office/spreadsheetml/2009/9/main" uri="{78C0D931-6437-407d-A8EE-F0AAD7539E65}">
      <x14:conditionalFormattings>
        <x14:conditionalFormatting xmlns:xm="http://schemas.microsoft.com/office/excel/2006/main">
          <x14:cfRule type="dataBar" id="{9F790BD4-183E-4119-9436-A01EA1594D8C}">
            <x14:dataBar minLength="0" maxLength="100" gradient="0" direction="leftToRight" axisPosition="none">
              <x14:cfvo type="num">
                <xm:f>0</xm:f>
              </x14:cfvo>
              <x14:cfvo type="num">
                <xm:f>1</xm:f>
              </x14:cfvo>
              <x14:negativeFillColor rgb="FFFF0000"/>
            </x14:dataBar>
          </x14:cfRule>
          <xm:sqref>F13:F16 F18:F25</xm:sqref>
        </x14:conditionalFormatting>
        <x14:conditionalFormatting xmlns:xm="http://schemas.microsoft.com/office/excel/2006/main">
          <x14:cfRule type="dataBar" id="{DEDB6CB6-F46C-4E16-9A05-AB63190D1DA2}">
            <x14:dataBar minLength="0" maxLength="100" gradient="0" direction="leftToRight" axisPosition="none">
              <x14:cfvo type="num">
                <xm:f>0</xm:f>
              </x14:cfvo>
              <x14:cfvo type="num">
                <xm:f>1</xm:f>
              </x14:cfvo>
              <x14:negativeFillColor rgb="FFFF0000"/>
            </x14:dataBar>
          </x14:cfRule>
          <xm:sqref>F26:F33</xm:sqref>
        </x14:conditionalFormatting>
        <x14:conditionalFormatting xmlns:xm="http://schemas.microsoft.com/office/excel/2006/main">
          <x14:cfRule type="dataBar" id="{A280AE77-B966-4601-A0A9-608CEBA57142}">
            <x14:dataBar minLength="0" maxLength="100" gradient="0" direction="leftToRight" axisPosition="none">
              <x14:cfvo type="num">
                <xm:f>0</xm:f>
              </x14:cfvo>
              <x14:cfvo type="num">
                <xm:f>1</xm:f>
              </x14:cfvo>
              <x14:negativeFillColor rgb="FFFF0000"/>
            </x14:dataBar>
          </x14:cfRule>
          <xm:sqref>F17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1000000}">
          <x14:formula1>
            <xm:f>'Standards Crosswalk'!$A$315:$A$321</xm:f>
          </x14:formula1>
          <xm:sqref>B10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IU312"/>
  <sheetViews>
    <sheetView workbookViewId="0">
      <selection sqref="A1:D1"/>
    </sheetView>
  </sheetViews>
  <sheetFormatPr baseColWidth="10" defaultColWidth="6.625" defaultRowHeight="16" x14ac:dyDescent="0.15"/>
  <cols>
    <col min="1" max="1" width="11.125" style="136" customWidth="1"/>
    <col min="2" max="2" width="56.75" style="3" customWidth="1"/>
    <col min="3" max="3" width="40.75" style="24" customWidth="1"/>
    <col min="4" max="4" width="40.75" style="5" customWidth="1"/>
    <col min="5" max="255" width="6.625" style="3" customWidth="1"/>
    <col min="256" max="16384" width="6.625" style="136"/>
  </cols>
  <sheetData>
    <row r="1" spans="1:4" ht="36" customHeight="1" x14ac:dyDescent="0.15">
      <c r="A1" s="321" t="s">
        <v>2990</v>
      </c>
      <c r="B1" s="321"/>
      <c r="C1" s="321"/>
      <c r="D1" s="321"/>
    </row>
    <row r="2" spans="1:4" ht="26" customHeight="1" x14ac:dyDescent="0.15">
      <c r="A2" s="298" t="s">
        <v>97</v>
      </c>
      <c r="B2" s="298"/>
      <c r="C2" s="298"/>
      <c r="D2" s="298"/>
    </row>
    <row r="3" spans="1:4" ht="2" customHeight="1" x14ac:dyDescent="0.15">
      <c r="A3" s="22"/>
      <c r="B3" s="258"/>
      <c r="C3" s="259"/>
      <c r="D3" s="259"/>
    </row>
    <row r="4" spans="1:4" ht="2" customHeight="1" x14ac:dyDescent="0.15">
      <c r="A4" s="260"/>
      <c r="B4" s="260"/>
      <c r="C4" s="261"/>
      <c r="D4" s="262"/>
    </row>
    <row r="5" spans="1:4" ht="2" customHeight="1" x14ac:dyDescent="0.15">
      <c r="A5" s="263"/>
      <c r="B5" s="263"/>
      <c r="C5" s="263"/>
      <c r="D5" s="263"/>
    </row>
    <row r="6" spans="1:4" ht="2" customHeight="1" x14ac:dyDescent="0.15">
      <c r="A6" s="264"/>
      <c r="B6" s="264"/>
      <c r="C6" s="264"/>
      <c r="D6" s="264"/>
    </row>
    <row r="7" spans="1:4" ht="2" customHeight="1" x14ac:dyDescent="0.15">
      <c r="A7" s="196"/>
      <c r="B7" s="265"/>
      <c r="C7" s="266"/>
      <c r="D7" s="266"/>
    </row>
    <row r="8" spans="1:4" ht="2" customHeight="1" x14ac:dyDescent="0.15">
      <c r="A8" s="196"/>
      <c r="B8" s="265"/>
      <c r="C8" s="266"/>
      <c r="D8" s="266"/>
    </row>
    <row r="9" spans="1:4" ht="2" customHeight="1" x14ac:dyDescent="0.15">
      <c r="A9" s="196"/>
      <c r="B9" s="265"/>
      <c r="C9" s="266"/>
      <c r="D9" s="266"/>
    </row>
    <row r="10" spans="1:4" ht="2" customHeight="1" x14ac:dyDescent="0.15">
      <c r="A10" s="196"/>
      <c r="B10" s="265"/>
      <c r="C10" s="266"/>
      <c r="D10" s="266"/>
    </row>
    <row r="11" spans="1:4" ht="2" customHeight="1" x14ac:dyDescent="0.15">
      <c r="A11" s="196"/>
      <c r="B11" s="265"/>
      <c r="C11" s="266"/>
      <c r="D11" s="266"/>
    </row>
    <row r="12" spans="1:4" ht="2" customHeight="1" x14ac:dyDescent="0.15">
      <c r="A12" s="196"/>
      <c r="B12" s="265"/>
      <c r="C12" s="266"/>
      <c r="D12" s="266"/>
    </row>
    <row r="13" spans="1:4" ht="2" customHeight="1" x14ac:dyDescent="0.15">
      <c r="A13" s="196"/>
      <c r="B13" s="265"/>
      <c r="C13" s="266"/>
      <c r="D13" s="266"/>
    </row>
    <row r="14" spans="1:4" ht="2" customHeight="1" x14ac:dyDescent="0.15">
      <c r="A14" s="196"/>
      <c r="B14" s="265"/>
      <c r="C14" s="266"/>
      <c r="D14" s="266"/>
    </row>
    <row r="15" spans="1:4" ht="2" customHeight="1" x14ac:dyDescent="0.15">
      <c r="A15" s="196"/>
      <c r="B15" s="265"/>
      <c r="C15" s="266"/>
      <c r="D15" s="266"/>
    </row>
    <row r="16" spans="1:4" ht="2" customHeight="1" x14ac:dyDescent="0.15">
      <c r="A16" s="196"/>
      <c r="B16" s="265"/>
      <c r="C16" s="266"/>
      <c r="D16" s="266"/>
    </row>
    <row r="17" spans="1:4" ht="2" customHeight="1" x14ac:dyDescent="0.15">
      <c r="A17" s="264"/>
      <c r="B17" s="264"/>
      <c r="C17" s="264"/>
      <c r="D17" s="264"/>
    </row>
    <row r="18" spans="1:4" ht="2" customHeight="1" x14ac:dyDescent="0.15">
      <c r="A18" s="196"/>
      <c r="B18" s="265"/>
      <c r="C18" s="266"/>
      <c r="D18" s="266"/>
    </row>
    <row r="19" spans="1:4" ht="2" customHeight="1" x14ac:dyDescent="0.15">
      <c r="A19" s="196"/>
      <c r="B19" s="265"/>
      <c r="C19" s="267"/>
      <c r="D19" s="267"/>
    </row>
    <row r="20" spans="1:4" ht="36" customHeight="1" x14ac:dyDescent="0.15">
      <c r="A20" s="335" t="s">
        <v>11</v>
      </c>
      <c r="B20" s="335"/>
      <c r="C20" s="240"/>
      <c r="D20" s="241"/>
    </row>
    <row r="21" spans="1:4" ht="186" customHeight="1" x14ac:dyDescent="0.15">
      <c r="A21" s="336" t="s">
        <v>2677</v>
      </c>
      <c r="B21" s="336"/>
      <c r="C21" s="336"/>
      <c r="D21" s="336"/>
    </row>
    <row r="22" spans="1:4" ht="37.25" customHeight="1" x14ac:dyDescent="0.15">
      <c r="A22" s="335" t="s">
        <v>12</v>
      </c>
      <c r="B22" s="335"/>
      <c r="C22" s="240" t="s">
        <v>2678</v>
      </c>
      <c r="D22" s="240" t="s">
        <v>2679</v>
      </c>
    </row>
    <row r="23" spans="1:4" ht="56" customHeight="1" x14ac:dyDescent="0.15">
      <c r="A23" s="336" t="s">
        <v>2680</v>
      </c>
      <c r="B23" s="336"/>
      <c r="C23" s="336"/>
      <c r="D23" s="336"/>
    </row>
    <row r="24" spans="1:4" ht="55" customHeight="1" x14ac:dyDescent="0.15">
      <c r="A24" s="242" t="str">
        <f>'HECVAT - Full'!A24</f>
        <v>QUAL-01</v>
      </c>
      <c r="B24" s="242" t="str">
        <f>VLOOKUP(A24,'HECVAT - Full'!A$24:B$312,2,FALSE)</f>
        <v>Does your product process protected health information (PHI) or any data covered by the Health Insurance Portability and Accountability Act?</v>
      </c>
      <c r="C24" s="243" t="s">
        <v>2681</v>
      </c>
      <c r="D24" s="244" t="s">
        <v>2682</v>
      </c>
    </row>
    <row r="25" spans="1:4" ht="90" x14ac:dyDescent="0.15">
      <c r="A25" s="242" t="str">
        <f>'HECVAT - Full'!A25</f>
        <v>QUAL-02</v>
      </c>
      <c r="B25" s="242" t="str">
        <f>VLOOKUP(A25,'HECVAT - Full'!A$24:B$312,2,FALSE)</f>
        <v>Does the vended product host/support a mobile application? (e.g. app)</v>
      </c>
      <c r="C25" s="271" t="s">
        <v>3005</v>
      </c>
      <c r="D25" s="273" t="s">
        <v>3004</v>
      </c>
    </row>
    <row r="26" spans="1:4" ht="84" customHeight="1" x14ac:dyDescent="0.15">
      <c r="A26" s="242" t="str">
        <f>'HECVAT - Full'!A26</f>
        <v>QUAL-03</v>
      </c>
      <c r="B26" s="242" t="str">
        <f>VLOOKUP(A26,'HECVAT - Full'!A$24:B$312,2,FALSE)</f>
        <v>Will institution data be shared with or hosted by any third parties? (e.g. any entity not wholly-owned by your company is considered a third-party)</v>
      </c>
      <c r="C26" s="271" t="s">
        <v>3006</v>
      </c>
      <c r="D26" s="244" t="s">
        <v>2683</v>
      </c>
    </row>
    <row r="27" spans="1:4" ht="64" customHeight="1" x14ac:dyDescent="0.15">
      <c r="A27" s="242" t="str">
        <f>'HECVAT - Full'!A27</f>
        <v>QUAL-04</v>
      </c>
      <c r="B27" s="242" t="str">
        <f>VLOOKUP(A27,'HECVAT - Full'!A$24:B$312,2,FALSE)</f>
        <v>Do you have a Business Continuity Plan (BCP)?</v>
      </c>
      <c r="C27" s="243" t="s">
        <v>2684</v>
      </c>
      <c r="D27" s="244" t="s">
        <v>2685</v>
      </c>
    </row>
    <row r="28" spans="1:4" ht="64" customHeight="1" x14ac:dyDescent="0.15">
      <c r="A28" s="242" t="str">
        <f>'HECVAT - Full'!A28</f>
        <v>QUAL-05</v>
      </c>
      <c r="B28" s="242" t="str">
        <f>VLOOKUP(A28,'HECVAT - Full'!A$24:B$312,2,FALSE)</f>
        <v>Do you have a Disaster Recovery Plan (DRP)?</v>
      </c>
      <c r="C28" s="243" t="s">
        <v>2686</v>
      </c>
      <c r="D28" s="244" t="s">
        <v>2687</v>
      </c>
    </row>
    <row r="29" spans="1:4" ht="54" customHeight="1" x14ac:dyDescent="0.15">
      <c r="A29" s="242" t="str">
        <f>'HECVAT - Full'!A29</f>
        <v>QUAL-06</v>
      </c>
      <c r="B29" s="242" t="str">
        <f>VLOOKUP(A29,'HECVAT - Full'!A$24:B$312,2,FALSE)</f>
        <v>Will data regulated by PCI DSS reside in the vended product?</v>
      </c>
      <c r="C29" s="243" t="s">
        <v>2688</v>
      </c>
      <c r="D29" s="244" t="s">
        <v>2689</v>
      </c>
    </row>
    <row r="30" spans="1:4" ht="112" customHeight="1" x14ac:dyDescent="0.15">
      <c r="A30" s="242" t="str">
        <f>'HECVAT - Full'!A30</f>
        <v>QUAL-07</v>
      </c>
      <c r="B30" s="242" t="str">
        <f>VLOOKUP(A30,'HECVAT - Full'!A$24:B$312,2,FALSE)</f>
        <v>Is your company a consulting firm providing only consultation to the Institution?</v>
      </c>
      <c r="C30" s="271" t="s">
        <v>3007</v>
      </c>
      <c r="D30" s="244" t="s">
        <v>2690</v>
      </c>
    </row>
    <row r="31" spans="1:4" ht="36" customHeight="1" x14ac:dyDescent="0.15">
      <c r="A31" s="335" t="s">
        <v>18</v>
      </c>
      <c r="B31" s="335"/>
      <c r="C31" s="240" t="str">
        <f>$C$22</f>
        <v>Reason for Question</v>
      </c>
      <c r="D31" s="240" t="str">
        <f>$D$22</f>
        <v>Follow-up Inquiries/Responses</v>
      </c>
    </row>
    <row r="32" spans="1:4" ht="48" customHeight="1" x14ac:dyDescent="0.15">
      <c r="A32" s="242" t="str">
        <f>'HECVAT - Full'!A32</f>
        <v>DOCU-01</v>
      </c>
      <c r="B32" s="242" t="str">
        <f>VLOOKUP(A32,'HECVAT - Full'!A$24:B$312,2,FALSE)</f>
        <v>Have you undergone a SSAE 16 audit?</v>
      </c>
      <c r="C32" s="245" t="s">
        <v>2691</v>
      </c>
      <c r="D32" s="246" t="s">
        <v>2692</v>
      </c>
    </row>
    <row r="33" spans="1:4" ht="64" customHeight="1" x14ac:dyDescent="0.15">
      <c r="A33" s="242" t="str">
        <f>'HECVAT - Full'!A33</f>
        <v>DOCU-02</v>
      </c>
      <c r="B33" s="242" t="str">
        <f>VLOOKUP(A33,'HECVAT - Full'!A$24:B$312,2,FALSE)</f>
        <v>Have you completed the Cloud Security Alliance (CSA) self assessment or CAIQ?</v>
      </c>
      <c r="C33" s="245" t="s">
        <v>2693</v>
      </c>
      <c r="D33" s="246" t="s">
        <v>2694</v>
      </c>
    </row>
    <row r="34" spans="1:4" ht="64" customHeight="1" x14ac:dyDescent="0.15">
      <c r="A34" s="242" t="str">
        <f>'HECVAT - Full'!A34</f>
        <v>DOCU-03</v>
      </c>
      <c r="B34" s="242" t="str">
        <f>VLOOKUP(A34,'HECVAT - Full'!A$24:B$312,2,FALSE)</f>
        <v>Have you received the Cloud Security Alliance STAR certification?</v>
      </c>
      <c r="C34" s="245" t="s">
        <v>2695</v>
      </c>
      <c r="D34" s="274" t="s">
        <v>3008</v>
      </c>
    </row>
    <row r="35" spans="1:4" ht="112" customHeight="1" x14ac:dyDescent="0.15">
      <c r="A35" s="242" t="str">
        <f>'HECVAT - Full'!A35</f>
        <v>DOCU-04</v>
      </c>
      <c r="B35" s="242" t="str">
        <f>VLOOKUP(A35,'HECVAT - Full'!A$24:B$312,2,FALSE)</f>
        <v>Do you conform with a specific industry standard security framework? (e.g. NIST Cybersecurity Framework, ISO 27001, etc.)</v>
      </c>
      <c r="C35" s="245" t="s">
        <v>2696</v>
      </c>
      <c r="D35" s="247" t="s">
        <v>2697</v>
      </c>
    </row>
    <row r="36" spans="1:4" ht="48" customHeight="1" x14ac:dyDescent="0.15">
      <c r="A36" s="242" t="str">
        <f>'HECVAT - Full'!A36</f>
        <v>DOCU-05</v>
      </c>
      <c r="B36" s="242" t="str">
        <f>VLOOKUP(A36,'HECVAT - Full'!A$24:B$312,2,FALSE)</f>
        <v>Are you compliant with FISMA standards?</v>
      </c>
      <c r="C36" s="245" t="s">
        <v>2698</v>
      </c>
      <c r="D36" s="246" t="s">
        <v>2699</v>
      </c>
    </row>
    <row r="37" spans="1:4" ht="96" customHeight="1" x14ac:dyDescent="0.15">
      <c r="A37" s="242" t="str">
        <f>'HECVAT - Full'!A37</f>
        <v>DOCU-06</v>
      </c>
      <c r="B37" s="242" t="str">
        <f>VLOOKUP(A37,'HECVAT - Full'!A$24:B$312,2,FALSE)</f>
        <v>Does your organization have a data privacy policy?</v>
      </c>
      <c r="C37" s="275" t="s">
        <v>3009</v>
      </c>
      <c r="D37" s="248" t="s">
        <v>2700</v>
      </c>
    </row>
    <row r="38" spans="1:4" ht="36" customHeight="1" x14ac:dyDescent="0.15">
      <c r="A38" s="335" t="s">
        <v>153</v>
      </c>
      <c r="B38" s="335"/>
      <c r="C38" s="240" t="str">
        <f>$C$22</f>
        <v>Reason for Question</v>
      </c>
      <c r="D38" s="240" t="str">
        <f>$D$22</f>
        <v>Follow-up Inquiries/Responses</v>
      </c>
    </row>
    <row r="39" spans="1:4" ht="64" customHeight="1" x14ac:dyDescent="0.15">
      <c r="A39" s="242" t="str">
        <f>'HECVAT - Full'!A39</f>
        <v>COMP-01</v>
      </c>
      <c r="B39" s="242" t="str">
        <f>VLOOKUP(A39,'HECVAT - Full'!A$24:B$312,2,FALSE)</f>
        <v>Describe your organization’s business background and ownership structure, including all parent and subsidiary relationships.</v>
      </c>
      <c r="C39" s="245" t="s">
        <v>2701</v>
      </c>
      <c r="D39" s="245" t="s">
        <v>2702</v>
      </c>
    </row>
    <row r="40" spans="1:4" ht="84" customHeight="1" x14ac:dyDescent="0.15">
      <c r="A40" s="242" t="str">
        <f>'HECVAT - Full'!A40</f>
        <v>COMP-02</v>
      </c>
      <c r="B40" s="242" t="str">
        <f>VLOOKUP(A40,'HECVAT - Full'!A$24:B$312,2,FALSE)</f>
        <v>Describe how long your organization has conducted business in this product area.</v>
      </c>
      <c r="C40" s="245" t="s">
        <v>2703</v>
      </c>
      <c r="D40" s="275" t="s">
        <v>3010</v>
      </c>
    </row>
    <row r="41" spans="1:4" ht="96" customHeight="1" x14ac:dyDescent="0.15">
      <c r="A41" s="242" t="str">
        <f>'HECVAT - Full'!A41</f>
        <v>COMP-03</v>
      </c>
      <c r="B41" s="242" t="str">
        <f>VLOOKUP(A41,'HECVAT - Full'!A$24:B$312,2,FALSE)</f>
        <v>Do you have existing higher education customers?</v>
      </c>
      <c r="C41" s="245" t="s">
        <v>2704</v>
      </c>
      <c r="D41" s="249" t="s">
        <v>2705</v>
      </c>
    </row>
    <row r="42" spans="1:4" ht="84" customHeight="1" x14ac:dyDescent="0.15">
      <c r="A42" s="242" t="str">
        <f>'HECVAT - Full'!A42</f>
        <v>COMP-04</v>
      </c>
      <c r="B42" s="242" t="str">
        <f>VLOOKUP(A42,'HECVAT - Full'!A$24:B$312,2,FALSE)</f>
        <v>Have you had a significant breach in the last 5 years?</v>
      </c>
      <c r="C42" s="245" t="s">
        <v>2706</v>
      </c>
      <c r="D42" s="249" t="s">
        <v>2707</v>
      </c>
    </row>
    <row r="43" spans="1:4" ht="124" customHeight="1" x14ac:dyDescent="0.15">
      <c r="A43" s="242" t="str">
        <f>'HECVAT - Full'!A43</f>
        <v>COMP-05</v>
      </c>
      <c r="B43" s="242" t="str">
        <f>VLOOKUP(A43,'HECVAT - Full'!A$24:B$312,2,FALSE)</f>
        <v>Do you have a dedicated Information Security staff or office?</v>
      </c>
      <c r="C43" s="245" t="s">
        <v>2708</v>
      </c>
      <c r="D43" s="249" t="s">
        <v>2709</v>
      </c>
    </row>
    <row r="44" spans="1:4" ht="112" customHeight="1" x14ac:dyDescent="0.15">
      <c r="A44" s="242" t="str">
        <f>'HECVAT - Full'!A44</f>
        <v>COMP-06</v>
      </c>
      <c r="B44" s="242" t="str">
        <f>VLOOKUP(A44,'HECVAT - Full'!A$24:B$312,2,FALSE)</f>
        <v>Do you have a dedicated Software and System Development team(s)? (e.g. Customer Support, Implementation, Product Management, etc.)</v>
      </c>
      <c r="C44" s="245" t="s">
        <v>2710</v>
      </c>
      <c r="D44" s="250" t="s">
        <v>2711</v>
      </c>
    </row>
    <row r="45" spans="1:4" ht="112" customHeight="1" x14ac:dyDescent="0.15">
      <c r="A45" s="242" t="str">
        <f>'HECVAT - Full'!A45</f>
        <v>COMP-07</v>
      </c>
      <c r="B45" s="242" t="str">
        <f>VLOOKUP(A45,'HECVAT - Full'!A$24:B$312,2,FALSE)</f>
        <v>Use this area to share information about your environment that will assist those who are assessing your company data security program.</v>
      </c>
      <c r="C45" s="275" t="s">
        <v>3011</v>
      </c>
      <c r="D45" s="245" t="s">
        <v>2712</v>
      </c>
    </row>
    <row r="46" spans="1:4" ht="36" customHeight="1" x14ac:dyDescent="0.15">
      <c r="A46" s="335" t="str">
        <f>IF($C$26="No","Third Parties - Optional based on QUALIFIER response.","Third Parties")</f>
        <v>Third Parties</v>
      </c>
      <c r="B46" s="335"/>
      <c r="C46" s="240" t="str">
        <f>$C$22</f>
        <v>Reason for Question</v>
      </c>
      <c r="D46" s="240" t="str">
        <f>$D$22</f>
        <v>Follow-up Inquiries/Responses</v>
      </c>
    </row>
    <row r="47" spans="1:4" ht="96" customHeight="1" x14ac:dyDescent="0.15">
      <c r="A47" s="242" t="str">
        <f>'HECVAT - Full'!A47</f>
        <v>THRD-01</v>
      </c>
      <c r="B47" s="242" t="str">
        <f>VLOOKUP(A47,'HECVAT - Full'!A$24:B$312,2,FALSE)</f>
        <v>Describe how you perform security assessments of third party companies with which you share data (i.e. hosting providers, cloud services, PaaS, IaaS, SaaS, etc.). Provide a summary of your practices that assures that the third party will be subject to the appropriate standards regarding security, service recoverability, and confidentiality.</v>
      </c>
      <c r="C47" s="271" t="s">
        <v>3012</v>
      </c>
      <c r="D47" s="243" t="s">
        <v>2713</v>
      </c>
    </row>
    <row r="48" spans="1:4" ht="80" customHeight="1" x14ac:dyDescent="0.15">
      <c r="A48" s="242" t="str">
        <f>'HECVAT - Full'!A48</f>
        <v>THRD-02</v>
      </c>
      <c r="B48" s="242" t="str">
        <f>VLOOKUP(A48,'HECVAT - Full'!A$24:B$312,2,FALSE)</f>
        <v>Provide a brief description for why each of these third parties will have access to institution data.</v>
      </c>
      <c r="C48" s="243" t="s">
        <v>2714</v>
      </c>
      <c r="D48" s="243" t="s">
        <v>2713</v>
      </c>
    </row>
    <row r="49" spans="1:255" ht="80" customHeight="1" x14ac:dyDescent="0.15">
      <c r="A49" s="242" t="str">
        <f>'HECVAT - Full'!A49</f>
        <v>THRD-03</v>
      </c>
      <c r="B49" s="242" t="str">
        <f>VLOOKUP(A49,'HECVAT - Full'!A$24:B$312,2,FALSE)</f>
        <v>What legal agreements (i.e. contracts) do you have in place with these third parties that address liability in the event of a data breach?</v>
      </c>
      <c r="C49" s="243" t="s">
        <v>2715</v>
      </c>
      <c r="D49" s="243" t="s">
        <v>2716</v>
      </c>
    </row>
    <row r="50" spans="1:255" ht="80" customHeight="1" x14ac:dyDescent="0.15">
      <c r="A50" s="242" t="str">
        <f>'HECVAT - Full'!A50</f>
        <v>THRD-04</v>
      </c>
      <c r="B50" s="242" t="str">
        <f>VLOOKUP(A50,'HECVAT - Full'!A$24:B$312,2,FALSE)</f>
        <v>Describe or provide references to your third party management strategy or provide additional information that may help analysts better understand your environment and how it relates to third-party solutions.</v>
      </c>
      <c r="C50" s="243" t="s">
        <v>2717</v>
      </c>
      <c r="D50" s="243" t="s">
        <v>2718</v>
      </c>
    </row>
    <row r="51" spans="1:255" ht="36" customHeight="1" x14ac:dyDescent="0.15">
      <c r="A51" s="335" t="str">
        <f>IF($C$30="","Consulting",IF($C$30="Yes","Consulting - All questions after this section are OPTIONAL.","Consulting - Optional based on QUALIFIER response."))</f>
        <v>Consulting - Optional based on QUALIFIER response.</v>
      </c>
      <c r="B51" s="335"/>
      <c r="C51" s="240" t="str">
        <f>$C$22</f>
        <v>Reason for Question</v>
      </c>
      <c r="D51" s="240" t="str">
        <f>$D$22</f>
        <v>Follow-up Inquiries/Responses</v>
      </c>
    </row>
    <row r="52" spans="1:255" ht="150" x14ac:dyDescent="0.15">
      <c r="A52" s="242" t="str">
        <f>'HECVAT - Full'!A52</f>
        <v>CONS-01</v>
      </c>
      <c r="B52" s="242" t="str">
        <f>VLOOKUP(A52,'HECVAT - Full'!A$24:B$312,2,FALSE)</f>
        <v>Will the consulting take place on-premises?</v>
      </c>
      <c r="C52" s="276" t="s">
        <v>3013</v>
      </c>
      <c r="D52" s="252" t="s">
        <v>2719</v>
      </c>
    </row>
    <row r="53" spans="1:255" ht="180" x14ac:dyDescent="0.15">
      <c r="A53" s="242" t="str">
        <f>'HECVAT - Full'!A53</f>
        <v>CONS-02</v>
      </c>
      <c r="B53" s="242" t="str">
        <f>VLOOKUP(A53,'HECVAT - Full'!A$24:B$312,2,FALSE)</f>
        <v>Will the consultant require access to Institution's network resources?</v>
      </c>
      <c r="C53" s="251" t="s">
        <v>2720</v>
      </c>
      <c r="D53" s="252" t="s">
        <v>2721</v>
      </c>
    </row>
    <row r="54" spans="1:255" ht="120" x14ac:dyDescent="0.15">
      <c r="A54" s="242" t="str">
        <f>'HECVAT - Full'!A54</f>
        <v>CONS-03</v>
      </c>
      <c r="B54" s="242" t="str">
        <f>VLOOKUP(A54,'HECVAT - Full'!A$24:B$312,2,FALSE)</f>
        <v>Will the consultant require access to hardware in the Institution's data centers?</v>
      </c>
      <c r="C54" s="251" t="s">
        <v>2722</v>
      </c>
      <c r="D54" s="252" t="s">
        <v>2723</v>
      </c>
    </row>
    <row r="55" spans="1:255" ht="105" x14ac:dyDescent="0.15">
      <c r="A55" s="242" t="str">
        <f>'HECVAT - Full'!A55</f>
        <v>CONS-04</v>
      </c>
      <c r="B55" s="242" t="str">
        <f>VLOOKUP(A55,'HECVAT - Full'!A$24:B$312,2,FALSE)</f>
        <v>Will the consultant require an account within the Institution's domain (@*.edu)?</v>
      </c>
      <c r="C55" s="251" t="s">
        <v>2724</v>
      </c>
      <c r="D55" s="252" t="s">
        <v>2725</v>
      </c>
    </row>
    <row r="56" spans="1:255" ht="135" x14ac:dyDescent="0.15">
      <c r="A56" s="242" t="str">
        <f>'HECVAT - Full'!A56</f>
        <v>CONS-05</v>
      </c>
      <c r="B56" s="242" t="str">
        <f>VLOOKUP(A56,'HECVAT - Full'!A$24:B$312,2,FALSE)</f>
        <v>Has the consultant received training on [sensitive, HIPAA, PCI, etc.] data handling?</v>
      </c>
      <c r="C56" s="251" t="s">
        <v>2726</v>
      </c>
      <c r="D56" s="252" t="s">
        <v>2727</v>
      </c>
    </row>
    <row r="57" spans="1:255" ht="150" x14ac:dyDescent="0.15">
      <c r="A57" s="242" t="str">
        <f>'HECVAT - Full'!A57</f>
        <v>CONS-06</v>
      </c>
      <c r="B57" s="242" t="str">
        <f>VLOOKUP(A57,'HECVAT - Full'!A$24:B$312,2,FALSE)</f>
        <v>Will any data be transferred to the consultant's possession?</v>
      </c>
      <c r="C57" s="276" t="s">
        <v>3014</v>
      </c>
      <c r="D57" s="277" t="s">
        <v>3015</v>
      </c>
    </row>
    <row r="58" spans="1:255" s="1" customFormat="1" ht="60" x14ac:dyDescent="0.2">
      <c r="A58" s="242" t="str">
        <f>'HECVAT - Full'!A58</f>
        <v>CONS-07</v>
      </c>
      <c r="B58" s="242" t="str">
        <f>VLOOKUP(A58,'HECVAT - Full'!A$24:B$312,2,FALSE)</f>
        <v>Is it encrypted (at rest) while in the consultant's possession?</v>
      </c>
      <c r="C58" s="245" t="s">
        <v>2728</v>
      </c>
      <c r="D58" s="250" t="s">
        <v>2729</v>
      </c>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row>
    <row r="59" spans="1:255" ht="105" x14ac:dyDescent="0.15">
      <c r="A59" s="242" t="str">
        <f>'HECVAT - Full'!A59</f>
        <v>CONS-08</v>
      </c>
      <c r="B59" s="242" t="str">
        <f>VLOOKUP(A59,'HECVAT - Full'!A$24:B$312,2,FALSE)</f>
        <v>Will the consultant need remote access to the Institution's network or systems?</v>
      </c>
      <c r="C59" s="245" t="s">
        <v>2730</v>
      </c>
      <c r="D59" s="249" t="s">
        <v>2731</v>
      </c>
    </row>
    <row r="60" spans="1:255" s="1" customFormat="1" ht="105" x14ac:dyDescent="0.2">
      <c r="A60" s="242" t="str">
        <f>'HECVAT - Full'!A60</f>
        <v>CONS-09</v>
      </c>
      <c r="B60" s="242" t="str">
        <f>VLOOKUP(A60,'HECVAT - Full'!A$24:B$312,2,FALSE)</f>
        <v>Can we restrict that access based on source IP address?</v>
      </c>
      <c r="C60" s="251" t="s">
        <v>2732</v>
      </c>
      <c r="D60" s="252" t="s">
        <v>2733</v>
      </c>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row>
    <row r="61" spans="1:255" ht="36" customHeight="1" x14ac:dyDescent="0.15">
      <c r="A61" s="335" t="str">
        <f>IF($C$30="","Application/Service Security",IF($C$30="Yes","App/Service Security - Optional based on QUALIFIER response.","Application/Service Security"))</f>
        <v>Application/Service Security</v>
      </c>
      <c r="B61" s="335"/>
      <c r="C61" s="240" t="str">
        <f>$C$22</f>
        <v>Reason for Question</v>
      </c>
      <c r="D61" s="240" t="str">
        <f>$D$22</f>
        <v>Follow-up Inquiries/Responses</v>
      </c>
    </row>
    <row r="62" spans="1:255" ht="120" x14ac:dyDescent="0.15">
      <c r="A62" s="242" t="str">
        <f>'HECVAT - Full'!A62</f>
        <v>APPL-01</v>
      </c>
      <c r="B62" s="242" t="str">
        <f>VLOOKUP(A62,'HECVAT - Full'!A$24:B$312,2,FALSE)</f>
        <v>Do you support role-based access control (RBAC) for end-users?</v>
      </c>
      <c r="C62" s="275" t="s">
        <v>3016</v>
      </c>
      <c r="D62" s="248" t="s">
        <v>2734</v>
      </c>
    </row>
    <row r="63" spans="1:255" ht="112" customHeight="1" x14ac:dyDescent="0.15">
      <c r="A63" s="242" t="str">
        <f>'HECVAT - Full'!A63</f>
        <v>APPL-02</v>
      </c>
      <c r="B63" s="242" t="str">
        <f>VLOOKUP(A63,'HECVAT - Full'!A$24:B$312,2,FALSE)</f>
        <v>Do you support role-based access control (RBAC) for system administrators?</v>
      </c>
      <c r="C63" s="275" t="s">
        <v>3066</v>
      </c>
      <c r="D63" s="248" t="s">
        <v>2735</v>
      </c>
    </row>
    <row r="64" spans="1:255" ht="112" customHeight="1" x14ac:dyDescent="0.15">
      <c r="A64" s="242" t="str">
        <f>'HECVAT - Full'!A64</f>
        <v>APPL-03</v>
      </c>
      <c r="B64" s="242" t="str">
        <f>VLOOKUP(A64,'HECVAT - Full'!A$24:B$312,2,FALSE)</f>
        <v>Can employees access customer data remotely?</v>
      </c>
      <c r="C64" s="245" t="s">
        <v>2730</v>
      </c>
      <c r="D64" s="249" t="s">
        <v>2731</v>
      </c>
    </row>
    <row r="65" spans="1:255" ht="112" customHeight="1" x14ac:dyDescent="0.15">
      <c r="A65" s="242" t="str">
        <f>'HECVAT - Full'!A65</f>
        <v>APPL-04</v>
      </c>
      <c r="B65" s="242" t="str">
        <f>VLOOKUP(A65,'HECVAT - Full'!A$24:B$312,2,FALSE)</f>
        <v>Can you provide overall system and/or application architecture diagrams including a full description of the data communications architecture for all components of the system?</v>
      </c>
      <c r="C65" s="245" t="s">
        <v>2736</v>
      </c>
      <c r="D65" s="278" t="s">
        <v>3017</v>
      </c>
    </row>
    <row r="66" spans="1:255" ht="112" customHeight="1" x14ac:dyDescent="0.15">
      <c r="A66" s="242" t="str">
        <f>'HECVAT - Full'!A66</f>
        <v>APPL-05</v>
      </c>
      <c r="B66" s="242" t="str">
        <f>VLOOKUP(A66,'HECVAT - Full'!A$24:B$312,2,FALSE)</f>
        <v xml:space="preserve">Does the system provide data input validation and error messages? </v>
      </c>
      <c r="C66" s="245" t="s">
        <v>2737</v>
      </c>
      <c r="D66" s="250" t="s">
        <v>2738</v>
      </c>
    </row>
    <row r="67" spans="1:255" ht="136" customHeight="1" x14ac:dyDescent="0.15">
      <c r="A67" s="242" t="str">
        <f>'HECVAT - Full'!A67</f>
        <v>APPL-06</v>
      </c>
      <c r="B67" s="242" t="str">
        <f>VLOOKUP(A67,'HECVAT - Full'!A$24:B$312,2,FALSE)</f>
        <v xml:space="preserve">Do you employ a single-tenant environment? </v>
      </c>
      <c r="C67" s="245" t="s">
        <v>2739</v>
      </c>
      <c r="D67" s="279" t="s">
        <v>3018</v>
      </c>
    </row>
    <row r="68" spans="1:255" s="1" customFormat="1" ht="91.5" customHeight="1" x14ac:dyDescent="0.2">
      <c r="A68" s="242" t="str">
        <f>'HECVAT - Full'!A68</f>
        <v>APPL-07</v>
      </c>
      <c r="B68" s="242" t="str">
        <f>VLOOKUP(A68,'HECVAT - Full'!A$24:B$312,2,FALSE)</f>
        <v>What operating system(s) is/are leveraged by the system(s)/application(s) that will have access to institution's data?</v>
      </c>
      <c r="C68" s="243" t="s">
        <v>2740</v>
      </c>
      <c r="D68" s="243" t="s">
        <v>2741</v>
      </c>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row>
    <row r="69" spans="1:255" ht="84" customHeight="1" x14ac:dyDescent="0.15">
      <c r="A69" s="242" t="str">
        <f>'HECVAT - Full'!A69</f>
        <v>APPL-08</v>
      </c>
      <c r="B69" s="242" t="str">
        <f>VLOOKUP(A69,'HECVAT - Full'!A$24:B$312,2,FALSE)</f>
        <v>Have you or any third party you contract with that may have access or allow access to the institution's data experienced a breach?</v>
      </c>
      <c r="C69" s="245" t="s">
        <v>2706</v>
      </c>
      <c r="D69" s="249" t="s">
        <v>2707</v>
      </c>
    </row>
    <row r="70" spans="1:255" ht="120" x14ac:dyDescent="0.15">
      <c r="A70" s="242" t="str">
        <f>'HECVAT - Full'!A70</f>
        <v>APPL-09</v>
      </c>
      <c r="B70" s="242" t="str">
        <f>VLOOKUP(A70,'HECVAT - Full'!A$24:B$312,2,FALSE)</f>
        <v xml:space="preserve">Describe or provide a reference to additional software/products necessary to implement a functional system on either the backend or user-interface side of the system. </v>
      </c>
      <c r="C70" s="280" t="s">
        <v>3058</v>
      </c>
      <c r="D70" s="243" t="s">
        <v>2742</v>
      </c>
    </row>
    <row r="71" spans="1:255" ht="105" x14ac:dyDescent="0.15">
      <c r="A71" s="242" t="str">
        <f>'HECVAT - Full'!A71</f>
        <v>APPL-10</v>
      </c>
      <c r="B71" s="242" t="str">
        <f>VLOOKUP(A71,'HECVAT - Full'!A$24:B$312,2,FALSE)</f>
        <v xml:space="preserve">Describe or provide a reference to the overall system and/or application architecture(s), including appropriate diagrams. Include a full description of the data communications architecture for all components of the system. </v>
      </c>
      <c r="C71" s="243" t="s">
        <v>2743</v>
      </c>
      <c r="D71" s="280" t="s">
        <v>3059</v>
      </c>
    </row>
    <row r="72" spans="1:255" ht="67.5" customHeight="1" x14ac:dyDescent="0.15">
      <c r="A72" s="242" t="str">
        <f>'HECVAT - Full'!A72</f>
        <v>APPL-11</v>
      </c>
      <c r="B72" s="242" t="str">
        <f>VLOOKUP(A72,'HECVAT - Full'!A$24:B$312,2,FALSE)</f>
        <v>Are databases used in the system segregated from front-end systems? (e.g. web and application servers)</v>
      </c>
      <c r="C72" s="243" t="s">
        <v>2744</v>
      </c>
      <c r="D72" s="253" t="s">
        <v>2745</v>
      </c>
    </row>
    <row r="73" spans="1:255" ht="114.75" customHeight="1" x14ac:dyDescent="0.15">
      <c r="A73" s="242" t="str">
        <f>'HECVAT - Full'!A73</f>
        <v>APPL-12</v>
      </c>
      <c r="B73" s="242" t="str">
        <f>VLOOKUP(A73,'HECVAT - Full'!A$24:B$312,2,FALSE)</f>
        <v xml:space="preserve">Describe or provide a reference to all web-enabled features and functionality of the system (i.e. accessed via a web-based interface). </v>
      </c>
      <c r="C73" s="280" t="s">
        <v>3060</v>
      </c>
      <c r="D73" s="243" t="s">
        <v>2746</v>
      </c>
    </row>
    <row r="74" spans="1:255" ht="64.5" customHeight="1" x14ac:dyDescent="0.15">
      <c r="A74" s="242" t="str">
        <f>'HECVAT - Full'!A74</f>
        <v>APPL-13</v>
      </c>
      <c r="B74" s="242" t="str">
        <f>VLOOKUP(A74,'HECVAT - Full'!A$24:B$312,2,FALSE)</f>
        <v>Are there any OS and/or web-browser combinations that are not currently supported?</v>
      </c>
      <c r="C74" s="271" t="s">
        <v>3019</v>
      </c>
      <c r="D74" s="253" t="s">
        <v>2747</v>
      </c>
    </row>
    <row r="75" spans="1:255" ht="63" customHeight="1" x14ac:dyDescent="0.15">
      <c r="A75" s="242" t="str">
        <f>'HECVAT - Full'!A75</f>
        <v>APPL-14</v>
      </c>
      <c r="B75" s="242" t="str">
        <f>VLOOKUP(A75,'HECVAT - Full'!A$24:B$312,2,FALSE)</f>
        <v xml:space="preserve">Can your system take advantage of mobile and/or GPS enabled mobile devices?  </v>
      </c>
      <c r="C75" s="243" t="s">
        <v>2748</v>
      </c>
      <c r="D75" s="253" t="s">
        <v>2749</v>
      </c>
    </row>
    <row r="76" spans="1:255" ht="135" x14ac:dyDescent="0.15">
      <c r="A76" s="242" t="str">
        <f>'HECVAT - Full'!A76</f>
        <v>APPL-15</v>
      </c>
      <c r="B76" s="242" t="str">
        <f>VLOOKUP(A76,'HECVAT - Full'!A$24:B$312,2,FALSE)</f>
        <v>Describe or provide a reference to the facilities available in the system to provide separation of duties between security administration and system administration functions.</v>
      </c>
      <c r="C76" s="275" t="s">
        <v>3061</v>
      </c>
      <c r="D76" s="248" t="s">
        <v>2735</v>
      </c>
    </row>
    <row r="77" spans="1:255" ht="105" x14ac:dyDescent="0.15">
      <c r="A77" s="242" t="str">
        <f>'HECVAT - Full'!A77</f>
        <v>APPL-16</v>
      </c>
      <c r="B77" s="242" t="str">
        <f>VLOOKUP(A77,'HECVAT - Full'!A$24:B$312,2,FALSE)</f>
        <v>Describe or provide a reference that details how administrator access is handled (e.g. provisioning, principle of least privilege, deprovisioning, etc.)</v>
      </c>
      <c r="C77" s="243" t="s">
        <v>2750</v>
      </c>
      <c r="D77" s="253" t="s">
        <v>2751</v>
      </c>
    </row>
    <row r="78" spans="1:255" ht="65" customHeight="1" x14ac:dyDescent="0.15">
      <c r="A78" s="242" t="str">
        <f>'HECVAT - Full'!A78</f>
        <v>APPL-17</v>
      </c>
      <c r="B78" s="242" t="str">
        <f>VLOOKUP(A78,'HECVAT - Full'!A$24:B$312,2,FALSE)</f>
        <v>Describe or provide references explaining how tertiary services are redundant (i.e. DNS, ISP, etc.).</v>
      </c>
      <c r="C78" s="243" t="s">
        <v>2752</v>
      </c>
      <c r="D78" s="243" t="s">
        <v>2753</v>
      </c>
    </row>
    <row r="79" spans="1:255" ht="36" customHeight="1" x14ac:dyDescent="0.15">
      <c r="A79" s="335" t="str">
        <f>IF($C$30="","Authentication, Authorization, and Accounting",IF($C$30="Yes","AAA - Optional based on QUALIFIER response.","Authentication, Authorization, and Accounting"))</f>
        <v>Authentication, Authorization, and Accounting</v>
      </c>
      <c r="B79" s="335"/>
      <c r="C79" s="240" t="str">
        <f>$C$22</f>
        <v>Reason for Question</v>
      </c>
      <c r="D79" s="240" t="str">
        <f>$D$22</f>
        <v>Follow-up Inquiries/Responses</v>
      </c>
    </row>
    <row r="80" spans="1:255" ht="112" customHeight="1" x14ac:dyDescent="0.15">
      <c r="A80" s="242" t="str">
        <f>'HECVAT - Full'!A80</f>
        <v>AAAI-01</v>
      </c>
      <c r="B80" s="242" t="str">
        <f>VLOOKUP(A80,'HECVAT - Full'!A$24:B$312,2,FALSE)</f>
        <v>Can you enforce password/passphrase aging requirements?</v>
      </c>
      <c r="C80" s="245" t="s">
        <v>2754</v>
      </c>
      <c r="D80" s="250" t="s">
        <v>2755</v>
      </c>
    </row>
    <row r="81" spans="1:4" ht="60" x14ac:dyDescent="0.15">
      <c r="A81" s="242" t="str">
        <f>'HECVAT - Full'!A81</f>
        <v>AAAI-02</v>
      </c>
      <c r="B81" s="242" t="str">
        <f>VLOOKUP(A81,'HECVAT - Full'!A$24:B$312,2,FALSE)</f>
        <v>Can you enforce password/passphrase complexity requirements [provided by the institution]?</v>
      </c>
      <c r="C81" s="243" t="s">
        <v>2756</v>
      </c>
      <c r="D81" s="253" t="s">
        <v>2757</v>
      </c>
    </row>
    <row r="82" spans="1:4" ht="60" x14ac:dyDescent="0.15">
      <c r="A82" s="242" t="str">
        <f>'HECVAT - Full'!A82</f>
        <v>AAAI-03</v>
      </c>
      <c r="B82" s="242" t="str">
        <f>VLOOKUP(A82,'HECVAT - Full'!A$24:B$312,2,FALSE)</f>
        <v>Does the system have password complexity or length limitations and/or restrictions?</v>
      </c>
      <c r="C82" s="243" t="s">
        <v>2756</v>
      </c>
      <c r="D82" s="253" t="s">
        <v>2758</v>
      </c>
    </row>
    <row r="83" spans="1:4" ht="60" x14ac:dyDescent="0.15">
      <c r="A83" s="242" t="str">
        <f>'HECVAT - Full'!A83</f>
        <v>AAAI-04</v>
      </c>
      <c r="B83" s="242" t="str">
        <f>VLOOKUP(A83,'HECVAT - Full'!A$24:B$312,2,FALSE)</f>
        <v>Do you have documented password/passphrase reset procedures that are currently implemented in the system and/or customer support?</v>
      </c>
      <c r="C83" s="243" t="s">
        <v>2759</v>
      </c>
      <c r="D83" s="254" t="s">
        <v>2760</v>
      </c>
    </row>
    <row r="84" spans="1:4" ht="112" customHeight="1" x14ac:dyDescent="0.15">
      <c r="A84" s="242" t="str">
        <f>'HECVAT - Full'!A84</f>
        <v>AAAI-05</v>
      </c>
      <c r="B84" s="242" t="str">
        <f>VLOOKUP(A84,'HECVAT - Full'!A$24:B$312,2,FALSE)</f>
        <v>Does your web-based interface support authentication, including standards-based single-sign-on? (e.g. InCommon)</v>
      </c>
      <c r="C84" s="275" t="s">
        <v>3020</v>
      </c>
      <c r="D84" s="245" t="s">
        <v>2761</v>
      </c>
    </row>
    <row r="85" spans="1:4" ht="75" x14ac:dyDescent="0.15">
      <c r="A85" s="242" t="str">
        <f>'HECVAT - Full'!A85</f>
        <v>AAAI-06</v>
      </c>
      <c r="B85" s="242" t="str">
        <f>VLOOKUP(A85,'HECVAT - Full'!A$24:B$312,2,FALSE)</f>
        <v>Are there any passwords/passphrases hard coded into your systems or products?</v>
      </c>
      <c r="C85" s="243" t="s">
        <v>2762</v>
      </c>
      <c r="D85" s="253" t="s">
        <v>2763</v>
      </c>
    </row>
    <row r="86" spans="1:4" ht="75" x14ac:dyDescent="0.15">
      <c r="A86" s="242" t="str">
        <f>'HECVAT - Full'!A86</f>
        <v>AAAI-07</v>
      </c>
      <c r="B86" s="242" t="str">
        <f>VLOOKUP(A86,'HECVAT - Full'!A$24:B$312,2,FALSE)</f>
        <v>Are user account passwords/passphrases visible in administration modules?</v>
      </c>
      <c r="C86" s="243" t="s">
        <v>2764</v>
      </c>
      <c r="D86" s="253" t="s">
        <v>2765</v>
      </c>
    </row>
    <row r="87" spans="1:4" ht="45" x14ac:dyDescent="0.15">
      <c r="A87" s="242" t="str">
        <f>'HECVAT - Full'!A87</f>
        <v>AAAI-08</v>
      </c>
      <c r="B87" s="242" t="str">
        <f>VLOOKUP(A87,'HECVAT - Full'!A$24:B$312,2,FALSE)</f>
        <v>Are user account passwords/passphrases stored encrypted?</v>
      </c>
      <c r="C87" s="243" t="s">
        <v>2766</v>
      </c>
      <c r="D87" s="31" t="s">
        <v>3021</v>
      </c>
    </row>
    <row r="88" spans="1:4" ht="62.25" customHeight="1" x14ac:dyDescent="0.15">
      <c r="A88" s="242" t="str">
        <f>'HECVAT - Full'!A88</f>
        <v>AAAI-09</v>
      </c>
      <c r="B88" s="242" t="str">
        <f>VLOOKUP(A88,'HECVAT - Full'!A$24:B$312,2,FALSE)</f>
        <v>Does your application and/or user-frontend/portal support multi-factor authentication? (e.g. Duo, Google Authenticator, OTP, etc.)</v>
      </c>
      <c r="C88" s="243" t="s">
        <v>2767</v>
      </c>
      <c r="D88" s="253" t="s">
        <v>2768</v>
      </c>
    </row>
    <row r="89" spans="1:4" ht="84" customHeight="1" x14ac:dyDescent="0.15">
      <c r="A89" s="242" t="str">
        <f>'HECVAT - Full'!A89</f>
        <v>AAAI-10</v>
      </c>
      <c r="B89" s="242" t="str">
        <f>VLOOKUP(A89,'HECVAT - Full'!A$24:B$312,2,FALSE)</f>
        <v>Does your application support integration with other authentication and authorization systems?  List which ones (such as Active Directory, Kerberos and what version) in Additional Info?</v>
      </c>
      <c r="C89" s="275" t="s">
        <v>3020</v>
      </c>
      <c r="D89" s="245" t="s">
        <v>2769</v>
      </c>
    </row>
    <row r="90" spans="1:4" ht="75" x14ac:dyDescent="0.15">
      <c r="A90" s="242" t="str">
        <f>'HECVAT - Full'!A90</f>
        <v>AAAI-11</v>
      </c>
      <c r="B90" s="242" t="str">
        <f>VLOOKUP(A90,'HECVAT - Full'!A$24:B$312,2,FALSE)</f>
        <v>Will any external authentication or authorization system be utilized by an application with access to the institution's data?</v>
      </c>
      <c r="C90" s="253" t="s">
        <v>2770</v>
      </c>
      <c r="D90" s="253" t="s">
        <v>2771</v>
      </c>
    </row>
    <row r="91" spans="1:4" ht="96" customHeight="1" x14ac:dyDescent="0.15">
      <c r="A91" s="242" t="str">
        <f>'HECVAT - Full'!A91</f>
        <v>AAAI-12</v>
      </c>
      <c r="B91" s="242" t="str">
        <f>VLOOKUP(A91,'HECVAT - Full'!A$24:B$312,2,FALSE)</f>
        <v>Does the system (servers/infrastructure) support external authentication services (e.g. Active Directory, LDAP) in place of local authentication?</v>
      </c>
      <c r="C91" s="275" t="s">
        <v>3022</v>
      </c>
      <c r="D91" s="279" t="s">
        <v>3062</v>
      </c>
    </row>
    <row r="92" spans="1:4" ht="63.75" customHeight="1" x14ac:dyDescent="0.15">
      <c r="A92" s="242" t="str">
        <f>'HECVAT - Full'!A92</f>
        <v>AAAI-13</v>
      </c>
      <c r="B92" s="242" t="str">
        <f>VLOOKUP(A92,'HECVAT - Full'!A$24:B$312,2,FALSE)</f>
        <v>Does the system operate in a mixed authentication mode (i.e. external and local authentication)?</v>
      </c>
      <c r="C92" s="253" t="s">
        <v>2772</v>
      </c>
      <c r="D92" s="253" t="s">
        <v>2773</v>
      </c>
    </row>
    <row r="93" spans="1:4" ht="63" customHeight="1" x14ac:dyDescent="0.15">
      <c r="A93" s="242" t="str">
        <f>'HECVAT - Full'!A93</f>
        <v>AAAI-14</v>
      </c>
      <c r="B93" s="242" t="str">
        <f>VLOOKUP(A93,'HECVAT - Full'!A$24:B$312,2,FALSE)</f>
        <v>Will any external authentication or authorization system be utilized by a system with access to institution data?</v>
      </c>
      <c r="C93" s="253" t="s">
        <v>2772</v>
      </c>
      <c r="D93" s="253" t="s">
        <v>2773</v>
      </c>
    </row>
    <row r="94" spans="1:4" ht="96" customHeight="1" x14ac:dyDescent="0.15">
      <c r="A94" s="242" t="str">
        <f>'HECVAT - Full'!A94</f>
        <v>AAAI-15</v>
      </c>
      <c r="B94" s="242" t="str">
        <f>VLOOKUP(A94,'HECVAT - Full'!A$24:B$312,2,FALSE)</f>
        <v>Are audit logs available that include AT LEAST all of the following; login, logout, actions performed, and source IP address?</v>
      </c>
      <c r="C94" s="245" t="s">
        <v>2774</v>
      </c>
      <c r="D94" s="249" t="s">
        <v>2775</v>
      </c>
    </row>
    <row r="95" spans="1:4" ht="120" x14ac:dyDescent="0.15">
      <c r="A95" s="242" t="str">
        <f>'HECVAT - Full'!A95</f>
        <v>AAAI-16</v>
      </c>
      <c r="B95" s="242" t="str">
        <f>VLOOKUP(A95,'HECVAT - Full'!A$24:B$312,2,FALSE)</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95" s="275" t="s">
        <v>3063</v>
      </c>
      <c r="D95" s="249" t="s">
        <v>2775</v>
      </c>
    </row>
    <row r="96" spans="1:4" ht="89.25" customHeight="1" x14ac:dyDescent="0.15">
      <c r="A96" s="242" t="str">
        <f>'HECVAT - Full'!A96</f>
        <v>AAAI-17</v>
      </c>
      <c r="B96" s="242" t="str">
        <f>VLOOKUP(A96,'HECVAT - Full'!A$24:B$312,2,FALSE)</f>
        <v>Describe or provide a reference to the retention period for those logs, how logs are protected, and whether they are accessible to the customer (and if so, how).</v>
      </c>
      <c r="C96" s="243" t="s">
        <v>2776</v>
      </c>
      <c r="D96" s="250" t="s">
        <v>2777</v>
      </c>
    </row>
    <row r="97" spans="1:4" ht="36" customHeight="1" x14ac:dyDescent="0.15">
      <c r="A97" s="335" t="str">
        <f>IF(OR($C$27="No",$C$30="Yes"),"BCP - Respond to as many questions below as possible.","Business Continuity Plan")</f>
        <v>Business Continuity Plan</v>
      </c>
      <c r="B97" s="335"/>
      <c r="C97" s="240" t="str">
        <f>$C$22</f>
        <v>Reason for Question</v>
      </c>
      <c r="D97" s="240" t="str">
        <f>$D$22</f>
        <v>Follow-up Inquiries/Responses</v>
      </c>
    </row>
    <row r="98" spans="1:4" ht="120" x14ac:dyDescent="0.15">
      <c r="A98" s="242" t="str">
        <f>'HECVAT - Full'!A98</f>
        <v>BCPL-01</v>
      </c>
      <c r="B98" s="242" t="str">
        <f>VLOOKUP(A98,'HECVAT - Full'!A$24:B$312,2,FALSE)</f>
        <v>Describe or provide a reference to your Business Continuity Plan (BCP).</v>
      </c>
      <c r="C98" s="275" t="s">
        <v>3023</v>
      </c>
      <c r="D98" s="249" t="s">
        <v>2778</v>
      </c>
    </row>
    <row r="99" spans="1:4" ht="47" customHeight="1" x14ac:dyDescent="0.15">
      <c r="A99" s="242" t="str">
        <f>'HECVAT - Full'!A99</f>
        <v>BCPL-02</v>
      </c>
      <c r="B99" s="242" t="str">
        <f>VLOOKUP(A99,'HECVAT - Full'!A$24:B$312,2,FALSE)</f>
        <v>May the Institution review your BCP and supporting documentation?</v>
      </c>
      <c r="C99" s="271" t="s">
        <v>3024</v>
      </c>
      <c r="D99" s="253" t="s">
        <v>2779</v>
      </c>
    </row>
    <row r="100" spans="1:4" ht="60" x14ac:dyDescent="0.15">
      <c r="A100" s="242" t="str">
        <f>'HECVAT - Full'!A100</f>
        <v>BCPL-03</v>
      </c>
      <c r="B100" s="242" t="str">
        <f>VLOOKUP(A100,'HECVAT - Full'!A$24:B$312,2,FALSE)</f>
        <v>Is an owner assigned who is responsible for the maintenance and review of the Business Continuity Plan?</v>
      </c>
      <c r="C100" s="271" t="s">
        <v>3025</v>
      </c>
      <c r="D100" s="250" t="s">
        <v>2780</v>
      </c>
    </row>
    <row r="101" spans="1:4" ht="60" x14ac:dyDescent="0.15">
      <c r="A101" s="242" t="str">
        <f>'HECVAT - Full'!A101</f>
        <v>BCPL-04</v>
      </c>
      <c r="B101" s="242" t="str">
        <f>VLOOKUP(A101,'HECVAT - Full'!A$24:B$312,2,FALSE)</f>
        <v>Is there a defined problem/issue escalation plan in your BCP for impacted clients?</v>
      </c>
      <c r="C101" s="245" t="s">
        <v>2781</v>
      </c>
      <c r="D101" s="249" t="s">
        <v>2782</v>
      </c>
    </row>
    <row r="102" spans="1:4" ht="64" customHeight="1" x14ac:dyDescent="0.15">
      <c r="A102" s="242" t="str">
        <f>'HECVAT - Full'!A102</f>
        <v>BCPL-05</v>
      </c>
      <c r="B102" s="242" t="str">
        <f>VLOOKUP(A102,'HECVAT - Full'!A$24:B$312,2,FALSE)</f>
        <v>Is there a documented communication plan in your BCP for impacted clients?</v>
      </c>
      <c r="C102" s="245" t="s">
        <v>2781</v>
      </c>
      <c r="D102" s="249" t="s">
        <v>2782</v>
      </c>
    </row>
    <row r="103" spans="1:4" ht="96" customHeight="1" x14ac:dyDescent="0.15">
      <c r="A103" s="242" t="str">
        <f>'HECVAT - Full'!A103</f>
        <v>BCPL-06</v>
      </c>
      <c r="B103" s="242" t="str">
        <f>VLOOKUP(A103,'HECVAT - Full'!A$24:B$312,2,FALSE)</f>
        <v xml:space="preserve">Are all components of the BCP reviewed at least annually and updated as needed to reflect change? </v>
      </c>
      <c r="C103" s="245" t="s">
        <v>2783</v>
      </c>
      <c r="D103" s="249" t="s">
        <v>2784</v>
      </c>
    </row>
    <row r="104" spans="1:4" ht="60" x14ac:dyDescent="0.15">
      <c r="A104" s="242" t="str">
        <f>'HECVAT - Full'!A104</f>
        <v>BCPL-07</v>
      </c>
      <c r="B104" s="242" t="str">
        <f>VLOOKUP(A104,'HECVAT - Full'!A$24:B$312,2,FALSE)</f>
        <v xml:space="preserve">Has your BCP been tested in the last year? </v>
      </c>
      <c r="C104" s="275" t="s">
        <v>3026</v>
      </c>
      <c r="D104" s="249" t="s">
        <v>2784</v>
      </c>
    </row>
    <row r="105" spans="1:4" ht="75" x14ac:dyDescent="0.15">
      <c r="A105" s="242" t="str">
        <f>'HECVAT - Full'!A105</f>
        <v>BCPL-08</v>
      </c>
      <c r="B105" s="242" t="str">
        <f>VLOOKUP(A105,'HECVAT - Full'!A$24:B$312,2,FALSE)</f>
        <v>Does your organization conduct training and awareness activities to validate its employees understanding of their roles and responsibilities during a crisis?</v>
      </c>
      <c r="C105" s="271" t="s">
        <v>3027</v>
      </c>
      <c r="D105" s="253" t="s">
        <v>2785</v>
      </c>
    </row>
    <row r="106" spans="1:4" ht="90" x14ac:dyDescent="0.15">
      <c r="A106" s="242" t="str">
        <f>'HECVAT - Full'!A106</f>
        <v>BCPL-09</v>
      </c>
      <c r="B106" s="242" t="str">
        <f>VLOOKUP(A106,'HECVAT - Full'!A$24:B$312,2,FALSE)</f>
        <v>Are specific crisis management roles and responsibilities defined and documented?</v>
      </c>
      <c r="C106" s="243" t="s">
        <v>2786</v>
      </c>
      <c r="D106" s="253" t="s">
        <v>2787</v>
      </c>
    </row>
    <row r="107" spans="1:4" ht="90" x14ac:dyDescent="0.15">
      <c r="A107" s="242" t="str">
        <f>'HECVAT - Full'!A107</f>
        <v>BCPL-10</v>
      </c>
      <c r="B107" s="242" t="str">
        <f>VLOOKUP(A107,'HECVAT - Full'!A$24:B$312,2,FALSE)</f>
        <v>Does your organization have an alternative business site or a contracted Business Recovery provider?</v>
      </c>
      <c r="C107" s="243" t="s">
        <v>2788</v>
      </c>
      <c r="D107" s="253" t="s">
        <v>2789</v>
      </c>
    </row>
    <row r="108" spans="1:4" ht="75" x14ac:dyDescent="0.15">
      <c r="A108" s="242" t="str">
        <f>'HECVAT - Full'!A108</f>
        <v>BCPL-11</v>
      </c>
      <c r="B108" s="242" t="str">
        <f>VLOOKUP(A108,'HECVAT - Full'!A$24:B$312,2,FALSE)</f>
        <v>Does your organization conduct an annual test of relocating to an alternate site for business recovery purposes?</v>
      </c>
      <c r="C108" s="275" t="s">
        <v>3028</v>
      </c>
      <c r="D108" s="249" t="s">
        <v>2784</v>
      </c>
    </row>
    <row r="109" spans="1:4" ht="90" x14ac:dyDescent="0.15">
      <c r="A109" s="242" t="str">
        <f>'HECVAT - Full'!A109</f>
        <v>BCPL-12</v>
      </c>
      <c r="B109" s="242" t="str">
        <f>VLOOKUP(A109,'HECVAT - Full'!A$24:B$312,2,FALSE)</f>
        <v>Is this product a core service of your organization, and as such, the top priority during business continuity planning?</v>
      </c>
      <c r="C109" s="243" t="s">
        <v>2790</v>
      </c>
      <c r="D109" s="253" t="s">
        <v>2791</v>
      </c>
    </row>
    <row r="110" spans="1:4" ht="36" customHeight="1" x14ac:dyDescent="0.15">
      <c r="A110" s="335" t="str">
        <f>IF($C$30="","Change Management",IF($C$30="Yes","Change Management - Optional based on QUALIFIER response.","Change Management"))</f>
        <v>Change Management</v>
      </c>
      <c r="B110" s="335"/>
      <c r="C110" s="240" t="str">
        <f>$C$22</f>
        <v>Reason for Question</v>
      </c>
      <c r="D110" s="240" t="str">
        <f>$D$22</f>
        <v>Follow-up Inquiries/Responses</v>
      </c>
    </row>
    <row r="111" spans="1:4" ht="75" x14ac:dyDescent="0.15">
      <c r="A111" s="242" t="str">
        <f>'HECVAT - Full'!A111</f>
        <v>CHNG-01</v>
      </c>
      <c r="B111" s="242" t="str">
        <f>VLOOKUP(A111,'HECVAT - Full'!A$24:B$312,2,FALSE)</f>
        <v xml:space="preserve">Do you have a documented and currently followed change management process (CMP)? </v>
      </c>
      <c r="C111" s="245" t="s">
        <v>2792</v>
      </c>
      <c r="D111" s="249" t="s">
        <v>2793</v>
      </c>
    </row>
    <row r="112" spans="1:4" ht="80" customHeight="1" x14ac:dyDescent="0.15">
      <c r="A112" s="242" t="str">
        <f>'HECVAT - Full'!A112</f>
        <v>CHNG-02</v>
      </c>
      <c r="B112" s="242" t="str">
        <f>VLOOKUP(A112,'HECVAT - Full'!A$24:B$312,2,FALSE)</f>
        <v>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v>
      </c>
      <c r="C112" s="243" t="s">
        <v>2794</v>
      </c>
      <c r="D112" s="243" t="s">
        <v>2795</v>
      </c>
    </row>
    <row r="113" spans="1:255" ht="72" customHeight="1" x14ac:dyDescent="0.15">
      <c r="A113" s="242" t="str">
        <f>'HECVAT - Full'!A113</f>
        <v>CHNG-03</v>
      </c>
      <c r="B113" s="242" t="str">
        <f>VLOOKUP(A113,'HECVAT - Full'!A$24:B$312,2,FALSE)</f>
        <v>Will the Institution be notified of major changes to your environment that could impact the Institution's security posture?</v>
      </c>
      <c r="C113" s="245" t="s">
        <v>2796</v>
      </c>
      <c r="D113" s="249" t="s">
        <v>2782</v>
      </c>
    </row>
    <row r="114" spans="1:255" ht="120" x14ac:dyDescent="0.15">
      <c r="A114" s="242" t="str">
        <f>'HECVAT - Full'!A114</f>
        <v>CHNG-04</v>
      </c>
      <c r="B114" s="242" t="str">
        <f>VLOOKUP(A114,'HECVAT - Full'!A$24:B$312,2,FALSE)</f>
        <v>Do clients have the option to not participate in or postpone an upgrade to a new release?</v>
      </c>
      <c r="C114" s="271" t="s">
        <v>3029</v>
      </c>
      <c r="D114" s="243" t="s">
        <v>2797</v>
      </c>
    </row>
    <row r="115" spans="1:255" ht="64.25" customHeight="1" x14ac:dyDescent="0.15">
      <c r="A115" s="242" t="str">
        <f>'HECVAT - Full'!A115</f>
        <v>CHNG-05</v>
      </c>
      <c r="B115" s="242" t="str">
        <f>VLOOKUP(A115,'HECVAT - Full'!A$24:B$312,2,FALSE)</f>
        <v>Describe or provide a reference to your solution support strategy in relation to maintaining software currency. (i.e. how many concurrent versions are you willing to run and support?)</v>
      </c>
      <c r="C115" s="243" t="s">
        <v>2798</v>
      </c>
      <c r="D115" s="243" t="s">
        <v>2799</v>
      </c>
    </row>
    <row r="116" spans="1:255" ht="79.5" customHeight="1" x14ac:dyDescent="0.15">
      <c r="A116" s="242" t="str">
        <f>'HECVAT - Full'!A116</f>
        <v>CHNG-06</v>
      </c>
      <c r="B116" s="242" t="str">
        <f>VLOOKUP(A116,'HECVAT - Full'!A$24:B$312,2,FALSE)</f>
        <v>Identify the most current version of the software. Detail the percentage of live customers that are utilizing the proposed version of the software as well as each version of the software currently in use.</v>
      </c>
      <c r="C116" s="243" t="s">
        <v>2800</v>
      </c>
      <c r="D116" s="243" t="s">
        <v>2799</v>
      </c>
    </row>
    <row r="117" spans="1:255" ht="92.25" customHeight="1" x14ac:dyDescent="0.15">
      <c r="A117" s="242" t="str">
        <f>'HECVAT - Full'!A117</f>
        <v>CHNG-07</v>
      </c>
      <c r="B117" s="242" t="str">
        <f>VLOOKUP(A117,'HECVAT - Full'!A$24:B$312,2,FALSE)</f>
        <v>Does the system support client customizations from one release to another?</v>
      </c>
      <c r="C117" s="243" t="s">
        <v>2801</v>
      </c>
      <c r="D117" s="271" t="s">
        <v>3030</v>
      </c>
    </row>
    <row r="118" spans="1:255" ht="64.25" customHeight="1" x14ac:dyDescent="0.15">
      <c r="A118" s="242" t="str">
        <f>'HECVAT - Full'!A118</f>
        <v>CHNG-08</v>
      </c>
      <c r="B118" s="242" t="str">
        <f>VLOOKUP(A118,'HECVAT - Full'!A$24:B$312,2,FALSE)</f>
        <v>Does your organization ensure through policy and procedure (that is currently implemented) that only application software verifiable as authorized, tested, and approved for production, and having met all other requirements and reviews necessary for commissioning, is placed into production?</v>
      </c>
      <c r="C118" s="243" t="s">
        <v>2802</v>
      </c>
      <c r="D118" s="243" t="s">
        <v>2803</v>
      </c>
    </row>
    <row r="119" spans="1:255" ht="64.25" customHeight="1" x14ac:dyDescent="0.15">
      <c r="A119" s="242" t="str">
        <f>'HECVAT - Full'!A119</f>
        <v>CHNG-09</v>
      </c>
      <c r="B119" s="242" t="str">
        <f>VLOOKUP(A119,'HECVAT - Full'!A$24:B$312,2,FALSE)</f>
        <v>Do you have a release schedule for product updates?</v>
      </c>
      <c r="C119" s="243" t="s">
        <v>2804</v>
      </c>
      <c r="D119" s="243" t="s">
        <v>2805</v>
      </c>
    </row>
    <row r="120" spans="1:255" ht="64.25" customHeight="1" x14ac:dyDescent="0.15">
      <c r="A120" s="242" t="str">
        <f>'HECVAT - Full'!A120</f>
        <v>CHNG-10</v>
      </c>
      <c r="B120" s="242" t="str">
        <f>VLOOKUP(A120,'HECVAT - Full'!A$24:B$312,2,FALSE)</f>
        <v>Do you have a technology roadmap, for the next 2 years, for enhancements and bug fixes for the product/service being assessed?</v>
      </c>
      <c r="C120" s="243" t="s">
        <v>2806</v>
      </c>
      <c r="D120" s="243" t="s">
        <v>2807</v>
      </c>
    </row>
    <row r="121" spans="1:255" ht="120" x14ac:dyDescent="0.15">
      <c r="A121" s="242" t="str">
        <f>'HECVAT - Full'!A121</f>
        <v>CHNG-11</v>
      </c>
      <c r="B121" s="242" t="str">
        <f>VLOOKUP(A121,'HECVAT - Full'!A$24:B$312,2,FALSE)</f>
        <v>Is Institution involvement (i.e. technically or organizationally) required during product updates?</v>
      </c>
      <c r="C121" s="271" t="s">
        <v>3031</v>
      </c>
      <c r="D121" s="243" t="s">
        <v>2808</v>
      </c>
    </row>
    <row r="122" spans="1:255" ht="64.25" customHeight="1" x14ac:dyDescent="0.15">
      <c r="A122" s="242" t="str">
        <f>'HECVAT - Full'!A122</f>
        <v>CHNG-12</v>
      </c>
      <c r="B122" s="242" t="str">
        <f>VLOOKUP(A122,'HECVAT - Full'!A$24:B$312,2,FALSE)</f>
        <v>Do you have policy and procedure, currently implemented, managing how critical patches are applied to all systems and applications?</v>
      </c>
      <c r="C122" s="243" t="s">
        <v>2809</v>
      </c>
      <c r="D122" s="243" t="s">
        <v>2810</v>
      </c>
    </row>
    <row r="123" spans="1:255" ht="96" customHeight="1" x14ac:dyDescent="0.15">
      <c r="A123" s="242" t="str">
        <f>'HECVAT - Full'!A123</f>
        <v>CHNG-13</v>
      </c>
      <c r="B123" s="242" t="str">
        <f>VLOOKUP(A123,'HECVAT - Full'!A$24:B$312,2,FALSE)</f>
        <v>Do you have policy and procedure, currently implemented, guiding how security risks are mitigated until patches can be applied?</v>
      </c>
      <c r="C123" s="275" t="s">
        <v>3032</v>
      </c>
      <c r="D123" s="249" t="s">
        <v>2811</v>
      </c>
    </row>
    <row r="124" spans="1:255" ht="73.5" customHeight="1" x14ac:dyDescent="0.15">
      <c r="A124" s="242" t="str">
        <f>'HECVAT - Full'!A124</f>
        <v>CHNG-14</v>
      </c>
      <c r="B124" s="242" t="str">
        <f>VLOOKUP(A124,'HECVAT - Full'!A$24:B$312,2,FALSE)</f>
        <v>Are upgrades or system changes installed during off-peak hours or in a manner that does not impact the customer?</v>
      </c>
      <c r="C124" s="243" t="s">
        <v>2812</v>
      </c>
      <c r="D124" s="243" t="s">
        <v>2795</v>
      </c>
    </row>
    <row r="125" spans="1:255" ht="80" customHeight="1" x14ac:dyDescent="0.15">
      <c r="A125" s="242" t="str">
        <f>'HECVAT - Full'!A125</f>
        <v>CHNG-15</v>
      </c>
      <c r="B125" s="242" t="str">
        <f>VLOOKUP(A125,'HECVAT - Full'!A$24:B$312,2,FALSE)</f>
        <v>Do procedures exist to provide that emergency changes are documented and authorized (including after the fact approval)?</v>
      </c>
      <c r="C125" s="245" t="s">
        <v>2813</v>
      </c>
      <c r="D125" s="245" t="s">
        <v>2814</v>
      </c>
    </row>
    <row r="126" spans="1:255" ht="36" customHeight="1" x14ac:dyDescent="0.2">
      <c r="A126" s="335" t="str">
        <f>IF($C$30="","Data",IF($C$30="Yes","Data - Optional based on QUALIFIER response.","Data"))</f>
        <v>Data</v>
      </c>
      <c r="B126" s="335"/>
      <c r="C126" s="240" t="str">
        <f>$C$22</f>
        <v>Reason for Question</v>
      </c>
      <c r="D126" s="240" t="str">
        <f>$D$22</f>
        <v>Follow-up Inquiries/Responses</v>
      </c>
      <c r="E126" s="136"/>
      <c r="F126" s="136"/>
      <c r="G126" s="136"/>
      <c r="H126" s="136"/>
      <c r="I126" s="136"/>
      <c r="J126" s="136"/>
      <c r="K126" s="136"/>
      <c r="L126" s="136"/>
      <c r="M126" s="136"/>
      <c r="N126" s="136"/>
      <c r="O126" s="136"/>
      <c r="P126" s="136"/>
      <c r="Q126" s="136"/>
      <c r="R126" s="136"/>
      <c r="S126" s="136"/>
      <c r="T126" s="136"/>
      <c r="U126" s="136"/>
      <c r="V126" s="136"/>
      <c r="W126" s="136"/>
      <c r="X126" s="136"/>
      <c r="Y126" s="136"/>
      <c r="Z126" s="136"/>
      <c r="AA126" s="136"/>
      <c r="AB126" s="136"/>
      <c r="AC126" s="136"/>
      <c r="AD126" s="136"/>
      <c r="AE126" s="136"/>
      <c r="AF126" s="136"/>
      <c r="AG126" s="136"/>
      <c r="AH126" s="136"/>
      <c r="AI126" s="136"/>
      <c r="AJ126" s="136"/>
      <c r="AK126" s="136"/>
      <c r="AL126" s="136"/>
      <c r="AM126" s="136"/>
      <c r="AN126" s="136"/>
      <c r="AO126" s="136"/>
      <c r="AP126" s="136"/>
      <c r="AQ126" s="136"/>
      <c r="AR126" s="136"/>
      <c r="AS126" s="136"/>
      <c r="AT126" s="136"/>
      <c r="AU126" s="136"/>
      <c r="AV126" s="136"/>
      <c r="AW126" s="136"/>
      <c r="AX126" s="136"/>
      <c r="AY126" s="136"/>
      <c r="AZ126" s="136"/>
      <c r="BA126" s="136"/>
      <c r="BB126" s="136"/>
      <c r="BC126" s="136"/>
      <c r="BD126" s="136"/>
      <c r="BE126" s="136"/>
      <c r="BF126" s="136"/>
      <c r="BG126" s="136"/>
      <c r="BH126" s="136"/>
      <c r="BI126" s="136"/>
      <c r="BJ126" s="136"/>
      <c r="BK126" s="136"/>
      <c r="BL126" s="136"/>
      <c r="BM126" s="136"/>
      <c r="BN126" s="136"/>
      <c r="BO126" s="136"/>
      <c r="BP126" s="136"/>
      <c r="BQ126" s="136"/>
      <c r="BR126" s="136"/>
      <c r="BS126" s="136"/>
      <c r="BT126" s="136"/>
      <c r="BU126" s="136"/>
      <c r="BV126" s="136"/>
      <c r="BW126" s="136"/>
      <c r="BX126" s="136"/>
      <c r="BY126" s="136"/>
      <c r="BZ126" s="136"/>
      <c r="CA126" s="136"/>
      <c r="CB126" s="136"/>
      <c r="CC126" s="136"/>
      <c r="CD126" s="136"/>
      <c r="CE126" s="136"/>
      <c r="CF126" s="136"/>
      <c r="CG126" s="136"/>
      <c r="CH126" s="136"/>
      <c r="CI126" s="136"/>
      <c r="CJ126" s="136"/>
      <c r="CK126" s="136"/>
      <c r="CL126" s="136"/>
      <c r="CM126" s="136"/>
      <c r="CN126" s="136"/>
      <c r="CO126" s="136"/>
      <c r="CP126" s="136"/>
      <c r="CQ126" s="136"/>
      <c r="CR126" s="136"/>
      <c r="CS126" s="136"/>
      <c r="CT126" s="136"/>
      <c r="CU126" s="136"/>
      <c r="CV126" s="136"/>
      <c r="CW126" s="136"/>
      <c r="CX126" s="136"/>
      <c r="CY126" s="136"/>
      <c r="CZ126" s="136"/>
      <c r="DA126" s="136"/>
      <c r="DB126" s="136"/>
      <c r="DC126" s="136"/>
      <c r="DD126" s="136"/>
      <c r="DE126" s="136"/>
      <c r="DF126" s="136"/>
      <c r="DG126" s="136"/>
      <c r="DH126" s="136"/>
      <c r="DI126" s="136"/>
      <c r="DJ126" s="136"/>
      <c r="DK126" s="136"/>
      <c r="DL126" s="136"/>
      <c r="DM126" s="136"/>
      <c r="DN126" s="136"/>
      <c r="DO126" s="136"/>
      <c r="DP126" s="136"/>
      <c r="DQ126" s="136"/>
      <c r="DR126" s="136"/>
      <c r="DS126" s="136"/>
      <c r="DT126" s="136"/>
      <c r="DU126" s="136"/>
      <c r="DV126" s="136"/>
      <c r="DW126" s="136"/>
      <c r="DX126" s="136"/>
      <c r="DY126" s="136"/>
      <c r="DZ126" s="136"/>
      <c r="EA126" s="136"/>
      <c r="EB126" s="136"/>
      <c r="EC126" s="136"/>
      <c r="ED126" s="136"/>
      <c r="EE126" s="136"/>
      <c r="EF126" s="136"/>
      <c r="EG126" s="136"/>
      <c r="EH126" s="136"/>
      <c r="EI126" s="136"/>
      <c r="EJ126" s="136"/>
      <c r="EK126" s="136"/>
      <c r="EL126" s="136"/>
      <c r="EM126" s="136"/>
      <c r="EN126" s="136"/>
      <c r="EO126" s="136"/>
      <c r="EP126" s="136"/>
      <c r="EQ126" s="136"/>
      <c r="ER126" s="136"/>
      <c r="ES126" s="136"/>
      <c r="ET126" s="136"/>
      <c r="EU126" s="136"/>
      <c r="EV126" s="136"/>
      <c r="EW126" s="136"/>
      <c r="EX126" s="136"/>
      <c r="EY126" s="136"/>
      <c r="EZ126" s="136"/>
      <c r="FA126" s="136"/>
      <c r="FB126" s="136"/>
      <c r="FC126" s="136"/>
      <c r="FD126" s="136"/>
      <c r="FE126" s="136"/>
      <c r="FF126" s="136"/>
      <c r="FG126" s="136"/>
      <c r="FH126" s="136"/>
      <c r="FI126" s="136"/>
      <c r="FJ126" s="136"/>
      <c r="FK126" s="136"/>
      <c r="FL126" s="136"/>
      <c r="FM126" s="136"/>
      <c r="FN126" s="136"/>
      <c r="FO126" s="136"/>
      <c r="FP126" s="136"/>
      <c r="FQ126" s="136"/>
      <c r="FR126" s="136"/>
      <c r="FS126" s="136"/>
      <c r="FT126" s="136"/>
      <c r="FU126" s="136"/>
      <c r="FV126" s="136"/>
      <c r="FW126" s="136"/>
      <c r="FX126" s="136"/>
      <c r="FY126" s="136"/>
      <c r="FZ126" s="136"/>
      <c r="GA126" s="136"/>
      <c r="GB126" s="136"/>
      <c r="GC126" s="136"/>
      <c r="GD126" s="136"/>
      <c r="GE126" s="136"/>
      <c r="GF126" s="136"/>
      <c r="GG126" s="136"/>
      <c r="GH126" s="136"/>
      <c r="GI126" s="136"/>
      <c r="GJ126" s="136"/>
      <c r="GK126" s="136"/>
      <c r="GL126" s="136"/>
      <c r="GM126" s="136"/>
      <c r="GN126" s="136"/>
      <c r="GO126" s="136"/>
      <c r="GP126" s="136"/>
      <c r="GQ126" s="136"/>
      <c r="GR126" s="136"/>
      <c r="GS126" s="136"/>
      <c r="GT126" s="136"/>
      <c r="GU126" s="136"/>
      <c r="GV126" s="136"/>
      <c r="GW126" s="136"/>
      <c r="GX126" s="136"/>
      <c r="GY126" s="136"/>
      <c r="GZ126" s="136"/>
      <c r="HA126" s="136"/>
      <c r="HB126" s="136"/>
      <c r="HC126" s="136"/>
      <c r="HD126" s="136"/>
      <c r="HE126" s="136"/>
      <c r="HF126" s="136"/>
      <c r="HG126" s="136"/>
      <c r="HH126" s="136"/>
      <c r="HI126" s="136"/>
      <c r="HJ126" s="136"/>
      <c r="HK126" s="136"/>
      <c r="HL126" s="136"/>
      <c r="HM126" s="136"/>
      <c r="HN126" s="136"/>
      <c r="HO126" s="136"/>
      <c r="HP126" s="136"/>
      <c r="HQ126" s="136"/>
      <c r="HR126" s="136"/>
      <c r="HS126" s="136"/>
      <c r="HT126" s="136"/>
      <c r="HU126" s="136"/>
      <c r="HV126" s="136"/>
      <c r="HW126" s="136"/>
      <c r="HX126" s="136"/>
      <c r="HY126" s="136"/>
      <c r="HZ126" s="136"/>
      <c r="IA126" s="136"/>
      <c r="IB126" s="136"/>
      <c r="IC126" s="136"/>
      <c r="ID126" s="136"/>
      <c r="IE126" s="136"/>
      <c r="IF126" s="136"/>
      <c r="IG126" s="136"/>
      <c r="IH126" s="136"/>
      <c r="II126" s="136"/>
      <c r="IJ126" s="136"/>
      <c r="IK126" s="136"/>
      <c r="IL126" s="136"/>
      <c r="IM126" s="136"/>
      <c r="IN126" s="136"/>
      <c r="IO126" s="136"/>
      <c r="IP126" s="136"/>
      <c r="IQ126" s="136"/>
      <c r="IR126" s="136"/>
      <c r="IS126" s="136"/>
      <c r="IT126" s="136"/>
      <c r="IU126" s="136"/>
    </row>
    <row r="127" spans="1:255" ht="135" x14ac:dyDescent="0.2">
      <c r="A127" s="242" t="str">
        <f>'HECVAT - Full'!A127</f>
        <v>DATA-01</v>
      </c>
      <c r="B127" s="242" t="str">
        <f>VLOOKUP(A127,'HECVAT - Full'!A$24:B$312,2,FALSE)</f>
        <v>Do you physically and logically separate Institution's data from that of other customers?</v>
      </c>
      <c r="C127" s="245" t="s">
        <v>2739</v>
      </c>
      <c r="D127" s="250" t="s">
        <v>2815</v>
      </c>
      <c r="E127" s="136"/>
      <c r="F127" s="136"/>
      <c r="G127" s="136"/>
      <c r="H127" s="136"/>
      <c r="I127" s="136"/>
      <c r="J127" s="136"/>
      <c r="K127" s="136"/>
      <c r="L127" s="136"/>
      <c r="M127" s="136"/>
      <c r="N127" s="136"/>
      <c r="O127" s="136"/>
      <c r="P127" s="136"/>
      <c r="Q127" s="136"/>
      <c r="R127" s="136"/>
      <c r="S127" s="136"/>
      <c r="T127" s="136"/>
      <c r="U127" s="136"/>
      <c r="V127" s="136"/>
      <c r="W127" s="136"/>
      <c r="X127" s="136"/>
      <c r="Y127" s="136"/>
      <c r="Z127" s="136"/>
      <c r="AA127" s="136"/>
      <c r="AB127" s="136"/>
      <c r="AC127" s="136"/>
      <c r="AD127" s="136"/>
      <c r="AE127" s="136"/>
      <c r="AF127" s="136"/>
      <c r="AG127" s="136"/>
      <c r="AH127" s="136"/>
      <c r="AI127" s="136"/>
      <c r="AJ127" s="136"/>
      <c r="AK127" s="136"/>
      <c r="AL127" s="136"/>
      <c r="AM127" s="136"/>
      <c r="AN127" s="136"/>
      <c r="AO127" s="136"/>
      <c r="AP127" s="136"/>
      <c r="AQ127" s="136"/>
      <c r="AR127" s="136"/>
      <c r="AS127" s="136"/>
      <c r="AT127" s="136"/>
      <c r="AU127" s="136"/>
      <c r="AV127" s="136"/>
      <c r="AW127" s="136"/>
      <c r="AX127" s="136"/>
      <c r="AY127" s="136"/>
      <c r="AZ127" s="136"/>
      <c r="BA127" s="136"/>
      <c r="BB127" s="136"/>
      <c r="BC127" s="136"/>
      <c r="BD127" s="136"/>
      <c r="BE127" s="136"/>
      <c r="BF127" s="136"/>
      <c r="BG127" s="136"/>
      <c r="BH127" s="136"/>
      <c r="BI127" s="136"/>
      <c r="BJ127" s="136"/>
      <c r="BK127" s="136"/>
      <c r="BL127" s="136"/>
      <c r="BM127" s="136"/>
      <c r="BN127" s="136"/>
      <c r="BO127" s="136"/>
      <c r="BP127" s="136"/>
      <c r="BQ127" s="136"/>
      <c r="BR127" s="136"/>
      <c r="BS127" s="136"/>
      <c r="BT127" s="136"/>
      <c r="BU127" s="136"/>
      <c r="BV127" s="136"/>
      <c r="BW127" s="136"/>
      <c r="BX127" s="136"/>
      <c r="BY127" s="136"/>
      <c r="BZ127" s="136"/>
      <c r="CA127" s="136"/>
      <c r="CB127" s="136"/>
      <c r="CC127" s="136"/>
      <c r="CD127" s="136"/>
      <c r="CE127" s="136"/>
      <c r="CF127" s="136"/>
      <c r="CG127" s="136"/>
      <c r="CH127" s="136"/>
      <c r="CI127" s="136"/>
      <c r="CJ127" s="136"/>
      <c r="CK127" s="136"/>
      <c r="CL127" s="136"/>
      <c r="CM127" s="136"/>
      <c r="CN127" s="136"/>
      <c r="CO127" s="136"/>
      <c r="CP127" s="136"/>
      <c r="CQ127" s="136"/>
      <c r="CR127" s="136"/>
      <c r="CS127" s="136"/>
      <c r="CT127" s="136"/>
      <c r="CU127" s="136"/>
      <c r="CV127" s="136"/>
      <c r="CW127" s="136"/>
      <c r="CX127" s="136"/>
      <c r="CY127" s="136"/>
      <c r="CZ127" s="136"/>
      <c r="DA127" s="136"/>
      <c r="DB127" s="136"/>
      <c r="DC127" s="136"/>
      <c r="DD127" s="136"/>
      <c r="DE127" s="136"/>
      <c r="DF127" s="136"/>
      <c r="DG127" s="136"/>
      <c r="DH127" s="136"/>
      <c r="DI127" s="136"/>
      <c r="DJ127" s="136"/>
      <c r="DK127" s="136"/>
      <c r="DL127" s="136"/>
      <c r="DM127" s="136"/>
      <c r="DN127" s="136"/>
      <c r="DO127" s="136"/>
      <c r="DP127" s="136"/>
      <c r="DQ127" s="136"/>
      <c r="DR127" s="136"/>
      <c r="DS127" s="136"/>
      <c r="DT127" s="136"/>
      <c r="DU127" s="136"/>
      <c r="DV127" s="136"/>
      <c r="DW127" s="136"/>
      <c r="DX127" s="136"/>
      <c r="DY127" s="136"/>
      <c r="DZ127" s="136"/>
      <c r="EA127" s="136"/>
      <c r="EB127" s="136"/>
      <c r="EC127" s="136"/>
      <c r="ED127" s="136"/>
      <c r="EE127" s="136"/>
      <c r="EF127" s="136"/>
      <c r="EG127" s="136"/>
      <c r="EH127" s="136"/>
      <c r="EI127" s="136"/>
      <c r="EJ127" s="136"/>
      <c r="EK127" s="136"/>
      <c r="EL127" s="136"/>
      <c r="EM127" s="136"/>
      <c r="EN127" s="136"/>
      <c r="EO127" s="136"/>
      <c r="EP127" s="136"/>
      <c r="EQ127" s="136"/>
      <c r="ER127" s="136"/>
      <c r="ES127" s="136"/>
      <c r="ET127" s="136"/>
      <c r="EU127" s="136"/>
      <c r="EV127" s="136"/>
      <c r="EW127" s="136"/>
      <c r="EX127" s="136"/>
      <c r="EY127" s="136"/>
      <c r="EZ127" s="136"/>
      <c r="FA127" s="136"/>
      <c r="FB127" s="136"/>
      <c r="FC127" s="136"/>
      <c r="FD127" s="136"/>
      <c r="FE127" s="136"/>
      <c r="FF127" s="136"/>
      <c r="FG127" s="136"/>
      <c r="FH127" s="136"/>
      <c r="FI127" s="136"/>
      <c r="FJ127" s="136"/>
      <c r="FK127" s="136"/>
      <c r="FL127" s="136"/>
      <c r="FM127" s="136"/>
      <c r="FN127" s="136"/>
      <c r="FO127" s="136"/>
      <c r="FP127" s="136"/>
      <c r="FQ127" s="136"/>
      <c r="FR127" s="136"/>
      <c r="FS127" s="136"/>
      <c r="FT127" s="136"/>
      <c r="FU127" s="136"/>
      <c r="FV127" s="136"/>
      <c r="FW127" s="136"/>
      <c r="FX127" s="136"/>
      <c r="FY127" s="136"/>
      <c r="FZ127" s="136"/>
      <c r="GA127" s="136"/>
      <c r="GB127" s="136"/>
      <c r="GC127" s="136"/>
      <c r="GD127" s="136"/>
      <c r="GE127" s="136"/>
      <c r="GF127" s="136"/>
      <c r="GG127" s="136"/>
      <c r="GH127" s="136"/>
      <c r="GI127" s="136"/>
      <c r="GJ127" s="136"/>
      <c r="GK127" s="136"/>
      <c r="GL127" s="136"/>
      <c r="GM127" s="136"/>
      <c r="GN127" s="136"/>
      <c r="GO127" s="136"/>
      <c r="GP127" s="136"/>
      <c r="GQ127" s="136"/>
      <c r="GR127" s="136"/>
      <c r="GS127" s="136"/>
      <c r="GT127" s="136"/>
      <c r="GU127" s="136"/>
      <c r="GV127" s="136"/>
      <c r="GW127" s="136"/>
      <c r="GX127" s="136"/>
      <c r="GY127" s="136"/>
      <c r="GZ127" s="136"/>
      <c r="HA127" s="136"/>
      <c r="HB127" s="136"/>
      <c r="HC127" s="136"/>
      <c r="HD127" s="136"/>
      <c r="HE127" s="136"/>
      <c r="HF127" s="136"/>
      <c r="HG127" s="136"/>
      <c r="HH127" s="136"/>
      <c r="HI127" s="136"/>
      <c r="HJ127" s="136"/>
      <c r="HK127" s="136"/>
      <c r="HL127" s="136"/>
      <c r="HM127" s="136"/>
      <c r="HN127" s="136"/>
      <c r="HO127" s="136"/>
      <c r="HP127" s="136"/>
      <c r="HQ127" s="136"/>
      <c r="HR127" s="136"/>
      <c r="HS127" s="136"/>
      <c r="HT127" s="136"/>
      <c r="HU127" s="136"/>
      <c r="HV127" s="136"/>
      <c r="HW127" s="136"/>
      <c r="HX127" s="136"/>
      <c r="HY127" s="136"/>
      <c r="HZ127" s="136"/>
      <c r="IA127" s="136"/>
      <c r="IB127" s="136"/>
      <c r="IC127" s="136"/>
      <c r="ID127" s="136"/>
      <c r="IE127" s="136"/>
      <c r="IF127" s="136"/>
      <c r="IG127" s="136"/>
      <c r="IH127" s="136"/>
      <c r="II127" s="136"/>
      <c r="IJ127" s="136"/>
      <c r="IK127" s="136"/>
      <c r="IL127" s="136"/>
      <c r="IM127" s="136"/>
      <c r="IN127" s="136"/>
      <c r="IO127" s="136"/>
      <c r="IP127" s="136"/>
      <c r="IQ127" s="136"/>
      <c r="IR127" s="136"/>
      <c r="IS127" s="136"/>
      <c r="IT127" s="136"/>
      <c r="IU127" s="136"/>
    </row>
    <row r="128" spans="1:255" ht="74.25" customHeight="1" x14ac:dyDescent="0.2">
      <c r="A128" s="242" t="str">
        <f>'HECVAT - Full'!A128</f>
        <v>DATA-02</v>
      </c>
      <c r="B128" s="242" t="str">
        <f>VLOOKUP(A128,'HECVAT - Full'!A$24:B$312,2,FALSE)</f>
        <v>Will Institution's data be stored on any devices (database servers, file servers, SAN, NAS, …) configured with non-RFC 1918/4193 (i.e. publicly routable) IP addresses?</v>
      </c>
      <c r="C128" s="255" t="s">
        <v>2816</v>
      </c>
      <c r="D128" s="256" t="s">
        <v>2817</v>
      </c>
      <c r="E128" s="136"/>
      <c r="F128" s="136"/>
      <c r="G128" s="136"/>
      <c r="H128" s="136"/>
      <c r="I128" s="136"/>
      <c r="J128" s="136"/>
      <c r="K128" s="136"/>
      <c r="L128" s="136"/>
      <c r="M128" s="136"/>
      <c r="N128" s="136"/>
      <c r="O128" s="136"/>
      <c r="P128" s="136"/>
      <c r="Q128" s="136"/>
      <c r="R128" s="136"/>
      <c r="S128" s="136"/>
      <c r="T128" s="136"/>
      <c r="U128" s="136"/>
      <c r="V128" s="136"/>
      <c r="W128" s="136"/>
      <c r="X128" s="136"/>
      <c r="Y128" s="136"/>
      <c r="Z128" s="136"/>
      <c r="AA128" s="136"/>
      <c r="AB128" s="136"/>
      <c r="AC128" s="136"/>
      <c r="AD128" s="136"/>
      <c r="AE128" s="136"/>
      <c r="AF128" s="136"/>
      <c r="AG128" s="136"/>
      <c r="AH128" s="136"/>
      <c r="AI128" s="136"/>
      <c r="AJ128" s="136"/>
      <c r="AK128" s="136"/>
      <c r="AL128" s="136"/>
      <c r="AM128" s="136"/>
      <c r="AN128" s="136"/>
      <c r="AO128" s="136"/>
      <c r="AP128" s="136"/>
      <c r="AQ128" s="136"/>
      <c r="AR128" s="136"/>
      <c r="AS128" s="136"/>
      <c r="AT128" s="136"/>
      <c r="AU128" s="136"/>
      <c r="AV128" s="136"/>
      <c r="AW128" s="136"/>
      <c r="AX128" s="136"/>
      <c r="AY128" s="136"/>
      <c r="AZ128" s="136"/>
      <c r="BA128" s="136"/>
      <c r="BB128" s="136"/>
      <c r="BC128" s="136"/>
      <c r="BD128" s="136"/>
      <c r="BE128" s="136"/>
      <c r="BF128" s="136"/>
      <c r="BG128" s="136"/>
      <c r="BH128" s="136"/>
      <c r="BI128" s="136"/>
      <c r="BJ128" s="136"/>
      <c r="BK128" s="136"/>
      <c r="BL128" s="136"/>
      <c r="BM128" s="136"/>
      <c r="BN128" s="136"/>
      <c r="BO128" s="136"/>
      <c r="BP128" s="136"/>
      <c r="BQ128" s="136"/>
      <c r="BR128" s="136"/>
      <c r="BS128" s="136"/>
      <c r="BT128" s="136"/>
      <c r="BU128" s="136"/>
      <c r="BV128" s="136"/>
      <c r="BW128" s="136"/>
      <c r="BX128" s="136"/>
      <c r="BY128" s="136"/>
      <c r="BZ128" s="136"/>
      <c r="CA128" s="136"/>
      <c r="CB128" s="136"/>
      <c r="CC128" s="136"/>
      <c r="CD128" s="136"/>
      <c r="CE128" s="136"/>
      <c r="CF128" s="136"/>
      <c r="CG128" s="136"/>
      <c r="CH128" s="136"/>
      <c r="CI128" s="136"/>
      <c r="CJ128" s="136"/>
      <c r="CK128" s="136"/>
      <c r="CL128" s="136"/>
      <c r="CM128" s="136"/>
      <c r="CN128" s="136"/>
      <c r="CO128" s="136"/>
      <c r="CP128" s="136"/>
      <c r="CQ128" s="136"/>
      <c r="CR128" s="136"/>
      <c r="CS128" s="136"/>
      <c r="CT128" s="136"/>
      <c r="CU128" s="136"/>
      <c r="CV128" s="136"/>
      <c r="CW128" s="136"/>
      <c r="CX128" s="136"/>
      <c r="CY128" s="136"/>
      <c r="CZ128" s="136"/>
      <c r="DA128" s="136"/>
      <c r="DB128" s="136"/>
      <c r="DC128" s="136"/>
      <c r="DD128" s="136"/>
      <c r="DE128" s="136"/>
      <c r="DF128" s="136"/>
      <c r="DG128" s="136"/>
      <c r="DH128" s="136"/>
      <c r="DI128" s="136"/>
      <c r="DJ128" s="136"/>
      <c r="DK128" s="136"/>
      <c r="DL128" s="136"/>
      <c r="DM128" s="136"/>
      <c r="DN128" s="136"/>
      <c r="DO128" s="136"/>
      <c r="DP128" s="136"/>
      <c r="DQ128" s="136"/>
      <c r="DR128" s="136"/>
      <c r="DS128" s="136"/>
      <c r="DT128" s="136"/>
      <c r="DU128" s="136"/>
      <c r="DV128" s="136"/>
      <c r="DW128" s="136"/>
      <c r="DX128" s="136"/>
      <c r="DY128" s="136"/>
      <c r="DZ128" s="136"/>
      <c r="EA128" s="136"/>
      <c r="EB128" s="136"/>
      <c r="EC128" s="136"/>
      <c r="ED128" s="136"/>
      <c r="EE128" s="136"/>
      <c r="EF128" s="136"/>
      <c r="EG128" s="136"/>
      <c r="EH128" s="136"/>
      <c r="EI128" s="136"/>
      <c r="EJ128" s="136"/>
      <c r="EK128" s="136"/>
      <c r="EL128" s="136"/>
      <c r="EM128" s="136"/>
      <c r="EN128" s="136"/>
      <c r="EO128" s="136"/>
      <c r="EP128" s="136"/>
      <c r="EQ128" s="136"/>
      <c r="ER128" s="136"/>
      <c r="ES128" s="136"/>
      <c r="ET128" s="136"/>
      <c r="EU128" s="136"/>
      <c r="EV128" s="136"/>
      <c r="EW128" s="136"/>
      <c r="EX128" s="136"/>
      <c r="EY128" s="136"/>
      <c r="EZ128" s="136"/>
      <c r="FA128" s="136"/>
      <c r="FB128" s="136"/>
      <c r="FC128" s="136"/>
      <c r="FD128" s="136"/>
      <c r="FE128" s="136"/>
      <c r="FF128" s="136"/>
      <c r="FG128" s="136"/>
      <c r="FH128" s="136"/>
      <c r="FI128" s="136"/>
      <c r="FJ128" s="136"/>
      <c r="FK128" s="136"/>
      <c r="FL128" s="136"/>
      <c r="FM128" s="136"/>
      <c r="FN128" s="136"/>
      <c r="FO128" s="136"/>
      <c r="FP128" s="136"/>
      <c r="FQ128" s="136"/>
      <c r="FR128" s="136"/>
      <c r="FS128" s="136"/>
      <c r="FT128" s="136"/>
      <c r="FU128" s="136"/>
      <c r="FV128" s="136"/>
      <c r="FW128" s="136"/>
      <c r="FX128" s="136"/>
      <c r="FY128" s="136"/>
      <c r="FZ128" s="136"/>
      <c r="GA128" s="136"/>
      <c r="GB128" s="136"/>
      <c r="GC128" s="136"/>
      <c r="GD128" s="136"/>
      <c r="GE128" s="136"/>
      <c r="GF128" s="136"/>
      <c r="GG128" s="136"/>
      <c r="GH128" s="136"/>
      <c r="GI128" s="136"/>
      <c r="GJ128" s="136"/>
      <c r="GK128" s="136"/>
      <c r="GL128" s="136"/>
      <c r="GM128" s="136"/>
      <c r="GN128" s="136"/>
      <c r="GO128" s="136"/>
      <c r="GP128" s="136"/>
      <c r="GQ128" s="136"/>
      <c r="GR128" s="136"/>
      <c r="GS128" s="136"/>
      <c r="GT128" s="136"/>
      <c r="GU128" s="136"/>
      <c r="GV128" s="136"/>
      <c r="GW128" s="136"/>
      <c r="GX128" s="136"/>
      <c r="GY128" s="136"/>
      <c r="GZ128" s="136"/>
      <c r="HA128" s="136"/>
      <c r="HB128" s="136"/>
      <c r="HC128" s="136"/>
      <c r="HD128" s="136"/>
      <c r="HE128" s="136"/>
      <c r="HF128" s="136"/>
      <c r="HG128" s="136"/>
      <c r="HH128" s="136"/>
      <c r="HI128" s="136"/>
      <c r="HJ128" s="136"/>
      <c r="HK128" s="136"/>
      <c r="HL128" s="136"/>
      <c r="HM128" s="136"/>
      <c r="HN128" s="136"/>
      <c r="HO128" s="136"/>
      <c r="HP128" s="136"/>
      <c r="HQ128" s="136"/>
      <c r="HR128" s="136"/>
      <c r="HS128" s="136"/>
      <c r="HT128" s="136"/>
      <c r="HU128" s="136"/>
      <c r="HV128" s="136"/>
      <c r="HW128" s="136"/>
      <c r="HX128" s="136"/>
      <c r="HY128" s="136"/>
      <c r="HZ128" s="136"/>
      <c r="IA128" s="136"/>
      <c r="IB128" s="136"/>
      <c r="IC128" s="136"/>
      <c r="ID128" s="136"/>
      <c r="IE128" s="136"/>
      <c r="IF128" s="136"/>
      <c r="IG128" s="136"/>
      <c r="IH128" s="136"/>
      <c r="II128" s="136"/>
      <c r="IJ128" s="136"/>
      <c r="IK128" s="136"/>
      <c r="IL128" s="136"/>
      <c r="IM128" s="136"/>
      <c r="IN128" s="136"/>
      <c r="IO128" s="136"/>
      <c r="IP128" s="136"/>
      <c r="IQ128" s="136"/>
      <c r="IR128" s="136"/>
      <c r="IS128" s="136"/>
      <c r="IT128" s="136"/>
      <c r="IU128" s="136"/>
    </row>
    <row r="129" spans="1:255" ht="68" customHeight="1" x14ac:dyDescent="0.2">
      <c r="A129" s="242" t="str">
        <f>'HECVAT - Full'!A129</f>
        <v>DATA-03</v>
      </c>
      <c r="B129" s="242" t="str">
        <f>VLOOKUP(A129,'HECVAT - Full'!A$24:B$312,2,FALSE)</f>
        <v>Is sensitive data encrypted in transport? (e.g. system-to-client)</v>
      </c>
      <c r="C129" s="245" t="s">
        <v>2818</v>
      </c>
      <c r="D129" s="250" t="s">
        <v>2819</v>
      </c>
      <c r="E129" s="136"/>
      <c r="F129" s="136"/>
      <c r="G129" s="136"/>
      <c r="H129" s="136"/>
      <c r="I129" s="136"/>
      <c r="J129" s="136"/>
      <c r="K129" s="136"/>
      <c r="L129" s="136"/>
      <c r="M129" s="136"/>
      <c r="N129" s="136"/>
      <c r="O129" s="136"/>
      <c r="P129" s="136"/>
      <c r="Q129" s="136"/>
      <c r="R129" s="136"/>
      <c r="S129" s="136"/>
      <c r="T129" s="136"/>
      <c r="U129" s="136"/>
      <c r="V129" s="136"/>
      <c r="W129" s="136"/>
      <c r="X129" s="136"/>
      <c r="Y129" s="136"/>
      <c r="Z129" s="136"/>
      <c r="AA129" s="136"/>
      <c r="AB129" s="136"/>
      <c r="AC129" s="136"/>
      <c r="AD129" s="136"/>
      <c r="AE129" s="136"/>
      <c r="AF129" s="136"/>
      <c r="AG129" s="136"/>
      <c r="AH129" s="136"/>
      <c r="AI129" s="136"/>
      <c r="AJ129" s="136"/>
      <c r="AK129" s="136"/>
      <c r="AL129" s="136"/>
      <c r="AM129" s="136"/>
      <c r="AN129" s="136"/>
      <c r="AO129" s="136"/>
      <c r="AP129" s="136"/>
      <c r="AQ129" s="136"/>
      <c r="AR129" s="136"/>
      <c r="AS129" s="136"/>
      <c r="AT129" s="136"/>
      <c r="AU129" s="136"/>
      <c r="AV129" s="136"/>
      <c r="AW129" s="136"/>
      <c r="AX129" s="136"/>
      <c r="AY129" s="136"/>
      <c r="AZ129" s="136"/>
      <c r="BA129" s="136"/>
      <c r="BB129" s="136"/>
      <c r="BC129" s="136"/>
      <c r="BD129" s="136"/>
      <c r="BE129" s="136"/>
      <c r="BF129" s="136"/>
      <c r="BG129" s="136"/>
      <c r="BH129" s="136"/>
      <c r="BI129" s="136"/>
      <c r="BJ129" s="136"/>
      <c r="BK129" s="136"/>
      <c r="BL129" s="136"/>
      <c r="BM129" s="136"/>
      <c r="BN129" s="136"/>
      <c r="BO129" s="136"/>
      <c r="BP129" s="136"/>
      <c r="BQ129" s="136"/>
      <c r="BR129" s="136"/>
      <c r="BS129" s="136"/>
      <c r="BT129" s="136"/>
      <c r="BU129" s="136"/>
      <c r="BV129" s="136"/>
      <c r="BW129" s="136"/>
      <c r="BX129" s="136"/>
      <c r="BY129" s="136"/>
      <c r="BZ129" s="136"/>
      <c r="CA129" s="136"/>
      <c r="CB129" s="136"/>
      <c r="CC129" s="136"/>
      <c r="CD129" s="136"/>
      <c r="CE129" s="136"/>
      <c r="CF129" s="136"/>
      <c r="CG129" s="136"/>
      <c r="CH129" s="136"/>
      <c r="CI129" s="136"/>
      <c r="CJ129" s="136"/>
      <c r="CK129" s="136"/>
      <c r="CL129" s="136"/>
      <c r="CM129" s="136"/>
      <c r="CN129" s="136"/>
      <c r="CO129" s="136"/>
      <c r="CP129" s="136"/>
      <c r="CQ129" s="136"/>
      <c r="CR129" s="136"/>
      <c r="CS129" s="136"/>
      <c r="CT129" s="136"/>
      <c r="CU129" s="136"/>
      <c r="CV129" s="136"/>
      <c r="CW129" s="136"/>
      <c r="CX129" s="136"/>
      <c r="CY129" s="136"/>
      <c r="CZ129" s="136"/>
      <c r="DA129" s="136"/>
      <c r="DB129" s="136"/>
      <c r="DC129" s="136"/>
      <c r="DD129" s="136"/>
      <c r="DE129" s="136"/>
      <c r="DF129" s="136"/>
      <c r="DG129" s="136"/>
      <c r="DH129" s="136"/>
      <c r="DI129" s="136"/>
      <c r="DJ129" s="136"/>
      <c r="DK129" s="136"/>
      <c r="DL129" s="136"/>
      <c r="DM129" s="136"/>
      <c r="DN129" s="136"/>
      <c r="DO129" s="136"/>
      <c r="DP129" s="136"/>
      <c r="DQ129" s="136"/>
      <c r="DR129" s="136"/>
      <c r="DS129" s="136"/>
      <c r="DT129" s="136"/>
      <c r="DU129" s="136"/>
      <c r="DV129" s="136"/>
      <c r="DW129" s="136"/>
      <c r="DX129" s="136"/>
      <c r="DY129" s="136"/>
      <c r="DZ129" s="136"/>
      <c r="EA129" s="136"/>
      <c r="EB129" s="136"/>
      <c r="EC129" s="136"/>
      <c r="ED129" s="136"/>
      <c r="EE129" s="136"/>
      <c r="EF129" s="136"/>
      <c r="EG129" s="136"/>
      <c r="EH129" s="136"/>
      <c r="EI129" s="136"/>
      <c r="EJ129" s="136"/>
      <c r="EK129" s="136"/>
      <c r="EL129" s="136"/>
      <c r="EM129" s="136"/>
      <c r="EN129" s="136"/>
      <c r="EO129" s="136"/>
      <c r="EP129" s="136"/>
      <c r="EQ129" s="136"/>
      <c r="ER129" s="136"/>
      <c r="ES129" s="136"/>
      <c r="ET129" s="136"/>
      <c r="EU129" s="136"/>
      <c r="EV129" s="136"/>
      <c r="EW129" s="136"/>
      <c r="EX129" s="136"/>
      <c r="EY129" s="136"/>
      <c r="EZ129" s="136"/>
      <c r="FA129" s="136"/>
      <c r="FB129" s="136"/>
      <c r="FC129" s="136"/>
      <c r="FD129" s="136"/>
      <c r="FE129" s="136"/>
      <c r="FF129" s="136"/>
      <c r="FG129" s="136"/>
      <c r="FH129" s="136"/>
      <c r="FI129" s="136"/>
      <c r="FJ129" s="136"/>
      <c r="FK129" s="136"/>
      <c r="FL129" s="136"/>
      <c r="FM129" s="136"/>
      <c r="FN129" s="136"/>
      <c r="FO129" s="136"/>
      <c r="FP129" s="136"/>
      <c r="FQ129" s="136"/>
      <c r="FR129" s="136"/>
      <c r="FS129" s="136"/>
      <c r="FT129" s="136"/>
      <c r="FU129" s="136"/>
      <c r="FV129" s="136"/>
      <c r="FW129" s="136"/>
      <c r="FX129" s="136"/>
      <c r="FY129" s="136"/>
      <c r="FZ129" s="136"/>
      <c r="GA129" s="136"/>
      <c r="GB129" s="136"/>
      <c r="GC129" s="136"/>
      <c r="GD129" s="136"/>
      <c r="GE129" s="136"/>
      <c r="GF129" s="136"/>
      <c r="GG129" s="136"/>
      <c r="GH129" s="136"/>
      <c r="GI129" s="136"/>
      <c r="GJ129" s="136"/>
      <c r="GK129" s="136"/>
      <c r="GL129" s="136"/>
      <c r="GM129" s="136"/>
      <c r="GN129" s="136"/>
      <c r="GO129" s="136"/>
      <c r="GP129" s="136"/>
      <c r="GQ129" s="136"/>
      <c r="GR129" s="136"/>
      <c r="GS129" s="136"/>
      <c r="GT129" s="136"/>
      <c r="GU129" s="136"/>
      <c r="GV129" s="136"/>
      <c r="GW129" s="136"/>
      <c r="GX129" s="136"/>
      <c r="GY129" s="136"/>
      <c r="GZ129" s="136"/>
      <c r="HA129" s="136"/>
      <c r="HB129" s="136"/>
      <c r="HC129" s="136"/>
      <c r="HD129" s="136"/>
      <c r="HE129" s="136"/>
      <c r="HF129" s="136"/>
      <c r="HG129" s="136"/>
      <c r="HH129" s="136"/>
      <c r="HI129" s="136"/>
      <c r="HJ129" s="136"/>
      <c r="HK129" s="136"/>
      <c r="HL129" s="136"/>
      <c r="HM129" s="136"/>
      <c r="HN129" s="136"/>
      <c r="HO129" s="136"/>
      <c r="HP129" s="136"/>
      <c r="HQ129" s="136"/>
      <c r="HR129" s="136"/>
      <c r="HS129" s="136"/>
      <c r="HT129" s="136"/>
      <c r="HU129" s="136"/>
      <c r="HV129" s="136"/>
      <c r="HW129" s="136"/>
      <c r="HX129" s="136"/>
      <c r="HY129" s="136"/>
      <c r="HZ129" s="136"/>
      <c r="IA129" s="136"/>
      <c r="IB129" s="136"/>
      <c r="IC129" s="136"/>
      <c r="ID129" s="136"/>
      <c r="IE129" s="136"/>
      <c r="IF129" s="136"/>
      <c r="IG129" s="136"/>
      <c r="IH129" s="136"/>
      <c r="II129" s="136"/>
      <c r="IJ129" s="136"/>
      <c r="IK129" s="136"/>
      <c r="IL129" s="136"/>
      <c r="IM129" s="136"/>
      <c r="IN129" s="136"/>
      <c r="IO129" s="136"/>
      <c r="IP129" s="136"/>
      <c r="IQ129" s="136"/>
      <c r="IR129" s="136"/>
      <c r="IS129" s="136"/>
      <c r="IT129" s="136"/>
      <c r="IU129" s="136"/>
    </row>
    <row r="130" spans="1:255" ht="68" customHeight="1" x14ac:dyDescent="0.2">
      <c r="A130" s="242" t="str">
        <f>'HECVAT - Full'!A130</f>
        <v>DATA-04</v>
      </c>
      <c r="B130" s="242" t="str">
        <f>VLOOKUP(A130,'HECVAT - Full'!A$24:B$312,2,FALSE)</f>
        <v>Is sensitive data encrypted in storage (e.g. disk encryption, at-rest)?</v>
      </c>
      <c r="C130" s="245" t="s">
        <v>2728</v>
      </c>
      <c r="D130" s="250" t="s">
        <v>2820</v>
      </c>
      <c r="E130" s="136"/>
      <c r="F130" s="136"/>
      <c r="G130" s="136"/>
      <c r="H130" s="136"/>
      <c r="I130" s="136"/>
      <c r="J130" s="136"/>
      <c r="K130" s="136"/>
      <c r="L130" s="136"/>
      <c r="M130" s="136"/>
      <c r="N130" s="136"/>
      <c r="O130" s="136"/>
      <c r="P130" s="136"/>
      <c r="Q130" s="136"/>
      <c r="R130" s="136"/>
      <c r="S130" s="136"/>
      <c r="T130" s="136"/>
      <c r="U130" s="136"/>
      <c r="V130" s="136"/>
      <c r="W130" s="136"/>
      <c r="X130" s="136"/>
      <c r="Y130" s="136"/>
      <c r="Z130" s="136"/>
      <c r="AA130" s="136"/>
      <c r="AB130" s="136"/>
      <c r="AC130" s="136"/>
      <c r="AD130" s="136"/>
      <c r="AE130" s="136"/>
      <c r="AF130" s="136"/>
      <c r="AG130" s="136"/>
      <c r="AH130" s="136"/>
      <c r="AI130" s="136"/>
      <c r="AJ130" s="136"/>
      <c r="AK130" s="136"/>
      <c r="AL130" s="136"/>
      <c r="AM130" s="136"/>
      <c r="AN130" s="136"/>
      <c r="AO130" s="136"/>
      <c r="AP130" s="136"/>
      <c r="AQ130" s="136"/>
      <c r="AR130" s="136"/>
      <c r="AS130" s="136"/>
      <c r="AT130" s="136"/>
      <c r="AU130" s="136"/>
      <c r="AV130" s="136"/>
      <c r="AW130" s="136"/>
      <c r="AX130" s="136"/>
      <c r="AY130" s="136"/>
      <c r="AZ130" s="136"/>
      <c r="BA130" s="136"/>
      <c r="BB130" s="136"/>
      <c r="BC130" s="136"/>
      <c r="BD130" s="136"/>
      <c r="BE130" s="136"/>
      <c r="BF130" s="136"/>
      <c r="BG130" s="136"/>
      <c r="BH130" s="136"/>
      <c r="BI130" s="136"/>
      <c r="BJ130" s="136"/>
      <c r="BK130" s="136"/>
      <c r="BL130" s="136"/>
      <c r="BM130" s="136"/>
      <c r="BN130" s="136"/>
      <c r="BO130" s="136"/>
      <c r="BP130" s="136"/>
      <c r="BQ130" s="136"/>
      <c r="BR130" s="136"/>
      <c r="BS130" s="136"/>
      <c r="BT130" s="136"/>
      <c r="BU130" s="136"/>
      <c r="BV130" s="136"/>
      <c r="BW130" s="136"/>
      <c r="BX130" s="136"/>
      <c r="BY130" s="136"/>
      <c r="BZ130" s="136"/>
      <c r="CA130" s="136"/>
      <c r="CB130" s="136"/>
      <c r="CC130" s="136"/>
      <c r="CD130" s="136"/>
      <c r="CE130" s="136"/>
      <c r="CF130" s="136"/>
      <c r="CG130" s="136"/>
      <c r="CH130" s="136"/>
      <c r="CI130" s="136"/>
      <c r="CJ130" s="136"/>
      <c r="CK130" s="136"/>
      <c r="CL130" s="136"/>
      <c r="CM130" s="136"/>
      <c r="CN130" s="136"/>
      <c r="CO130" s="136"/>
      <c r="CP130" s="136"/>
      <c r="CQ130" s="136"/>
      <c r="CR130" s="136"/>
      <c r="CS130" s="136"/>
      <c r="CT130" s="136"/>
      <c r="CU130" s="136"/>
      <c r="CV130" s="136"/>
      <c r="CW130" s="136"/>
      <c r="CX130" s="136"/>
      <c r="CY130" s="136"/>
      <c r="CZ130" s="136"/>
      <c r="DA130" s="136"/>
      <c r="DB130" s="136"/>
      <c r="DC130" s="136"/>
      <c r="DD130" s="136"/>
      <c r="DE130" s="136"/>
      <c r="DF130" s="136"/>
      <c r="DG130" s="136"/>
      <c r="DH130" s="136"/>
      <c r="DI130" s="136"/>
      <c r="DJ130" s="136"/>
      <c r="DK130" s="136"/>
      <c r="DL130" s="136"/>
      <c r="DM130" s="136"/>
      <c r="DN130" s="136"/>
      <c r="DO130" s="136"/>
      <c r="DP130" s="136"/>
      <c r="DQ130" s="136"/>
      <c r="DR130" s="136"/>
      <c r="DS130" s="136"/>
      <c r="DT130" s="136"/>
      <c r="DU130" s="136"/>
      <c r="DV130" s="136"/>
      <c r="DW130" s="136"/>
      <c r="DX130" s="136"/>
      <c r="DY130" s="136"/>
      <c r="DZ130" s="136"/>
      <c r="EA130" s="136"/>
      <c r="EB130" s="136"/>
      <c r="EC130" s="136"/>
      <c r="ED130" s="136"/>
      <c r="EE130" s="136"/>
      <c r="EF130" s="136"/>
      <c r="EG130" s="136"/>
      <c r="EH130" s="136"/>
      <c r="EI130" s="136"/>
      <c r="EJ130" s="136"/>
      <c r="EK130" s="136"/>
      <c r="EL130" s="136"/>
      <c r="EM130" s="136"/>
      <c r="EN130" s="136"/>
      <c r="EO130" s="136"/>
      <c r="EP130" s="136"/>
      <c r="EQ130" s="136"/>
      <c r="ER130" s="136"/>
      <c r="ES130" s="136"/>
      <c r="ET130" s="136"/>
      <c r="EU130" s="136"/>
      <c r="EV130" s="136"/>
      <c r="EW130" s="136"/>
      <c r="EX130" s="136"/>
      <c r="EY130" s="136"/>
      <c r="EZ130" s="136"/>
      <c r="FA130" s="136"/>
      <c r="FB130" s="136"/>
      <c r="FC130" s="136"/>
      <c r="FD130" s="136"/>
      <c r="FE130" s="136"/>
      <c r="FF130" s="136"/>
      <c r="FG130" s="136"/>
      <c r="FH130" s="136"/>
      <c r="FI130" s="136"/>
      <c r="FJ130" s="136"/>
      <c r="FK130" s="136"/>
      <c r="FL130" s="136"/>
      <c r="FM130" s="136"/>
      <c r="FN130" s="136"/>
      <c r="FO130" s="136"/>
      <c r="FP130" s="136"/>
      <c r="FQ130" s="136"/>
      <c r="FR130" s="136"/>
      <c r="FS130" s="136"/>
      <c r="FT130" s="136"/>
      <c r="FU130" s="136"/>
      <c r="FV130" s="136"/>
      <c r="FW130" s="136"/>
      <c r="FX130" s="136"/>
      <c r="FY130" s="136"/>
      <c r="FZ130" s="136"/>
      <c r="GA130" s="136"/>
      <c r="GB130" s="136"/>
      <c r="GC130" s="136"/>
      <c r="GD130" s="136"/>
      <c r="GE130" s="136"/>
      <c r="GF130" s="136"/>
      <c r="GG130" s="136"/>
      <c r="GH130" s="136"/>
      <c r="GI130" s="136"/>
      <c r="GJ130" s="136"/>
      <c r="GK130" s="136"/>
      <c r="GL130" s="136"/>
      <c r="GM130" s="136"/>
      <c r="GN130" s="136"/>
      <c r="GO130" s="136"/>
      <c r="GP130" s="136"/>
      <c r="GQ130" s="136"/>
      <c r="GR130" s="136"/>
      <c r="GS130" s="136"/>
      <c r="GT130" s="136"/>
      <c r="GU130" s="136"/>
      <c r="GV130" s="136"/>
      <c r="GW130" s="136"/>
      <c r="GX130" s="136"/>
      <c r="GY130" s="136"/>
      <c r="GZ130" s="136"/>
      <c r="HA130" s="136"/>
      <c r="HB130" s="136"/>
      <c r="HC130" s="136"/>
      <c r="HD130" s="136"/>
      <c r="HE130" s="136"/>
      <c r="HF130" s="136"/>
      <c r="HG130" s="136"/>
      <c r="HH130" s="136"/>
      <c r="HI130" s="136"/>
      <c r="HJ130" s="136"/>
      <c r="HK130" s="136"/>
      <c r="HL130" s="136"/>
      <c r="HM130" s="136"/>
      <c r="HN130" s="136"/>
      <c r="HO130" s="136"/>
      <c r="HP130" s="136"/>
      <c r="HQ130" s="136"/>
      <c r="HR130" s="136"/>
      <c r="HS130" s="136"/>
      <c r="HT130" s="136"/>
      <c r="HU130" s="136"/>
      <c r="HV130" s="136"/>
      <c r="HW130" s="136"/>
      <c r="HX130" s="136"/>
      <c r="HY130" s="136"/>
      <c r="HZ130" s="136"/>
      <c r="IA130" s="136"/>
      <c r="IB130" s="136"/>
      <c r="IC130" s="136"/>
      <c r="ID130" s="136"/>
      <c r="IE130" s="136"/>
      <c r="IF130" s="136"/>
      <c r="IG130" s="136"/>
      <c r="IH130" s="136"/>
      <c r="II130" s="136"/>
      <c r="IJ130" s="136"/>
      <c r="IK130" s="136"/>
      <c r="IL130" s="136"/>
      <c r="IM130" s="136"/>
      <c r="IN130" s="136"/>
      <c r="IO130" s="136"/>
      <c r="IP130" s="136"/>
      <c r="IQ130" s="136"/>
      <c r="IR130" s="136"/>
      <c r="IS130" s="136"/>
      <c r="IT130" s="136"/>
      <c r="IU130" s="136"/>
    </row>
    <row r="131" spans="1:255" ht="90" x14ac:dyDescent="0.2">
      <c r="A131" s="242" t="str">
        <f>'HECVAT - Full'!A131</f>
        <v>DATA-05</v>
      </c>
      <c r="B131" s="242" t="str">
        <f>VLOOKUP(A131,'HECVAT - Full'!A$24:B$312,2,FALSE)</f>
        <v>Do you employ or allow any cryptographic modules that do not conform to the Federal Information Processing Standards (FIPS PUB 140-2)?</v>
      </c>
      <c r="C131" s="243" t="s">
        <v>2821</v>
      </c>
      <c r="D131" s="253" t="s">
        <v>2822</v>
      </c>
      <c r="E131" s="136"/>
      <c r="F131" s="136"/>
      <c r="G131" s="136"/>
      <c r="H131" s="136"/>
      <c r="I131" s="136"/>
      <c r="J131" s="136"/>
      <c r="K131" s="136"/>
      <c r="L131" s="136"/>
      <c r="M131" s="136"/>
      <c r="N131" s="136"/>
      <c r="O131" s="136"/>
      <c r="P131" s="136"/>
      <c r="Q131" s="136"/>
      <c r="R131" s="136"/>
      <c r="S131" s="136"/>
      <c r="T131" s="136"/>
      <c r="U131" s="136"/>
      <c r="V131" s="136"/>
      <c r="W131" s="136"/>
      <c r="X131" s="136"/>
      <c r="Y131" s="136"/>
      <c r="Z131" s="136"/>
      <c r="AA131" s="136"/>
      <c r="AB131" s="136"/>
      <c r="AC131" s="136"/>
      <c r="AD131" s="136"/>
      <c r="AE131" s="136"/>
      <c r="AF131" s="136"/>
      <c r="AG131" s="136"/>
      <c r="AH131" s="136"/>
      <c r="AI131" s="136"/>
      <c r="AJ131" s="136"/>
      <c r="AK131" s="136"/>
      <c r="AL131" s="136"/>
      <c r="AM131" s="136"/>
      <c r="AN131" s="136"/>
      <c r="AO131" s="136"/>
      <c r="AP131" s="136"/>
      <c r="AQ131" s="136"/>
      <c r="AR131" s="136"/>
      <c r="AS131" s="136"/>
      <c r="AT131" s="136"/>
      <c r="AU131" s="136"/>
      <c r="AV131" s="136"/>
      <c r="AW131" s="136"/>
      <c r="AX131" s="136"/>
      <c r="AY131" s="136"/>
      <c r="AZ131" s="136"/>
      <c r="BA131" s="136"/>
      <c r="BB131" s="136"/>
      <c r="BC131" s="136"/>
      <c r="BD131" s="136"/>
      <c r="BE131" s="136"/>
      <c r="BF131" s="136"/>
      <c r="BG131" s="136"/>
      <c r="BH131" s="136"/>
      <c r="BI131" s="136"/>
      <c r="BJ131" s="136"/>
      <c r="BK131" s="136"/>
      <c r="BL131" s="136"/>
      <c r="BM131" s="136"/>
      <c r="BN131" s="136"/>
      <c r="BO131" s="136"/>
      <c r="BP131" s="136"/>
      <c r="BQ131" s="136"/>
      <c r="BR131" s="136"/>
      <c r="BS131" s="136"/>
      <c r="BT131" s="136"/>
      <c r="BU131" s="136"/>
      <c r="BV131" s="136"/>
      <c r="BW131" s="136"/>
      <c r="BX131" s="136"/>
      <c r="BY131" s="136"/>
      <c r="BZ131" s="136"/>
      <c r="CA131" s="136"/>
      <c r="CB131" s="136"/>
      <c r="CC131" s="136"/>
      <c r="CD131" s="136"/>
      <c r="CE131" s="136"/>
      <c r="CF131" s="136"/>
      <c r="CG131" s="136"/>
      <c r="CH131" s="136"/>
      <c r="CI131" s="136"/>
      <c r="CJ131" s="136"/>
      <c r="CK131" s="136"/>
      <c r="CL131" s="136"/>
      <c r="CM131" s="136"/>
      <c r="CN131" s="136"/>
      <c r="CO131" s="136"/>
      <c r="CP131" s="136"/>
      <c r="CQ131" s="136"/>
      <c r="CR131" s="136"/>
      <c r="CS131" s="136"/>
      <c r="CT131" s="136"/>
      <c r="CU131" s="136"/>
      <c r="CV131" s="136"/>
      <c r="CW131" s="136"/>
      <c r="CX131" s="136"/>
      <c r="CY131" s="136"/>
      <c r="CZ131" s="136"/>
      <c r="DA131" s="136"/>
      <c r="DB131" s="136"/>
      <c r="DC131" s="136"/>
      <c r="DD131" s="136"/>
      <c r="DE131" s="136"/>
      <c r="DF131" s="136"/>
      <c r="DG131" s="136"/>
      <c r="DH131" s="136"/>
      <c r="DI131" s="136"/>
      <c r="DJ131" s="136"/>
      <c r="DK131" s="136"/>
      <c r="DL131" s="136"/>
      <c r="DM131" s="136"/>
      <c r="DN131" s="136"/>
      <c r="DO131" s="136"/>
      <c r="DP131" s="136"/>
      <c r="DQ131" s="136"/>
      <c r="DR131" s="136"/>
      <c r="DS131" s="136"/>
      <c r="DT131" s="136"/>
      <c r="DU131" s="136"/>
      <c r="DV131" s="136"/>
      <c r="DW131" s="136"/>
      <c r="DX131" s="136"/>
      <c r="DY131" s="136"/>
      <c r="DZ131" s="136"/>
      <c r="EA131" s="136"/>
      <c r="EB131" s="136"/>
      <c r="EC131" s="136"/>
      <c r="ED131" s="136"/>
      <c r="EE131" s="136"/>
      <c r="EF131" s="136"/>
      <c r="EG131" s="136"/>
      <c r="EH131" s="136"/>
      <c r="EI131" s="136"/>
      <c r="EJ131" s="136"/>
      <c r="EK131" s="136"/>
      <c r="EL131" s="136"/>
      <c r="EM131" s="136"/>
      <c r="EN131" s="136"/>
      <c r="EO131" s="136"/>
      <c r="EP131" s="136"/>
      <c r="EQ131" s="136"/>
      <c r="ER131" s="136"/>
      <c r="ES131" s="136"/>
      <c r="ET131" s="136"/>
      <c r="EU131" s="136"/>
      <c r="EV131" s="136"/>
      <c r="EW131" s="136"/>
      <c r="EX131" s="136"/>
      <c r="EY131" s="136"/>
      <c r="EZ131" s="136"/>
      <c r="FA131" s="136"/>
      <c r="FB131" s="136"/>
      <c r="FC131" s="136"/>
      <c r="FD131" s="136"/>
      <c r="FE131" s="136"/>
      <c r="FF131" s="136"/>
      <c r="FG131" s="136"/>
      <c r="FH131" s="136"/>
      <c r="FI131" s="136"/>
      <c r="FJ131" s="136"/>
      <c r="FK131" s="136"/>
      <c r="FL131" s="136"/>
      <c r="FM131" s="136"/>
      <c r="FN131" s="136"/>
      <c r="FO131" s="136"/>
      <c r="FP131" s="136"/>
      <c r="FQ131" s="136"/>
      <c r="FR131" s="136"/>
      <c r="FS131" s="136"/>
      <c r="FT131" s="136"/>
      <c r="FU131" s="136"/>
      <c r="FV131" s="136"/>
      <c r="FW131" s="136"/>
      <c r="FX131" s="136"/>
      <c r="FY131" s="136"/>
      <c r="FZ131" s="136"/>
      <c r="GA131" s="136"/>
      <c r="GB131" s="136"/>
      <c r="GC131" s="136"/>
      <c r="GD131" s="136"/>
      <c r="GE131" s="136"/>
      <c r="GF131" s="136"/>
      <c r="GG131" s="136"/>
      <c r="GH131" s="136"/>
      <c r="GI131" s="136"/>
      <c r="GJ131" s="136"/>
      <c r="GK131" s="136"/>
      <c r="GL131" s="136"/>
      <c r="GM131" s="136"/>
      <c r="GN131" s="136"/>
      <c r="GO131" s="136"/>
      <c r="GP131" s="136"/>
      <c r="GQ131" s="136"/>
      <c r="GR131" s="136"/>
      <c r="GS131" s="136"/>
      <c r="GT131" s="136"/>
      <c r="GU131" s="136"/>
      <c r="GV131" s="136"/>
      <c r="GW131" s="136"/>
      <c r="GX131" s="136"/>
      <c r="GY131" s="136"/>
      <c r="GZ131" s="136"/>
      <c r="HA131" s="136"/>
      <c r="HB131" s="136"/>
      <c r="HC131" s="136"/>
      <c r="HD131" s="136"/>
      <c r="HE131" s="136"/>
      <c r="HF131" s="136"/>
      <c r="HG131" s="136"/>
      <c r="HH131" s="136"/>
      <c r="HI131" s="136"/>
      <c r="HJ131" s="136"/>
      <c r="HK131" s="136"/>
      <c r="HL131" s="136"/>
      <c r="HM131" s="136"/>
      <c r="HN131" s="136"/>
      <c r="HO131" s="136"/>
      <c r="HP131" s="136"/>
      <c r="HQ131" s="136"/>
      <c r="HR131" s="136"/>
      <c r="HS131" s="136"/>
      <c r="HT131" s="136"/>
      <c r="HU131" s="136"/>
      <c r="HV131" s="136"/>
      <c r="HW131" s="136"/>
      <c r="HX131" s="136"/>
      <c r="HY131" s="136"/>
      <c r="HZ131" s="136"/>
      <c r="IA131" s="136"/>
      <c r="IB131" s="136"/>
      <c r="IC131" s="136"/>
      <c r="ID131" s="136"/>
      <c r="IE131" s="136"/>
      <c r="IF131" s="136"/>
      <c r="IG131" s="136"/>
      <c r="IH131" s="136"/>
      <c r="II131" s="136"/>
      <c r="IJ131" s="136"/>
      <c r="IK131" s="136"/>
      <c r="IL131" s="136"/>
      <c r="IM131" s="136"/>
      <c r="IN131" s="136"/>
      <c r="IO131" s="136"/>
      <c r="IP131" s="136"/>
      <c r="IQ131" s="136"/>
      <c r="IR131" s="136"/>
      <c r="IS131" s="136"/>
      <c r="IT131" s="136"/>
      <c r="IU131" s="136"/>
    </row>
    <row r="132" spans="1:255" ht="105" x14ac:dyDescent="0.2">
      <c r="A132" s="242" t="str">
        <f>'HECVAT - Full'!A132</f>
        <v>DATA-06</v>
      </c>
      <c r="B132" s="242" t="str">
        <f>VLOOKUP(A132,'HECVAT - Full'!A$24:B$312,2,FALSE)</f>
        <v>Does your system employ encryption technologies when transmitting sensitive information over TCP/IP networks (e.g., SSH, SSL/TLS, VPN)? (e.g. system-to-system and system-to-client)</v>
      </c>
      <c r="C132" s="255" t="s">
        <v>2823</v>
      </c>
      <c r="D132" s="256" t="s">
        <v>2824</v>
      </c>
      <c r="E132" s="136"/>
      <c r="F132" s="136"/>
      <c r="G132" s="136"/>
      <c r="H132" s="136"/>
      <c r="I132" s="136"/>
      <c r="J132" s="136"/>
      <c r="K132" s="136"/>
      <c r="L132" s="136"/>
      <c r="M132" s="136"/>
      <c r="N132" s="136"/>
      <c r="O132" s="136"/>
      <c r="P132" s="136"/>
      <c r="Q132" s="136"/>
      <c r="R132" s="136"/>
      <c r="S132" s="136"/>
      <c r="T132" s="136"/>
      <c r="U132" s="136"/>
      <c r="V132" s="136"/>
      <c r="W132" s="136"/>
      <c r="X132" s="136"/>
      <c r="Y132" s="136"/>
      <c r="Z132" s="136"/>
      <c r="AA132" s="136"/>
      <c r="AB132" s="136"/>
      <c r="AC132" s="136"/>
      <c r="AD132" s="136"/>
      <c r="AE132" s="136"/>
      <c r="AF132" s="136"/>
      <c r="AG132" s="136"/>
      <c r="AH132" s="136"/>
      <c r="AI132" s="136"/>
      <c r="AJ132" s="136"/>
      <c r="AK132" s="136"/>
      <c r="AL132" s="136"/>
      <c r="AM132" s="136"/>
      <c r="AN132" s="136"/>
      <c r="AO132" s="136"/>
      <c r="AP132" s="136"/>
      <c r="AQ132" s="136"/>
      <c r="AR132" s="136"/>
      <c r="AS132" s="136"/>
      <c r="AT132" s="136"/>
      <c r="AU132" s="136"/>
      <c r="AV132" s="136"/>
      <c r="AW132" s="136"/>
      <c r="AX132" s="136"/>
      <c r="AY132" s="136"/>
      <c r="AZ132" s="136"/>
      <c r="BA132" s="136"/>
      <c r="BB132" s="136"/>
      <c r="BC132" s="136"/>
      <c r="BD132" s="136"/>
      <c r="BE132" s="136"/>
      <c r="BF132" s="136"/>
      <c r="BG132" s="136"/>
      <c r="BH132" s="136"/>
      <c r="BI132" s="136"/>
      <c r="BJ132" s="136"/>
      <c r="BK132" s="136"/>
      <c r="BL132" s="136"/>
      <c r="BM132" s="136"/>
      <c r="BN132" s="136"/>
      <c r="BO132" s="136"/>
      <c r="BP132" s="136"/>
      <c r="BQ132" s="136"/>
      <c r="BR132" s="136"/>
      <c r="BS132" s="136"/>
      <c r="BT132" s="136"/>
      <c r="BU132" s="136"/>
      <c r="BV132" s="136"/>
      <c r="BW132" s="136"/>
      <c r="BX132" s="136"/>
      <c r="BY132" s="136"/>
      <c r="BZ132" s="136"/>
      <c r="CA132" s="136"/>
      <c r="CB132" s="136"/>
      <c r="CC132" s="136"/>
      <c r="CD132" s="136"/>
      <c r="CE132" s="136"/>
      <c r="CF132" s="136"/>
      <c r="CG132" s="136"/>
      <c r="CH132" s="136"/>
      <c r="CI132" s="136"/>
      <c r="CJ132" s="136"/>
      <c r="CK132" s="136"/>
      <c r="CL132" s="136"/>
      <c r="CM132" s="136"/>
      <c r="CN132" s="136"/>
      <c r="CO132" s="136"/>
      <c r="CP132" s="136"/>
      <c r="CQ132" s="136"/>
      <c r="CR132" s="136"/>
      <c r="CS132" s="136"/>
      <c r="CT132" s="136"/>
      <c r="CU132" s="136"/>
      <c r="CV132" s="136"/>
      <c r="CW132" s="136"/>
      <c r="CX132" s="136"/>
      <c r="CY132" s="136"/>
      <c r="CZ132" s="136"/>
      <c r="DA132" s="136"/>
      <c r="DB132" s="136"/>
      <c r="DC132" s="136"/>
      <c r="DD132" s="136"/>
      <c r="DE132" s="136"/>
      <c r="DF132" s="136"/>
      <c r="DG132" s="136"/>
      <c r="DH132" s="136"/>
      <c r="DI132" s="136"/>
      <c r="DJ132" s="136"/>
      <c r="DK132" s="136"/>
      <c r="DL132" s="136"/>
      <c r="DM132" s="136"/>
      <c r="DN132" s="136"/>
      <c r="DO132" s="136"/>
      <c r="DP132" s="136"/>
      <c r="DQ132" s="136"/>
      <c r="DR132" s="136"/>
      <c r="DS132" s="136"/>
      <c r="DT132" s="136"/>
      <c r="DU132" s="136"/>
      <c r="DV132" s="136"/>
      <c r="DW132" s="136"/>
      <c r="DX132" s="136"/>
      <c r="DY132" s="136"/>
      <c r="DZ132" s="136"/>
      <c r="EA132" s="136"/>
      <c r="EB132" s="136"/>
      <c r="EC132" s="136"/>
      <c r="ED132" s="136"/>
      <c r="EE132" s="136"/>
      <c r="EF132" s="136"/>
      <c r="EG132" s="136"/>
      <c r="EH132" s="136"/>
      <c r="EI132" s="136"/>
      <c r="EJ132" s="136"/>
      <c r="EK132" s="136"/>
      <c r="EL132" s="136"/>
      <c r="EM132" s="136"/>
      <c r="EN132" s="136"/>
      <c r="EO132" s="136"/>
      <c r="EP132" s="136"/>
      <c r="EQ132" s="136"/>
      <c r="ER132" s="136"/>
      <c r="ES132" s="136"/>
      <c r="ET132" s="136"/>
      <c r="EU132" s="136"/>
      <c r="EV132" s="136"/>
      <c r="EW132" s="136"/>
      <c r="EX132" s="136"/>
      <c r="EY132" s="136"/>
      <c r="EZ132" s="136"/>
      <c r="FA132" s="136"/>
      <c r="FB132" s="136"/>
      <c r="FC132" s="136"/>
      <c r="FD132" s="136"/>
      <c r="FE132" s="136"/>
      <c r="FF132" s="136"/>
      <c r="FG132" s="136"/>
      <c r="FH132" s="136"/>
      <c r="FI132" s="136"/>
      <c r="FJ132" s="136"/>
      <c r="FK132" s="136"/>
      <c r="FL132" s="136"/>
      <c r="FM132" s="136"/>
      <c r="FN132" s="136"/>
      <c r="FO132" s="136"/>
      <c r="FP132" s="136"/>
      <c r="FQ132" s="136"/>
      <c r="FR132" s="136"/>
      <c r="FS132" s="136"/>
      <c r="FT132" s="136"/>
      <c r="FU132" s="136"/>
      <c r="FV132" s="136"/>
      <c r="FW132" s="136"/>
      <c r="FX132" s="136"/>
      <c r="FY132" s="136"/>
      <c r="FZ132" s="136"/>
      <c r="GA132" s="136"/>
      <c r="GB132" s="136"/>
      <c r="GC132" s="136"/>
      <c r="GD132" s="136"/>
      <c r="GE132" s="136"/>
      <c r="GF132" s="136"/>
      <c r="GG132" s="136"/>
      <c r="GH132" s="136"/>
      <c r="GI132" s="136"/>
      <c r="GJ132" s="136"/>
      <c r="GK132" s="136"/>
      <c r="GL132" s="136"/>
      <c r="GM132" s="136"/>
      <c r="GN132" s="136"/>
      <c r="GO132" s="136"/>
      <c r="GP132" s="136"/>
      <c r="GQ132" s="136"/>
      <c r="GR132" s="136"/>
      <c r="GS132" s="136"/>
      <c r="GT132" s="136"/>
      <c r="GU132" s="136"/>
      <c r="GV132" s="136"/>
      <c r="GW132" s="136"/>
      <c r="GX132" s="136"/>
      <c r="GY132" s="136"/>
      <c r="GZ132" s="136"/>
      <c r="HA132" s="136"/>
      <c r="HB132" s="136"/>
      <c r="HC132" s="136"/>
      <c r="HD132" s="136"/>
      <c r="HE132" s="136"/>
      <c r="HF132" s="136"/>
      <c r="HG132" s="136"/>
      <c r="HH132" s="136"/>
      <c r="HI132" s="136"/>
      <c r="HJ132" s="136"/>
      <c r="HK132" s="136"/>
      <c r="HL132" s="136"/>
      <c r="HM132" s="136"/>
      <c r="HN132" s="136"/>
      <c r="HO132" s="136"/>
      <c r="HP132" s="136"/>
      <c r="HQ132" s="136"/>
      <c r="HR132" s="136"/>
      <c r="HS132" s="136"/>
      <c r="HT132" s="136"/>
      <c r="HU132" s="136"/>
      <c r="HV132" s="136"/>
      <c r="HW132" s="136"/>
      <c r="HX132" s="136"/>
      <c r="HY132" s="136"/>
      <c r="HZ132" s="136"/>
      <c r="IA132" s="136"/>
      <c r="IB132" s="136"/>
      <c r="IC132" s="136"/>
      <c r="ID132" s="136"/>
      <c r="IE132" s="136"/>
      <c r="IF132" s="136"/>
      <c r="IG132" s="136"/>
      <c r="IH132" s="136"/>
      <c r="II132" s="136"/>
      <c r="IJ132" s="136"/>
      <c r="IK132" s="136"/>
      <c r="IL132" s="136"/>
      <c r="IM132" s="136"/>
      <c r="IN132" s="136"/>
      <c r="IO132" s="136"/>
      <c r="IP132" s="136"/>
      <c r="IQ132" s="136"/>
      <c r="IR132" s="136"/>
      <c r="IS132" s="136"/>
      <c r="IT132" s="136"/>
      <c r="IU132" s="136"/>
    </row>
    <row r="133" spans="1:255" ht="90" x14ac:dyDescent="0.2">
      <c r="A133" s="242" t="str">
        <f>'HECVAT - Full'!A133</f>
        <v>DATA-07</v>
      </c>
      <c r="B133" s="242" t="str">
        <f>VLOOKUP(A133,'HECVAT - Full'!A$24:B$312,2,FALSE)</f>
        <v>List all locations (i.e. city + datacenter name) where the institution's data will be stored?</v>
      </c>
      <c r="C133" s="245" t="s">
        <v>2825</v>
      </c>
      <c r="D133" s="250" t="s">
        <v>2826</v>
      </c>
      <c r="E133" s="136"/>
      <c r="F133" s="136"/>
      <c r="G133" s="136"/>
      <c r="H133" s="136"/>
      <c r="I133" s="136"/>
      <c r="J133" s="136"/>
      <c r="K133" s="136"/>
      <c r="L133" s="136"/>
      <c r="M133" s="136"/>
      <c r="N133" s="136"/>
      <c r="O133" s="136"/>
      <c r="P133" s="136"/>
      <c r="Q133" s="136"/>
      <c r="R133" s="136"/>
      <c r="S133" s="136"/>
      <c r="T133" s="136"/>
      <c r="U133" s="136"/>
      <c r="V133" s="136"/>
      <c r="W133" s="136"/>
      <c r="X133" s="136"/>
      <c r="Y133" s="136"/>
      <c r="Z133" s="136"/>
      <c r="AA133" s="136"/>
      <c r="AB133" s="136"/>
      <c r="AC133" s="136"/>
      <c r="AD133" s="136"/>
      <c r="AE133" s="136"/>
      <c r="AF133" s="136"/>
      <c r="AG133" s="136"/>
      <c r="AH133" s="136"/>
      <c r="AI133" s="136"/>
      <c r="AJ133" s="136"/>
      <c r="AK133" s="136"/>
      <c r="AL133" s="136"/>
      <c r="AM133" s="136"/>
      <c r="AN133" s="136"/>
      <c r="AO133" s="136"/>
      <c r="AP133" s="136"/>
      <c r="AQ133" s="136"/>
      <c r="AR133" s="136"/>
      <c r="AS133" s="136"/>
      <c r="AT133" s="136"/>
      <c r="AU133" s="136"/>
      <c r="AV133" s="136"/>
      <c r="AW133" s="136"/>
      <c r="AX133" s="136"/>
      <c r="AY133" s="136"/>
      <c r="AZ133" s="136"/>
      <c r="BA133" s="136"/>
      <c r="BB133" s="136"/>
      <c r="BC133" s="136"/>
      <c r="BD133" s="136"/>
      <c r="BE133" s="136"/>
      <c r="BF133" s="136"/>
      <c r="BG133" s="136"/>
      <c r="BH133" s="136"/>
      <c r="BI133" s="136"/>
      <c r="BJ133" s="136"/>
      <c r="BK133" s="136"/>
      <c r="BL133" s="136"/>
      <c r="BM133" s="136"/>
      <c r="BN133" s="136"/>
      <c r="BO133" s="136"/>
      <c r="BP133" s="136"/>
      <c r="BQ133" s="136"/>
      <c r="BR133" s="136"/>
      <c r="BS133" s="136"/>
      <c r="BT133" s="136"/>
      <c r="BU133" s="136"/>
      <c r="BV133" s="136"/>
      <c r="BW133" s="136"/>
      <c r="BX133" s="136"/>
      <c r="BY133" s="136"/>
      <c r="BZ133" s="136"/>
      <c r="CA133" s="136"/>
      <c r="CB133" s="136"/>
      <c r="CC133" s="136"/>
      <c r="CD133" s="136"/>
      <c r="CE133" s="136"/>
      <c r="CF133" s="136"/>
      <c r="CG133" s="136"/>
      <c r="CH133" s="136"/>
      <c r="CI133" s="136"/>
      <c r="CJ133" s="136"/>
      <c r="CK133" s="136"/>
      <c r="CL133" s="136"/>
      <c r="CM133" s="136"/>
      <c r="CN133" s="136"/>
      <c r="CO133" s="136"/>
      <c r="CP133" s="136"/>
      <c r="CQ133" s="136"/>
      <c r="CR133" s="136"/>
      <c r="CS133" s="136"/>
      <c r="CT133" s="136"/>
      <c r="CU133" s="136"/>
      <c r="CV133" s="136"/>
      <c r="CW133" s="136"/>
      <c r="CX133" s="136"/>
      <c r="CY133" s="136"/>
      <c r="CZ133" s="136"/>
      <c r="DA133" s="136"/>
      <c r="DB133" s="136"/>
      <c r="DC133" s="136"/>
      <c r="DD133" s="136"/>
      <c r="DE133" s="136"/>
      <c r="DF133" s="136"/>
      <c r="DG133" s="136"/>
      <c r="DH133" s="136"/>
      <c r="DI133" s="136"/>
      <c r="DJ133" s="136"/>
      <c r="DK133" s="136"/>
      <c r="DL133" s="136"/>
      <c r="DM133" s="136"/>
      <c r="DN133" s="136"/>
      <c r="DO133" s="136"/>
      <c r="DP133" s="136"/>
      <c r="DQ133" s="136"/>
      <c r="DR133" s="136"/>
      <c r="DS133" s="136"/>
      <c r="DT133" s="136"/>
      <c r="DU133" s="136"/>
      <c r="DV133" s="136"/>
      <c r="DW133" s="136"/>
      <c r="DX133" s="136"/>
      <c r="DY133" s="136"/>
      <c r="DZ133" s="136"/>
      <c r="EA133" s="136"/>
      <c r="EB133" s="136"/>
      <c r="EC133" s="136"/>
      <c r="ED133" s="136"/>
      <c r="EE133" s="136"/>
      <c r="EF133" s="136"/>
      <c r="EG133" s="136"/>
      <c r="EH133" s="136"/>
      <c r="EI133" s="136"/>
      <c r="EJ133" s="136"/>
      <c r="EK133" s="136"/>
      <c r="EL133" s="136"/>
      <c r="EM133" s="136"/>
      <c r="EN133" s="136"/>
      <c r="EO133" s="136"/>
      <c r="EP133" s="136"/>
      <c r="EQ133" s="136"/>
      <c r="ER133" s="136"/>
      <c r="ES133" s="136"/>
      <c r="ET133" s="136"/>
      <c r="EU133" s="136"/>
      <c r="EV133" s="136"/>
      <c r="EW133" s="136"/>
      <c r="EX133" s="136"/>
      <c r="EY133" s="136"/>
      <c r="EZ133" s="136"/>
      <c r="FA133" s="136"/>
      <c r="FB133" s="136"/>
      <c r="FC133" s="136"/>
      <c r="FD133" s="136"/>
      <c r="FE133" s="136"/>
      <c r="FF133" s="136"/>
      <c r="FG133" s="136"/>
      <c r="FH133" s="136"/>
      <c r="FI133" s="136"/>
      <c r="FJ133" s="136"/>
      <c r="FK133" s="136"/>
      <c r="FL133" s="136"/>
      <c r="FM133" s="136"/>
      <c r="FN133" s="136"/>
      <c r="FO133" s="136"/>
      <c r="FP133" s="136"/>
      <c r="FQ133" s="136"/>
      <c r="FR133" s="136"/>
      <c r="FS133" s="136"/>
      <c r="FT133" s="136"/>
      <c r="FU133" s="136"/>
      <c r="FV133" s="136"/>
      <c r="FW133" s="136"/>
      <c r="FX133" s="136"/>
      <c r="FY133" s="136"/>
      <c r="FZ133" s="136"/>
      <c r="GA133" s="136"/>
      <c r="GB133" s="136"/>
      <c r="GC133" s="136"/>
      <c r="GD133" s="136"/>
      <c r="GE133" s="136"/>
      <c r="GF133" s="136"/>
      <c r="GG133" s="136"/>
      <c r="GH133" s="136"/>
      <c r="GI133" s="136"/>
      <c r="GJ133" s="136"/>
      <c r="GK133" s="136"/>
      <c r="GL133" s="136"/>
      <c r="GM133" s="136"/>
      <c r="GN133" s="136"/>
      <c r="GO133" s="136"/>
      <c r="GP133" s="136"/>
      <c r="GQ133" s="136"/>
      <c r="GR133" s="136"/>
      <c r="GS133" s="136"/>
      <c r="GT133" s="136"/>
      <c r="GU133" s="136"/>
      <c r="GV133" s="136"/>
      <c r="GW133" s="136"/>
      <c r="GX133" s="136"/>
      <c r="GY133" s="136"/>
      <c r="GZ133" s="136"/>
      <c r="HA133" s="136"/>
      <c r="HB133" s="136"/>
      <c r="HC133" s="136"/>
      <c r="HD133" s="136"/>
      <c r="HE133" s="136"/>
      <c r="HF133" s="136"/>
      <c r="HG133" s="136"/>
      <c r="HH133" s="136"/>
      <c r="HI133" s="136"/>
      <c r="HJ133" s="136"/>
      <c r="HK133" s="136"/>
      <c r="HL133" s="136"/>
      <c r="HM133" s="136"/>
      <c r="HN133" s="136"/>
      <c r="HO133" s="136"/>
      <c r="HP133" s="136"/>
      <c r="HQ133" s="136"/>
      <c r="HR133" s="136"/>
      <c r="HS133" s="136"/>
      <c r="HT133" s="136"/>
      <c r="HU133" s="136"/>
      <c r="HV133" s="136"/>
      <c r="HW133" s="136"/>
      <c r="HX133" s="136"/>
      <c r="HY133" s="136"/>
      <c r="HZ133" s="136"/>
      <c r="IA133" s="136"/>
      <c r="IB133" s="136"/>
      <c r="IC133" s="136"/>
      <c r="ID133" s="136"/>
      <c r="IE133" s="136"/>
      <c r="IF133" s="136"/>
      <c r="IG133" s="136"/>
      <c r="IH133" s="136"/>
      <c r="II133" s="136"/>
      <c r="IJ133" s="136"/>
      <c r="IK133" s="136"/>
      <c r="IL133" s="136"/>
      <c r="IM133" s="136"/>
      <c r="IN133" s="136"/>
      <c r="IO133" s="136"/>
      <c r="IP133" s="136"/>
      <c r="IQ133" s="136"/>
      <c r="IR133" s="136"/>
      <c r="IS133" s="136"/>
      <c r="IT133" s="136"/>
      <c r="IU133" s="136"/>
    </row>
    <row r="134" spans="1:255" ht="76.5" customHeight="1" x14ac:dyDescent="0.2">
      <c r="A134" s="242" t="str">
        <f>'HECVAT - Full'!A134</f>
        <v>DATA-08</v>
      </c>
      <c r="B134" s="242" t="str">
        <f>VLOOKUP(A134,'HECVAT - Full'!A$24:B$312,2,FALSE)</f>
        <v>At the completion of this contract, will data be returned to the institution?</v>
      </c>
      <c r="C134" s="272" t="s">
        <v>3033</v>
      </c>
      <c r="D134" s="256" t="s">
        <v>2827</v>
      </c>
      <c r="E134" s="136"/>
      <c r="F134" s="136"/>
      <c r="G134" s="136"/>
      <c r="H134" s="136"/>
      <c r="I134" s="136"/>
      <c r="J134" s="136"/>
      <c r="K134" s="136"/>
      <c r="L134" s="136"/>
      <c r="M134" s="136"/>
      <c r="N134" s="136"/>
      <c r="O134" s="136"/>
      <c r="P134" s="136"/>
      <c r="Q134" s="136"/>
      <c r="R134" s="136"/>
      <c r="S134" s="136"/>
      <c r="T134" s="136"/>
      <c r="U134" s="136"/>
      <c r="V134" s="136"/>
      <c r="W134" s="136"/>
      <c r="X134" s="136"/>
      <c r="Y134" s="136"/>
      <c r="Z134" s="136"/>
      <c r="AA134" s="136"/>
      <c r="AB134" s="136"/>
      <c r="AC134" s="136"/>
      <c r="AD134" s="136"/>
      <c r="AE134" s="136"/>
      <c r="AF134" s="136"/>
      <c r="AG134" s="136"/>
      <c r="AH134" s="136"/>
      <c r="AI134" s="136"/>
      <c r="AJ134" s="136"/>
      <c r="AK134" s="136"/>
      <c r="AL134" s="136"/>
      <c r="AM134" s="136"/>
      <c r="AN134" s="136"/>
      <c r="AO134" s="136"/>
      <c r="AP134" s="136"/>
      <c r="AQ134" s="136"/>
      <c r="AR134" s="136"/>
      <c r="AS134" s="136"/>
      <c r="AT134" s="136"/>
      <c r="AU134" s="136"/>
      <c r="AV134" s="136"/>
      <c r="AW134" s="136"/>
      <c r="AX134" s="136"/>
      <c r="AY134" s="136"/>
      <c r="AZ134" s="136"/>
      <c r="BA134" s="136"/>
      <c r="BB134" s="136"/>
      <c r="BC134" s="136"/>
      <c r="BD134" s="136"/>
      <c r="BE134" s="136"/>
      <c r="BF134" s="136"/>
      <c r="BG134" s="136"/>
      <c r="BH134" s="136"/>
      <c r="BI134" s="136"/>
      <c r="BJ134" s="136"/>
      <c r="BK134" s="136"/>
      <c r="BL134" s="136"/>
      <c r="BM134" s="136"/>
      <c r="BN134" s="136"/>
      <c r="BO134" s="136"/>
      <c r="BP134" s="136"/>
      <c r="BQ134" s="136"/>
      <c r="BR134" s="136"/>
      <c r="BS134" s="136"/>
      <c r="BT134" s="136"/>
      <c r="BU134" s="136"/>
      <c r="BV134" s="136"/>
      <c r="BW134" s="136"/>
      <c r="BX134" s="136"/>
      <c r="BY134" s="136"/>
      <c r="BZ134" s="136"/>
      <c r="CA134" s="136"/>
      <c r="CB134" s="136"/>
      <c r="CC134" s="136"/>
      <c r="CD134" s="136"/>
      <c r="CE134" s="136"/>
      <c r="CF134" s="136"/>
      <c r="CG134" s="136"/>
      <c r="CH134" s="136"/>
      <c r="CI134" s="136"/>
      <c r="CJ134" s="136"/>
      <c r="CK134" s="136"/>
      <c r="CL134" s="136"/>
      <c r="CM134" s="136"/>
      <c r="CN134" s="136"/>
      <c r="CO134" s="136"/>
      <c r="CP134" s="136"/>
      <c r="CQ134" s="136"/>
      <c r="CR134" s="136"/>
      <c r="CS134" s="136"/>
      <c r="CT134" s="136"/>
      <c r="CU134" s="136"/>
      <c r="CV134" s="136"/>
      <c r="CW134" s="136"/>
      <c r="CX134" s="136"/>
      <c r="CY134" s="136"/>
      <c r="CZ134" s="136"/>
      <c r="DA134" s="136"/>
      <c r="DB134" s="136"/>
      <c r="DC134" s="136"/>
      <c r="DD134" s="136"/>
      <c r="DE134" s="136"/>
      <c r="DF134" s="136"/>
      <c r="DG134" s="136"/>
      <c r="DH134" s="136"/>
      <c r="DI134" s="136"/>
      <c r="DJ134" s="136"/>
      <c r="DK134" s="136"/>
      <c r="DL134" s="136"/>
      <c r="DM134" s="136"/>
      <c r="DN134" s="136"/>
      <c r="DO134" s="136"/>
      <c r="DP134" s="136"/>
      <c r="DQ134" s="136"/>
      <c r="DR134" s="136"/>
      <c r="DS134" s="136"/>
      <c r="DT134" s="136"/>
      <c r="DU134" s="136"/>
      <c r="DV134" s="136"/>
      <c r="DW134" s="136"/>
      <c r="DX134" s="136"/>
      <c r="DY134" s="136"/>
      <c r="DZ134" s="136"/>
      <c r="EA134" s="136"/>
      <c r="EB134" s="136"/>
      <c r="EC134" s="136"/>
      <c r="ED134" s="136"/>
      <c r="EE134" s="136"/>
      <c r="EF134" s="136"/>
      <c r="EG134" s="136"/>
      <c r="EH134" s="136"/>
      <c r="EI134" s="136"/>
      <c r="EJ134" s="136"/>
      <c r="EK134" s="136"/>
      <c r="EL134" s="136"/>
      <c r="EM134" s="136"/>
      <c r="EN134" s="136"/>
      <c r="EO134" s="136"/>
      <c r="EP134" s="136"/>
      <c r="EQ134" s="136"/>
      <c r="ER134" s="136"/>
      <c r="ES134" s="136"/>
      <c r="ET134" s="136"/>
      <c r="EU134" s="136"/>
      <c r="EV134" s="136"/>
      <c r="EW134" s="136"/>
      <c r="EX134" s="136"/>
      <c r="EY134" s="136"/>
      <c r="EZ134" s="136"/>
      <c r="FA134" s="136"/>
      <c r="FB134" s="136"/>
      <c r="FC134" s="136"/>
      <c r="FD134" s="136"/>
      <c r="FE134" s="136"/>
      <c r="FF134" s="136"/>
      <c r="FG134" s="136"/>
      <c r="FH134" s="136"/>
      <c r="FI134" s="136"/>
      <c r="FJ134" s="136"/>
      <c r="FK134" s="136"/>
      <c r="FL134" s="136"/>
      <c r="FM134" s="136"/>
      <c r="FN134" s="136"/>
      <c r="FO134" s="136"/>
      <c r="FP134" s="136"/>
      <c r="FQ134" s="136"/>
      <c r="FR134" s="136"/>
      <c r="FS134" s="136"/>
      <c r="FT134" s="136"/>
      <c r="FU134" s="136"/>
      <c r="FV134" s="136"/>
      <c r="FW134" s="136"/>
      <c r="FX134" s="136"/>
      <c r="FY134" s="136"/>
      <c r="FZ134" s="136"/>
      <c r="GA134" s="136"/>
      <c r="GB134" s="136"/>
      <c r="GC134" s="136"/>
      <c r="GD134" s="136"/>
      <c r="GE134" s="136"/>
      <c r="GF134" s="136"/>
      <c r="GG134" s="136"/>
      <c r="GH134" s="136"/>
      <c r="GI134" s="136"/>
      <c r="GJ134" s="136"/>
      <c r="GK134" s="136"/>
      <c r="GL134" s="136"/>
      <c r="GM134" s="136"/>
      <c r="GN134" s="136"/>
      <c r="GO134" s="136"/>
      <c r="GP134" s="136"/>
      <c r="GQ134" s="136"/>
      <c r="GR134" s="136"/>
      <c r="GS134" s="136"/>
      <c r="GT134" s="136"/>
      <c r="GU134" s="136"/>
      <c r="GV134" s="136"/>
      <c r="GW134" s="136"/>
      <c r="GX134" s="136"/>
      <c r="GY134" s="136"/>
      <c r="GZ134" s="136"/>
      <c r="HA134" s="136"/>
      <c r="HB134" s="136"/>
      <c r="HC134" s="136"/>
      <c r="HD134" s="136"/>
      <c r="HE134" s="136"/>
      <c r="HF134" s="136"/>
      <c r="HG134" s="136"/>
      <c r="HH134" s="136"/>
      <c r="HI134" s="136"/>
      <c r="HJ134" s="136"/>
      <c r="HK134" s="136"/>
      <c r="HL134" s="136"/>
      <c r="HM134" s="136"/>
      <c r="HN134" s="136"/>
      <c r="HO134" s="136"/>
      <c r="HP134" s="136"/>
      <c r="HQ134" s="136"/>
      <c r="HR134" s="136"/>
      <c r="HS134" s="136"/>
      <c r="HT134" s="136"/>
      <c r="HU134" s="136"/>
      <c r="HV134" s="136"/>
      <c r="HW134" s="136"/>
      <c r="HX134" s="136"/>
      <c r="HY134" s="136"/>
      <c r="HZ134" s="136"/>
      <c r="IA134" s="136"/>
      <c r="IB134" s="136"/>
      <c r="IC134" s="136"/>
      <c r="ID134" s="136"/>
      <c r="IE134" s="136"/>
      <c r="IF134" s="136"/>
      <c r="IG134" s="136"/>
      <c r="IH134" s="136"/>
      <c r="II134" s="136"/>
      <c r="IJ134" s="136"/>
      <c r="IK134" s="136"/>
      <c r="IL134" s="136"/>
      <c r="IM134" s="136"/>
      <c r="IN134" s="136"/>
      <c r="IO134" s="136"/>
      <c r="IP134" s="136"/>
      <c r="IQ134" s="136"/>
      <c r="IR134" s="136"/>
      <c r="IS134" s="136"/>
      <c r="IT134" s="136"/>
      <c r="IU134" s="136"/>
    </row>
    <row r="135" spans="1:255" ht="75" x14ac:dyDescent="0.2">
      <c r="A135" s="242" t="str">
        <f>'HECVAT - Full'!A135</f>
        <v>DATA-09</v>
      </c>
      <c r="B135" s="242" t="str">
        <f>VLOOKUP(A135,'HECVAT - Full'!A$24:B$312,2,FALSE)</f>
        <v>Will the institution's data be available within the system for a period of time at the completion of this contract?</v>
      </c>
      <c r="C135" s="272" t="s">
        <v>3033</v>
      </c>
      <c r="D135" s="256" t="s">
        <v>2827</v>
      </c>
      <c r="E135" s="136"/>
      <c r="F135" s="136"/>
      <c r="G135" s="136"/>
      <c r="H135" s="136"/>
      <c r="I135" s="136"/>
      <c r="J135" s="136"/>
      <c r="K135" s="136"/>
      <c r="L135" s="136"/>
      <c r="M135" s="136"/>
      <c r="N135" s="136"/>
      <c r="O135" s="136"/>
      <c r="P135" s="136"/>
      <c r="Q135" s="136"/>
      <c r="R135" s="136"/>
      <c r="S135" s="136"/>
      <c r="T135" s="136"/>
      <c r="U135" s="136"/>
      <c r="V135" s="136"/>
      <c r="W135" s="136"/>
      <c r="X135" s="136"/>
      <c r="Y135" s="136"/>
      <c r="Z135" s="136"/>
      <c r="AA135" s="136"/>
      <c r="AB135" s="136"/>
      <c r="AC135" s="136"/>
      <c r="AD135" s="136"/>
      <c r="AE135" s="136"/>
      <c r="AF135" s="136"/>
      <c r="AG135" s="136"/>
      <c r="AH135" s="136"/>
      <c r="AI135" s="136"/>
      <c r="AJ135" s="136"/>
      <c r="AK135" s="136"/>
      <c r="AL135" s="136"/>
      <c r="AM135" s="136"/>
      <c r="AN135" s="136"/>
      <c r="AO135" s="136"/>
      <c r="AP135" s="136"/>
      <c r="AQ135" s="136"/>
      <c r="AR135" s="136"/>
      <c r="AS135" s="136"/>
      <c r="AT135" s="136"/>
      <c r="AU135" s="136"/>
      <c r="AV135" s="136"/>
      <c r="AW135" s="136"/>
      <c r="AX135" s="136"/>
      <c r="AY135" s="136"/>
      <c r="AZ135" s="136"/>
      <c r="BA135" s="136"/>
      <c r="BB135" s="136"/>
      <c r="BC135" s="136"/>
      <c r="BD135" s="136"/>
      <c r="BE135" s="136"/>
      <c r="BF135" s="136"/>
      <c r="BG135" s="136"/>
      <c r="BH135" s="136"/>
      <c r="BI135" s="136"/>
      <c r="BJ135" s="136"/>
      <c r="BK135" s="136"/>
      <c r="BL135" s="136"/>
      <c r="BM135" s="136"/>
      <c r="BN135" s="136"/>
      <c r="BO135" s="136"/>
      <c r="BP135" s="136"/>
      <c r="BQ135" s="136"/>
      <c r="BR135" s="136"/>
      <c r="BS135" s="136"/>
      <c r="BT135" s="136"/>
      <c r="BU135" s="136"/>
      <c r="BV135" s="136"/>
      <c r="BW135" s="136"/>
      <c r="BX135" s="136"/>
      <c r="BY135" s="136"/>
      <c r="BZ135" s="136"/>
      <c r="CA135" s="136"/>
      <c r="CB135" s="136"/>
      <c r="CC135" s="136"/>
      <c r="CD135" s="136"/>
      <c r="CE135" s="136"/>
      <c r="CF135" s="136"/>
      <c r="CG135" s="136"/>
      <c r="CH135" s="136"/>
      <c r="CI135" s="136"/>
      <c r="CJ135" s="136"/>
      <c r="CK135" s="136"/>
      <c r="CL135" s="136"/>
      <c r="CM135" s="136"/>
      <c r="CN135" s="136"/>
      <c r="CO135" s="136"/>
      <c r="CP135" s="136"/>
      <c r="CQ135" s="136"/>
      <c r="CR135" s="136"/>
      <c r="CS135" s="136"/>
      <c r="CT135" s="136"/>
      <c r="CU135" s="136"/>
      <c r="CV135" s="136"/>
      <c r="CW135" s="136"/>
      <c r="CX135" s="136"/>
      <c r="CY135" s="136"/>
      <c r="CZ135" s="136"/>
      <c r="DA135" s="136"/>
      <c r="DB135" s="136"/>
      <c r="DC135" s="136"/>
      <c r="DD135" s="136"/>
      <c r="DE135" s="136"/>
      <c r="DF135" s="136"/>
      <c r="DG135" s="136"/>
      <c r="DH135" s="136"/>
      <c r="DI135" s="136"/>
      <c r="DJ135" s="136"/>
      <c r="DK135" s="136"/>
      <c r="DL135" s="136"/>
      <c r="DM135" s="136"/>
      <c r="DN135" s="136"/>
      <c r="DO135" s="136"/>
      <c r="DP135" s="136"/>
      <c r="DQ135" s="136"/>
      <c r="DR135" s="136"/>
      <c r="DS135" s="136"/>
      <c r="DT135" s="136"/>
      <c r="DU135" s="136"/>
      <c r="DV135" s="136"/>
      <c r="DW135" s="136"/>
      <c r="DX135" s="136"/>
      <c r="DY135" s="136"/>
      <c r="DZ135" s="136"/>
      <c r="EA135" s="136"/>
      <c r="EB135" s="136"/>
      <c r="EC135" s="136"/>
      <c r="ED135" s="136"/>
      <c r="EE135" s="136"/>
      <c r="EF135" s="136"/>
      <c r="EG135" s="136"/>
      <c r="EH135" s="136"/>
      <c r="EI135" s="136"/>
      <c r="EJ135" s="136"/>
      <c r="EK135" s="136"/>
      <c r="EL135" s="136"/>
      <c r="EM135" s="136"/>
      <c r="EN135" s="136"/>
      <c r="EO135" s="136"/>
      <c r="EP135" s="136"/>
      <c r="EQ135" s="136"/>
      <c r="ER135" s="136"/>
      <c r="ES135" s="136"/>
      <c r="ET135" s="136"/>
      <c r="EU135" s="136"/>
      <c r="EV135" s="136"/>
      <c r="EW135" s="136"/>
      <c r="EX135" s="136"/>
      <c r="EY135" s="136"/>
      <c r="EZ135" s="136"/>
      <c r="FA135" s="136"/>
      <c r="FB135" s="136"/>
      <c r="FC135" s="136"/>
      <c r="FD135" s="136"/>
      <c r="FE135" s="136"/>
      <c r="FF135" s="136"/>
      <c r="FG135" s="136"/>
      <c r="FH135" s="136"/>
      <c r="FI135" s="136"/>
      <c r="FJ135" s="136"/>
      <c r="FK135" s="136"/>
      <c r="FL135" s="136"/>
      <c r="FM135" s="136"/>
      <c r="FN135" s="136"/>
      <c r="FO135" s="136"/>
      <c r="FP135" s="136"/>
      <c r="FQ135" s="136"/>
      <c r="FR135" s="136"/>
      <c r="FS135" s="136"/>
      <c r="FT135" s="136"/>
      <c r="FU135" s="136"/>
      <c r="FV135" s="136"/>
      <c r="FW135" s="136"/>
      <c r="FX135" s="136"/>
      <c r="FY135" s="136"/>
      <c r="FZ135" s="136"/>
      <c r="GA135" s="136"/>
      <c r="GB135" s="136"/>
      <c r="GC135" s="136"/>
      <c r="GD135" s="136"/>
      <c r="GE135" s="136"/>
      <c r="GF135" s="136"/>
      <c r="GG135" s="136"/>
      <c r="GH135" s="136"/>
      <c r="GI135" s="136"/>
      <c r="GJ135" s="136"/>
      <c r="GK135" s="136"/>
      <c r="GL135" s="136"/>
      <c r="GM135" s="136"/>
      <c r="GN135" s="136"/>
      <c r="GO135" s="136"/>
      <c r="GP135" s="136"/>
      <c r="GQ135" s="136"/>
      <c r="GR135" s="136"/>
      <c r="GS135" s="136"/>
      <c r="GT135" s="136"/>
      <c r="GU135" s="136"/>
      <c r="GV135" s="136"/>
      <c r="GW135" s="136"/>
      <c r="GX135" s="136"/>
      <c r="GY135" s="136"/>
      <c r="GZ135" s="136"/>
      <c r="HA135" s="136"/>
      <c r="HB135" s="136"/>
      <c r="HC135" s="136"/>
      <c r="HD135" s="136"/>
      <c r="HE135" s="136"/>
      <c r="HF135" s="136"/>
      <c r="HG135" s="136"/>
      <c r="HH135" s="136"/>
      <c r="HI135" s="136"/>
      <c r="HJ135" s="136"/>
      <c r="HK135" s="136"/>
      <c r="HL135" s="136"/>
      <c r="HM135" s="136"/>
      <c r="HN135" s="136"/>
      <c r="HO135" s="136"/>
      <c r="HP135" s="136"/>
      <c r="HQ135" s="136"/>
      <c r="HR135" s="136"/>
      <c r="HS135" s="136"/>
      <c r="HT135" s="136"/>
      <c r="HU135" s="136"/>
      <c r="HV135" s="136"/>
      <c r="HW135" s="136"/>
      <c r="HX135" s="136"/>
      <c r="HY135" s="136"/>
      <c r="HZ135" s="136"/>
      <c r="IA135" s="136"/>
      <c r="IB135" s="136"/>
      <c r="IC135" s="136"/>
      <c r="ID135" s="136"/>
      <c r="IE135" s="136"/>
      <c r="IF135" s="136"/>
      <c r="IG135" s="136"/>
      <c r="IH135" s="136"/>
      <c r="II135" s="136"/>
      <c r="IJ135" s="136"/>
      <c r="IK135" s="136"/>
      <c r="IL135" s="136"/>
      <c r="IM135" s="136"/>
      <c r="IN135" s="136"/>
      <c r="IO135" s="136"/>
      <c r="IP135" s="136"/>
      <c r="IQ135" s="136"/>
      <c r="IR135" s="136"/>
      <c r="IS135" s="136"/>
      <c r="IT135" s="136"/>
      <c r="IU135" s="136"/>
    </row>
    <row r="136" spans="1:255" ht="75" x14ac:dyDescent="0.2">
      <c r="A136" s="242" t="str">
        <f>'HECVAT - Full'!A136</f>
        <v>DATA-10</v>
      </c>
      <c r="B136" s="242" t="str">
        <f>VLOOKUP(A136,'HECVAT - Full'!A$24:B$312,2,FALSE)</f>
        <v>Can the institution extract a full backup of data?</v>
      </c>
      <c r="C136" s="272" t="s">
        <v>3034</v>
      </c>
      <c r="D136" s="256" t="s">
        <v>2827</v>
      </c>
      <c r="E136" s="136"/>
      <c r="F136" s="136"/>
      <c r="G136" s="136"/>
      <c r="H136" s="136"/>
      <c r="I136" s="136"/>
      <c r="J136" s="136"/>
      <c r="K136" s="136"/>
      <c r="L136" s="136"/>
      <c r="M136" s="136"/>
      <c r="N136" s="136"/>
      <c r="O136" s="136"/>
      <c r="P136" s="136"/>
      <c r="Q136" s="136"/>
      <c r="R136" s="136"/>
      <c r="S136" s="136"/>
      <c r="T136" s="136"/>
      <c r="U136" s="136"/>
      <c r="V136" s="136"/>
      <c r="W136" s="136"/>
      <c r="X136" s="136"/>
      <c r="Y136" s="136"/>
      <c r="Z136" s="136"/>
      <c r="AA136" s="136"/>
      <c r="AB136" s="136"/>
      <c r="AC136" s="136"/>
      <c r="AD136" s="136"/>
      <c r="AE136" s="136"/>
      <c r="AF136" s="136"/>
      <c r="AG136" s="136"/>
      <c r="AH136" s="136"/>
      <c r="AI136" s="136"/>
      <c r="AJ136" s="136"/>
      <c r="AK136" s="136"/>
      <c r="AL136" s="136"/>
      <c r="AM136" s="136"/>
      <c r="AN136" s="136"/>
      <c r="AO136" s="136"/>
      <c r="AP136" s="136"/>
      <c r="AQ136" s="136"/>
      <c r="AR136" s="136"/>
      <c r="AS136" s="136"/>
      <c r="AT136" s="136"/>
      <c r="AU136" s="136"/>
      <c r="AV136" s="136"/>
      <c r="AW136" s="136"/>
      <c r="AX136" s="136"/>
      <c r="AY136" s="136"/>
      <c r="AZ136" s="136"/>
      <c r="BA136" s="136"/>
      <c r="BB136" s="136"/>
      <c r="BC136" s="136"/>
      <c r="BD136" s="136"/>
      <c r="BE136" s="136"/>
      <c r="BF136" s="136"/>
      <c r="BG136" s="136"/>
      <c r="BH136" s="136"/>
      <c r="BI136" s="136"/>
      <c r="BJ136" s="136"/>
      <c r="BK136" s="136"/>
      <c r="BL136" s="136"/>
      <c r="BM136" s="136"/>
      <c r="BN136" s="136"/>
      <c r="BO136" s="136"/>
      <c r="BP136" s="136"/>
      <c r="BQ136" s="136"/>
      <c r="BR136" s="136"/>
      <c r="BS136" s="136"/>
      <c r="BT136" s="136"/>
      <c r="BU136" s="136"/>
      <c r="BV136" s="136"/>
      <c r="BW136" s="136"/>
      <c r="BX136" s="136"/>
      <c r="BY136" s="136"/>
      <c r="BZ136" s="136"/>
      <c r="CA136" s="136"/>
      <c r="CB136" s="136"/>
      <c r="CC136" s="136"/>
      <c r="CD136" s="136"/>
      <c r="CE136" s="136"/>
      <c r="CF136" s="136"/>
      <c r="CG136" s="136"/>
      <c r="CH136" s="136"/>
      <c r="CI136" s="136"/>
      <c r="CJ136" s="136"/>
      <c r="CK136" s="136"/>
      <c r="CL136" s="136"/>
      <c r="CM136" s="136"/>
      <c r="CN136" s="136"/>
      <c r="CO136" s="136"/>
      <c r="CP136" s="136"/>
      <c r="CQ136" s="136"/>
      <c r="CR136" s="136"/>
      <c r="CS136" s="136"/>
      <c r="CT136" s="136"/>
      <c r="CU136" s="136"/>
      <c r="CV136" s="136"/>
      <c r="CW136" s="136"/>
      <c r="CX136" s="136"/>
      <c r="CY136" s="136"/>
      <c r="CZ136" s="136"/>
      <c r="DA136" s="136"/>
      <c r="DB136" s="136"/>
      <c r="DC136" s="136"/>
      <c r="DD136" s="136"/>
      <c r="DE136" s="136"/>
      <c r="DF136" s="136"/>
      <c r="DG136" s="136"/>
      <c r="DH136" s="136"/>
      <c r="DI136" s="136"/>
      <c r="DJ136" s="136"/>
      <c r="DK136" s="136"/>
      <c r="DL136" s="136"/>
      <c r="DM136" s="136"/>
      <c r="DN136" s="136"/>
      <c r="DO136" s="136"/>
      <c r="DP136" s="136"/>
      <c r="DQ136" s="136"/>
      <c r="DR136" s="136"/>
      <c r="DS136" s="136"/>
      <c r="DT136" s="136"/>
      <c r="DU136" s="136"/>
      <c r="DV136" s="136"/>
      <c r="DW136" s="136"/>
      <c r="DX136" s="136"/>
      <c r="DY136" s="136"/>
      <c r="DZ136" s="136"/>
      <c r="EA136" s="136"/>
      <c r="EB136" s="136"/>
      <c r="EC136" s="136"/>
      <c r="ED136" s="136"/>
      <c r="EE136" s="136"/>
      <c r="EF136" s="136"/>
      <c r="EG136" s="136"/>
      <c r="EH136" s="136"/>
      <c r="EI136" s="136"/>
      <c r="EJ136" s="136"/>
      <c r="EK136" s="136"/>
      <c r="EL136" s="136"/>
      <c r="EM136" s="136"/>
      <c r="EN136" s="136"/>
      <c r="EO136" s="136"/>
      <c r="EP136" s="136"/>
      <c r="EQ136" s="136"/>
      <c r="ER136" s="136"/>
      <c r="ES136" s="136"/>
      <c r="ET136" s="136"/>
      <c r="EU136" s="136"/>
      <c r="EV136" s="136"/>
      <c r="EW136" s="136"/>
      <c r="EX136" s="136"/>
      <c r="EY136" s="136"/>
      <c r="EZ136" s="136"/>
      <c r="FA136" s="136"/>
      <c r="FB136" s="136"/>
      <c r="FC136" s="136"/>
      <c r="FD136" s="136"/>
      <c r="FE136" s="136"/>
      <c r="FF136" s="136"/>
      <c r="FG136" s="136"/>
      <c r="FH136" s="136"/>
      <c r="FI136" s="136"/>
      <c r="FJ136" s="136"/>
      <c r="FK136" s="136"/>
      <c r="FL136" s="136"/>
      <c r="FM136" s="136"/>
      <c r="FN136" s="136"/>
      <c r="FO136" s="136"/>
      <c r="FP136" s="136"/>
      <c r="FQ136" s="136"/>
      <c r="FR136" s="136"/>
      <c r="FS136" s="136"/>
      <c r="FT136" s="136"/>
      <c r="FU136" s="136"/>
      <c r="FV136" s="136"/>
      <c r="FW136" s="136"/>
      <c r="FX136" s="136"/>
      <c r="FY136" s="136"/>
      <c r="FZ136" s="136"/>
      <c r="GA136" s="136"/>
      <c r="GB136" s="136"/>
      <c r="GC136" s="136"/>
      <c r="GD136" s="136"/>
      <c r="GE136" s="136"/>
      <c r="GF136" s="136"/>
      <c r="GG136" s="136"/>
      <c r="GH136" s="136"/>
      <c r="GI136" s="136"/>
      <c r="GJ136" s="136"/>
      <c r="GK136" s="136"/>
      <c r="GL136" s="136"/>
      <c r="GM136" s="136"/>
      <c r="GN136" s="136"/>
      <c r="GO136" s="136"/>
      <c r="GP136" s="136"/>
      <c r="GQ136" s="136"/>
      <c r="GR136" s="136"/>
      <c r="GS136" s="136"/>
      <c r="GT136" s="136"/>
      <c r="GU136" s="136"/>
      <c r="GV136" s="136"/>
      <c r="GW136" s="136"/>
      <c r="GX136" s="136"/>
      <c r="GY136" s="136"/>
      <c r="GZ136" s="136"/>
      <c r="HA136" s="136"/>
      <c r="HB136" s="136"/>
      <c r="HC136" s="136"/>
      <c r="HD136" s="136"/>
      <c r="HE136" s="136"/>
      <c r="HF136" s="136"/>
      <c r="HG136" s="136"/>
      <c r="HH136" s="136"/>
      <c r="HI136" s="136"/>
      <c r="HJ136" s="136"/>
      <c r="HK136" s="136"/>
      <c r="HL136" s="136"/>
      <c r="HM136" s="136"/>
      <c r="HN136" s="136"/>
      <c r="HO136" s="136"/>
      <c r="HP136" s="136"/>
      <c r="HQ136" s="136"/>
      <c r="HR136" s="136"/>
      <c r="HS136" s="136"/>
      <c r="HT136" s="136"/>
      <c r="HU136" s="136"/>
      <c r="HV136" s="136"/>
      <c r="HW136" s="136"/>
      <c r="HX136" s="136"/>
      <c r="HY136" s="136"/>
      <c r="HZ136" s="136"/>
      <c r="IA136" s="136"/>
      <c r="IB136" s="136"/>
      <c r="IC136" s="136"/>
      <c r="ID136" s="136"/>
      <c r="IE136" s="136"/>
      <c r="IF136" s="136"/>
      <c r="IG136" s="136"/>
      <c r="IH136" s="136"/>
      <c r="II136" s="136"/>
      <c r="IJ136" s="136"/>
      <c r="IK136" s="136"/>
      <c r="IL136" s="136"/>
      <c r="IM136" s="136"/>
      <c r="IN136" s="136"/>
      <c r="IO136" s="136"/>
      <c r="IP136" s="136"/>
      <c r="IQ136" s="136"/>
      <c r="IR136" s="136"/>
      <c r="IS136" s="136"/>
      <c r="IT136" s="136"/>
      <c r="IU136" s="136"/>
    </row>
    <row r="137" spans="1:255" ht="92.25" customHeight="1" x14ac:dyDescent="0.2">
      <c r="A137" s="242" t="str">
        <f>'HECVAT - Full'!A137</f>
        <v>DATA-11</v>
      </c>
      <c r="B137" s="242" t="str">
        <f>VLOOKUP(A137,'HECVAT - Full'!A$24:B$312,2,FALSE)</f>
        <v>Are ownership rights to all data, inputs, outputs, and metadata retained by the institution?</v>
      </c>
      <c r="C137" s="255" t="s">
        <v>2828</v>
      </c>
      <c r="D137" s="256" t="s">
        <v>2829</v>
      </c>
      <c r="E137" s="136"/>
      <c r="F137" s="136"/>
      <c r="G137" s="136"/>
      <c r="H137" s="136"/>
      <c r="I137" s="136"/>
      <c r="J137" s="136"/>
      <c r="K137" s="136"/>
      <c r="L137" s="136"/>
      <c r="M137" s="136"/>
      <c r="N137" s="136"/>
      <c r="O137" s="136"/>
      <c r="P137" s="136"/>
      <c r="Q137" s="136"/>
      <c r="R137" s="136"/>
      <c r="S137" s="136"/>
      <c r="T137" s="136"/>
      <c r="U137" s="136"/>
      <c r="V137" s="136"/>
      <c r="W137" s="136"/>
      <c r="X137" s="136"/>
      <c r="Y137" s="136"/>
      <c r="Z137" s="136"/>
      <c r="AA137" s="136"/>
      <c r="AB137" s="136"/>
      <c r="AC137" s="136"/>
      <c r="AD137" s="136"/>
      <c r="AE137" s="136"/>
      <c r="AF137" s="136"/>
      <c r="AG137" s="136"/>
      <c r="AH137" s="136"/>
      <c r="AI137" s="136"/>
      <c r="AJ137" s="136"/>
      <c r="AK137" s="136"/>
      <c r="AL137" s="136"/>
      <c r="AM137" s="136"/>
      <c r="AN137" s="136"/>
      <c r="AO137" s="136"/>
      <c r="AP137" s="136"/>
      <c r="AQ137" s="136"/>
      <c r="AR137" s="136"/>
      <c r="AS137" s="136"/>
      <c r="AT137" s="136"/>
      <c r="AU137" s="136"/>
      <c r="AV137" s="136"/>
      <c r="AW137" s="136"/>
      <c r="AX137" s="136"/>
      <c r="AY137" s="136"/>
      <c r="AZ137" s="136"/>
      <c r="BA137" s="136"/>
      <c r="BB137" s="136"/>
      <c r="BC137" s="136"/>
      <c r="BD137" s="136"/>
      <c r="BE137" s="136"/>
      <c r="BF137" s="136"/>
      <c r="BG137" s="136"/>
      <c r="BH137" s="136"/>
      <c r="BI137" s="136"/>
      <c r="BJ137" s="136"/>
      <c r="BK137" s="136"/>
      <c r="BL137" s="136"/>
      <c r="BM137" s="136"/>
      <c r="BN137" s="136"/>
      <c r="BO137" s="136"/>
      <c r="BP137" s="136"/>
      <c r="BQ137" s="136"/>
      <c r="BR137" s="136"/>
      <c r="BS137" s="136"/>
      <c r="BT137" s="136"/>
      <c r="BU137" s="136"/>
      <c r="BV137" s="136"/>
      <c r="BW137" s="136"/>
      <c r="BX137" s="136"/>
      <c r="BY137" s="136"/>
      <c r="BZ137" s="136"/>
      <c r="CA137" s="136"/>
      <c r="CB137" s="136"/>
      <c r="CC137" s="136"/>
      <c r="CD137" s="136"/>
      <c r="CE137" s="136"/>
      <c r="CF137" s="136"/>
      <c r="CG137" s="136"/>
      <c r="CH137" s="136"/>
      <c r="CI137" s="136"/>
      <c r="CJ137" s="136"/>
      <c r="CK137" s="136"/>
      <c r="CL137" s="136"/>
      <c r="CM137" s="136"/>
      <c r="CN137" s="136"/>
      <c r="CO137" s="136"/>
      <c r="CP137" s="136"/>
      <c r="CQ137" s="136"/>
      <c r="CR137" s="136"/>
      <c r="CS137" s="136"/>
      <c r="CT137" s="136"/>
      <c r="CU137" s="136"/>
      <c r="CV137" s="136"/>
      <c r="CW137" s="136"/>
      <c r="CX137" s="136"/>
      <c r="CY137" s="136"/>
      <c r="CZ137" s="136"/>
      <c r="DA137" s="136"/>
      <c r="DB137" s="136"/>
      <c r="DC137" s="136"/>
      <c r="DD137" s="136"/>
      <c r="DE137" s="136"/>
      <c r="DF137" s="136"/>
      <c r="DG137" s="136"/>
      <c r="DH137" s="136"/>
      <c r="DI137" s="136"/>
      <c r="DJ137" s="136"/>
      <c r="DK137" s="136"/>
      <c r="DL137" s="136"/>
      <c r="DM137" s="136"/>
      <c r="DN137" s="136"/>
      <c r="DO137" s="136"/>
      <c r="DP137" s="136"/>
      <c r="DQ137" s="136"/>
      <c r="DR137" s="136"/>
      <c r="DS137" s="136"/>
      <c r="DT137" s="136"/>
      <c r="DU137" s="136"/>
      <c r="DV137" s="136"/>
      <c r="DW137" s="136"/>
      <c r="DX137" s="136"/>
      <c r="DY137" s="136"/>
      <c r="DZ137" s="136"/>
      <c r="EA137" s="136"/>
      <c r="EB137" s="136"/>
      <c r="EC137" s="136"/>
      <c r="ED137" s="136"/>
      <c r="EE137" s="136"/>
      <c r="EF137" s="136"/>
      <c r="EG137" s="136"/>
      <c r="EH137" s="136"/>
      <c r="EI137" s="136"/>
      <c r="EJ137" s="136"/>
      <c r="EK137" s="136"/>
      <c r="EL137" s="136"/>
      <c r="EM137" s="136"/>
      <c r="EN137" s="136"/>
      <c r="EO137" s="136"/>
      <c r="EP137" s="136"/>
      <c r="EQ137" s="136"/>
      <c r="ER137" s="136"/>
      <c r="ES137" s="136"/>
      <c r="ET137" s="136"/>
      <c r="EU137" s="136"/>
      <c r="EV137" s="136"/>
      <c r="EW137" s="136"/>
      <c r="EX137" s="136"/>
      <c r="EY137" s="136"/>
      <c r="EZ137" s="136"/>
      <c r="FA137" s="136"/>
      <c r="FB137" s="136"/>
      <c r="FC137" s="136"/>
      <c r="FD137" s="136"/>
      <c r="FE137" s="136"/>
      <c r="FF137" s="136"/>
      <c r="FG137" s="136"/>
      <c r="FH137" s="136"/>
      <c r="FI137" s="136"/>
      <c r="FJ137" s="136"/>
      <c r="FK137" s="136"/>
      <c r="FL137" s="136"/>
      <c r="FM137" s="136"/>
      <c r="FN137" s="136"/>
      <c r="FO137" s="136"/>
      <c r="FP137" s="136"/>
      <c r="FQ137" s="136"/>
      <c r="FR137" s="136"/>
      <c r="FS137" s="136"/>
      <c r="FT137" s="136"/>
      <c r="FU137" s="136"/>
      <c r="FV137" s="136"/>
      <c r="FW137" s="136"/>
      <c r="FX137" s="136"/>
      <c r="FY137" s="136"/>
      <c r="FZ137" s="136"/>
      <c r="GA137" s="136"/>
      <c r="GB137" s="136"/>
      <c r="GC137" s="136"/>
      <c r="GD137" s="136"/>
      <c r="GE137" s="136"/>
      <c r="GF137" s="136"/>
      <c r="GG137" s="136"/>
      <c r="GH137" s="136"/>
      <c r="GI137" s="136"/>
      <c r="GJ137" s="136"/>
      <c r="GK137" s="136"/>
      <c r="GL137" s="136"/>
      <c r="GM137" s="136"/>
      <c r="GN137" s="136"/>
      <c r="GO137" s="136"/>
      <c r="GP137" s="136"/>
      <c r="GQ137" s="136"/>
      <c r="GR137" s="136"/>
      <c r="GS137" s="136"/>
      <c r="GT137" s="136"/>
      <c r="GU137" s="136"/>
      <c r="GV137" s="136"/>
      <c r="GW137" s="136"/>
      <c r="GX137" s="136"/>
      <c r="GY137" s="136"/>
      <c r="GZ137" s="136"/>
      <c r="HA137" s="136"/>
      <c r="HB137" s="136"/>
      <c r="HC137" s="136"/>
      <c r="HD137" s="136"/>
      <c r="HE137" s="136"/>
      <c r="HF137" s="136"/>
      <c r="HG137" s="136"/>
      <c r="HH137" s="136"/>
      <c r="HI137" s="136"/>
      <c r="HJ137" s="136"/>
      <c r="HK137" s="136"/>
      <c r="HL137" s="136"/>
      <c r="HM137" s="136"/>
      <c r="HN137" s="136"/>
      <c r="HO137" s="136"/>
      <c r="HP137" s="136"/>
      <c r="HQ137" s="136"/>
      <c r="HR137" s="136"/>
      <c r="HS137" s="136"/>
      <c r="HT137" s="136"/>
      <c r="HU137" s="136"/>
      <c r="HV137" s="136"/>
      <c r="HW137" s="136"/>
      <c r="HX137" s="136"/>
      <c r="HY137" s="136"/>
      <c r="HZ137" s="136"/>
      <c r="IA137" s="136"/>
      <c r="IB137" s="136"/>
      <c r="IC137" s="136"/>
      <c r="ID137" s="136"/>
      <c r="IE137" s="136"/>
      <c r="IF137" s="136"/>
      <c r="IG137" s="136"/>
      <c r="IH137" s="136"/>
      <c r="II137" s="136"/>
      <c r="IJ137" s="136"/>
      <c r="IK137" s="136"/>
      <c r="IL137" s="136"/>
      <c r="IM137" s="136"/>
      <c r="IN137" s="136"/>
      <c r="IO137" s="136"/>
      <c r="IP137" s="136"/>
      <c r="IQ137" s="136"/>
      <c r="IR137" s="136"/>
      <c r="IS137" s="136"/>
      <c r="IT137" s="136"/>
      <c r="IU137" s="136"/>
    </row>
    <row r="138" spans="1:255" ht="63.75" customHeight="1" x14ac:dyDescent="0.2">
      <c r="A138" s="242" t="str">
        <f>'HECVAT - Full'!A138</f>
        <v>DATA-12</v>
      </c>
      <c r="B138" s="242" t="str">
        <f>VLOOKUP(A138,'HECVAT - Full'!A$24:B$312,2,FALSE)</f>
        <v>Are these rights retained even through a provider acquisition or bankruptcy event?</v>
      </c>
      <c r="C138" s="255" t="s">
        <v>2830</v>
      </c>
      <c r="D138" s="256" t="s">
        <v>2829</v>
      </c>
      <c r="E138" s="136"/>
      <c r="F138" s="136"/>
      <c r="G138" s="136"/>
      <c r="H138" s="136"/>
      <c r="I138" s="136"/>
      <c r="J138" s="136"/>
      <c r="K138" s="136"/>
      <c r="L138" s="136"/>
      <c r="M138" s="136"/>
      <c r="N138" s="136"/>
      <c r="O138" s="136"/>
      <c r="P138" s="136"/>
      <c r="Q138" s="136"/>
      <c r="R138" s="136"/>
      <c r="S138" s="136"/>
      <c r="T138" s="136"/>
      <c r="U138" s="136"/>
      <c r="V138" s="136"/>
      <c r="W138" s="136"/>
      <c r="X138" s="136"/>
      <c r="Y138" s="136"/>
      <c r="Z138" s="136"/>
      <c r="AA138" s="136"/>
      <c r="AB138" s="136"/>
      <c r="AC138" s="136"/>
      <c r="AD138" s="136"/>
      <c r="AE138" s="136"/>
      <c r="AF138" s="136"/>
      <c r="AG138" s="136"/>
      <c r="AH138" s="136"/>
      <c r="AI138" s="136"/>
      <c r="AJ138" s="136"/>
      <c r="AK138" s="136"/>
      <c r="AL138" s="136"/>
      <c r="AM138" s="136"/>
      <c r="AN138" s="136"/>
      <c r="AO138" s="136"/>
      <c r="AP138" s="136"/>
      <c r="AQ138" s="136"/>
      <c r="AR138" s="136"/>
      <c r="AS138" s="136"/>
      <c r="AT138" s="136"/>
      <c r="AU138" s="136"/>
      <c r="AV138" s="136"/>
      <c r="AW138" s="136"/>
      <c r="AX138" s="136"/>
      <c r="AY138" s="136"/>
      <c r="AZ138" s="136"/>
      <c r="BA138" s="136"/>
      <c r="BB138" s="136"/>
      <c r="BC138" s="136"/>
      <c r="BD138" s="136"/>
      <c r="BE138" s="136"/>
      <c r="BF138" s="136"/>
      <c r="BG138" s="136"/>
      <c r="BH138" s="136"/>
      <c r="BI138" s="136"/>
      <c r="BJ138" s="136"/>
      <c r="BK138" s="136"/>
      <c r="BL138" s="136"/>
      <c r="BM138" s="136"/>
      <c r="BN138" s="136"/>
      <c r="BO138" s="136"/>
      <c r="BP138" s="136"/>
      <c r="BQ138" s="136"/>
      <c r="BR138" s="136"/>
      <c r="BS138" s="136"/>
      <c r="BT138" s="136"/>
      <c r="BU138" s="136"/>
      <c r="BV138" s="136"/>
      <c r="BW138" s="136"/>
      <c r="BX138" s="136"/>
      <c r="BY138" s="136"/>
      <c r="BZ138" s="136"/>
      <c r="CA138" s="136"/>
      <c r="CB138" s="136"/>
      <c r="CC138" s="136"/>
      <c r="CD138" s="136"/>
      <c r="CE138" s="136"/>
      <c r="CF138" s="136"/>
      <c r="CG138" s="136"/>
      <c r="CH138" s="136"/>
      <c r="CI138" s="136"/>
      <c r="CJ138" s="136"/>
      <c r="CK138" s="136"/>
      <c r="CL138" s="136"/>
      <c r="CM138" s="136"/>
      <c r="CN138" s="136"/>
      <c r="CO138" s="136"/>
      <c r="CP138" s="136"/>
      <c r="CQ138" s="136"/>
      <c r="CR138" s="136"/>
      <c r="CS138" s="136"/>
      <c r="CT138" s="136"/>
      <c r="CU138" s="136"/>
      <c r="CV138" s="136"/>
      <c r="CW138" s="136"/>
      <c r="CX138" s="136"/>
      <c r="CY138" s="136"/>
      <c r="CZ138" s="136"/>
      <c r="DA138" s="136"/>
      <c r="DB138" s="136"/>
      <c r="DC138" s="136"/>
      <c r="DD138" s="136"/>
      <c r="DE138" s="136"/>
      <c r="DF138" s="136"/>
      <c r="DG138" s="136"/>
      <c r="DH138" s="136"/>
      <c r="DI138" s="136"/>
      <c r="DJ138" s="136"/>
      <c r="DK138" s="136"/>
      <c r="DL138" s="136"/>
      <c r="DM138" s="136"/>
      <c r="DN138" s="136"/>
      <c r="DO138" s="136"/>
      <c r="DP138" s="136"/>
      <c r="DQ138" s="136"/>
      <c r="DR138" s="136"/>
      <c r="DS138" s="136"/>
      <c r="DT138" s="136"/>
      <c r="DU138" s="136"/>
      <c r="DV138" s="136"/>
      <c r="DW138" s="136"/>
      <c r="DX138" s="136"/>
      <c r="DY138" s="136"/>
      <c r="DZ138" s="136"/>
      <c r="EA138" s="136"/>
      <c r="EB138" s="136"/>
      <c r="EC138" s="136"/>
      <c r="ED138" s="136"/>
      <c r="EE138" s="136"/>
      <c r="EF138" s="136"/>
      <c r="EG138" s="136"/>
      <c r="EH138" s="136"/>
      <c r="EI138" s="136"/>
      <c r="EJ138" s="136"/>
      <c r="EK138" s="136"/>
      <c r="EL138" s="136"/>
      <c r="EM138" s="136"/>
      <c r="EN138" s="136"/>
      <c r="EO138" s="136"/>
      <c r="EP138" s="136"/>
      <c r="EQ138" s="136"/>
      <c r="ER138" s="136"/>
      <c r="ES138" s="136"/>
      <c r="ET138" s="136"/>
      <c r="EU138" s="136"/>
      <c r="EV138" s="136"/>
      <c r="EW138" s="136"/>
      <c r="EX138" s="136"/>
      <c r="EY138" s="136"/>
      <c r="EZ138" s="136"/>
      <c r="FA138" s="136"/>
      <c r="FB138" s="136"/>
      <c r="FC138" s="136"/>
      <c r="FD138" s="136"/>
      <c r="FE138" s="136"/>
      <c r="FF138" s="136"/>
      <c r="FG138" s="136"/>
      <c r="FH138" s="136"/>
      <c r="FI138" s="136"/>
      <c r="FJ138" s="136"/>
      <c r="FK138" s="136"/>
      <c r="FL138" s="136"/>
      <c r="FM138" s="136"/>
      <c r="FN138" s="136"/>
      <c r="FO138" s="136"/>
      <c r="FP138" s="136"/>
      <c r="FQ138" s="136"/>
      <c r="FR138" s="136"/>
      <c r="FS138" s="136"/>
      <c r="FT138" s="136"/>
      <c r="FU138" s="136"/>
      <c r="FV138" s="136"/>
      <c r="FW138" s="136"/>
      <c r="FX138" s="136"/>
      <c r="FY138" s="136"/>
      <c r="FZ138" s="136"/>
      <c r="GA138" s="136"/>
      <c r="GB138" s="136"/>
      <c r="GC138" s="136"/>
      <c r="GD138" s="136"/>
      <c r="GE138" s="136"/>
      <c r="GF138" s="136"/>
      <c r="GG138" s="136"/>
      <c r="GH138" s="136"/>
      <c r="GI138" s="136"/>
      <c r="GJ138" s="136"/>
      <c r="GK138" s="136"/>
      <c r="GL138" s="136"/>
      <c r="GM138" s="136"/>
      <c r="GN138" s="136"/>
      <c r="GO138" s="136"/>
      <c r="GP138" s="136"/>
      <c r="GQ138" s="136"/>
      <c r="GR138" s="136"/>
      <c r="GS138" s="136"/>
      <c r="GT138" s="136"/>
      <c r="GU138" s="136"/>
      <c r="GV138" s="136"/>
      <c r="GW138" s="136"/>
      <c r="GX138" s="136"/>
      <c r="GY138" s="136"/>
      <c r="GZ138" s="136"/>
      <c r="HA138" s="136"/>
      <c r="HB138" s="136"/>
      <c r="HC138" s="136"/>
      <c r="HD138" s="136"/>
      <c r="HE138" s="136"/>
      <c r="HF138" s="136"/>
      <c r="HG138" s="136"/>
      <c r="HH138" s="136"/>
      <c r="HI138" s="136"/>
      <c r="HJ138" s="136"/>
      <c r="HK138" s="136"/>
      <c r="HL138" s="136"/>
      <c r="HM138" s="136"/>
      <c r="HN138" s="136"/>
      <c r="HO138" s="136"/>
      <c r="HP138" s="136"/>
      <c r="HQ138" s="136"/>
      <c r="HR138" s="136"/>
      <c r="HS138" s="136"/>
      <c r="HT138" s="136"/>
      <c r="HU138" s="136"/>
      <c r="HV138" s="136"/>
      <c r="HW138" s="136"/>
      <c r="HX138" s="136"/>
      <c r="HY138" s="136"/>
      <c r="HZ138" s="136"/>
      <c r="IA138" s="136"/>
      <c r="IB138" s="136"/>
      <c r="IC138" s="136"/>
      <c r="ID138" s="136"/>
      <c r="IE138" s="136"/>
      <c r="IF138" s="136"/>
      <c r="IG138" s="136"/>
      <c r="IH138" s="136"/>
      <c r="II138" s="136"/>
      <c r="IJ138" s="136"/>
      <c r="IK138" s="136"/>
      <c r="IL138" s="136"/>
      <c r="IM138" s="136"/>
      <c r="IN138" s="136"/>
      <c r="IO138" s="136"/>
      <c r="IP138" s="136"/>
      <c r="IQ138" s="136"/>
      <c r="IR138" s="136"/>
      <c r="IS138" s="136"/>
      <c r="IT138" s="136"/>
      <c r="IU138" s="136"/>
    </row>
    <row r="139" spans="1:255" ht="64.5" customHeight="1" x14ac:dyDescent="0.2">
      <c r="A139" s="242" t="str">
        <f>'HECVAT - Full'!A139</f>
        <v>DATA-13</v>
      </c>
      <c r="B139" s="242" t="str">
        <f>VLOOKUP(A139,'HECVAT - Full'!A$24:B$312,2,FALSE)</f>
        <v>In the event of imminent bankruptcy, closing of business, or retirement of service, will you provide 90 days for customers to get their data out of the system and migrate applications?</v>
      </c>
      <c r="C139" s="255" t="s">
        <v>2830</v>
      </c>
      <c r="D139" s="256" t="s">
        <v>2829</v>
      </c>
      <c r="E139" s="136"/>
      <c r="F139" s="136"/>
      <c r="G139" s="136"/>
      <c r="H139" s="136"/>
      <c r="I139" s="136"/>
      <c r="J139" s="136"/>
      <c r="K139" s="136"/>
      <c r="L139" s="136"/>
      <c r="M139" s="136"/>
      <c r="N139" s="136"/>
      <c r="O139" s="136"/>
      <c r="P139" s="136"/>
      <c r="Q139" s="136"/>
      <c r="R139" s="136"/>
      <c r="S139" s="136"/>
      <c r="T139" s="136"/>
      <c r="U139" s="136"/>
      <c r="V139" s="136"/>
      <c r="W139" s="136"/>
      <c r="X139" s="136"/>
      <c r="Y139" s="136"/>
      <c r="Z139" s="136"/>
      <c r="AA139" s="136"/>
      <c r="AB139" s="136"/>
      <c r="AC139" s="136"/>
      <c r="AD139" s="136"/>
      <c r="AE139" s="136"/>
      <c r="AF139" s="136"/>
      <c r="AG139" s="136"/>
      <c r="AH139" s="136"/>
      <c r="AI139" s="136"/>
      <c r="AJ139" s="136"/>
      <c r="AK139" s="136"/>
      <c r="AL139" s="136"/>
      <c r="AM139" s="136"/>
      <c r="AN139" s="136"/>
      <c r="AO139" s="136"/>
      <c r="AP139" s="136"/>
      <c r="AQ139" s="136"/>
      <c r="AR139" s="136"/>
      <c r="AS139" s="136"/>
      <c r="AT139" s="136"/>
      <c r="AU139" s="136"/>
      <c r="AV139" s="136"/>
      <c r="AW139" s="136"/>
      <c r="AX139" s="136"/>
      <c r="AY139" s="136"/>
      <c r="AZ139" s="136"/>
      <c r="BA139" s="136"/>
      <c r="BB139" s="136"/>
      <c r="BC139" s="136"/>
      <c r="BD139" s="136"/>
      <c r="BE139" s="136"/>
      <c r="BF139" s="136"/>
      <c r="BG139" s="136"/>
      <c r="BH139" s="136"/>
      <c r="BI139" s="136"/>
      <c r="BJ139" s="136"/>
      <c r="BK139" s="136"/>
      <c r="BL139" s="136"/>
      <c r="BM139" s="136"/>
      <c r="BN139" s="136"/>
      <c r="BO139" s="136"/>
      <c r="BP139" s="136"/>
      <c r="BQ139" s="136"/>
      <c r="BR139" s="136"/>
      <c r="BS139" s="136"/>
      <c r="BT139" s="136"/>
      <c r="BU139" s="136"/>
      <c r="BV139" s="136"/>
      <c r="BW139" s="136"/>
      <c r="BX139" s="136"/>
      <c r="BY139" s="136"/>
      <c r="BZ139" s="136"/>
      <c r="CA139" s="136"/>
      <c r="CB139" s="136"/>
      <c r="CC139" s="136"/>
      <c r="CD139" s="136"/>
      <c r="CE139" s="136"/>
      <c r="CF139" s="136"/>
      <c r="CG139" s="136"/>
      <c r="CH139" s="136"/>
      <c r="CI139" s="136"/>
      <c r="CJ139" s="136"/>
      <c r="CK139" s="136"/>
      <c r="CL139" s="136"/>
      <c r="CM139" s="136"/>
      <c r="CN139" s="136"/>
      <c r="CO139" s="136"/>
      <c r="CP139" s="136"/>
      <c r="CQ139" s="136"/>
      <c r="CR139" s="136"/>
      <c r="CS139" s="136"/>
      <c r="CT139" s="136"/>
      <c r="CU139" s="136"/>
      <c r="CV139" s="136"/>
      <c r="CW139" s="136"/>
      <c r="CX139" s="136"/>
      <c r="CY139" s="136"/>
      <c r="CZ139" s="136"/>
      <c r="DA139" s="136"/>
      <c r="DB139" s="136"/>
      <c r="DC139" s="136"/>
      <c r="DD139" s="136"/>
      <c r="DE139" s="136"/>
      <c r="DF139" s="136"/>
      <c r="DG139" s="136"/>
      <c r="DH139" s="136"/>
      <c r="DI139" s="136"/>
      <c r="DJ139" s="136"/>
      <c r="DK139" s="136"/>
      <c r="DL139" s="136"/>
      <c r="DM139" s="136"/>
      <c r="DN139" s="136"/>
      <c r="DO139" s="136"/>
      <c r="DP139" s="136"/>
      <c r="DQ139" s="136"/>
      <c r="DR139" s="136"/>
      <c r="DS139" s="136"/>
      <c r="DT139" s="136"/>
      <c r="DU139" s="136"/>
      <c r="DV139" s="136"/>
      <c r="DW139" s="136"/>
      <c r="DX139" s="136"/>
      <c r="DY139" s="136"/>
      <c r="DZ139" s="136"/>
      <c r="EA139" s="136"/>
      <c r="EB139" s="136"/>
      <c r="EC139" s="136"/>
      <c r="ED139" s="136"/>
      <c r="EE139" s="136"/>
      <c r="EF139" s="136"/>
      <c r="EG139" s="136"/>
      <c r="EH139" s="136"/>
      <c r="EI139" s="136"/>
      <c r="EJ139" s="136"/>
      <c r="EK139" s="136"/>
      <c r="EL139" s="136"/>
      <c r="EM139" s="136"/>
      <c r="EN139" s="136"/>
      <c r="EO139" s="136"/>
      <c r="EP139" s="136"/>
      <c r="EQ139" s="136"/>
      <c r="ER139" s="136"/>
      <c r="ES139" s="136"/>
      <c r="ET139" s="136"/>
      <c r="EU139" s="136"/>
      <c r="EV139" s="136"/>
      <c r="EW139" s="136"/>
      <c r="EX139" s="136"/>
      <c r="EY139" s="136"/>
      <c r="EZ139" s="136"/>
      <c r="FA139" s="136"/>
      <c r="FB139" s="136"/>
      <c r="FC139" s="136"/>
      <c r="FD139" s="136"/>
      <c r="FE139" s="136"/>
      <c r="FF139" s="136"/>
      <c r="FG139" s="136"/>
      <c r="FH139" s="136"/>
      <c r="FI139" s="136"/>
      <c r="FJ139" s="136"/>
      <c r="FK139" s="136"/>
      <c r="FL139" s="136"/>
      <c r="FM139" s="136"/>
      <c r="FN139" s="136"/>
      <c r="FO139" s="136"/>
      <c r="FP139" s="136"/>
      <c r="FQ139" s="136"/>
      <c r="FR139" s="136"/>
      <c r="FS139" s="136"/>
      <c r="FT139" s="136"/>
      <c r="FU139" s="136"/>
      <c r="FV139" s="136"/>
      <c r="FW139" s="136"/>
      <c r="FX139" s="136"/>
      <c r="FY139" s="136"/>
      <c r="FZ139" s="136"/>
      <c r="GA139" s="136"/>
      <c r="GB139" s="136"/>
      <c r="GC139" s="136"/>
      <c r="GD139" s="136"/>
      <c r="GE139" s="136"/>
      <c r="GF139" s="136"/>
      <c r="GG139" s="136"/>
      <c r="GH139" s="136"/>
      <c r="GI139" s="136"/>
      <c r="GJ139" s="136"/>
      <c r="GK139" s="136"/>
      <c r="GL139" s="136"/>
      <c r="GM139" s="136"/>
      <c r="GN139" s="136"/>
      <c r="GO139" s="136"/>
      <c r="GP139" s="136"/>
      <c r="GQ139" s="136"/>
      <c r="GR139" s="136"/>
      <c r="GS139" s="136"/>
      <c r="GT139" s="136"/>
      <c r="GU139" s="136"/>
      <c r="GV139" s="136"/>
      <c r="GW139" s="136"/>
      <c r="GX139" s="136"/>
      <c r="GY139" s="136"/>
      <c r="GZ139" s="136"/>
      <c r="HA139" s="136"/>
      <c r="HB139" s="136"/>
      <c r="HC139" s="136"/>
      <c r="HD139" s="136"/>
      <c r="HE139" s="136"/>
      <c r="HF139" s="136"/>
      <c r="HG139" s="136"/>
      <c r="HH139" s="136"/>
      <c r="HI139" s="136"/>
      <c r="HJ139" s="136"/>
      <c r="HK139" s="136"/>
      <c r="HL139" s="136"/>
      <c r="HM139" s="136"/>
      <c r="HN139" s="136"/>
      <c r="HO139" s="136"/>
      <c r="HP139" s="136"/>
      <c r="HQ139" s="136"/>
      <c r="HR139" s="136"/>
      <c r="HS139" s="136"/>
      <c r="HT139" s="136"/>
      <c r="HU139" s="136"/>
      <c r="HV139" s="136"/>
      <c r="HW139" s="136"/>
      <c r="HX139" s="136"/>
      <c r="HY139" s="136"/>
      <c r="HZ139" s="136"/>
      <c r="IA139" s="136"/>
      <c r="IB139" s="136"/>
      <c r="IC139" s="136"/>
      <c r="ID139" s="136"/>
      <c r="IE139" s="136"/>
      <c r="IF139" s="136"/>
      <c r="IG139" s="136"/>
      <c r="IH139" s="136"/>
      <c r="II139" s="136"/>
      <c r="IJ139" s="136"/>
      <c r="IK139" s="136"/>
      <c r="IL139" s="136"/>
      <c r="IM139" s="136"/>
      <c r="IN139" s="136"/>
      <c r="IO139" s="136"/>
      <c r="IP139" s="136"/>
      <c r="IQ139" s="136"/>
      <c r="IR139" s="136"/>
      <c r="IS139" s="136"/>
      <c r="IT139" s="136"/>
      <c r="IU139" s="136"/>
    </row>
    <row r="140" spans="1:255" ht="63" customHeight="1" x14ac:dyDescent="0.2">
      <c r="A140" s="242" t="str">
        <f>'HECVAT - Full'!A140</f>
        <v>DATA-14</v>
      </c>
      <c r="B140" s="242" t="str">
        <f>VLOOKUP(A140,'HECVAT - Full'!A$24:B$312,2,FALSE)</f>
        <v xml:space="preserve">Describe or provide a reference to the backup processes for the servers on which the service and/or data resides. </v>
      </c>
      <c r="C140" s="255" t="s">
        <v>2831</v>
      </c>
      <c r="D140" s="256" t="s">
        <v>2832</v>
      </c>
      <c r="E140" s="136"/>
      <c r="F140" s="136"/>
      <c r="G140" s="136"/>
      <c r="H140" s="136"/>
      <c r="I140" s="136"/>
      <c r="J140" s="136"/>
      <c r="K140" s="136"/>
      <c r="L140" s="136"/>
      <c r="M140" s="136"/>
      <c r="N140" s="136"/>
      <c r="O140" s="136"/>
      <c r="P140" s="136"/>
      <c r="Q140" s="136"/>
      <c r="R140" s="136"/>
      <c r="S140" s="136"/>
      <c r="T140" s="136"/>
      <c r="U140" s="136"/>
      <c r="V140" s="136"/>
      <c r="W140" s="136"/>
      <c r="X140" s="136"/>
      <c r="Y140" s="136"/>
      <c r="Z140" s="136"/>
      <c r="AA140" s="136"/>
      <c r="AB140" s="136"/>
      <c r="AC140" s="136"/>
      <c r="AD140" s="136"/>
      <c r="AE140" s="136"/>
      <c r="AF140" s="136"/>
      <c r="AG140" s="136"/>
      <c r="AH140" s="136"/>
      <c r="AI140" s="136"/>
      <c r="AJ140" s="136"/>
      <c r="AK140" s="136"/>
      <c r="AL140" s="136"/>
      <c r="AM140" s="136"/>
      <c r="AN140" s="136"/>
      <c r="AO140" s="136"/>
      <c r="AP140" s="136"/>
      <c r="AQ140" s="136"/>
      <c r="AR140" s="136"/>
      <c r="AS140" s="136"/>
      <c r="AT140" s="136"/>
      <c r="AU140" s="136"/>
      <c r="AV140" s="136"/>
      <c r="AW140" s="136"/>
      <c r="AX140" s="136"/>
      <c r="AY140" s="136"/>
      <c r="AZ140" s="136"/>
      <c r="BA140" s="136"/>
      <c r="BB140" s="136"/>
      <c r="BC140" s="136"/>
      <c r="BD140" s="136"/>
      <c r="BE140" s="136"/>
      <c r="BF140" s="136"/>
      <c r="BG140" s="136"/>
      <c r="BH140" s="136"/>
      <c r="BI140" s="136"/>
      <c r="BJ140" s="136"/>
      <c r="BK140" s="136"/>
      <c r="BL140" s="136"/>
      <c r="BM140" s="136"/>
      <c r="BN140" s="136"/>
      <c r="BO140" s="136"/>
      <c r="BP140" s="136"/>
      <c r="BQ140" s="136"/>
      <c r="BR140" s="136"/>
      <c r="BS140" s="136"/>
      <c r="BT140" s="136"/>
      <c r="BU140" s="136"/>
      <c r="BV140" s="136"/>
      <c r="BW140" s="136"/>
      <c r="BX140" s="136"/>
      <c r="BY140" s="136"/>
      <c r="BZ140" s="136"/>
      <c r="CA140" s="136"/>
      <c r="CB140" s="136"/>
      <c r="CC140" s="136"/>
      <c r="CD140" s="136"/>
      <c r="CE140" s="136"/>
      <c r="CF140" s="136"/>
      <c r="CG140" s="136"/>
      <c r="CH140" s="136"/>
      <c r="CI140" s="136"/>
      <c r="CJ140" s="136"/>
      <c r="CK140" s="136"/>
      <c r="CL140" s="136"/>
      <c r="CM140" s="136"/>
      <c r="CN140" s="136"/>
      <c r="CO140" s="136"/>
      <c r="CP140" s="136"/>
      <c r="CQ140" s="136"/>
      <c r="CR140" s="136"/>
      <c r="CS140" s="136"/>
      <c r="CT140" s="136"/>
      <c r="CU140" s="136"/>
      <c r="CV140" s="136"/>
      <c r="CW140" s="136"/>
      <c r="CX140" s="136"/>
      <c r="CY140" s="136"/>
      <c r="CZ140" s="136"/>
      <c r="DA140" s="136"/>
      <c r="DB140" s="136"/>
      <c r="DC140" s="136"/>
      <c r="DD140" s="136"/>
      <c r="DE140" s="136"/>
      <c r="DF140" s="136"/>
      <c r="DG140" s="136"/>
      <c r="DH140" s="136"/>
      <c r="DI140" s="136"/>
      <c r="DJ140" s="136"/>
      <c r="DK140" s="136"/>
      <c r="DL140" s="136"/>
      <c r="DM140" s="136"/>
      <c r="DN140" s="136"/>
      <c r="DO140" s="136"/>
      <c r="DP140" s="136"/>
      <c r="DQ140" s="136"/>
      <c r="DR140" s="136"/>
      <c r="DS140" s="136"/>
      <c r="DT140" s="136"/>
      <c r="DU140" s="136"/>
      <c r="DV140" s="136"/>
      <c r="DW140" s="136"/>
      <c r="DX140" s="136"/>
      <c r="DY140" s="136"/>
      <c r="DZ140" s="136"/>
      <c r="EA140" s="136"/>
      <c r="EB140" s="136"/>
      <c r="EC140" s="136"/>
      <c r="ED140" s="136"/>
      <c r="EE140" s="136"/>
      <c r="EF140" s="136"/>
      <c r="EG140" s="136"/>
      <c r="EH140" s="136"/>
      <c r="EI140" s="136"/>
      <c r="EJ140" s="136"/>
      <c r="EK140" s="136"/>
      <c r="EL140" s="136"/>
      <c r="EM140" s="136"/>
      <c r="EN140" s="136"/>
      <c r="EO140" s="136"/>
      <c r="EP140" s="136"/>
      <c r="EQ140" s="136"/>
      <c r="ER140" s="136"/>
      <c r="ES140" s="136"/>
      <c r="ET140" s="136"/>
      <c r="EU140" s="136"/>
      <c r="EV140" s="136"/>
      <c r="EW140" s="136"/>
      <c r="EX140" s="136"/>
      <c r="EY140" s="136"/>
      <c r="EZ140" s="136"/>
      <c r="FA140" s="136"/>
      <c r="FB140" s="136"/>
      <c r="FC140" s="136"/>
      <c r="FD140" s="136"/>
      <c r="FE140" s="136"/>
      <c r="FF140" s="136"/>
      <c r="FG140" s="136"/>
      <c r="FH140" s="136"/>
      <c r="FI140" s="136"/>
      <c r="FJ140" s="136"/>
      <c r="FK140" s="136"/>
      <c r="FL140" s="136"/>
      <c r="FM140" s="136"/>
      <c r="FN140" s="136"/>
      <c r="FO140" s="136"/>
      <c r="FP140" s="136"/>
      <c r="FQ140" s="136"/>
      <c r="FR140" s="136"/>
      <c r="FS140" s="136"/>
      <c r="FT140" s="136"/>
      <c r="FU140" s="136"/>
      <c r="FV140" s="136"/>
      <c r="FW140" s="136"/>
      <c r="FX140" s="136"/>
      <c r="FY140" s="136"/>
      <c r="FZ140" s="136"/>
      <c r="GA140" s="136"/>
      <c r="GB140" s="136"/>
      <c r="GC140" s="136"/>
      <c r="GD140" s="136"/>
      <c r="GE140" s="136"/>
      <c r="GF140" s="136"/>
      <c r="GG140" s="136"/>
      <c r="GH140" s="136"/>
      <c r="GI140" s="136"/>
      <c r="GJ140" s="136"/>
      <c r="GK140" s="136"/>
      <c r="GL140" s="136"/>
      <c r="GM140" s="136"/>
      <c r="GN140" s="136"/>
      <c r="GO140" s="136"/>
      <c r="GP140" s="136"/>
      <c r="GQ140" s="136"/>
      <c r="GR140" s="136"/>
      <c r="GS140" s="136"/>
      <c r="GT140" s="136"/>
      <c r="GU140" s="136"/>
      <c r="GV140" s="136"/>
      <c r="GW140" s="136"/>
      <c r="GX140" s="136"/>
      <c r="GY140" s="136"/>
      <c r="GZ140" s="136"/>
      <c r="HA140" s="136"/>
      <c r="HB140" s="136"/>
      <c r="HC140" s="136"/>
      <c r="HD140" s="136"/>
      <c r="HE140" s="136"/>
      <c r="HF140" s="136"/>
      <c r="HG140" s="136"/>
      <c r="HH140" s="136"/>
      <c r="HI140" s="136"/>
      <c r="HJ140" s="136"/>
      <c r="HK140" s="136"/>
      <c r="HL140" s="136"/>
      <c r="HM140" s="136"/>
      <c r="HN140" s="136"/>
      <c r="HO140" s="136"/>
      <c r="HP140" s="136"/>
      <c r="HQ140" s="136"/>
      <c r="HR140" s="136"/>
      <c r="HS140" s="136"/>
      <c r="HT140" s="136"/>
      <c r="HU140" s="136"/>
      <c r="HV140" s="136"/>
      <c r="HW140" s="136"/>
      <c r="HX140" s="136"/>
      <c r="HY140" s="136"/>
      <c r="HZ140" s="136"/>
      <c r="IA140" s="136"/>
      <c r="IB140" s="136"/>
      <c r="IC140" s="136"/>
      <c r="ID140" s="136"/>
      <c r="IE140" s="136"/>
      <c r="IF140" s="136"/>
      <c r="IG140" s="136"/>
      <c r="IH140" s="136"/>
      <c r="II140" s="136"/>
      <c r="IJ140" s="136"/>
      <c r="IK140" s="136"/>
      <c r="IL140" s="136"/>
      <c r="IM140" s="136"/>
      <c r="IN140" s="136"/>
      <c r="IO140" s="136"/>
      <c r="IP140" s="136"/>
      <c r="IQ140" s="136"/>
      <c r="IR140" s="136"/>
      <c r="IS140" s="136"/>
      <c r="IT140" s="136"/>
      <c r="IU140" s="136"/>
    </row>
    <row r="141" spans="1:255" ht="80.25" customHeight="1" x14ac:dyDescent="0.2">
      <c r="A141" s="242" t="str">
        <f>'HECVAT - Full'!A141</f>
        <v>DATA-15</v>
      </c>
      <c r="B141" s="242" t="str">
        <f>VLOOKUP(A141,'HECVAT - Full'!A$24:B$312,2,FALSE)</f>
        <v>Are backup copies made according to pre-defined schedules and securely stored and protected?</v>
      </c>
      <c r="C141" s="255" t="s">
        <v>2833</v>
      </c>
      <c r="D141" s="256" t="s">
        <v>2834</v>
      </c>
      <c r="E141" s="136"/>
      <c r="F141" s="136"/>
      <c r="G141" s="136"/>
      <c r="H141" s="136"/>
      <c r="I141" s="136"/>
      <c r="J141" s="136"/>
      <c r="K141" s="136"/>
      <c r="L141" s="136"/>
      <c r="M141" s="136"/>
      <c r="N141" s="136"/>
      <c r="O141" s="136"/>
      <c r="P141" s="136"/>
      <c r="Q141" s="136"/>
      <c r="R141" s="136"/>
      <c r="S141" s="136"/>
      <c r="T141" s="136"/>
      <c r="U141" s="136"/>
      <c r="V141" s="136"/>
      <c r="W141" s="136"/>
      <c r="X141" s="136"/>
      <c r="Y141" s="136"/>
      <c r="Z141" s="136"/>
      <c r="AA141" s="136"/>
      <c r="AB141" s="136"/>
      <c r="AC141" s="136"/>
      <c r="AD141" s="136"/>
      <c r="AE141" s="136"/>
      <c r="AF141" s="136"/>
      <c r="AG141" s="136"/>
      <c r="AH141" s="136"/>
      <c r="AI141" s="136"/>
      <c r="AJ141" s="136"/>
      <c r="AK141" s="136"/>
      <c r="AL141" s="136"/>
      <c r="AM141" s="136"/>
      <c r="AN141" s="136"/>
      <c r="AO141" s="136"/>
      <c r="AP141" s="136"/>
      <c r="AQ141" s="136"/>
      <c r="AR141" s="136"/>
      <c r="AS141" s="136"/>
      <c r="AT141" s="136"/>
      <c r="AU141" s="136"/>
      <c r="AV141" s="136"/>
      <c r="AW141" s="136"/>
      <c r="AX141" s="136"/>
      <c r="AY141" s="136"/>
      <c r="AZ141" s="136"/>
      <c r="BA141" s="136"/>
      <c r="BB141" s="136"/>
      <c r="BC141" s="136"/>
      <c r="BD141" s="136"/>
      <c r="BE141" s="136"/>
      <c r="BF141" s="136"/>
      <c r="BG141" s="136"/>
      <c r="BH141" s="136"/>
      <c r="BI141" s="136"/>
      <c r="BJ141" s="136"/>
      <c r="BK141" s="136"/>
      <c r="BL141" s="136"/>
      <c r="BM141" s="136"/>
      <c r="BN141" s="136"/>
      <c r="BO141" s="136"/>
      <c r="BP141" s="136"/>
      <c r="BQ141" s="136"/>
      <c r="BR141" s="136"/>
      <c r="BS141" s="136"/>
      <c r="BT141" s="136"/>
      <c r="BU141" s="136"/>
      <c r="BV141" s="136"/>
      <c r="BW141" s="136"/>
      <c r="BX141" s="136"/>
      <c r="BY141" s="136"/>
      <c r="BZ141" s="136"/>
      <c r="CA141" s="136"/>
      <c r="CB141" s="136"/>
      <c r="CC141" s="136"/>
      <c r="CD141" s="136"/>
      <c r="CE141" s="136"/>
      <c r="CF141" s="136"/>
      <c r="CG141" s="136"/>
      <c r="CH141" s="136"/>
      <c r="CI141" s="136"/>
      <c r="CJ141" s="136"/>
      <c r="CK141" s="136"/>
      <c r="CL141" s="136"/>
      <c r="CM141" s="136"/>
      <c r="CN141" s="136"/>
      <c r="CO141" s="136"/>
      <c r="CP141" s="136"/>
      <c r="CQ141" s="136"/>
      <c r="CR141" s="136"/>
      <c r="CS141" s="136"/>
      <c r="CT141" s="136"/>
      <c r="CU141" s="136"/>
      <c r="CV141" s="136"/>
      <c r="CW141" s="136"/>
      <c r="CX141" s="136"/>
      <c r="CY141" s="136"/>
      <c r="CZ141" s="136"/>
      <c r="DA141" s="136"/>
      <c r="DB141" s="136"/>
      <c r="DC141" s="136"/>
      <c r="DD141" s="136"/>
      <c r="DE141" s="136"/>
      <c r="DF141" s="136"/>
      <c r="DG141" s="136"/>
      <c r="DH141" s="136"/>
      <c r="DI141" s="136"/>
      <c r="DJ141" s="136"/>
      <c r="DK141" s="136"/>
      <c r="DL141" s="136"/>
      <c r="DM141" s="136"/>
      <c r="DN141" s="136"/>
      <c r="DO141" s="136"/>
      <c r="DP141" s="136"/>
      <c r="DQ141" s="136"/>
      <c r="DR141" s="136"/>
      <c r="DS141" s="136"/>
      <c r="DT141" s="136"/>
      <c r="DU141" s="136"/>
      <c r="DV141" s="136"/>
      <c r="DW141" s="136"/>
      <c r="DX141" s="136"/>
      <c r="DY141" s="136"/>
      <c r="DZ141" s="136"/>
      <c r="EA141" s="136"/>
      <c r="EB141" s="136"/>
      <c r="EC141" s="136"/>
      <c r="ED141" s="136"/>
      <c r="EE141" s="136"/>
      <c r="EF141" s="136"/>
      <c r="EG141" s="136"/>
      <c r="EH141" s="136"/>
      <c r="EI141" s="136"/>
      <c r="EJ141" s="136"/>
      <c r="EK141" s="136"/>
      <c r="EL141" s="136"/>
      <c r="EM141" s="136"/>
      <c r="EN141" s="136"/>
      <c r="EO141" s="136"/>
      <c r="EP141" s="136"/>
      <c r="EQ141" s="136"/>
      <c r="ER141" s="136"/>
      <c r="ES141" s="136"/>
      <c r="ET141" s="136"/>
      <c r="EU141" s="136"/>
      <c r="EV141" s="136"/>
      <c r="EW141" s="136"/>
      <c r="EX141" s="136"/>
      <c r="EY141" s="136"/>
      <c r="EZ141" s="136"/>
      <c r="FA141" s="136"/>
      <c r="FB141" s="136"/>
      <c r="FC141" s="136"/>
      <c r="FD141" s="136"/>
      <c r="FE141" s="136"/>
      <c r="FF141" s="136"/>
      <c r="FG141" s="136"/>
      <c r="FH141" s="136"/>
      <c r="FI141" s="136"/>
      <c r="FJ141" s="136"/>
      <c r="FK141" s="136"/>
      <c r="FL141" s="136"/>
      <c r="FM141" s="136"/>
      <c r="FN141" s="136"/>
      <c r="FO141" s="136"/>
      <c r="FP141" s="136"/>
      <c r="FQ141" s="136"/>
      <c r="FR141" s="136"/>
      <c r="FS141" s="136"/>
      <c r="FT141" s="136"/>
      <c r="FU141" s="136"/>
      <c r="FV141" s="136"/>
      <c r="FW141" s="136"/>
      <c r="FX141" s="136"/>
      <c r="FY141" s="136"/>
      <c r="FZ141" s="136"/>
      <c r="GA141" s="136"/>
      <c r="GB141" s="136"/>
      <c r="GC141" s="136"/>
      <c r="GD141" s="136"/>
      <c r="GE141" s="136"/>
      <c r="GF141" s="136"/>
      <c r="GG141" s="136"/>
      <c r="GH141" s="136"/>
      <c r="GI141" s="136"/>
      <c r="GJ141" s="136"/>
      <c r="GK141" s="136"/>
      <c r="GL141" s="136"/>
      <c r="GM141" s="136"/>
      <c r="GN141" s="136"/>
      <c r="GO141" s="136"/>
      <c r="GP141" s="136"/>
      <c r="GQ141" s="136"/>
      <c r="GR141" s="136"/>
      <c r="GS141" s="136"/>
      <c r="GT141" s="136"/>
      <c r="GU141" s="136"/>
      <c r="GV141" s="136"/>
      <c r="GW141" s="136"/>
      <c r="GX141" s="136"/>
      <c r="GY141" s="136"/>
      <c r="GZ141" s="136"/>
      <c r="HA141" s="136"/>
      <c r="HB141" s="136"/>
      <c r="HC141" s="136"/>
      <c r="HD141" s="136"/>
      <c r="HE141" s="136"/>
      <c r="HF141" s="136"/>
      <c r="HG141" s="136"/>
      <c r="HH141" s="136"/>
      <c r="HI141" s="136"/>
      <c r="HJ141" s="136"/>
      <c r="HK141" s="136"/>
      <c r="HL141" s="136"/>
      <c r="HM141" s="136"/>
      <c r="HN141" s="136"/>
      <c r="HO141" s="136"/>
      <c r="HP141" s="136"/>
      <c r="HQ141" s="136"/>
      <c r="HR141" s="136"/>
      <c r="HS141" s="136"/>
      <c r="HT141" s="136"/>
      <c r="HU141" s="136"/>
      <c r="HV141" s="136"/>
      <c r="HW141" s="136"/>
      <c r="HX141" s="136"/>
      <c r="HY141" s="136"/>
      <c r="HZ141" s="136"/>
      <c r="IA141" s="136"/>
      <c r="IB141" s="136"/>
      <c r="IC141" s="136"/>
      <c r="ID141" s="136"/>
      <c r="IE141" s="136"/>
      <c r="IF141" s="136"/>
      <c r="IG141" s="136"/>
      <c r="IH141" s="136"/>
      <c r="II141" s="136"/>
      <c r="IJ141" s="136"/>
      <c r="IK141" s="136"/>
      <c r="IL141" s="136"/>
      <c r="IM141" s="136"/>
      <c r="IN141" s="136"/>
      <c r="IO141" s="136"/>
      <c r="IP141" s="136"/>
      <c r="IQ141" s="136"/>
      <c r="IR141" s="136"/>
      <c r="IS141" s="136"/>
      <c r="IT141" s="136"/>
      <c r="IU141" s="136"/>
    </row>
    <row r="142" spans="1:255" ht="64.5" customHeight="1" x14ac:dyDescent="0.2">
      <c r="A142" s="242" t="str">
        <f>'HECVAT - Full'!A142</f>
        <v>DATA-16</v>
      </c>
      <c r="B142" s="242" t="str">
        <f>VLOOKUP(A142,'HECVAT - Full'!A$24:B$312,2,FALSE)</f>
        <v>How long are data backups stored?</v>
      </c>
      <c r="C142" s="255" t="s">
        <v>2835</v>
      </c>
      <c r="D142" s="256" t="s">
        <v>2836</v>
      </c>
      <c r="E142" s="136"/>
      <c r="F142" s="136"/>
      <c r="G142" s="136"/>
      <c r="H142" s="136"/>
      <c r="I142" s="136"/>
      <c r="J142" s="136"/>
      <c r="K142" s="136"/>
      <c r="L142" s="136"/>
      <c r="M142" s="136"/>
      <c r="N142" s="136"/>
      <c r="O142" s="136"/>
      <c r="P142" s="136"/>
      <c r="Q142" s="136"/>
      <c r="R142" s="136"/>
      <c r="S142" s="136"/>
      <c r="T142" s="136"/>
      <c r="U142" s="136"/>
      <c r="V142" s="136"/>
      <c r="W142" s="136"/>
      <c r="X142" s="136"/>
      <c r="Y142" s="136"/>
      <c r="Z142" s="136"/>
      <c r="AA142" s="136"/>
      <c r="AB142" s="136"/>
      <c r="AC142" s="136"/>
      <c r="AD142" s="136"/>
      <c r="AE142" s="136"/>
      <c r="AF142" s="136"/>
      <c r="AG142" s="136"/>
      <c r="AH142" s="136"/>
      <c r="AI142" s="136"/>
      <c r="AJ142" s="136"/>
      <c r="AK142" s="136"/>
      <c r="AL142" s="136"/>
      <c r="AM142" s="136"/>
      <c r="AN142" s="136"/>
      <c r="AO142" s="136"/>
      <c r="AP142" s="136"/>
      <c r="AQ142" s="136"/>
      <c r="AR142" s="136"/>
      <c r="AS142" s="136"/>
      <c r="AT142" s="136"/>
      <c r="AU142" s="136"/>
      <c r="AV142" s="136"/>
      <c r="AW142" s="136"/>
      <c r="AX142" s="136"/>
      <c r="AY142" s="136"/>
      <c r="AZ142" s="136"/>
      <c r="BA142" s="136"/>
      <c r="BB142" s="136"/>
      <c r="BC142" s="136"/>
      <c r="BD142" s="136"/>
      <c r="BE142" s="136"/>
      <c r="BF142" s="136"/>
      <c r="BG142" s="136"/>
      <c r="BH142" s="136"/>
      <c r="BI142" s="136"/>
      <c r="BJ142" s="136"/>
      <c r="BK142" s="136"/>
      <c r="BL142" s="136"/>
      <c r="BM142" s="136"/>
      <c r="BN142" s="136"/>
      <c r="BO142" s="136"/>
      <c r="BP142" s="136"/>
      <c r="BQ142" s="136"/>
      <c r="BR142" s="136"/>
      <c r="BS142" s="136"/>
      <c r="BT142" s="136"/>
      <c r="BU142" s="136"/>
      <c r="BV142" s="136"/>
      <c r="BW142" s="136"/>
      <c r="BX142" s="136"/>
      <c r="BY142" s="136"/>
      <c r="BZ142" s="136"/>
      <c r="CA142" s="136"/>
      <c r="CB142" s="136"/>
      <c r="CC142" s="136"/>
      <c r="CD142" s="136"/>
      <c r="CE142" s="136"/>
      <c r="CF142" s="136"/>
      <c r="CG142" s="136"/>
      <c r="CH142" s="136"/>
      <c r="CI142" s="136"/>
      <c r="CJ142" s="136"/>
      <c r="CK142" s="136"/>
      <c r="CL142" s="136"/>
      <c r="CM142" s="136"/>
      <c r="CN142" s="136"/>
      <c r="CO142" s="136"/>
      <c r="CP142" s="136"/>
      <c r="CQ142" s="136"/>
      <c r="CR142" s="136"/>
      <c r="CS142" s="136"/>
      <c r="CT142" s="136"/>
      <c r="CU142" s="136"/>
      <c r="CV142" s="136"/>
      <c r="CW142" s="136"/>
      <c r="CX142" s="136"/>
      <c r="CY142" s="136"/>
      <c r="CZ142" s="136"/>
      <c r="DA142" s="136"/>
      <c r="DB142" s="136"/>
      <c r="DC142" s="136"/>
      <c r="DD142" s="136"/>
      <c r="DE142" s="136"/>
      <c r="DF142" s="136"/>
      <c r="DG142" s="136"/>
      <c r="DH142" s="136"/>
      <c r="DI142" s="136"/>
      <c r="DJ142" s="136"/>
      <c r="DK142" s="136"/>
      <c r="DL142" s="136"/>
      <c r="DM142" s="136"/>
      <c r="DN142" s="136"/>
      <c r="DO142" s="136"/>
      <c r="DP142" s="136"/>
      <c r="DQ142" s="136"/>
      <c r="DR142" s="136"/>
      <c r="DS142" s="136"/>
      <c r="DT142" s="136"/>
      <c r="DU142" s="136"/>
      <c r="DV142" s="136"/>
      <c r="DW142" s="136"/>
      <c r="DX142" s="136"/>
      <c r="DY142" s="136"/>
      <c r="DZ142" s="136"/>
      <c r="EA142" s="136"/>
      <c r="EB142" s="136"/>
      <c r="EC142" s="136"/>
      <c r="ED142" s="136"/>
      <c r="EE142" s="136"/>
      <c r="EF142" s="136"/>
      <c r="EG142" s="136"/>
      <c r="EH142" s="136"/>
      <c r="EI142" s="136"/>
      <c r="EJ142" s="136"/>
      <c r="EK142" s="136"/>
      <c r="EL142" s="136"/>
      <c r="EM142" s="136"/>
      <c r="EN142" s="136"/>
      <c r="EO142" s="136"/>
      <c r="EP142" s="136"/>
      <c r="EQ142" s="136"/>
      <c r="ER142" s="136"/>
      <c r="ES142" s="136"/>
      <c r="ET142" s="136"/>
      <c r="EU142" s="136"/>
      <c r="EV142" s="136"/>
      <c r="EW142" s="136"/>
      <c r="EX142" s="136"/>
      <c r="EY142" s="136"/>
      <c r="EZ142" s="136"/>
      <c r="FA142" s="136"/>
      <c r="FB142" s="136"/>
      <c r="FC142" s="136"/>
      <c r="FD142" s="136"/>
      <c r="FE142" s="136"/>
      <c r="FF142" s="136"/>
      <c r="FG142" s="136"/>
      <c r="FH142" s="136"/>
      <c r="FI142" s="136"/>
      <c r="FJ142" s="136"/>
      <c r="FK142" s="136"/>
      <c r="FL142" s="136"/>
      <c r="FM142" s="136"/>
      <c r="FN142" s="136"/>
      <c r="FO142" s="136"/>
      <c r="FP142" s="136"/>
      <c r="FQ142" s="136"/>
      <c r="FR142" s="136"/>
      <c r="FS142" s="136"/>
      <c r="FT142" s="136"/>
      <c r="FU142" s="136"/>
      <c r="FV142" s="136"/>
      <c r="FW142" s="136"/>
      <c r="FX142" s="136"/>
      <c r="FY142" s="136"/>
      <c r="FZ142" s="136"/>
      <c r="GA142" s="136"/>
      <c r="GB142" s="136"/>
      <c r="GC142" s="136"/>
      <c r="GD142" s="136"/>
      <c r="GE142" s="136"/>
      <c r="GF142" s="136"/>
      <c r="GG142" s="136"/>
      <c r="GH142" s="136"/>
      <c r="GI142" s="136"/>
      <c r="GJ142" s="136"/>
      <c r="GK142" s="136"/>
      <c r="GL142" s="136"/>
      <c r="GM142" s="136"/>
      <c r="GN142" s="136"/>
      <c r="GO142" s="136"/>
      <c r="GP142" s="136"/>
      <c r="GQ142" s="136"/>
      <c r="GR142" s="136"/>
      <c r="GS142" s="136"/>
      <c r="GT142" s="136"/>
      <c r="GU142" s="136"/>
      <c r="GV142" s="136"/>
      <c r="GW142" s="136"/>
      <c r="GX142" s="136"/>
      <c r="GY142" s="136"/>
      <c r="GZ142" s="136"/>
      <c r="HA142" s="136"/>
      <c r="HB142" s="136"/>
      <c r="HC142" s="136"/>
      <c r="HD142" s="136"/>
      <c r="HE142" s="136"/>
      <c r="HF142" s="136"/>
      <c r="HG142" s="136"/>
      <c r="HH142" s="136"/>
      <c r="HI142" s="136"/>
      <c r="HJ142" s="136"/>
      <c r="HK142" s="136"/>
      <c r="HL142" s="136"/>
      <c r="HM142" s="136"/>
      <c r="HN142" s="136"/>
      <c r="HO142" s="136"/>
      <c r="HP142" s="136"/>
      <c r="HQ142" s="136"/>
      <c r="HR142" s="136"/>
      <c r="HS142" s="136"/>
      <c r="HT142" s="136"/>
      <c r="HU142" s="136"/>
      <c r="HV142" s="136"/>
      <c r="HW142" s="136"/>
      <c r="HX142" s="136"/>
      <c r="HY142" s="136"/>
      <c r="HZ142" s="136"/>
      <c r="IA142" s="136"/>
      <c r="IB142" s="136"/>
      <c r="IC142" s="136"/>
      <c r="ID142" s="136"/>
      <c r="IE142" s="136"/>
      <c r="IF142" s="136"/>
      <c r="IG142" s="136"/>
      <c r="IH142" s="136"/>
      <c r="II142" s="136"/>
      <c r="IJ142" s="136"/>
      <c r="IK142" s="136"/>
      <c r="IL142" s="136"/>
      <c r="IM142" s="136"/>
      <c r="IN142" s="136"/>
      <c r="IO142" s="136"/>
      <c r="IP142" s="136"/>
      <c r="IQ142" s="136"/>
      <c r="IR142" s="136"/>
      <c r="IS142" s="136"/>
      <c r="IT142" s="136"/>
      <c r="IU142" s="136"/>
    </row>
    <row r="143" spans="1:255" ht="75" x14ac:dyDescent="0.2">
      <c r="A143" s="242" t="str">
        <f>'HECVAT - Full'!A143</f>
        <v>DATA-17</v>
      </c>
      <c r="B143" s="242" t="str">
        <f>VLOOKUP(A143,'HECVAT - Full'!A$24:B$312,2,FALSE)</f>
        <v>Are data backups encrypted?</v>
      </c>
      <c r="C143" s="245" t="s">
        <v>2837</v>
      </c>
      <c r="D143" s="250" t="s">
        <v>2838</v>
      </c>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c r="AA143" s="136"/>
      <c r="AB143" s="136"/>
      <c r="AC143" s="136"/>
      <c r="AD143" s="136"/>
      <c r="AE143" s="136"/>
      <c r="AF143" s="136"/>
      <c r="AG143" s="136"/>
      <c r="AH143" s="136"/>
      <c r="AI143" s="136"/>
      <c r="AJ143" s="136"/>
      <c r="AK143" s="136"/>
      <c r="AL143" s="136"/>
      <c r="AM143" s="136"/>
      <c r="AN143" s="136"/>
      <c r="AO143" s="136"/>
      <c r="AP143" s="136"/>
      <c r="AQ143" s="136"/>
      <c r="AR143" s="136"/>
      <c r="AS143" s="136"/>
      <c r="AT143" s="136"/>
      <c r="AU143" s="136"/>
      <c r="AV143" s="136"/>
      <c r="AW143" s="136"/>
      <c r="AX143" s="136"/>
      <c r="AY143" s="136"/>
      <c r="AZ143" s="136"/>
      <c r="BA143" s="136"/>
      <c r="BB143" s="136"/>
      <c r="BC143" s="136"/>
      <c r="BD143" s="136"/>
      <c r="BE143" s="136"/>
      <c r="BF143" s="136"/>
      <c r="BG143" s="136"/>
      <c r="BH143" s="136"/>
      <c r="BI143" s="136"/>
      <c r="BJ143" s="136"/>
      <c r="BK143" s="136"/>
      <c r="BL143" s="136"/>
      <c r="BM143" s="136"/>
      <c r="BN143" s="136"/>
      <c r="BO143" s="136"/>
      <c r="BP143" s="136"/>
      <c r="BQ143" s="136"/>
      <c r="BR143" s="136"/>
      <c r="BS143" s="136"/>
      <c r="BT143" s="136"/>
      <c r="BU143" s="136"/>
      <c r="BV143" s="136"/>
      <c r="BW143" s="136"/>
      <c r="BX143" s="136"/>
      <c r="BY143" s="136"/>
      <c r="BZ143" s="136"/>
      <c r="CA143" s="136"/>
      <c r="CB143" s="136"/>
      <c r="CC143" s="136"/>
      <c r="CD143" s="136"/>
      <c r="CE143" s="136"/>
      <c r="CF143" s="136"/>
      <c r="CG143" s="136"/>
      <c r="CH143" s="136"/>
      <c r="CI143" s="136"/>
      <c r="CJ143" s="136"/>
      <c r="CK143" s="136"/>
      <c r="CL143" s="136"/>
      <c r="CM143" s="136"/>
      <c r="CN143" s="136"/>
      <c r="CO143" s="136"/>
      <c r="CP143" s="136"/>
      <c r="CQ143" s="136"/>
      <c r="CR143" s="136"/>
      <c r="CS143" s="136"/>
      <c r="CT143" s="136"/>
      <c r="CU143" s="136"/>
      <c r="CV143" s="136"/>
      <c r="CW143" s="136"/>
      <c r="CX143" s="136"/>
      <c r="CY143" s="136"/>
      <c r="CZ143" s="136"/>
      <c r="DA143" s="136"/>
      <c r="DB143" s="136"/>
      <c r="DC143" s="136"/>
      <c r="DD143" s="136"/>
      <c r="DE143" s="136"/>
      <c r="DF143" s="136"/>
      <c r="DG143" s="136"/>
      <c r="DH143" s="136"/>
      <c r="DI143" s="136"/>
      <c r="DJ143" s="136"/>
      <c r="DK143" s="136"/>
      <c r="DL143" s="136"/>
      <c r="DM143" s="136"/>
      <c r="DN143" s="136"/>
      <c r="DO143" s="136"/>
      <c r="DP143" s="136"/>
      <c r="DQ143" s="136"/>
      <c r="DR143" s="136"/>
      <c r="DS143" s="136"/>
      <c r="DT143" s="136"/>
      <c r="DU143" s="136"/>
      <c r="DV143" s="136"/>
      <c r="DW143" s="136"/>
      <c r="DX143" s="136"/>
      <c r="DY143" s="136"/>
      <c r="DZ143" s="136"/>
      <c r="EA143" s="136"/>
      <c r="EB143" s="136"/>
      <c r="EC143" s="136"/>
      <c r="ED143" s="136"/>
      <c r="EE143" s="136"/>
      <c r="EF143" s="136"/>
      <c r="EG143" s="136"/>
      <c r="EH143" s="136"/>
      <c r="EI143" s="136"/>
      <c r="EJ143" s="136"/>
      <c r="EK143" s="136"/>
      <c r="EL143" s="136"/>
      <c r="EM143" s="136"/>
      <c r="EN143" s="136"/>
      <c r="EO143" s="136"/>
      <c r="EP143" s="136"/>
      <c r="EQ143" s="136"/>
      <c r="ER143" s="136"/>
      <c r="ES143" s="136"/>
      <c r="ET143" s="136"/>
      <c r="EU143" s="136"/>
      <c r="EV143" s="136"/>
      <c r="EW143" s="136"/>
      <c r="EX143" s="136"/>
      <c r="EY143" s="136"/>
      <c r="EZ143" s="136"/>
      <c r="FA143" s="136"/>
      <c r="FB143" s="136"/>
      <c r="FC143" s="136"/>
      <c r="FD143" s="136"/>
      <c r="FE143" s="136"/>
      <c r="FF143" s="136"/>
      <c r="FG143" s="136"/>
      <c r="FH143" s="136"/>
      <c r="FI143" s="136"/>
      <c r="FJ143" s="136"/>
      <c r="FK143" s="136"/>
      <c r="FL143" s="136"/>
      <c r="FM143" s="136"/>
      <c r="FN143" s="136"/>
      <c r="FO143" s="136"/>
      <c r="FP143" s="136"/>
      <c r="FQ143" s="136"/>
      <c r="FR143" s="136"/>
      <c r="FS143" s="136"/>
      <c r="FT143" s="136"/>
      <c r="FU143" s="136"/>
      <c r="FV143" s="136"/>
      <c r="FW143" s="136"/>
      <c r="FX143" s="136"/>
      <c r="FY143" s="136"/>
      <c r="FZ143" s="136"/>
      <c r="GA143" s="136"/>
      <c r="GB143" s="136"/>
      <c r="GC143" s="136"/>
      <c r="GD143" s="136"/>
      <c r="GE143" s="136"/>
      <c r="GF143" s="136"/>
      <c r="GG143" s="136"/>
      <c r="GH143" s="136"/>
      <c r="GI143" s="136"/>
      <c r="GJ143" s="136"/>
      <c r="GK143" s="136"/>
      <c r="GL143" s="136"/>
      <c r="GM143" s="136"/>
      <c r="GN143" s="136"/>
      <c r="GO143" s="136"/>
      <c r="GP143" s="136"/>
      <c r="GQ143" s="136"/>
      <c r="GR143" s="136"/>
      <c r="GS143" s="136"/>
      <c r="GT143" s="136"/>
      <c r="GU143" s="136"/>
      <c r="GV143" s="136"/>
      <c r="GW143" s="136"/>
      <c r="GX143" s="136"/>
      <c r="GY143" s="136"/>
      <c r="GZ143" s="136"/>
      <c r="HA143" s="136"/>
      <c r="HB143" s="136"/>
      <c r="HC143" s="136"/>
      <c r="HD143" s="136"/>
      <c r="HE143" s="136"/>
      <c r="HF143" s="136"/>
      <c r="HG143" s="136"/>
      <c r="HH143" s="136"/>
      <c r="HI143" s="136"/>
      <c r="HJ143" s="136"/>
      <c r="HK143" s="136"/>
      <c r="HL143" s="136"/>
      <c r="HM143" s="136"/>
      <c r="HN143" s="136"/>
      <c r="HO143" s="136"/>
      <c r="HP143" s="136"/>
      <c r="HQ143" s="136"/>
      <c r="HR143" s="136"/>
      <c r="HS143" s="136"/>
      <c r="HT143" s="136"/>
      <c r="HU143" s="136"/>
      <c r="HV143" s="136"/>
      <c r="HW143" s="136"/>
      <c r="HX143" s="136"/>
      <c r="HY143" s="136"/>
      <c r="HZ143" s="136"/>
      <c r="IA143" s="136"/>
      <c r="IB143" s="136"/>
      <c r="IC143" s="136"/>
      <c r="ID143" s="136"/>
      <c r="IE143" s="136"/>
      <c r="IF143" s="136"/>
      <c r="IG143" s="136"/>
      <c r="IH143" s="136"/>
      <c r="II143" s="136"/>
      <c r="IJ143" s="136"/>
      <c r="IK143" s="136"/>
      <c r="IL143" s="136"/>
      <c r="IM143" s="136"/>
      <c r="IN143" s="136"/>
      <c r="IO143" s="136"/>
      <c r="IP143" s="136"/>
      <c r="IQ143" s="136"/>
      <c r="IR143" s="136"/>
      <c r="IS143" s="136"/>
      <c r="IT143" s="136"/>
      <c r="IU143" s="136"/>
    </row>
    <row r="144" spans="1:255" ht="105" x14ac:dyDescent="0.2">
      <c r="A144" s="242" t="str">
        <f>'HECVAT - Full'!A144</f>
        <v>DATA-18</v>
      </c>
      <c r="B144" s="242" t="str">
        <f>VLOOKUP(A144,'HECVAT - Full'!A$24:B$312,2,FALSE)</f>
        <v>Do you have a cryptographic key management process (generation, exchange, storage, safeguards, use, vetting, and replacement), that is documented and currently implemented, for all system components? (e.g. database, system, web, etc.)</v>
      </c>
      <c r="C144" s="272" t="s">
        <v>3035</v>
      </c>
      <c r="D144" s="243" t="s">
        <v>2839</v>
      </c>
      <c r="E144" s="136"/>
      <c r="F144" s="136"/>
      <c r="G144" s="136"/>
      <c r="H144" s="136"/>
      <c r="I144" s="136"/>
      <c r="J144" s="136"/>
      <c r="K144" s="136"/>
      <c r="L144" s="136"/>
      <c r="M144" s="136"/>
      <c r="N144" s="136"/>
      <c r="O144" s="136"/>
      <c r="P144" s="136"/>
      <c r="Q144" s="136"/>
      <c r="R144" s="136"/>
      <c r="S144" s="136"/>
      <c r="T144" s="136"/>
      <c r="U144" s="136"/>
      <c r="V144" s="136"/>
      <c r="W144" s="136"/>
      <c r="X144" s="136"/>
      <c r="Y144" s="136"/>
      <c r="Z144" s="136"/>
      <c r="AA144" s="136"/>
      <c r="AB144" s="136"/>
      <c r="AC144" s="136"/>
      <c r="AD144" s="136"/>
      <c r="AE144" s="136"/>
      <c r="AF144" s="136"/>
      <c r="AG144" s="136"/>
      <c r="AH144" s="136"/>
      <c r="AI144" s="136"/>
      <c r="AJ144" s="136"/>
      <c r="AK144" s="136"/>
      <c r="AL144" s="136"/>
      <c r="AM144" s="136"/>
      <c r="AN144" s="136"/>
      <c r="AO144" s="136"/>
      <c r="AP144" s="136"/>
      <c r="AQ144" s="136"/>
      <c r="AR144" s="136"/>
      <c r="AS144" s="136"/>
      <c r="AT144" s="136"/>
      <c r="AU144" s="136"/>
      <c r="AV144" s="136"/>
      <c r="AW144" s="136"/>
      <c r="AX144" s="136"/>
      <c r="AY144" s="136"/>
      <c r="AZ144" s="136"/>
      <c r="BA144" s="136"/>
      <c r="BB144" s="136"/>
      <c r="BC144" s="136"/>
      <c r="BD144" s="136"/>
      <c r="BE144" s="136"/>
      <c r="BF144" s="136"/>
      <c r="BG144" s="136"/>
      <c r="BH144" s="136"/>
      <c r="BI144" s="136"/>
      <c r="BJ144" s="136"/>
      <c r="BK144" s="136"/>
      <c r="BL144" s="136"/>
      <c r="BM144" s="136"/>
      <c r="BN144" s="136"/>
      <c r="BO144" s="136"/>
      <c r="BP144" s="136"/>
      <c r="BQ144" s="136"/>
      <c r="BR144" s="136"/>
      <c r="BS144" s="136"/>
      <c r="BT144" s="136"/>
      <c r="BU144" s="136"/>
      <c r="BV144" s="136"/>
      <c r="BW144" s="136"/>
      <c r="BX144" s="136"/>
      <c r="BY144" s="136"/>
      <c r="BZ144" s="136"/>
      <c r="CA144" s="136"/>
      <c r="CB144" s="136"/>
      <c r="CC144" s="136"/>
      <c r="CD144" s="136"/>
      <c r="CE144" s="136"/>
      <c r="CF144" s="136"/>
      <c r="CG144" s="136"/>
      <c r="CH144" s="136"/>
      <c r="CI144" s="136"/>
      <c r="CJ144" s="136"/>
      <c r="CK144" s="136"/>
      <c r="CL144" s="136"/>
      <c r="CM144" s="136"/>
      <c r="CN144" s="136"/>
      <c r="CO144" s="136"/>
      <c r="CP144" s="136"/>
      <c r="CQ144" s="136"/>
      <c r="CR144" s="136"/>
      <c r="CS144" s="136"/>
      <c r="CT144" s="136"/>
      <c r="CU144" s="136"/>
      <c r="CV144" s="136"/>
      <c r="CW144" s="136"/>
      <c r="CX144" s="136"/>
      <c r="CY144" s="136"/>
      <c r="CZ144" s="136"/>
      <c r="DA144" s="136"/>
      <c r="DB144" s="136"/>
      <c r="DC144" s="136"/>
      <c r="DD144" s="136"/>
      <c r="DE144" s="136"/>
      <c r="DF144" s="136"/>
      <c r="DG144" s="136"/>
      <c r="DH144" s="136"/>
      <c r="DI144" s="136"/>
      <c r="DJ144" s="136"/>
      <c r="DK144" s="136"/>
      <c r="DL144" s="136"/>
      <c r="DM144" s="136"/>
      <c r="DN144" s="136"/>
      <c r="DO144" s="136"/>
      <c r="DP144" s="136"/>
      <c r="DQ144" s="136"/>
      <c r="DR144" s="136"/>
      <c r="DS144" s="136"/>
      <c r="DT144" s="136"/>
      <c r="DU144" s="136"/>
      <c r="DV144" s="136"/>
      <c r="DW144" s="136"/>
      <c r="DX144" s="136"/>
      <c r="DY144" s="136"/>
      <c r="DZ144" s="136"/>
      <c r="EA144" s="136"/>
      <c r="EB144" s="136"/>
      <c r="EC144" s="136"/>
      <c r="ED144" s="136"/>
      <c r="EE144" s="136"/>
      <c r="EF144" s="136"/>
      <c r="EG144" s="136"/>
      <c r="EH144" s="136"/>
      <c r="EI144" s="136"/>
      <c r="EJ144" s="136"/>
      <c r="EK144" s="136"/>
      <c r="EL144" s="136"/>
      <c r="EM144" s="136"/>
      <c r="EN144" s="136"/>
      <c r="EO144" s="136"/>
      <c r="EP144" s="136"/>
      <c r="EQ144" s="136"/>
      <c r="ER144" s="136"/>
      <c r="ES144" s="136"/>
      <c r="ET144" s="136"/>
      <c r="EU144" s="136"/>
      <c r="EV144" s="136"/>
      <c r="EW144" s="136"/>
      <c r="EX144" s="136"/>
      <c r="EY144" s="136"/>
      <c r="EZ144" s="136"/>
      <c r="FA144" s="136"/>
      <c r="FB144" s="136"/>
      <c r="FC144" s="136"/>
      <c r="FD144" s="136"/>
      <c r="FE144" s="136"/>
      <c r="FF144" s="136"/>
      <c r="FG144" s="136"/>
      <c r="FH144" s="136"/>
      <c r="FI144" s="136"/>
      <c r="FJ144" s="136"/>
      <c r="FK144" s="136"/>
      <c r="FL144" s="136"/>
      <c r="FM144" s="136"/>
      <c r="FN144" s="136"/>
      <c r="FO144" s="136"/>
      <c r="FP144" s="136"/>
      <c r="FQ144" s="136"/>
      <c r="FR144" s="136"/>
      <c r="FS144" s="136"/>
      <c r="FT144" s="136"/>
      <c r="FU144" s="136"/>
      <c r="FV144" s="136"/>
      <c r="FW144" s="136"/>
      <c r="FX144" s="136"/>
      <c r="FY144" s="136"/>
      <c r="FZ144" s="136"/>
      <c r="GA144" s="136"/>
      <c r="GB144" s="136"/>
      <c r="GC144" s="136"/>
      <c r="GD144" s="136"/>
      <c r="GE144" s="136"/>
      <c r="GF144" s="136"/>
      <c r="GG144" s="136"/>
      <c r="GH144" s="136"/>
      <c r="GI144" s="136"/>
      <c r="GJ144" s="136"/>
      <c r="GK144" s="136"/>
      <c r="GL144" s="136"/>
      <c r="GM144" s="136"/>
      <c r="GN144" s="136"/>
      <c r="GO144" s="136"/>
      <c r="GP144" s="136"/>
      <c r="GQ144" s="136"/>
      <c r="GR144" s="136"/>
      <c r="GS144" s="136"/>
      <c r="GT144" s="136"/>
      <c r="GU144" s="136"/>
      <c r="GV144" s="136"/>
      <c r="GW144" s="136"/>
      <c r="GX144" s="136"/>
      <c r="GY144" s="136"/>
      <c r="GZ144" s="136"/>
      <c r="HA144" s="136"/>
      <c r="HB144" s="136"/>
      <c r="HC144" s="136"/>
      <c r="HD144" s="136"/>
      <c r="HE144" s="136"/>
      <c r="HF144" s="136"/>
      <c r="HG144" s="136"/>
      <c r="HH144" s="136"/>
      <c r="HI144" s="136"/>
      <c r="HJ144" s="136"/>
      <c r="HK144" s="136"/>
      <c r="HL144" s="136"/>
      <c r="HM144" s="136"/>
      <c r="HN144" s="136"/>
      <c r="HO144" s="136"/>
      <c r="HP144" s="136"/>
      <c r="HQ144" s="136"/>
      <c r="HR144" s="136"/>
      <c r="HS144" s="136"/>
      <c r="HT144" s="136"/>
      <c r="HU144" s="136"/>
      <c r="HV144" s="136"/>
      <c r="HW144" s="136"/>
      <c r="HX144" s="136"/>
      <c r="HY144" s="136"/>
      <c r="HZ144" s="136"/>
      <c r="IA144" s="136"/>
      <c r="IB144" s="136"/>
      <c r="IC144" s="136"/>
      <c r="ID144" s="136"/>
      <c r="IE144" s="136"/>
      <c r="IF144" s="136"/>
      <c r="IG144" s="136"/>
      <c r="IH144" s="136"/>
      <c r="II144" s="136"/>
      <c r="IJ144" s="136"/>
      <c r="IK144" s="136"/>
      <c r="IL144" s="136"/>
      <c r="IM144" s="136"/>
      <c r="IN144" s="136"/>
      <c r="IO144" s="136"/>
      <c r="IP144" s="136"/>
      <c r="IQ144" s="136"/>
      <c r="IR144" s="136"/>
      <c r="IS144" s="136"/>
      <c r="IT144" s="136"/>
      <c r="IU144" s="136"/>
    </row>
    <row r="145" spans="1:255" ht="63.75" customHeight="1" x14ac:dyDescent="0.2">
      <c r="A145" s="242" t="str">
        <f>'HECVAT - Full'!A145</f>
        <v>DATA-19</v>
      </c>
      <c r="B145" s="242" t="str">
        <f>VLOOKUP(A145,'HECVAT - Full'!A$24:B$312,2,FALSE)</f>
        <v>Do current backups include all operating system software, utilities, security software, application software, and data files necessary for recovery?</v>
      </c>
      <c r="C145" s="255" t="s">
        <v>2840</v>
      </c>
      <c r="D145" s="250" t="s">
        <v>2841</v>
      </c>
      <c r="E145" s="136"/>
      <c r="F145" s="136"/>
      <c r="G145" s="136"/>
      <c r="H145" s="136"/>
      <c r="I145" s="136"/>
      <c r="J145" s="136"/>
      <c r="K145" s="136"/>
      <c r="L145" s="136"/>
      <c r="M145" s="136"/>
      <c r="N145" s="136"/>
      <c r="O145" s="136"/>
      <c r="P145" s="136"/>
      <c r="Q145" s="136"/>
      <c r="R145" s="136"/>
      <c r="S145" s="136"/>
      <c r="T145" s="136"/>
      <c r="U145" s="136"/>
      <c r="V145" s="136"/>
      <c r="W145" s="136"/>
      <c r="X145" s="136"/>
      <c r="Y145" s="136"/>
      <c r="Z145" s="136"/>
      <c r="AA145" s="136"/>
      <c r="AB145" s="136"/>
      <c r="AC145" s="136"/>
      <c r="AD145" s="136"/>
      <c r="AE145" s="136"/>
      <c r="AF145" s="136"/>
      <c r="AG145" s="136"/>
      <c r="AH145" s="136"/>
      <c r="AI145" s="136"/>
      <c r="AJ145" s="136"/>
      <c r="AK145" s="136"/>
      <c r="AL145" s="136"/>
      <c r="AM145" s="136"/>
      <c r="AN145" s="136"/>
      <c r="AO145" s="136"/>
      <c r="AP145" s="136"/>
      <c r="AQ145" s="136"/>
      <c r="AR145" s="136"/>
      <c r="AS145" s="136"/>
      <c r="AT145" s="136"/>
      <c r="AU145" s="136"/>
      <c r="AV145" s="136"/>
      <c r="AW145" s="136"/>
      <c r="AX145" s="136"/>
      <c r="AY145" s="136"/>
      <c r="AZ145" s="136"/>
      <c r="BA145" s="136"/>
      <c r="BB145" s="136"/>
      <c r="BC145" s="136"/>
      <c r="BD145" s="136"/>
      <c r="BE145" s="136"/>
      <c r="BF145" s="136"/>
      <c r="BG145" s="136"/>
      <c r="BH145" s="136"/>
      <c r="BI145" s="136"/>
      <c r="BJ145" s="136"/>
      <c r="BK145" s="136"/>
      <c r="BL145" s="136"/>
      <c r="BM145" s="136"/>
      <c r="BN145" s="136"/>
      <c r="BO145" s="136"/>
      <c r="BP145" s="136"/>
      <c r="BQ145" s="136"/>
      <c r="BR145" s="136"/>
      <c r="BS145" s="136"/>
      <c r="BT145" s="136"/>
      <c r="BU145" s="136"/>
      <c r="BV145" s="136"/>
      <c r="BW145" s="136"/>
      <c r="BX145" s="136"/>
      <c r="BY145" s="136"/>
      <c r="BZ145" s="136"/>
      <c r="CA145" s="136"/>
      <c r="CB145" s="136"/>
      <c r="CC145" s="136"/>
      <c r="CD145" s="136"/>
      <c r="CE145" s="136"/>
      <c r="CF145" s="136"/>
      <c r="CG145" s="136"/>
      <c r="CH145" s="136"/>
      <c r="CI145" s="136"/>
      <c r="CJ145" s="136"/>
      <c r="CK145" s="136"/>
      <c r="CL145" s="136"/>
      <c r="CM145" s="136"/>
      <c r="CN145" s="136"/>
      <c r="CO145" s="136"/>
      <c r="CP145" s="136"/>
      <c r="CQ145" s="136"/>
      <c r="CR145" s="136"/>
      <c r="CS145" s="136"/>
      <c r="CT145" s="136"/>
      <c r="CU145" s="136"/>
      <c r="CV145" s="136"/>
      <c r="CW145" s="136"/>
      <c r="CX145" s="136"/>
      <c r="CY145" s="136"/>
      <c r="CZ145" s="136"/>
      <c r="DA145" s="136"/>
      <c r="DB145" s="136"/>
      <c r="DC145" s="136"/>
      <c r="DD145" s="136"/>
      <c r="DE145" s="136"/>
      <c r="DF145" s="136"/>
      <c r="DG145" s="136"/>
      <c r="DH145" s="136"/>
      <c r="DI145" s="136"/>
      <c r="DJ145" s="136"/>
      <c r="DK145" s="136"/>
      <c r="DL145" s="136"/>
      <c r="DM145" s="136"/>
      <c r="DN145" s="136"/>
      <c r="DO145" s="136"/>
      <c r="DP145" s="136"/>
      <c r="DQ145" s="136"/>
      <c r="DR145" s="136"/>
      <c r="DS145" s="136"/>
      <c r="DT145" s="136"/>
      <c r="DU145" s="136"/>
      <c r="DV145" s="136"/>
      <c r="DW145" s="136"/>
      <c r="DX145" s="136"/>
      <c r="DY145" s="136"/>
      <c r="DZ145" s="136"/>
      <c r="EA145" s="136"/>
      <c r="EB145" s="136"/>
      <c r="EC145" s="136"/>
      <c r="ED145" s="136"/>
      <c r="EE145" s="136"/>
      <c r="EF145" s="136"/>
      <c r="EG145" s="136"/>
      <c r="EH145" s="136"/>
      <c r="EI145" s="136"/>
      <c r="EJ145" s="136"/>
      <c r="EK145" s="136"/>
      <c r="EL145" s="136"/>
      <c r="EM145" s="136"/>
      <c r="EN145" s="136"/>
      <c r="EO145" s="136"/>
      <c r="EP145" s="136"/>
      <c r="EQ145" s="136"/>
      <c r="ER145" s="136"/>
      <c r="ES145" s="136"/>
      <c r="ET145" s="136"/>
      <c r="EU145" s="136"/>
      <c r="EV145" s="136"/>
      <c r="EW145" s="136"/>
      <c r="EX145" s="136"/>
      <c r="EY145" s="136"/>
      <c r="EZ145" s="136"/>
      <c r="FA145" s="136"/>
      <c r="FB145" s="136"/>
      <c r="FC145" s="136"/>
      <c r="FD145" s="136"/>
      <c r="FE145" s="136"/>
      <c r="FF145" s="136"/>
      <c r="FG145" s="136"/>
      <c r="FH145" s="136"/>
      <c r="FI145" s="136"/>
      <c r="FJ145" s="136"/>
      <c r="FK145" s="136"/>
      <c r="FL145" s="136"/>
      <c r="FM145" s="136"/>
      <c r="FN145" s="136"/>
      <c r="FO145" s="136"/>
      <c r="FP145" s="136"/>
      <c r="FQ145" s="136"/>
      <c r="FR145" s="136"/>
      <c r="FS145" s="136"/>
      <c r="FT145" s="136"/>
      <c r="FU145" s="136"/>
      <c r="FV145" s="136"/>
      <c r="FW145" s="136"/>
      <c r="FX145" s="136"/>
      <c r="FY145" s="136"/>
      <c r="FZ145" s="136"/>
      <c r="GA145" s="136"/>
      <c r="GB145" s="136"/>
      <c r="GC145" s="136"/>
      <c r="GD145" s="136"/>
      <c r="GE145" s="136"/>
      <c r="GF145" s="136"/>
      <c r="GG145" s="136"/>
      <c r="GH145" s="136"/>
      <c r="GI145" s="136"/>
      <c r="GJ145" s="136"/>
      <c r="GK145" s="136"/>
      <c r="GL145" s="136"/>
      <c r="GM145" s="136"/>
      <c r="GN145" s="136"/>
      <c r="GO145" s="136"/>
      <c r="GP145" s="136"/>
      <c r="GQ145" s="136"/>
      <c r="GR145" s="136"/>
      <c r="GS145" s="136"/>
      <c r="GT145" s="136"/>
      <c r="GU145" s="136"/>
      <c r="GV145" s="136"/>
      <c r="GW145" s="136"/>
      <c r="GX145" s="136"/>
      <c r="GY145" s="136"/>
      <c r="GZ145" s="136"/>
      <c r="HA145" s="136"/>
      <c r="HB145" s="136"/>
      <c r="HC145" s="136"/>
      <c r="HD145" s="136"/>
      <c r="HE145" s="136"/>
      <c r="HF145" s="136"/>
      <c r="HG145" s="136"/>
      <c r="HH145" s="136"/>
      <c r="HI145" s="136"/>
      <c r="HJ145" s="136"/>
      <c r="HK145" s="136"/>
      <c r="HL145" s="136"/>
      <c r="HM145" s="136"/>
      <c r="HN145" s="136"/>
      <c r="HO145" s="136"/>
      <c r="HP145" s="136"/>
      <c r="HQ145" s="136"/>
      <c r="HR145" s="136"/>
      <c r="HS145" s="136"/>
      <c r="HT145" s="136"/>
      <c r="HU145" s="136"/>
      <c r="HV145" s="136"/>
      <c r="HW145" s="136"/>
      <c r="HX145" s="136"/>
      <c r="HY145" s="136"/>
      <c r="HZ145" s="136"/>
      <c r="IA145" s="136"/>
      <c r="IB145" s="136"/>
      <c r="IC145" s="136"/>
      <c r="ID145" s="136"/>
      <c r="IE145" s="136"/>
      <c r="IF145" s="136"/>
      <c r="IG145" s="136"/>
      <c r="IH145" s="136"/>
      <c r="II145" s="136"/>
      <c r="IJ145" s="136"/>
      <c r="IK145" s="136"/>
      <c r="IL145" s="136"/>
      <c r="IM145" s="136"/>
      <c r="IN145" s="136"/>
      <c r="IO145" s="136"/>
      <c r="IP145" s="136"/>
      <c r="IQ145" s="136"/>
      <c r="IR145" s="136"/>
      <c r="IS145" s="136"/>
      <c r="IT145" s="136"/>
      <c r="IU145" s="136"/>
    </row>
    <row r="146" spans="1:255" ht="75" x14ac:dyDescent="0.2">
      <c r="A146" s="242" t="str">
        <f>'HECVAT - Full'!A146</f>
        <v>DATA-20</v>
      </c>
      <c r="B146" s="242" t="str">
        <f>VLOOKUP(A146,'HECVAT - Full'!A$24:B$312,2,FALSE)</f>
        <v>Are you performing off site backups? (i.e. digitally moved off site)</v>
      </c>
      <c r="C146" s="281" t="s">
        <v>3064</v>
      </c>
      <c r="D146" s="250" t="s">
        <v>2842</v>
      </c>
      <c r="E146" s="136"/>
      <c r="F146" s="136"/>
      <c r="G146" s="136"/>
      <c r="H146" s="136"/>
      <c r="I146" s="136"/>
      <c r="J146" s="136"/>
      <c r="K146" s="136"/>
      <c r="L146" s="136"/>
      <c r="M146" s="136"/>
      <c r="N146" s="136"/>
      <c r="O146" s="136"/>
      <c r="P146" s="136"/>
      <c r="Q146" s="136"/>
      <c r="R146" s="136"/>
      <c r="S146" s="136"/>
      <c r="T146" s="136"/>
      <c r="U146" s="136"/>
      <c r="V146" s="136"/>
      <c r="W146" s="136"/>
      <c r="X146" s="136"/>
      <c r="Y146" s="136"/>
      <c r="Z146" s="136"/>
      <c r="AA146" s="136"/>
      <c r="AB146" s="136"/>
      <c r="AC146" s="136"/>
      <c r="AD146" s="136"/>
      <c r="AE146" s="136"/>
      <c r="AF146" s="136"/>
      <c r="AG146" s="136"/>
      <c r="AH146" s="136"/>
      <c r="AI146" s="136"/>
      <c r="AJ146" s="136"/>
      <c r="AK146" s="136"/>
      <c r="AL146" s="136"/>
      <c r="AM146" s="136"/>
      <c r="AN146" s="136"/>
      <c r="AO146" s="136"/>
      <c r="AP146" s="136"/>
      <c r="AQ146" s="136"/>
      <c r="AR146" s="136"/>
      <c r="AS146" s="136"/>
      <c r="AT146" s="136"/>
      <c r="AU146" s="136"/>
      <c r="AV146" s="136"/>
      <c r="AW146" s="136"/>
      <c r="AX146" s="136"/>
      <c r="AY146" s="136"/>
      <c r="AZ146" s="136"/>
      <c r="BA146" s="136"/>
      <c r="BB146" s="136"/>
      <c r="BC146" s="136"/>
      <c r="BD146" s="136"/>
      <c r="BE146" s="136"/>
      <c r="BF146" s="136"/>
      <c r="BG146" s="136"/>
      <c r="BH146" s="136"/>
      <c r="BI146" s="136"/>
      <c r="BJ146" s="136"/>
      <c r="BK146" s="136"/>
      <c r="BL146" s="136"/>
      <c r="BM146" s="136"/>
      <c r="BN146" s="136"/>
      <c r="BO146" s="136"/>
      <c r="BP146" s="136"/>
      <c r="BQ146" s="136"/>
      <c r="BR146" s="136"/>
      <c r="BS146" s="136"/>
      <c r="BT146" s="136"/>
      <c r="BU146" s="136"/>
      <c r="BV146" s="136"/>
      <c r="BW146" s="136"/>
      <c r="BX146" s="136"/>
      <c r="BY146" s="136"/>
      <c r="BZ146" s="136"/>
      <c r="CA146" s="136"/>
      <c r="CB146" s="136"/>
      <c r="CC146" s="136"/>
      <c r="CD146" s="136"/>
      <c r="CE146" s="136"/>
      <c r="CF146" s="136"/>
      <c r="CG146" s="136"/>
      <c r="CH146" s="136"/>
      <c r="CI146" s="136"/>
      <c r="CJ146" s="136"/>
      <c r="CK146" s="136"/>
      <c r="CL146" s="136"/>
      <c r="CM146" s="136"/>
      <c r="CN146" s="136"/>
      <c r="CO146" s="136"/>
      <c r="CP146" s="136"/>
      <c r="CQ146" s="136"/>
      <c r="CR146" s="136"/>
      <c r="CS146" s="136"/>
      <c r="CT146" s="136"/>
      <c r="CU146" s="136"/>
      <c r="CV146" s="136"/>
      <c r="CW146" s="136"/>
      <c r="CX146" s="136"/>
      <c r="CY146" s="136"/>
      <c r="CZ146" s="136"/>
      <c r="DA146" s="136"/>
      <c r="DB146" s="136"/>
      <c r="DC146" s="136"/>
      <c r="DD146" s="136"/>
      <c r="DE146" s="136"/>
      <c r="DF146" s="136"/>
      <c r="DG146" s="136"/>
      <c r="DH146" s="136"/>
      <c r="DI146" s="136"/>
      <c r="DJ146" s="136"/>
      <c r="DK146" s="136"/>
      <c r="DL146" s="136"/>
      <c r="DM146" s="136"/>
      <c r="DN146" s="136"/>
      <c r="DO146" s="136"/>
      <c r="DP146" s="136"/>
      <c r="DQ146" s="136"/>
      <c r="DR146" s="136"/>
      <c r="DS146" s="136"/>
      <c r="DT146" s="136"/>
      <c r="DU146" s="136"/>
      <c r="DV146" s="136"/>
      <c r="DW146" s="136"/>
      <c r="DX146" s="136"/>
      <c r="DY146" s="136"/>
      <c r="DZ146" s="136"/>
      <c r="EA146" s="136"/>
      <c r="EB146" s="136"/>
      <c r="EC146" s="136"/>
      <c r="ED146" s="136"/>
      <c r="EE146" s="136"/>
      <c r="EF146" s="136"/>
      <c r="EG146" s="136"/>
      <c r="EH146" s="136"/>
      <c r="EI146" s="136"/>
      <c r="EJ146" s="136"/>
      <c r="EK146" s="136"/>
      <c r="EL146" s="136"/>
      <c r="EM146" s="136"/>
      <c r="EN146" s="136"/>
      <c r="EO146" s="136"/>
      <c r="EP146" s="136"/>
      <c r="EQ146" s="136"/>
      <c r="ER146" s="136"/>
      <c r="ES146" s="136"/>
      <c r="ET146" s="136"/>
      <c r="EU146" s="136"/>
      <c r="EV146" s="136"/>
      <c r="EW146" s="136"/>
      <c r="EX146" s="136"/>
      <c r="EY146" s="136"/>
      <c r="EZ146" s="136"/>
      <c r="FA146" s="136"/>
      <c r="FB146" s="136"/>
      <c r="FC146" s="136"/>
      <c r="FD146" s="136"/>
      <c r="FE146" s="136"/>
      <c r="FF146" s="136"/>
      <c r="FG146" s="136"/>
      <c r="FH146" s="136"/>
      <c r="FI146" s="136"/>
      <c r="FJ146" s="136"/>
      <c r="FK146" s="136"/>
      <c r="FL146" s="136"/>
      <c r="FM146" s="136"/>
      <c r="FN146" s="136"/>
      <c r="FO146" s="136"/>
      <c r="FP146" s="136"/>
      <c r="FQ146" s="136"/>
      <c r="FR146" s="136"/>
      <c r="FS146" s="136"/>
      <c r="FT146" s="136"/>
      <c r="FU146" s="136"/>
      <c r="FV146" s="136"/>
      <c r="FW146" s="136"/>
      <c r="FX146" s="136"/>
      <c r="FY146" s="136"/>
      <c r="FZ146" s="136"/>
      <c r="GA146" s="136"/>
      <c r="GB146" s="136"/>
      <c r="GC146" s="136"/>
      <c r="GD146" s="136"/>
      <c r="GE146" s="136"/>
      <c r="GF146" s="136"/>
      <c r="GG146" s="136"/>
      <c r="GH146" s="136"/>
      <c r="GI146" s="136"/>
      <c r="GJ146" s="136"/>
      <c r="GK146" s="136"/>
      <c r="GL146" s="136"/>
      <c r="GM146" s="136"/>
      <c r="GN146" s="136"/>
      <c r="GO146" s="136"/>
      <c r="GP146" s="136"/>
      <c r="GQ146" s="136"/>
      <c r="GR146" s="136"/>
      <c r="GS146" s="136"/>
      <c r="GT146" s="136"/>
      <c r="GU146" s="136"/>
      <c r="GV146" s="136"/>
      <c r="GW146" s="136"/>
      <c r="GX146" s="136"/>
      <c r="GY146" s="136"/>
      <c r="GZ146" s="136"/>
      <c r="HA146" s="136"/>
      <c r="HB146" s="136"/>
      <c r="HC146" s="136"/>
      <c r="HD146" s="136"/>
      <c r="HE146" s="136"/>
      <c r="HF146" s="136"/>
      <c r="HG146" s="136"/>
      <c r="HH146" s="136"/>
      <c r="HI146" s="136"/>
      <c r="HJ146" s="136"/>
      <c r="HK146" s="136"/>
      <c r="HL146" s="136"/>
      <c r="HM146" s="136"/>
      <c r="HN146" s="136"/>
      <c r="HO146" s="136"/>
      <c r="HP146" s="136"/>
      <c r="HQ146" s="136"/>
      <c r="HR146" s="136"/>
      <c r="HS146" s="136"/>
      <c r="HT146" s="136"/>
      <c r="HU146" s="136"/>
      <c r="HV146" s="136"/>
      <c r="HW146" s="136"/>
      <c r="HX146" s="136"/>
      <c r="HY146" s="136"/>
      <c r="HZ146" s="136"/>
      <c r="IA146" s="136"/>
      <c r="IB146" s="136"/>
      <c r="IC146" s="136"/>
      <c r="ID146" s="136"/>
      <c r="IE146" s="136"/>
      <c r="IF146" s="136"/>
      <c r="IG146" s="136"/>
      <c r="IH146" s="136"/>
      <c r="II146" s="136"/>
      <c r="IJ146" s="136"/>
      <c r="IK146" s="136"/>
      <c r="IL146" s="136"/>
      <c r="IM146" s="136"/>
      <c r="IN146" s="136"/>
      <c r="IO146" s="136"/>
      <c r="IP146" s="136"/>
      <c r="IQ146" s="136"/>
      <c r="IR146" s="136"/>
      <c r="IS146" s="136"/>
      <c r="IT146" s="136"/>
      <c r="IU146" s="136"/>
    </row>
    <row r="147" spans="1:255" ht="60" x14ac:dyDescent="0.2">
      <c r="A147" s="242" t="str">
        <f>'HECVAT - Full'!A147</f>
        <v>DATA-21</v>
      </c>
      <c r="B147" s="242" t="str">
        <f>VLOOKUP(A147,'HECVAT - Full'!A$24:B$312,2,FALSE)</f>
        <v>Are physical backups taken off site? (i.e. physically moved off site)</v>
      </c>
      <c r="C147" s="255" t="s">
        <v>2843</v>
      </c>
      <c r="D147" s="250" t="s">
        <v>2844</v>
      </c>
      <c r="E147" s="136"/>
      <c r="F147" s="136"/>
      <c r="G147" s="136"/>
      <c r="H147" s="136"/>
      <c r="I147" s="136"/>
      <c r="J147" s="136"/>
      <c r="K147" s="136"/>
      <c r="L147" s="136"/>
      <c r="M147" s="136"/>
      <c r="N147" s="136"/>
      <c r="O147" s="136"/>
      <c r="P147" s="136"/>
      <c r="Q147" s="136"/>
      <c r="R147" s="136"/>
      <c r="S147" s="136"/>
      <c r="T147" s="136"/>
      <c r="U147" s="136"/>
      <c r="V147" s="136"/>
      <c r="W147" s="136"/>
      <c r="X147" s="136"/>
      <c r="Y147" s="136"/>
      <c r="Z147" s="136"/>
      <c r="AA147" s="136"/>
      <c r="AB147" s="136"/>
      <c r="AC147" s="136"/>
      <c r="AD147" s="136"/>
      <c r="AE147" s="136"/>
      <c r="AF147" s="136"/>
      <c r="AG147" s="136"/>
      <c r="AH147" s="136"/>
      <c r="AI147" s="136"/>
      <c r="AJ147" s="136"/>
      <c r="AK147" s="136"/>
      <c r="AL147" s="136"/>
      <c r="AM147" s="136"/>
      <c r="AN147" s="136"/>
      <c r="AO147" s="136"/>
      <c r="AP147" s="136"/>
      <c r="AQ147" s="136"/>
      <c r="AR147" s="136"/>
      <c r="AS147" s="136"/>
      <c r="AT147" s="136"/>
      <c r="AU147" s="136"/>
      <c r="AV147" s="136"/>
      <c r="AW147" s="136"/>
      <c r="AX147" s="136"/>
      <c r="AY147" s="136"/>
      <c r="AZ147" s="136"/>
      <c r="BA147" s="136"/>
      <c r="BB147" s="136"/>
      <c r="BC147" s="136"/>
      <c r="BD147" s="136"/>
      <c r="BE147" s="136"/>
      <c r="BF147" s="136"/>
      <c r="BG147" s="136"/>
      <c r="BH147" s="136"/>
      <c r="BI147" s="136"/>
      <c r="BJ147" s="136"/>
      <c r="BK147" s="136"/>
      <c r="BL147" s="136"/>
      <c r="BM147" s="136"/>
      <c r="BN147" s="136"/>
      <c r="BO147" s="136"/>
      <c r="BP147" s="136"/>
      <c r="BQ147" s="136"/>
      <c r="BR147" s="136"/>
      <c r="BS147" s="136"/>
      <c r="BT147" s="136"/>
      <c r="BU147" s="136"/>
      <c r="BV147" s="136"/>
      <c r="BW147" s="136"/>
      <c r="BX147" s="136"/>
      <c r="BY147" s="136"/>
      <c r="BZ147" s="136"/>
      <c r="CA147" s="136"/>
      <c r="CB147" s="136"/>
      <c r="CC147" s="136"/>
      <c r="CD147" s="136"/>
      <c r="CE147" s="136"/>
      <c r="CF147" s="136"/>
      <c r="CG147" s="136"/>
      <c r="CH147" s="136"/>
      <c r="CI147" s="136"/>
      <c r="CJ147" s="136"/>
      <c r="CK147" s="136"/>
      <c r="CL147" s="136"/>
      <c r="CM147" s="136"/>
      <c r="CN147" s="136"/>
      <c r="CO147" s="136"/>
      <c r="CP147" s="136"/>
      <c r="CQ147" s="136"/>
      <c r="CR147" s="136"/>
      <c r="CS147" s="136"/>
      <c r="CT147" s="136"/>
      <c r="CU147" s="136"/>
      <c r="CV147" s="136"/>
      <c r="CW147" s="136"/>
      <c r="CX147" s="136"/>
      <c r="CY147" s="136"/>
      <c r="CZ147" s="136"/>
      <c r="DA147" s="136"/>
      <c r="DB147" s="136"/>
      <c r="DC147" s="136"/>
      <c r="DD147" s="136"/>
      <c r="DE147" s="136"/>
      <c r="DF147" s="136"/>
      <c r="DG147" s="136"/>
      <c r="DH147" s="136"/>
      <c r="DI147" s="136"/>
      <c r="DJ147" s="136"/>
      <c r="DK147" s="136"/>
      <c r="DL147" s="136"/>
      <c r="DM147" s="136"/>
      <c r="DN147" s="136"/>
      <c r="DO147" s="136"/>
      <c r="DP147" s="136"/>
      <c r="DQ147" s="136"/>
      <c r="DR147" s="136"/>
      <c r="DS147" s="136"/>
      <c r="DT147" s="136"/>
      <c r="DU147" s="136"/>
      <c r="DV147" s="136"/>
      <c r="DW147" s="136"/>
      <c r="DX147" s="136"/>
      <c r="DY147" s="136"/>
      <c r="DZ147" s="136"/>
      <c r="EA147" s="136"/>
      <c r="EB147" s="136"/>
      <c r="EC147" s="136"/>
      <c r="ED147" s="136"/>
      <c r="EE147" s="136"/>
      <c r="EF147" s="136"/>
      <c r="EG147" s="136"/>
      <c r="EH147" s="136"/>
      <c r="EI147" s="136"/>
      <c r="EJ147" s="136"/>
      <c r="EK147" s="136"/>
      <c r="EL147" s="136"/>
      <c r="EM147" s="136"/>
      <c r="EN147" s="136"/>
      <c r="EO147" s="136"/>
      <c r="EP147" s="136"/>
      <c r="EQ147" s="136"/>
      <c r="ER147" s="136"/>
      <c r="ES147" s="136"/>
      <c r="ET147" s="136"/>
      <c r="EU147" s="136"/>
      <c r="EV147" s="136"/>
      <c r="EW147" s="136"/>
      <c r="EX147" s="136"/>
      <c r="EY147" s="136"/>
      <c r="EZ147" s="136"/>
      <c r="FA147" s="136"/>
      <c r="FB147" s="136"/>
      <c r="FC147" s="136"/>
      <c r="FD147" s="136"/>
      <c r="FE147" s="136"/>
      <c r="FF147" s="136"/>
      <c r="FG147" s="136"/>
      <c r="FH147" s="136"/>
      <c r="FI147" s="136"/>
      <c r="FJ147" s="136"/>
      <c r="FK147" s="136"/>
      <c r="FL147" s="136"/>
      <c r="FM147" s="136"/>
      <c r="FN147" s="136"/>
      <c r="FO147" s="136"/>
      <c r="FP147" s="136"/>
      <c r="FQ147" s="136"/>
      <c r="FR147" s="136"/>
      <c r="FS147" s="136"/>
      <c r="FT147" s="136"/>
      <c r="FU147" s="136"/>
      <c r="FV147" s="136"/>
      <c r="FW147" s="136"/>
      <c r="FX147" s="136"/>
      <c r="FY147" s="136"/>
      <c r="FZ147" s="136"/>
      <c r="GA147" s="136"/>
      <c r="GB147" s="136"/>
      <c r="GC147" s="136"/>
      <c r="GD147" s="136"/>
      <c r="GE147" s="136"/>
      <c r="GF147" s="136"/>
      <c r="GG147" s="136"/>
      <c r="GH147" s="136"/>
      <c r="GI147" s="136"/>
      <c r="GJ147" s="136"/>
      <c r="GK147" s="136"/>
      <c r="GL147" s="136"/>
      <c r="GM147" s="136"/>
      <c r="GN147" s="136"/>
      <c r="GO147" s="136"/>
      <c r="GP147" s="136"/>
      <c r="GQ147" s="136"/>
      <c r="GR147" s="136"/>
      <c r="GS147" s="136"/>
      <c r="GT147" s="136"/>
      <c r="GU147" s="136"/>
      <c r="GV147" s="136"/>
      <c r="GW147" s="136"/>
      <c r="GX147" s="136"/>
      <c r="GY147" s="136"/>
      <c r="GZ147" s="136"/>
      <c r="HA147" s="136"/>
      <c r="HB147" s="136"/>
      <c r="HC147" s="136"/>
      <c r="HD147" s="136"/>
      <c r="HE147" s="136"/>
      <c r="HF147" s="136"/>
      <c r="HG147" s="136"/>
      <c r="HH147" s="136"/>
      <c r="HI147" s="136"/>
      <c r="HJ147" s="136"/>
      <c r="HK147" s="136"/>
      <c r="HL147" s="136"/>
      <c r="HM147" s="136"/>
      <c r="HN147" s="136"/>
      <c r="HO147" s="136"/>
      <c r="HP147" s="136"/>
      <c r="HQ147" s="136"/>
      <c r="HR147" s="136"/>
      <c r="HS147" s="136"/>
      <c r="HT147" s="136"/>
      <c r="HU147" s="136"/>
      <c r="HV147" s="136"/>
      <c r="HW147" s="136"/>
      <c r="HX147" s="136"/>
      <c r="HY147" s="136"/>
      <c r="HZ147" s="136"/>
      <c r="IA147" s="136"/>
      <c r="IB147" s="136"/>
      <c r="IC147" s="136"/>
      <c r="ID147" s="136"/>
      <c r="IE147" s="136"/>
      <c r="IF147" s="136"/>
      <c r="IG147" s="136"/>
      <c r="IH147" s="136"/>
      <c r="II147" s="136"/>
      <c r="IJ147" s="136"/>
      <c r="IK147" s="136"/>
      <c r="IL147" s="136"/>
      <c r="IM147" s="136"/>
      <c r="IN147" s="136"/>
      <c r="IO147" s="136"/>
      <c r="IP147" s="136"/>
      <c r="IQ147" s="136"/>
      <c r="IR147" s="136"/>
      <c r="IS147" s="136"/>
      <c r="IT147" s="136"/>
      <c r="IU147" s="136"/>
    </row>
    <row r="148" spans="1:255" ht="90" x14ac:dyDescent="0.2">
      <c r="A148" s="242" t="str">
        <f>'HECVAT - Full'!A148</f>
        <v>DATA-22</v>
      </c>
      <c r="B148" s="242" t="str">
        <f>VLOOKUP(A148,'HECVAT - Full'!A$24:B$312,2,FALSE)</f>
        <v>Do backups containing the institution's data ever leave the Institution's Data Zone either physically or via network routing?</v>
      </c>
      <c r="C148" s="245" t="s">
        <v>2845</v>
      </c>
      <c r="D148" s="250" t="s">
        <v>2846</v>
      </c>
      <c r="E148" s="136"/>
      <c r="F148" s="136"/>
      <c r="G148" s="136"/>
      <c r="H148" s="136"/>
      <c r="I148" s="136"/>
      <c r="J148" s="136"/>
      <c r="K148" s="136"/>
      <c r="L148" s="136"/>
      <c r="M148" s="136"/>
      <c r="N148" s="136"/>
      <c r="O148" s="136"/>
      <c r="P148" s="136"/>
      <c r="Q148" s="136"/>
      <c r="R148" s="136"/>
      <c r="S148" s="136"/>
      <c r="T148" s="136"/>
      <c r="U148" s="136"/>
      <c r="V148" s="136"/>
      <c r="W148" s="136"/>
      <c r="X148" s="136"/>
      <c r="Y148" s="136"/>
      <c r="Z148" s="136"/>
      <c r="AA148" s="136"/>
      <c r="AB148" s="136"/>
      <c r="AC148" s="136"/>
      <c r="AD148" s="136"/>
      <c r="AE148" s="136"/>
      <c r="AF148" s="136"/>
      <c r="AG148" s="136"/>
      <c r="AH148" s="136"/>
      <c r="AI148" s="136"/>
      <c r="AJ148" s="136"/>
      <c r="AK148" s="136"/>
      <c r="AL148" s="136"/>
      <c r="AM148" s="136"/>
      <c r="AN148" s="136"/>
      <c r="AO148" s="136"/>
      <c r="AP148" s="136"/>
      <c r="AQ148" s="136"/>
      <c r="AR148" s="136"/>
      <c r="AS148" s="136"/>
      <c r="AT148" s="136"/>
      <c r="AU148" s="136"/>
      <c r="AV148" s="136"/>
      <c r="AW148" s="136"/>
      <c r="AX148" s="136"/>
      <c r="AY148" s="136"/>
      <c r="AZ148" s="136"/>
      <c r="BA148" s="136"/>
      <c r="BB148" s="136"/>
      <c r="BC148" s="136"/>
      <c r="BD148" s="136"/>
      <c r="BE148" s="136"/>
      <c r="BF148" s="136"/>
      <c r="BG148" s="136"/>
      <c r="BH148" s="136"/>
      <c r="BI148" s="136"/>
      <c r="BJ148" s="136"/>
      <c r="BK148" s="136"/>
      <c r="BL148" s="136"/>
      <c r="BM148" s="136"/>
      <c r="BN148" s="136"/>
      <c r="BO148" s="136"/>
      <c r="BP148" s="136"/>
      <c r="BQ148" s="136"/>
      <c r="BR148" s="136"/>
      <c r="BS148" s="136"/>
      <c r="BT148" s="136"/>
      <c r="BU148" s="136"/>
      <c r="BV148" s="136"/>
      <c r="BW148" s="136"/>
      <c r="BX148" s="136"/>
      <c r="BY148" s="136"/>
      <c r="BZ148" s="136"/>
      <c r="CA148" s="136"/>
      <c r="CB148" s="136"/>
      <c r="CC148" s="136"/>
      <c r="CD148" s="136"/>
      <c r="CE148" s="136"/>
      <c r="CF148" s="136"/>
      <c r="CG148" s="136"/>
      <c r="CH148" s="136"/>
      <c r="CI148" s="136"/>
      <c r="CJ148" s="136"/>
      <c r="CK148" s="136"/>
      <c r="CL148" s="136"/>
      <c r="CM148" s="136"/>
      <c r="CN148" s="136"/>
      <c r="CO148" s="136"/>
      <c r="CP148" s="136"/>
      <c r="CQ148" s="136"/>
      <c r="CR148" s="136"/>
      <c r="CS148" s="136"/>
      <c r="CT148" s="136"/>
      <c r="CU148" s="136"/>
      <c r="CV148" s="136"/>
      <c r="CW148" s="136"/>
      <c r="CX148" s="136"/>
      <c r="CY148" s="136"/>
      <c r="CZ148" s="136"/>
      <c r="DA148" s="136"/>
      <c r="DB148" s="136"/>
      <c r="DC148" s="136"/>
      <c r="DD148" s="136"/>
      <c r="DE148" s="136"/>
      <c r="DF148" s="136"/>
      <c r="DG148" s="136"/>
      <c r="DH148" s="136"/>
      <c r="DI148" s="136"/>
      <c r="DJ148" s="136"/>
      <c r="DK148" s="136"/>
      <c r="DL148" s="136"/>
      <c r="DM148" s="136"/>
      <c r="DN148" s="136"/>
      <c r="DO148" s="136"/>
      <c r="DP148" s="136"/>
      <c r="DQ148" s="136"/>
      <c r="DR148" s="136"/>
      <c r="DS148" s="136"/>
      <c r="DT148" s="136"/>
      <c r="DU148" s="136"/>
      <c r="DV148" s="136"/>
      <c r="DW148" s="136"/>
      <c r="DX148" s="136"/>
      <c r="DY148" s="136"/>
      <c r="DZ148" s="136"/>
      <c r="EA148" s="136"/>
      <c r="EB148" s="136"/>
      <c r="EC148" s="136"/>
      <c r="ED148" s="136"/>
      <c r="EE148" s="136"/>
      <c r="EF148" s="136"/>
      <c r="EG148" s="136"/>
      <c r="EH148" s="136"/>
      <c r="EI148" s="136"/>
      <c r="EJ148" s="136"/>
      <c r="EK148" s="136"/>
      <c r="EL148" s="136"/>
      <c r="EM148" s="136"/>
      <c r="EN148" s="136"/>
      <c r="EO148" s="136"/>
      <c r="EP148" s="136"/>
      <c r="EQ148" s="136"/>
      <c r="ER148" s="136"/>
      <c r="ES148" s="136"/>
      <c r="ET148" s="136"/>
      <c r="EU148" s="136"/>
      <c r="EV148" s="136"/>
      <c r="EW148" s="136"/>
      <c r="EX148" s="136"/>
      <c r="EY148" s="136"/>
      <c r="EZ148" s="136"/>
      <c r="FA148" s="136"/>
      <c r="FB148" s="136"/>
      <c r="FC148" s="136"/>
      <c r="FD148" s="136"/>
      <c r="FE148" s="136"/>
      <c r="FF148" s="136"/>
      <c r="FG148" s="136"/>
      <c r="FH148" s="136"/>
      <c r="FI148" s="136"/>
      <c r="FJ148" s="136"/>
      <c r="FK148" s="136"/>
      <c r="FL148" s="136"/>
      <c r="FM148" s="136"/>
      <c r="FN148" s="136"/>
      <c r="FO148" s="136"/>
      <c r="FP148" s="136"/>
      <c r="FQ148" s="136"/>
      <c r="FR148" s="136"/>
      <c r="FS148" s="136"/>
      <c r="FT148" s="136"/>
      <c r="FU148" s="136"/>
      <c r="FV148" s="136"/>
      <c r="FW148" s="136"/>
      <c r="FX148" s="136"/>
      <c r="FY148" s="136"/>
      <c r="FZ148" s="136"/>
      <c r="GA148" s="136"/>
      <c r="GB148" s="136"/>
      <c r="GC148" s="136"/>
      <c r="GD148" s="136"/>
      <c r="GE148" s="136"/>
      <c r="GF148" s="136"/>
      <c r="GG148" s="136"/>
      <c r="GH148" s="136"/>
      <c r="GI148" s="136"/>
      <c r="GJ148" s="136"/>
      <c r="GK148" s="136"/>
      <c r="GL148" s="136"/>
      <c r="GM148" s="136"/>
      <c r="GN148" s="136"/>
      <c r="GO148" s="136"/>
      <c r="GP148" s="136"/>
      <c r="GQ148" s="136"/>
      <c r="GR148" s="136"/>
      <c r="GS148" s="136"/>
      <c r="GT148" s="136"/>
      <c r="GU148" s="136"/>
      <c r="GV148" s="136"/>
      <c r="GW148" s="136"/>
      <c r="GX148" s="136"/>
      <c r="GY148" s="136"/>
      <c r="GZ148" s="136"/>
      <c r="HA148" s="136"/>
      <c r="HB148" s="136"/>
      <c r="HC148" s="136"/>
      <c r="HD148" s="136"/>
      <c r="HE148" s="136"/>
      <c r="HF148" s="136"/>
      <c r="HG148" s="136"/>
      <c r="HH148" s="136"/>
      <c r="HI148" s="136"/>
      <c r="HJ148" s="136"/>
      <c r="HK148" s="136"/>
      <c r="HL148" s="136"/>
      <c r="HM148" s="136"/>
      <c r="HN148" s="136"/>
      <c r="HO148" s="136"/>
      <c r="HP148" s="136"/>
      <c r="HQ148" s="136"/>
      <c r="HR148" s="136"/>
      <c r="HS148" s="136"/>
      <c r="HT148" s="136"/>
      <c r="HU148" s="136"/>
      <c r="HV148" s="136"/>
      <c r="HW148" s="136"/>
      <c r="HX148" s="136"/>
      <c r="HY148" s="136"/>
      <c r="HZ148" s="136"/>
      <c r="IA148" s="136"/>
      <c r="IB148" s="136"/>
      <c r="IC148" s="136"/>
      <c r="ID148" s="136"/>
      <c r="IE148" s="136"/>
      <c r="IF148" s="136"/>
      <c r="IG148" s="136"/>
      <c r="IH148" s="136"/>
      <c r="II148" s="136"/>
      <c r="IJ148" s="136"/>
      <c r="IK148" s="136"/>
      <c r="IL148" s="136"/>
      <c r="IM148" s="136"/>
      <c r="IN148" s="136"/>
      <c r="IO148" s="136"/>
      <c r="IP148" s="136"/>
      <c r="IQ148" s="136"/>
      <c r="IR148" s="136"/>
      <c r="IS148" s="136"/>
      <c r="IT148" s="136"/>
      <c r="IU148" s="136"/>
    </row>
    <row r="149" spans="1:255" ht="84" customHeight="1" x14ac:dyDescent="0.2">
      <c r="A149" s="242" t="str">
        <f>'HECVAT - Full'!A149</f>
        <v>DATA-23</v>
      </c>
      <c r="B149" s="242" t="str">
        <f>VLOOKUP(A149,'HECVAT - Full'!A$24:B$312,2,FALSE)</f>
        <v>Do you have a media handling process, that is documented and currently implemented, including end-of-life, repurposing, and data sanitization procedures?</v>
      </c>
      <c r="C149" s="245" t="s">
        <v>2847</v>
      </c>
      <c r="D149" s="249" t="s">
        <v>2848</v>
      </c>
      <c r="E149" s="136"/>
      <c r="F149" s="136"/>
      <c r="G149" s="136"/>
      <c r="H149" s="136"/>
      <c r="I149" s="136"/>
      <c r="J149" s="136"/>
      <c r="K149" s="136"/>
      <c r="L149" s="136"/>
      <c r="M149" s="136"/>
      <c r="N149" s="136"/>
      <c r="O149" s="136"/>
      <c r="P149" s="136"/>
      <c r="Q149" s="136"/>
      <c r="R149" s="136"/>
      <c r="S149" s="136"/>
      <c r="T149" s="136"/>
      <c r="U149" s="136"/>
      <c r="V149" s="136"/>
      <c r="W149" s="136"/>
      <c r="X149" s="136"/>
      <c r="Y149" s="136"/>
      <c r="Z149" s="136"/>
      <c r="AA149" s="136"/>
      <c r="AB149" s="136"/>
      <c r="AC149" s="136"/>
      <c r="AD149" s="136"/>
      <c r="AE149" s="136"/>
      <c r="AF149" s="136"/>
      <c r="AG149" s="136"/>
      <c r="AH149" s="136"/>
      <c r="AI149" s="136"/>
      <c r="AJ149" s="136"/>
      <c r="AK149" s="136"/>
      <c r="AL149" s="136"/>
      <c r="AM149" s="136"/>
      <c r="AN149" s="136"/>
      <c r="AO149" s="136"/>
      <c r="AP149" s="136"/>
      <c r="AQ149" s="136"/>
      <c r="AR149" s="136"/>
      <c r="AS149" s="136"/>
      <c r="AT149" s="136"/>
      <c r="AU149" s="136"/>
      <c r="AV149" s="136"/>
      <c r="AW149" s="136"/>
      <c r="AX149" s="136"/>
      <c r="AY149" s="136"/>
      <c r="AZ149" s="136"/>
      <c r="BA149" s="136"/>
      <c r="BB149" s="136"/>
      <c r="BC149" s="136"/>
      <c r="BD149" s="136"/>
      <c r="BE149" s="136"/>
      <c r="BF149" s="136"/>
      <c r="BG149" s="136"/>
      <c r="BH149" s="136"/>
      <c r="BI149" s="136"/>
      <c r="BJ149" s="136"/>
      <c r="BK149" s="136"/>
      <c r="BL149" s="136"/>
      <c r="BM149" s="136"/>
      <c r="BN149" s="136"/>
      <c r="BO149" s="136"/>
      <c r="BP149" s="136"/>
      <c r="BQ149" s="136"/>
      <c r="BR149" s="136"/>
      <c r="BS149" s="136"/>
      <c r="BT149" s="136"/>
      <c r="BU149" s="136"/>
      <c r="BV149" s="136"/>
      <c r="BW149" s="136"/>
      <c r="BX149" s="136"/>
      <c r="BY149" s="136"/>
      <c r="BZ149" s="136"/>
      <c r="CA149" s="136"/>
      <c r="CB149" s="136"/>
      <c r="CC149" s="136"/>
      <c r="CD149" s="136"/>
      <c r="CE149" s="136"/>
      <c r="CF149" s="136"/>
      <c r="CG149" s="136"/>
      <c r="CH149" s="136"/>
      <c r="CI149" s="136"/>
      <c r="CJ149" s="136"/>
      <c r="CK149" s="136"/>
      <c r="CL149" s="136"/>
      <c r="CM149" s="136"/>
      <c r="CN149" s="136"/>
      <c r="CO149" s="136"/>
      <c r="CP149" s="136"/>
      <c r="CQ149" s="136"/>
      <c r="CR149" s="136"/>
      <c r="CS149" s="136"/>
      <c r="CT149" s="136"/>
      <c r="CU149" s="136"/>
      <c r="CV149" s="136"/>
      <c r="CW149" s="136"/>
      <c r="CX149" s="136"/>
      <c r="CY149" s="136"/>
      <c r="CZ149" s="136"/>
      <c r="DA149" s="136"/>
      <c r="DB149" s="136"/>
      <c r="DC149" s="136"/>
      <c r="DD149" s="136"/>
      <c r="DE149" s="136"/>
      <c r="DF149" s="136"/>
      <c r="DG149" s="136"/>
      <c r="DH149" s="136"/>
      <c r="DI149" s="136"/>
      <c r="DJ149" s="136"/>
      <c r="DK149" s="136"/>
      <c r="DL149" s="136"/>
      <c r="DM149" s="136"/>
      <c r="DN149" s="136"/>
      <c r="DO149" s="136"/>
      <c r="DP149" s="136"/>
      <c r="DQ149" s="136"/>
      <c r="DR149" s="136"/>
      <c r="DS149" s="136"/>
      <c r="DT149" s="136"/>
      <c r="DU149" s="136"/>
      <c r="DV149" s="136"/>
      <c r="DW149" s="136"/>
      <c r="DX149" s="136"/>
      <c r="DY149" s="136"/>
      <c r="DZ149" s="136"/>
      <c r="EA149" s="136"/>
      <c r="EB149" s="136"/>
      <c r="EC149" s="136"/>
      <c r="ED149" s="136"/>
      <c r="EE149" s="136"/>
      <c r="EF149" s="136"/>
      <c r="EG149" s="136"/>
      <c r="EH149" s="136"/>
      <c r="EI149" s="136"/>
      <c r="EJ149" s="136"/>
      <c r="EK149" s="136"/>
      <c r="EL149" s="136"/>
      <c r="EM149" s="136"/>
      <c r="EN149" s="136"/>
      <c r="EO149" s="136"/>
      <c r="EP149" s="136"/>
      <c r="EQ149" s="136"/>
      <c r="ER149" s="136"/>
      <c r="ES149" s="136"/>
      <c r="ET149" s="136"/>
      <c r="EU149" s="136"/>
      <c r="EV149" s="136"/>
      <c r="EW149" s="136"/>
      <c r="EX149" s="136"/>
      <c r="EY149" s="136"/>
      <c r="EZ149" s="136"/>
      <c r="FA149" s="136"/>
      <c r="FB149" s="136"/>
      <c r="FC149" s="136"/>
      <c r="FD149" s="136"/>
      <c r="FE149" s="136"/>
      <c r="FF149" s="136"/>
      <c r="FG149" s="136"/>
      <c r="FH149" s="136"/>
      <c r="FI149" s="136"/>
      <c r="FJ149" s="136"/>
      <c r="FK149" s="136"/>
      <c r="FL149" s="136"/>
      <c r="FM149" s="136"/>
      <c r="FN149" s="136"/>
      <c r="FO149" s="136"/>
      <c r="FP149" s="136"/>
      <c r="FQ149" s="136"/>
      <c r="FR149" s="136"/>
      <c r="FS149" s="136"/>
      <c r="FT149" s="136"/>
      <c r="FU149" s="136"/>
      <c r="FV149" s="136"/>
      <c r="FW149" s="136"/>
      <c r="FX149" s="136"/>
      <c r="FY149" s="136"/>
      <c r="FZ149" s="136"/>
      <c r="GA149" s="136"/>
      <c r="GB149" s="136"/>
      <c r="GC149" s="136"/>
      <c r="GD149" s="136"/>
      <c r="GE149" s="136"/>
      <c r="GF149" s="136"/>
      <c r="GG149" s="136"/>
      <c r="GH149" s="136"/>
      <c r="GI149" s="136"/>
      <c r="GJ149" s="136"/>
      <c r="GK149" s="136"/>
      <c r="GL149" s="136"/>
      <c r="GM149" s="136"/>
      <c r="GN149" s="136"/>
      <c r="GO149" s="136"/>
      <c r="GP149" s="136"/>
      <c r="GQ149" s="136"/>
      <c r="GR149" s="136"/>
      <c r="GS149" s="136"/>
      <c r="GT149" s="136"/>
      <c r="GU149" s="136"/>
      <c r="GV149" s="136"/>
      <c r="GW149" s="136"/>
      <c r="GX149" s="136"/>
      <c r="GY149" s="136"/>
      <c r="GZ149" s="136"/>
      <c r="HA149" s="136"/>
      <c r="HB149" s="136"/>
      <c r="HC149" s="136"/>
      <c r="HD149" s="136"/>
      <c r="HE149" s="136"/>
      <c r="HF149" s="136"/>
      <c r="HG149" s="136"/>
      <c r="HH149" s="136"/>
      <c r="HI149" s="136"/>
      <c r="HJ149" s="136"/>
      <c r="HK149" s="136"/>
      <c r="HL149" s="136"/>
      <c r="HM149" s="136"/>
      <c r="HN149" s="136"/>
      <c r="HO149" s="136"/>
      <c r="HP149" s="136"/>
      <c r="HQ149" s="136"/>
      <c r="HR149" s="136"/>
      <c r="HS149" s="136"/>
      <c r="HT149" s="136"/>
      <c r="HU149" s="136"/>
      <c r="HV149" s="136"/>
      <c r="HW149" s="136"/>
      <c r="HX149" s="136"/>
      <c r="HY149" s="136"/>
      <c r="HZ149" s="136"/>
      <c r="IA149" s="136"/>
      <c r="IB149" s="136"/>
      <c r="IC149" s="136"/>
      <c r="ID149" s="136"/>
      <c r="IE149" s="136"/>
      <c r="IF149" s="136"/>
      <c r="IG149" s="136"/>
      <c r="IH149" s="136"/>
      <c r="II149" s="136"/>
      <c r="IJ149" s="136"/>
      <c r="IK149" s="136"/>
      <c r="IL149" s="136"/>
      <c r="IM149" s="136"/>
      <c r="IN149" s="136"/>
      <c r="IO149" s="136"/>
      <c r="IP149" s="136"/>
      <c r="IQ149" s="136"/>
      <c r="IR149" s="136"/>
      <c r="IS149" s="136"/>
      <c r="IT149" s="136"/>
      <c r="IU149" s="136"/>
    </row>
    <row r="150" spans="1:255" ht="75" x14ac:dyDescent="0.2">
      <c r="A150" s="242" t="str">
        <f>'HECVAT - Full'!A150</f>
        <v>DATA-24</v>
      </c>
      <c r="B150" s="242" t="str">
        <f>VLOOKUP(A150,'HECVAT - Full'!A$24:B$312,2,FALSE)</f>
        <v>Does the process described in DATA-23 adhere to DoD 5220.22-M and/or NIST SP 800-88 standards?</v>
      </c>
      <c r="C150" s="245" t="s">
        <v>2847</v>
      </c>
      <c r="D150" s="256" t="s">
        <v>2849</v>
      </c>
      <c r="E150" s="136"/>
      <c r="F150" s="136"/>
      <c r="G150" s="136"/>
      <c r="H150" s="136"/>
      <c r="I150" s="136"/>
      <c r="J150" s="136"/>
      <c r="K150" s="136"/>
      <c r="L150" s="136"/>
      <c r="M150" s="136"/>
      <c r="N150" s="136"/>
      <c r="O150" s="136"/>
      <c r="P150" s="136"/>
      <c r="Q150" s="136"/>
      <c r="R150" s="136"/>
      <c r="S150" s="136"/>
      <c r="T150" s="136"/>
      <c r="U150" s="136"/>
      <c r="V150" s="136"/>
      <c r="W150" s="136"/>
      <c r="X150" s="136"/>
      <c r="Y150" s="136"/>
      <c r="Z150" s="136"/>
      <c r="AA150" s="136"/>
      <c r="AB150" s="136"/>
      <c r="AC150" s="136"/>
      <c r="AD150" s="136"/>
      <c r="AE150" s="136"/>
      <c r="AF150" s="136"/>
      <c r="AG150" s="136"/>
      <c r="AH150" s="136"/>
      <c r="AI150" s="136"/>
      <c r="AJ150" s="136"/>
      <c r="AK150" s="136"/>
      <c r="AL150" s="136"/>
      <c r="AM150" s="136"/>
      <c r="AN150" s="136"/>
      <c r="AO150" s="136"/>
      <c r="AP150" s="136"/>
      <c r="AQ150" s="136"/>
      <c r="AR150" s="136"/>
      <c r="AS150" s="136"/>
      <c r="AT150" s="136"/>
      <c r="AU150" s="136"/>
      <c r="AV150" s="136"/>
      <c r="AW150" s="136"/>
      <c r="AX150" s="136"/>
      <c r="AY150" s="136"/>
      <c r="AZ150" s="136"/>
      <c r="BA150" s="136"/>
      <c r="BB150" s="136"/>
      <c r="BC150" s="136"/>
      <c r="BD150" s="136"/>
      <c r="BE150" s="136"/>
      <c r="BF150" s="136"/>
      <c r="BG150" s="136"/>
      <c r="BH150" s="136"/>
      <c r="BI150" s="136"/>
      <c r="BJ150" s="136"/>
      <c r="BK150" s="136"/>
      <c r="BL150" s="136"/>
      <c r="BM150" s="136"/>
      <c r="BN150" s="136"/>
      <c r="BO150" s="136"/>
      <c r="BP150" s="136"/>
      <c r="BQ150" s="136"/>
      <c r="BR150" s="136"/>
      <c r="BS150" s="136"/>
      <c r="BT150" s="136"/>
      <c r="BU150" s="136"/>
      <c r="BV150" s="136"/>
      <c r="BW150" s="136"/>
      <c r="BX150" s="136"/>
      <c r="BY150" s="136"/>
      <c r="BZ150" s="136"/>
      <c r="CA150" s="136"/>
      <c r="CB150" s="136"/>
      <c r="CC150" s="136"/>
      <c r="CD150" s="136"/>
      <c r="CE150" s="136"/>
      <c r="CF150" s="136"/>
      <c r="CG150" s="136"/>
      <c r="CH150" s="136"/>
      <c r="CI150" s="136"/>
      <c r="CJ150" s="136"/>
      <c r="CK150" s="136"/>
      <c r="CL150" s="136"/>
      <c r="CM150" s="136"/>
      <c r="CN150" s="136"/>
      <c r="CO150" s="136"/>
      <c r="CP150" s="136"/>
      <c r="CQ150" s="136"/>
      <c r="CR150" s="136"/>
      <c r="CS150" s="136"/>
      <c r="CT150" s="136"/>
      <c r="CU150" s="136"/>
      <c r="CV150" s="136"/>
      <c r="CW150" s="136"/>
      <c r="CX150" s="136"/>
      <c r="CY150" s="136"/>
      <c r="CZ150" s="136"/>
      <c r="DA150" s="136"/>
      <c r="DB150" s="136"/>
      <c r="DC150" s="136"/>
      <c r="DD150" s="136"/>
      <c r="DE150" s="136"/>
      <c r="DF150" s="136"/>
      <c r="DG150" s="136"/>
      <c r="DH150" s="136"/>
      <c r="DI150" s="136"/>
      <c r="DJ150" s="136"/>
      <c r="DK150" s="136"/>
      <c r="DL150" s="136"/>
      <c r="DM150" s="136"/>
      <c r="DN150" s="136"/>
      <c r="DO150" s="136"/>
      <c r="DP150" s="136"/>
      <c r="DQ150" s="136"/>
      <c r="DR150" s="136"/>
      <c r="DS150" s="136"/>
      <c r="DT150" s="136"/>
      <c r="DU150" s="136"/>
      <c r="DV150" s="136"/>
      <c r="DW150" s="136"/>
      <c r="DX150" s="136"/>
      <c r="DY150" s="136"/>
      <c r="DZ150" s="136"/>
      <c r="EA150" s="136"/>
      <c r="EB150" s="136"/>
      <c r="EC150" s="136"/>
      <c r="ED150" s="136"/>
      <c r="EE150" s="136"/>
      <c r="EF150" s="136"/>
      <c r="EG150" s="136"/>
      <c r="EH150" s="136"/>
      <c r="EI150" s="136"/>
      <c r="EJ150" s="136"/>
      <c r="EK150" s="136"/>
      <c r="EL150" s="136"/>
      <c r="EM150" s="136"/>
      <c r="EN150" s="136"/>
      <c r="EO150" s="136"/>
      <c r="EP150" s="136"/>
      <c r="EQ150" s="136"/>
      <c r="ER150" s="136"/>
      <c r="ES150" s="136"/>
      <c r="ET150" s="136"/>
      <c r="EU150" s="136"/>
      <c r="EV150" s="136"/>
      <c r="EW150" s="136"/>
      <c r="EX150" s="136"/>
      <c r="EY150" s="136"/>
      <c r="EZ150" s="136"/>
      <c r="FA150" s="136"/>
      <c r="FB150" s="136"/>
      <c r="FC150" s="136"/>
      <c r="FD150" s="136"/>
      <c r="FE150" s="136"/>
      <c r="FF150" s="136"/>
      <c r="FG150" s="136"/>
      <c r="FH150" s="136"/>
      <c r="FI150" s="136"/>
      <c r="FJ150" s="136"/>
      <c r="FK150" s="136"/>
      <c r="FL150" s="136"/>
      <c r="FM150" s="136"/>
      <c r="FN150" s="136"/>
      <c r="FO150" s="136"/>
      <c r="FP150" s="136"/>
      <c r="FQ150" s="136"/>
      <c r="FR150" s="136"/>
      <c r="FS150" s="136"/>
      <c r="FT150" s="136"/>
      <c r="FU150" s="136"/>
      <c r="FV150" s="136"/>
      <c r="FW150" s="136"/>
      <c r="FX150" s="136"/>
      <c r="FY150" s="136"/>
      <c r="FZ150" s="136"/>
      <c r="GA150" s="136"/>
      <c r="GB150" s="136"/>
      <c r="GC150" s="136"/>
      <c r="GD150" s="136"/>
      <c r="GE150" s="136"/>
      <c r="GF150" s="136"/>
      <c r="GG150" s="136"/>
      <c r="GH150" s="136"/>
      <c r="GI150" s="136"/>
      <c r="GJ150" s="136"/>
      <c r="GK150" s="136"/>
      <c r="GL150" s="136"/>
      <c r="GM150" s="136"/>
      <c r="GN150" s="136"/>
      <c r="GO150" s="136"/>
      <c r="GP150" s="136"/>
      <c r="GQ150" s="136"/>
      <c r="GR150" s="136"/>
      <c r="GS150" s="136"/>
      <c r="GT150" s="136"/>
      <c r="GU150" s="136"/>
      <c r="GV150" s="136"/>
      <c r="GW150" s="136"/>
      <c r="GX150" s="136"/>
      <c r="GY150" s="136"/>
      <c r="GZ150" s="136"/>
      <c r="HA150" s="136"/>
      <c r="HB150" s="136"/>
      <c r="HC150" s="136"/>
      <c r="HD150" s="136"/>
      <c r="HE150" s="136"/>
      <c r="HF150" s="136"/>
      <c r="HG150" s="136"/>
      <c r="HH150" s="136"/>
      <c r="HI150" s="136"/>
      <c r="HJ150" s="136"/>
      <c r="HK150" s="136"/>
      <c r="HL150" s="136"/>
      <c r="HM150" s="136"/>
      <c r="HN150" s="136"/>
      <c r="HO150" s="136"/>
      <c r="HP150" s="136"/>
      <c r="HQ150" s="136"/>
      <c r="HR150" s="136"/>
      <c r="HS150" s="136"/>
      <c r="HT150" s="136"/>
      <c r="HU150" s="136"/>
      <c r="HV150" s="136"/>
      <c r="HW150" s="136"/>
      <c r="HX150" s="136"/>
      <c r="HY150" s="136"/>
      <c r="HZ150" s="136"/>
      <c r="IA150" s="136"/>
      <c r="IB150" s="136"/>
      <c r="IC150" s="136"/>
      <c r="ID150" s="136"/>
      <c r="IE150" s="136"/>
      <c r="IF150" s="136"/>
      <c r="IG150" s="136"/>
      <c r="IH150" s="136"/>
      <c r="II150" s="136"/>
      <c r="IJ150" s="136"/>
      <c r="IK150" s="136"/>
      <c r="IL150" s="136"/>
      <c r="IM150" s="136"/>
      <c r="IN150" s="136"/>
      <c r="IO150" s="136"/>
      <c r="IP150" s="136"/>
      <c r="IQ150" s="136"/>
      <c r="IR150" s="136"/>
      <c r="IS150" s="136"/>
      <c r="IT150" s="136"/>
      <c r="IU150" s="136"/>
    </row>
    <row r="151" spans="1:255" ht="64.5" customHeight="1" x14ac:dyDescent="0.2">
      <c r="A151" s="242" t="str">
        <f>'HECVAT - Full'!A151</f>
        <v>DATA-25</v>
      </c>
      <c r="B151" s="242" t="str">
        <f>VLOOKUP(A151,'HECVAT - Full'!A$24:B$312,2,FALSE)</f>
        <v>Do procedures exist to ensure that retention and destruction of data meets established business and regulatory requirements?</v>
      </c>
      <c r="C151" s="255" t="s">
        <v>2835</v>
      </c>
      <c r="D151" s="256" t="s">
        <v>2850</v>
      </c>
      <c r="E151" s="136"/>
      <c r="F151" s="136"/>
      <c r="G151" s="136"/>
      <c r="H151" s="136"/>
      <c r="I151" s="136"/>
      <c r="J151" s="136"/>
      <c r="K151" s="136"/>
      <c r="L151" s="136"/>
      <c r="M151" s="136"/>
      <c r="N151" s="136"/>
      <c r="O151" s="136"/>
      <c r="P151" s="136"/>
      <c r="Q151" s="136"/>
      <c r="R151" s="136"/>
      <c r="S151" s="136"/>
      <c r="T151" s="136"/>
      <c r="U151" s="136"/>
      <c r="V151" s="136"/>
      <c r="W151" s="136"/>
      <c r="X151" s="136"/>
      <c r="Y151" s="136"/>
      <c r="Z151" s="136"/>
      <c r="AA151" s="136"/>
      <c r="AB151" s="136"/>
      <c r="AC151" s="136"/>
      <c r="AD151" s="136"/>
      <c r="AE151" s="136"/>
      <c r="AF151" s="136"/>
      <c r="AG151" s="136"/>
      <c r="AH151" s="136"/>
      <c r="AI151" s="136"/>
      <c r="AJ151" s="136"/>
      <c r="AK151" s="136"/>
      <c r="AL151" s="136"/>
      <c r="AM151" s="136"/>
      <c r="AN151" s="136"/>
      <c r="AO151" s="136"/>
      <c r="AP151" s="136"/>
      <c r="AQ151" s="136"/>
      <c r="AR151" s="136"/>
      <c r="AS151" s="136"/>
      <c r="AT151" s="136"/>
      <c r="AU151" s="136"/>
      <c r="AV151" s="136"/>
      <c r="AW151" s="136"/>
      <c r="AX151" s="136"/>
      <c r="AY151" s="136"/>
      <c r="AZ151" s="136"/>
      <c r="BA151" s="136"/>
      <c r="BB151" s="136"/>
      <c r="BC151" s="136"/>
      <c r="BD151" s="136"/>
      <c r="BE151" s="136"/>
      <c r="BF151" s="136"/>
      <c r="BG151" s="136"/>
      <c r="BH151" s="136"/>
      <c r="BI151" s="136"/>
      <c r="BJ151" s="136"/>
      <c r="BK151" s="136"/>
      <c r="BL151" s="136"/>
      <c r="BM151" s="136"/>
      <c r="BN151" s="136"/>
      <c r="BO151" s="136"/>
      <c r="BP151" s="136"/>
      <c r="BQ151" s="136"/>
      <c r="BR151" s="136"/>
      <c r="BS151" s="136"/>
      <c r="BT151" s="136"/>
      <c r="BU151" s="136"/>
      <c r="BV151" s="136"/>
      <c r="BW151" s="136"/>
      <c r="BX151" s="136"/>
      <c r="BY151" s="136"/>
      <c r="BZ151" s="136"/>
      <c r="CA151" s="136"/>
      <c r="CB151" s="136"/>
      <c r="CC151" s="136"/>
      <c r="CD151" s="136"/>
      <c r="CE151" s="136"/>
      <c r="CF151" s="136"/>
      <c r="CG151" s="136"/>
      <c r="CH151" s="136"/>
      <c r="CI151" s="136"/>
      <c r="CJ151" s="136"/>
      <c r="CK151" s="136"/>
      <c r="CL151" s="136"/>
      <c r="CM151" s="136"/>
      <c r="CN151" s="136"/>
      <c r="CO151" s="136"/>
      <c r="CP151" s="136"/>
      <c r="CQ151" s="136"/>
      <c r="CR151" s="136"/>
      <c r="CS151" s="136"/>
      <c r="CT151" s="136"/>
      <c r="CU151" s="136"/>
      <c r="CV151" s="136"/>
      <c r="CW151" s="136"/>
      <c r="CX151" s="136"/>
      <c r="CY151" s="136"/>
      <c r="CZ151" s="136"/>
      <c r="DA151" s="136"/>
      <c r="DB151" s="136"/>
      <c r="DC151" s="136"/>
      <c r="DD151" s="136"/>
      <c r="DE151" s="136"/>
      <c r="DF151" s="136"/>
      <c r="DG151" s="136"/>
      <c r="DH151" s="136"/>
      <c r="DI151" s="136"/>
      <c r="DJ151" s="136"/>
      <c r="DK151" s="136"/>
      <c r="DL151" s="136"/>
      <c r="DM151" s="136"/>
      <c r="DN151" s="136"/>
      <c r="DO151" s="136"/>
      <c r="DP151" s="136"/>
      <c r="DQ151" s="136"/>
      <c r="DR151" s="136"/>
      <c r="DS151" s="136"/>
      <c r="DT151" s="136"/>
      <c r="DU151" s="136"/>
      <c r="DV151" s="136"/>
      <c r="DW151" s="136"/>
      <c r="DX151" s="136"/>
      <c r="DY151" s="136"/>
      <c r="DZ151" s="136"/>
      <c r="EA151" s="136"/>
      <c r="EB151" s="136"/>
      <c r="EC151" s="136"/>
      <c r="ED151" s="136"/>
      <c r="EE151" s="136"/>
      <c r="EF151" s="136"/>
      <c r="EG151" s="136"/>
      <c r="EH151" s="136"/>
      <c r="EI151" s="136"/>
      <c r="EJ151" s="136"/>
      <c r="EK151" s="136"/>
      <c r="EL151" s="136"/>
      <c r="EM151" s="136"/>
      <c r="EN151" s="136"/>
      <c r="EO151" s="136"/>
      <c r="EP151" s="136"/>
      <c r="EQ151" s="136"/>
      <c r="ER151" s="136"/>
      <c r="ES151" s="136"/>
      <c r="ET151" s="136"/>
      <c r="EU151" s="136"/>
      <c r="EV151" s="136"/>
      <c r="EW151" s="136"/>
      <c r="EX151" s="136"/>
      <c r="EY151" s="136"/>
      <c r="EZ151" s="136"/>
      <c r="FA151" s="136"/>
      <c r="FB151" s="136"/>
      <c r="FC151" s="136"/>
      <c r="FD151" s="136"/>
      <c r="FE151" s="136"/>
      <c r="FF151" s="136"/>
      <c r="FG151" s="136"/>
      <c r="FH151" s="136"/>
      <c r="FI151" s="136"/>
      <c r="FJ151" s="136"/>
      <c r="FK151" s="136"/>
      <c r="FL151" s="136"/>
      <c r="FM151" s="136"/>
      <c r="FN151" s="136"/>
      <c r="FO151" s="136"/>
      <c r="FP151" s="136"/>
      <c r="FQ151" s="136"/>
      <c r="FR151" s="136"/>
      <c r="FS151" s="136"/>
      <c r="FT151" s="136"/>
      <c r="FU151" s="136"/>
      <c r="FV151" s="136"/>
      <c r="FW151" s="136"/>
      <c r="FX151" s="136"/>
      <c r="FY151" s="136"/>
      <c r="FZ151" s="136"/>
      <c r="GA151" s="136"/>
      <c r="GB151" s="136"/>
      <c r="GC151" s="136"/>
      <c r="GD151" s="136"/>
      <c r="GE151" s="136"/>
      <c r="GF151" s="136"/>
      <c r="GG151" s="136"/>
      <c r="GH151" s="136"/>
      <c r="GI151" s="136"/>
      <c r="GJ151" s="136"/>
      <c r="GK151" s="136"/>
      <c r="GL151" s="136"/>
      <c r="GM151" s="136"/>
      <c r="GN151" s="136"/>
      <c r="GO151" s="136"/>
      <c r="GP151" s="136"/>
      <c r="GQ151" s="136"/>
      <c r="GR151" s="136"/>
      <c r="GS151" s="136"/>
      <c r="GT151" s="136"/>
      <c r="GU151" s="136"/>
      <c r="GV151" s="136"/>
      <c r="GW151" s="136"/>
      <c r="GX151" s="136"/>
      <c r="GY151" s="136"/>
      <c r="GZ151" s="136"/>
      <c r="HA151" s="136"/>
      <c r="HB151" s="136"/>
      <c r="HC151" s="136"/>
      <c r="HD151" s="136"/>
      <c r="HE151" s="136"/>
      <c r="HF151" s="136"/>
      <c r="HG151" s="136"/>
      <c r="HH151" s="136"/>
      <c r="HI151" s="136"/>
      <c r="HJ151" s="136"/>
      <c r="HK151" s="136"/>
      <c r="HL151" s="136"/>
      <c r="HM151" s="136"/>
      <c r="HN151" s="136"/>
      <c r="HO151" s="136"/>
      <c r="HP151" s="136"/>
      <c r="HQ151" s="136"/>
      <c r="HR151" s="136"/>
      <c r="HS151" s="136"/>
      <c r="HT151" s="136"/>
      <c r="HU151" s="136"/>
      <c r="HV151" s="136"/>
      <c r="HW151" s="136"/>
      <c r="HX151" s="136"/>
      <c r="HY151" s="136"/>
      <c r="HZ151" s="136"/>
      <c r="IA151" s="136"/>
      <c r="IB151" s="136"/>
      <c r="IC151" s="136"/>
      <c r="ID151" s="136"/>
      <c r="IE151" s="136"/>
      <c r="IF151" s="136"/>
      <c r="IG151" s="136"/>
      <c r="IH151" s="136"/>
      <c r="II151" s="136"/>
      <c r="IJ151" s="136"/>
      <c r="IK151" s="136"/>
      <c r="IL151" s="136"/>
      <c r="IM151" s="136"/>
      <c r="IN151" s="136"/>
      <c r="IO151" s="136"/>
      <c r="IP151" s="136"/>
      <c r="IQ151" s="136"/>
      <c r="IR151" s="136"/>
      <c r="IS151" s="136"/>
      <c r="IT151" s="136"/>
      <c r="IU151" s="136"/>
    </row>
    <row r="152" spans="1:255" ht="75" x14ac:dyDescent="0.2">
      <c r="A152" s="242" t="str">
        <f>'HECVAT - Full'!A152</f>
        <v>DATA-26</v>
      </c>
      <c r="B152" s="242" t="str">
        <f>VLOOKUP(A152,'HECVAT - Full'!A$24:B$312,2,FALSE)</f>
        <v>Is media used for long-term retention of business data and archival purposes stored in a secure, environmentally protected area?</v>
      </c>
      <c r="C152" s="245" t="s">
        <v>2847</v>
      </c>
      <c r="D152" s="249" t="s">
        <v>2848</v>
      </c>
      <c r="E152" s="136"/>
      <c r="F152" s="136"/>
      <c r="G152" s="136"/>
      <c r="H152" s="136"/>
      <c r="I152" s="136"/>
      <c r="J152" s="136"/>
      <c r="K152" s="136"/>
      <c r="L152" s="136"/>
      <c r="M152" s="136"/>
      <c r="N152" s="136"/>
      <c r="O152" s="136"/>
      <c r="P152" s="136"/>
      <c r="Q152" s="136"/>
      <c r="R152" s="136"/>
      <c r="S152" s="136"/>
      <c r="T152" s="136"/>
      <c r="U152" s="136"/>
      <c r="V152" s="136"/>
      <c r="W152" s="136"/>
      <c r="X152" s="136"/>
      <c r="Y152" s="136"/>
      <c r="Z152" s="136"/>
      <c r="AA152" s="136"/>
      <c r="AB152" s="136"/>
      <c r="AC152" s="136"/>
      <c r="AD152" s="136"/>
      <c r="AE152" s="136"/>
      <c r="AF152" s="136"/>
      <c r="AG152" s="136"/>
      <c r="AH152" s="136"/>
      <c r="AI152" s="136"/>
      <c r="AJ152" s="136"/>
      <c r="AK152" s="136"/>
      <c r="AL152" s="136"/>
      <c r="AM152" s="136"/>
      <c r="AN152" s="136"/>
      <c r="AO152" s="136"/>
      <c r="AP152" s="136"/>
      <c r="AQ152" s="136"/>
      <c r="AR152" s="136"/>
      <c r="AS152" s="136"/>
      <c r="AT152" s="136"/>
      <c r="AU152" s="136"/>
      <c r="AV152" s="136"/>
      <c r="AW152" s="136"/>
      <c r="AX152" s="136"/>
      <c r="AY152" s="136"/>
      <c r="AZ152" s="136"/>
      <c r="BA152" s="136"/>
      <c r="BB152" s="136"/>
      <c r="BC152" s="136"/>
      <c r="BD152" s="136"/>
      <c r="BE152" s="136"/>
      <c r="BF152" s="136"/>
      <c r="BG152" s="136"/>
      <c r="BH152" s="136"/>
      <c r="BI152" s="136"/>
      <c r="BJ152" s="136"/>
      <c r="BK152" s="136"/>
      <c r="BL152" s="136"/>
      <c r="BM152" s="136"/>
      <c r="BN152" s="136"/>
      <c r="BO152" s="136"/>
      <c r="BP152" s="136"/>
      <c r="BQ152" s="136"/>
      <c r="BR152" s="136"/>
      <c r="BS152" s="136"/>
      <c r="BT152" s="136"/>
      <c r="BU152" s="136"/>
      <c r="BV152" s="136"/>
      <c r="BW152" s="136"/>
      <c r="BX152" s="136"/>
      <c r="BY152" s="136"/>
      <c r="BZ152" s="136"/>
      <c r="CA152" s="136"/>
      <c r="CB152" s="136"/>
      <c r="CC152" s="136"/>
      <c r="CD152" s="136"/>
      <c r="CE152" s="136"/>
      <c r="CF152" s="136"/>
      <c r="CG152" s="136"/>
      <c r="CH152" s="136"/>
      <c r="CI152" s="136"/>
      <c r="CJ152" s="136"/>
      <c r="CK152" s="136"/>
      <c r="CL152" s="136"/>
      <c r="CM152" s="136"/>
      <c r="CN152" s="136"/>
      <c r="CO152" s="136"/>
      <c r="CP152" s="136"/>
      <c r="CQ152" s="136"/>
      <c r="CR152" s="136"/>
      <c r="CS152" s="136"/>
      <c r="CT152" s="136"/>
      <c r="CU152" s="136"/>
      <c r="CV152" s="136"/>
      <c r="CW152" s="136"/>
      <c r="CX152" s="136"/>
      <c r="CY152" s="136"/>
      <c r="CZ152" s="136"/>
      <c r="DA152" s="136"/>
      <c r="DB152" s="136"/>
      <c r="DC152" s="136"/>
      <c r="DD152" s="136"/>
      <c r="DE152" s="136"/>
      <c r="DF152" s="136"/>
      <c r="DG152" s="136"/>
      <c r="DH152" s="136"/>
      <c r="DI152" s="136"/>
      <c r="DJ152" s="136"/>
      <c r="DK152" s="136"/>
      <c r="DL152" s="136"/>
      <c r="DM152" s="136"/>
      <c r="DN152" s="136"/>
      <c r="DO152" s="136"/>
      <c r="DP152" s="136"/>
      <c r="DQ152" s="136"/>
      <c r="DR152" s="136"/>
      <c r="DS152" s="136"/>
      <c r="DT152" s="136"/>
      <c r="DU152" s="136"/>
      <c r="DV152" s="136"/>
      <c r="DW152" s="136"/>
      <c r="DX152" s="136"/>
      <c r="DY152" s="136"/>
      <c r="DZ152" s="136"/>
      <c r="EA152" s="136"/>
      <c r="EB152" s="136"/>
      <c r="EC152" s="136"/>
      <c r="ED152" s="136"/>
      <c r="EE152" s="136"/>
      <c r="EF152" s="136"/>
      <c r="EG152" s="136"/>
      <c r="EH152" s="136"/>
      <c r="EI152" s="136"/>
      <c r="EJ152" s="136"/>
      <c r="EK152" s="136"/>
      <c r="EL152" s="136"/>
      <c r="EM152" s="136"/>
      <c r="EN152" s="136"/>
      <c r="EO152" s="136"/>
      <c r="EP152" s="136"/>
      <c r="EQ152" s="136"/>
      <c r="ER152" s="136"/>
      <c r="ES152" s="136"/>
      <c r="ET152" s="136"/>
      <c r="EU152" s="136"/>
      <c r="EV152" s="136"/>
      <c r="EW152" s="136"/>
      <c r="EX152" s="136"/>
      <c r="EY152" s="136"/>
      <c r="EZ152" s="136"/>
      <c r="FA152" s="136"/>
      <c r="FB152" s="136"/>
      <c r="FC152" s="136"/>
      <c r="FD152" s="136"/>
      <c r="FE152" s="136"/>
      <c r="FF152" s="136"/>
      <c r="FG152" s="136"/>
      <c r="FH152" s="136"/>
      <c r="FI152" s="136"/>
      <c r="FJ152" s="136"/>
      <c r="FK152" s="136"/>
      <c r="FL152" s="136"/>
      <c r="FM152" s="136"/>
      <c r="FN152" s="136"/>
      <c r="FO152" s="136"/>
      <c r="FP152" s="136"/>
      <c r="FQ152" s="136"/>
      <c r="FR152" s="136"/>
      <c r="FS152" s="136"/>
      <c r="FT152" s="136"/>
      <c r="FU152" s="136"/>
      <c r="FV152" s="136"/>
      <c r="FW152" s="136"/>
      <c r="FX152" s="136"/>
      <c r="FY152" s="136"/>
      <c r="FZ152" s="136"/>
      <c r="GA152" s="136"/>
      <c r="GB152" s="136"/>
      <c r="GC152" s="136"/>
      <c r="GD152" s="136"/>
      <c r="GE152" s="136"/>
      <c r="GF152" s="136"/>
      <c r="GG152" s="136"/>
      <c r="GH152" s="136"/>
      <c r="GI152" s="136"/>
      <c r="GJ152" s="136"/>
      <c r="GK152" s="136"/>
      <c r="GL152" s="136"/>
      <c r="GM152" s="136"/>
      <c r="GN152" s="136"/>
      <c r="GO152" s="136"/>
      <c r="GP152" s="136"/>
      <c r="GQ152" s="136"/>
      <c r="GR152" s="136"/>
      <c r="GS152" s="136"/>
      <c r="GT152" s="136"/>
      <c r="GU152" s="136"/>
      <c r="GV152" s="136"/>
      <c r="GW152" s="136"/>
      <c r="GX152" s="136"/>
      <c r="GY152" s="136"/>
      <c r="GZ152" s="136"/>
      <c r="HA152" s="136"/>
      <c r="HB152" s="136"/>
      <c r="HC152" s="136"/>
      <c r="HD152" s="136"/>
      <c r="HE152" s="136"/>
      <c r="HF152" s="136"/>
      <c r="HG152" s="136"/>
      <c r="HH152" s="136"/>
      <c r="HI152" s="136"/>
      <c r="HJ152" s="136"/>
      <c r="HK152" s="136"/>
      <c r="HL152" s="136"/>
      <c r="HM152" s="136"/>
      <c r="HN152" s="136"/>
      <c r="HO152" s="136"/>
      <c r="HP152" s="136"/>
      <c r="HQ152" s="136"/>
      <c r="HR152" s="136"/>
      <c r="HS152" s="136"/>
      <c r="HT152" s="136"/>
      <c r="HU152" s="136"/>
      <c r="HV152" s="136"/>
      <c r="HW152" s="136"/>
      <c r="HX152" s="136"/>
      <c r="HY152" s="136"/>
      <c r="HZ152" s="136"/>
      <c r="IA152" s="136"/>
      <c r="IB152" s="136"/>
      <c r="IC152" s="136"/>
      <c r="ID152" s="136"/>
      <c r="IE152" s="136"/>
      <c r="IF152" s="136"/>
      <c r="IG152" s="136"/>
      <c r="IH152" s="136"/>
      <c r="II152" s="136"/>
      <c r="IJ152" s="136"/>
      <c r="IK152" s="136"/>
      <c r="IL152" s="136"/>
      <c r="IM152" s="136"/>
      <c r="IN152" s="136"/>
      <c r="IO152" s="136"/>
      <c r="IP152" s="136"/>
      <c r="IQ152" s="136"/>
      <c r="IR152" s="136"/>
      <c r="IS152" s="136"/>
      <c r="IT152" s="136"/>
      <c r="IU152" s="136"/>
    </row>
    <row r="153" spans="1:255" ht="48" customHeight="1" x14ac:dyDescent="0.2">
      <c r="A153" s="242" t="str">
        <f>'HECVAT - Full'!A153</f>
        <v>DATA-27</v>
      </c>
      <c r="B153" s="242" t="str">
        <f>VLOOKUP(A153,'HECVAT - Full'!A$24:B$312,2,FALSE)</f>
        <v>Will you handle data in a FERPA compliant manner?</v>
      </c>
      <c r="C153" s="245" t="s">
        <v>2851</v>
      </c>
      <c r="D153" s="256" t="s">
        <v>2852</v>
      </c>
      <c r="E153" s="136"/>
      <c r="F153" s="136"/>
      <c r="G153" s="136"/>
      <c r="H153" s="136"/>
      <c r="I153" s="136"/>
      <c r="J153" s="136"/>
      <c r="K153" s="136"/>
      <c r="L153" s="136"/>
      <c r="M153" s="136"/>
      <c r="N153" s="136"/>
      <c r="O153" s="136"/>
      <c r="P153" s="136"/>
      <c r="Q153" s="136"/>
      <c r="R153" s="136"/>
      <c r="S153" s="136"/>
      <c r="T153" s="136"/>
      <c r="U153" s="136"/>
      <c r="V153" s="136"/>
      <c r="W153" s="136"/>
      <c r="X153" s="136"/>
      <c r="Y153" s="136"/>
      <c r="Z153" s="136"/>
      <c r="AA153" s="136"/>
      <c r="AB153" s="136"/>
      <c r="AC153" s="136"/>
      <c r="AD153" s="136"/>
      <c r="AE153" s="136"/>
      <c r="AF153" s="136"/>
      <c r="AG153" s="136"/>
      <c r="AH153" s="136"/>
      <c r="AI153" s="136"/>
      <c r="AJ153" s="136"/>
      <c r="AK153" s="136"/>
      <c r="AL153" s="136"/>
      <c r="AM153" s="136"/>
      <c r="AN153" s="136"/>
      <c r="AO153" s="136"/>
      <c r="AP153" s="136"/>
      <c r="AQ153" s="136"/>
      <c r="AR153" s="136"/>
      <c r="AS153" s="136"/>
      <c r="AT153" s="136"/>
      <c r="AU153" s="136"/>
      <c r="AV153" s="136"/>
      <c r="AW153" s="136"/>
      <c r="AX153" s="136"/>
      <c r="AY153" s="136"/>
      <c r="AZ153" s="136"/>
      <c r="BA153" s="136"/>
      <c r="BB153" s="136"/>
      <c r="BC153" s="136"/>
      <c r="BD153" s="136"/>
      <c r="BE153" s="136"/>
      <c r="BF153" s="136"/>
      <c r="BG153" s="136"/>
      <c r="BH153" s="136"/>
      <c r="BI153" s="136"/>
      <c r="BJ153" s="136"/>
      <c r="BK153" s="136"/>
      <c r="BL153" s="136"/>
      <c r="BM153" s="136"/>
      <c r="BN153" s="136"/>
      <c r="BO153" s="136"/>
      <c r="BP153" s="136"/>
      <c r="BQ153" s="136"/>
      <c r="BR153" s="136"/>
      <c r="BS153" s="136"/>
      <c r="BT153" s="136"/>
      <c r="BU153" s="136"/>
      <c r="BV153" s="136"/>
      <c r="BW153" s="136"/>
      <c r="BX153" s="136"/>
      <c r="BY153" s="136"/>
      <c r="BZ153" s="136"/>
      <c r="CA153" s="136"/>
      <c r="CB153" s="136"/>
      <c r="CC153" s="136"/>
      <c r="CD153" s="136"/>
      <c r="CE153" s="136"/>
      <c r="CF153" s="136"/>
      <c r="CG153" s="136"/>
      <c r="CH153" s="136"/>
      <c r="CI153" s="136"/>
      <c r="CJ153" s="136"/>
      <c r="CK153" s="136"/>
      <c r="CL153" s="136"/>
      <c r="CM153" s="136"/>
      <c r="CN153" s="136"/>
      <c r="CO153" s="136"/>
      <c r="CP153" s="136"/>
      <c r="CQ153" s="136"/>
      <c r="CR153" s="136"/>
      <c r="CS153" s="136"/>
      <c r="CT153" s="136"/>
      <c r="CU153" s="136"/>
      <c r="CV153" s="136"/>
      <c r="CW153" s="136"/>
      <c r="CX153" s="136"/>
      <c r="CY153" s="136"/>
      <c r="CZ153" s="136"/>
      <c r="DA153" s="136"/>
      <c r="DB153" s="136"/>
      <c r="DC153" s="136"/>
      <c r="DD153" s="136"/>
      <c r="DE153" s="136"/>
      <c r="DF153" s="136"/>
      <c r="DG153" s="136"/>
      <c r="DH153" s="136"/>
      <c r="DI153" s="136"/>
      <c r="DJ153" s="136"/>
      <c r="DK153" s="136"/>
      <c r="DL153" s="136"/>
      <c r="DM153" s="136"/>
      <c r="DN153" s="136"/>
      <c r="DO153" s="136"/>
      <c r="DP153" s="136"/>
      <c r="DQ153" s="136"/>
      <c r="DR153" s="136"/>
      <c r="DS153" s="136"/>
      <c r="DT153" s="136"/>
      <c r="DU153" s="136"/>
      <c r="DV153" s="136"/>
      <c r="DW153" s="136"/>
      <c r="DX153" s="136"/>
      <c r="DY153" s="136"/>
      <c r="DZ153" s="136"/>
      <c r="EA153" s="136"/>
      <c r="EB153" s="136"/>
      <c r="EC153" s="136"/>
      <c r="ED153" s="136"/>
      <c r="EE153" s="136"/>
      <c r="EF153" s="136"/>
      <c r="EG153" s="136"/>
      <c r="EH153" s="136"/>
      <c r="EI153" s="136"/>
      <c r="EJ153" s="136"/>
      <c r="EK153" s="136"/>
      <c r="EL153" s="136"/>
      <c r="EM153" s="136"/>
      <c r="EN153" s="136"/>
      <c r="EO153" s="136"/>
      <c r="EP153" s="136"/>
      <c r="EQ153" s="136"/>
      <c r="ER153" s="136"/>
      <c r="ES153" s="136"/>
      <c r="ET153" s="136"/>
      <c r="EU153" s="136"/>
      <c r="EV153" s="136"/>
      <c r="EW153" s="136"/>
      <c r="EX153" s="136"/>
      <c r="EY153" s="136"/>
      <c r="EZ153" s="136"/>
      <c r="FA153" s="136"/>
      <c r="FB153" s="136"/>
      <c r="FC153" s="136"/>
      <c r="FD153" s="136"/>
      <c r="FE153" s="136"/>
      <c r="FF153" s="136"/>
      <c r="FG153" s="136"/>
      <c r="FH153" s="136"/>
      <c r="FI153" s="136"/>
      <c r="FJ153" s="136"/>
      <c r="FK153" s="136"/>
      <c r="FL153" s="136"/>
      <c r="FM153" s="136"/>
      <c r="FN153" s="136"/>
      <c r="FO153" s="136"/>
      <c r="FP153" s="136"/>
      <c r="FQ153" s="136"/>
      <c r="FR153" s="136"/>
      <c r="FS153" s="136"/>
      <c r="FT153" s="136"/>
      <c r="FU153" s="136"/>
      <c r="FV153" s="136"/>
      <c r="FW153" s="136"/>
      <c r="FX153" s="136"/>
      <c r="FY153" s="136"/>
      <c r="FZ153" s="136"/>
      <c r="GA153" s="136"/>
      <c r="GB153" s="136"/>
      <c r="GC153" s="136"/>
      <c r="GD153" s="136"/>
      <c r="GE153" s="136"/>
      <c r="GF153" s="136"/>
      <c r="GG153" s="136"/>
      <c r="GH153" s="136"/>
      <c r="GI153" s="136"/>
      <c r="GJ153" s="136"/>
      <c r="GK153" s="136"/>
      <c r="GL153" s="136"/>
      <c r="GM153" s="136"/>
      <c r="GN153" s="136"/>
      <c r="GO153" s="136"/>
      <c r="GP153" s="136"/>
      <c r="GQ153" s="136"/>
      <c r="GR153" s="136"/>
      <c r="GS153" s="136"/>
      <c r="GT153" s="136"/>
      <c r="GU153" s="136"/>
      <c r="GV153" s="136"/>
      <c r="GW153" s="136"/>
      <c r="GX153" s="136"/>
      <c r="GY153" s="136"/>
      <c r="GZ153" s="136"/>
      <c r="HA153" s="136"/>
      <c r="HB153" s="136"/>
      <c r="HC153" s="136"/>
      <c r="HD153" s="136"/>
      <c r="HE153" s="136"/>
      <c r="HF153" s="136"/>
      <c r="HG153" s="136"/>
      <c r="HH153" s="136"/>
      <c r="HI153" s="136"/>
      <c r="HJ153" s="136"/>
      <c r="HK153" s="136"/>
      <c r="HL153" s="136"/>
      <c r="HM153" s="136"/>
      <c r="HN153" s="136"/>
      <c r="HO153" s="136"/>
      <c r="HP153" s="136"/>
      <c r="HQ153" s="136"/>
      <c r="HR153" s="136"/>
      <c r="HS153" s="136"/>
      <c r="HT153" s="136"/>
      <c r="HU153" s="136"/>
      <c r="HV153" s="136"/>
      <c r="HW153" s="136"/>
      <c r="HX153" s="136"/>
      <c r="HY153" s="136"/>
      <c r="HZ153" s="136"/>
      <c r="IA153" s="136"/>
      <c r="IB153" s="136"/>
      <c r="IC153" s="136"/>
      <c r="ID153" s="136"/>
      <c r="IE153" s="136"/>
      <c r="IF153" s="136"/>
      <c r="IG153" s="136"/>
      <c r="IH153" s="136"/>
      <c r="II153" s="136"/>
      <c r="IJ153" s="136"/>
      <c r="IK153" s="136"/>
      <c r="IL153" s="136"/>
      <c r="IM153" s="136"/>
      <c r="IN153" s="136"/>
      <c r="IO153" s="136"/>
      <c r="IP153" s="136"/>
      <c r="IQ153" s="136"/>
      <c r="IR153" s="136"/>
      <c r="IS153" s="136"/>
      <c r="IT153" s="136"/>
      <c r="IU153" s="136"/>
    </row>
    <row r="154" spans="1:255" ht="96" customHeight="1" x14ac:dyDescent="0.2">
      <c r="A154" s="242" t="str">
        <f>'HECVAT - Full'!A154</f>
        <v>DATA-28</v>
      </c>
      <c r="B154" s="242" t="str">
        <f>VLOOKUP(A154,'HECVAT - Full'!A$24:B$312,2,FALSE)</f>
        <v>Is any institution data visible in system administration modules/tools?</v>
      </c>
      <c r="C154" s="275" t="s">
        <v>3065</v>
      </c>
      <c r="D154" s="250" t="s">
        <v>2853</v>
      </c>
      <c r="E154" s="136"/>
      <c r="F154" s="136"/>
      <c r="G154" s="136"/>
      <c r="H154" s="136"/>
      <c r="I154" s="136"/>
      <c r="J154" s="136"/>
      <c r="K154" s="136"/>
      <c r="L154" s="136"/>
      <c r="M154" s="136"/>
      <c r="N154" s="136"/>
      <c r="O154" s="136"/>
      <c r="P154" s="136"/>
      <c r="Q154" s="136"/>
      <c r="R154" s="136"/>
      <c r="S154" s="136"/>
      <c r="T154" s="136"/>
      <c r="U154" s="136"/>
      <c r="V154" s="136"/>
      <c r="W154" s="136"/>
      <c r="X154" s="136"/>
      <c r="Y154" s="136"/>
      <c r="Z154" s="136"/>
      <c r="AA154" s="136"/>
      <c r="AB154" s="136"/>
      <c r="AC154" s="136"/>
      <c r="AD154" s="136"/>
      <c r="AE154" s="136"/>
      <c r="AF154" s="136"/>
      <c r="AG154" s="136"/>
      <c r="AH154" s="136"/>
      <c r="AI154" s="136"/>
      <c r="AJ154" s="136"/>
      <c r="AK154" s="136"/>
      <c r="AL154" s="136"/>
      <c r="AM154" s="136"/>
      <c r="AN154" s="136"/>
      <c r="AO154" s="136"/>
      <c r="AP154" s="136"/>
      <c r="AQ154" s="136"/>
      <c r="AR154" s="136"/>
      <c r="AS154" s="136"/>
      <c r="AT154" s="136"/>
      <c r="AU154" s="136"/>
      <c r="AV154" s="136"/>
      <c r="AW154" s="136"/>
      <c r="AX154" s="136"/>
      <c r="AY154" s="136"/>
      <c r="AZ154" s="136"/>
      <c r="BA154" s="136"/>
      <c r="BB154" s="136"/>
      <c r="BC154" s="136"/>
      <c r="BD154" s="136"/>
      <c r="BE154" s="136"/>
      <c r="BF154" s="136"/>
      <c r="BG154" s="136"/>
      <c r="BH154" s="136"/>
      <c r="BI154" s="136"/>
      <c r="BJ154" s="136"/>
      <c r="BK154" s="136"/>
      <c r="BL154" s="136"/>
      <c r="BM154" s="136"/>
      <c r="BN154" s="136"/>
      <c r="BO154" s="136"/>
      <c r="BP154" s="136"/>
      <c r="BQ154" s="136"/>
      <c r="BR154" s="136"/>
      <c r="BS154" s="136"/>
      <c r="BT154" s="136"/>
      <c r="BU154" s="136"/>
      <c r="BV154" s="136"/>
      <c r="BW154" s="136"/>
      <c r="BX154" s="136"/>
      <c r="BY154" s="136"/>
      <c r="BZ154" s="136"/>
      <c r="CA154" s="136"/>
      <c r="CB154" s="136"/>
      <c r="CC154" s="136"/>
      <c r="CD154" s="136"/>
      <c r="CE154" s="136"/>
      <c r="CF154" s="136"/>
      <c r="CG154" s="136"/>
      <c r="CH154" s="136"/>
      <c r="CI154" s="136"/>
      <c r="CJ154" s="136"/>
      <c r="CK154" s="136"/>
      <c r="CL154" s="136"/>
      <c r="CM154" s="136"/>
      <c r="CN154" s="136"/>
      <c r="CO154" s="136"/>
      <c r="CP154" s="136"/>
      <c r="CQ154" s="136"/>
      <c r="CR154" s="136"/>
      <c r="CS154" s="136"/>
      <c r="CT154" s="136"/>
      <c r="CU154" s="136"/>
      <c r="CV154" s="136"/>
      <c r="CW154" s="136"/>
      <c r="CX154" s="136"/>
      <c r="CY154" s="136"/>
      <c r="CZ154" s="136"/>
      <c r="DA154" s="136"/>
      <c r="DB154" s="136"/>
      <c r="DC154" s="136"/>
      <c r="DD154" s="136"/>
      <c r="DE154" s="136"/>
      <c r="DF154" s="136"/>
      <c r="DG154" s="136"/>
      <c r="DH154" s="136"/>
      <c r="DI154" s="136"/>
      <c r="DJ154" s="136"/>
      <c r="DK154" s="136"/>
      <c r="DL154" s="136"/>
      <c r="DM154" s="136"/>
      <c r="DN154" s="136"/>
      <c r="DO154" s="136"/>
      <c r="DP154" s="136"/>
      <c r="DQ154" s="136"/>
      <c r="DR154" s="136"/>
      <c r="DS154" s="136"/>
      <c r="DT154" s="136"/>
      <c r="DU154" s="136"/>
      <c r="DV154" s="136"/>
      <c r="DW154" s="136"/>
      <c r="DX154" s="136"/>
      <c r="DY154" s="136"/>
      <c r="DZ154" s="136"/>
      <c r="EA154" s="136"/>
      <c r="EB154" s="136"/>
      <c r="EC154" s="136"/>
      <c r="ED154" s="136"/>
      <c r="EE154" s="136"/>
      <c r="EF154" s="136"/>
      <c r="EG154" s="136"/>
      <c r="EH154" s="136"/>
      <c r="EI154" s="136"/>
      <c r="EJ154" s="136"/>
      <c r="EK154" s="136"/>
      <c r="EL154" s="136"/>
      <c r="EM154" s="136"/>
      <c r="EN154" s="136"/>
      <c r="EO154" s="136"/>
      <c r="EP154" s="136"/>
      <c r="EQ154" s="136"/>
      <c r="ER154" s="136"/>
      <c r="ES154" s="136"/>
      <c r="ET154" s="136"/>
      <c r="EU154" s="136"/>
      <c r="EV154" s="136"/>
      <c r="EW154" s="136"/>
      <c r="EX154" s="136"/>
      <c r="EY154" s="136"/>
      <c r="EZ154" s="136"/>
      <c r="FA154" s="136"/>
      <c r="FB154" s="136"/>
      <c r="FC154" s="136"/>
      <c r="FD154" s="136"/>
      <c r="FE154" s="136"/>
      <c r="FF154" s="136"/>
      <c r="FG154" s="136"/>
      <c r="FH154" s="136"/>
      <c r="FI154" s="136"/>
      <c r="FJ154" s="136"/>
      <c r="FK154" s="136"/>
      <c r="FL154" s="136"/>
      <c r="FM154" s="136"/>
      <c r="FN154" s="136"/>
      <c r="FO154" s="136"/>
      <c r="FP154" s="136"/>
      <c r="FQ154" s="136"/>
      <c r="FR154" s="136"/>
      <c r="FS154" s="136"/>
      <c r="FT154" s="136"/>
      <c r="FU154" s="136"/>
      <c r="FV154" s="136"/>
      <c r="FW154" s="136"/>
      <c r="FX154" s="136"/>
      <c r="FY154" s="136"/>
      <c r="FZ154" s="136"/>
      <c r="GA154" s="136"/>
      <c r="GB154" s="136"/>
      <c r="GC154" s="136"/>
      <c r="GD154" s="136"/>
      <c r="GE154" s="136"/>
      <c r="GF154" s="136"/>
      <c r="GG154" s="136"/>
      <c r="GH154" s="136"/>
      <c r="GI154" s="136"/>
      <c r="GJ154" s="136"/>
      <c r="GK154" s="136"/>
      <c r="GL154" s="136"/>
      <c r="GM154" s="136"/>
      <c r="GN154" s="136"/>
      <c r="GO154" s="136"/>
      <c r="GP154" s="136"/>
      <c r="GQ154" s="136"/>
      <c r="GR154" s="136"/>
      <c r="GS154" s="136"/>
      <c r="GT154" s="136"/>
      <c r="GU154" s="136"/>
      <c r="GV154" s="136"/>
      <c r="GW154" s="136"/>
      <c r="GX154" s="136"/>
      <c r="GY154" s="136"/>
      <c r="GZ154" s="136"/>
      <c r="HA154" s="136"/>
      <c r="HB154" s="136"/>
      <c r="HC154" s="136"/>
      <c r="HD154" s="136"/>
      <c r="HE154" s="136"/>
      <c r="HF154" s="136"/>
      <c r="HG154" s="136"/>
      <c r="HH154" s="136"/>
      <c r="HI154" s="136"/>
      <c r="HJ154" s="136"/>
      <c r="HK154" s="136"/>
      <c r="HL154" s="136"/>
      <c r="HM154" s="136"/>
      <c r="HN154" s="136"/>
      <c r="HO154" s="136"/>
      <c r="HP154" s="136"/>
      <c r="HQ154" s="136"/>
      <c r="HR154" s="136"/>
      <c r="HS154" s="136"/>
      <c r="HT154" s="136"/>
      <c r="HU154" s="136"/>
      <c r="HV154" s="136"/>
      <c r="HW154" s="136"/>
      <c r="HX154" s="136"/>
      <c r="HY154" s="136"/>
      <c r="HZ154" s="136"/>
      <c r="IA154" s="136"/>
      <c r="IB154" s="136"/>
      <c r="IC154" s="136"/>
      <c r="ID154" s="136"/>
      <c r="IE154" s="136"/>
      <c r="IF154" s="136"/>
      <c r="IG154" s="136"/>
      <c r="IH154" s="136"/>
      <c r="II154" s="136"/>
      <c r="IJ154" s="136"/>
      <c r="IK154" s="136"/>
      <c r="IL154" s="136"/>
      <c r="IM154" s="136"/>
      <c r="IN154" s="136"/>
      <c r="IO154" s="136"/>
      <c r="IP154" s="136"/>
      <c r="IQ154" s="136"/>
      <c r="IR154" s="136"/>
      <c r="IS154" s="136"/>
      <c r="IT154" s="136"/>
      <c r="IU154" s="136"/>
    </row>
    <row r="155" spans="1:255" ht="36" customHeight="1" x14ac:dyDescent="0.2">
      <c r="A155" s="335" t="str">
        <f>IF($C$30="","Database",IF($C$30="Yes","Database - Optional based on QUALIFIER response.","Database"))</f>
        <v>Database</v>
      </c>
      <c r="B155" s="335"/>
      <c r="C155" s="240" t="str">
        <f>$C$22</f>
        <v>Reason for Question</v>
      </c>
      <c r="D155" s="240" t="str">
        <f>$D$22</f>
        <v>Follow-up Inquiries/Responses</v>
      </c>
      <c r="E155" s="136"/>
      <c r="F155" s="136"/>
      <c r="G155" s="136"/>
      <c r="H155" s="136"/>
      <c r="I155" s="136"/>
      <c r="J155" s="136"/>
      <c r="K155" s="136"/>
      <c r="L155" s="136"/>
      <c r="M155" s="136"/>
      <c r="N155" s="136"/>
      <c r="O155" s="136"/>
      <c r="P155" s="136"/>
      <c r="Q155" s="136"/>
      <c r="R155" s="136"/>
      <c r="S155" s="136"/>
      <c r="T155" s="136"/>
      <c r="U155" s="136"/>
      <c r="V155" s="136"/>
      <c r="W155" s="136"/>
      <c r="X155" s="136"/>
      <c r="Y155" s="136"/>
      <c r="Z155" s="136"/>
      <c r="AA155" s="136"/>
      <c r="AB155" s="136"/>
      <c r="AC155" s="136"/>
      <c r="AD155" s="136"/>
      <c r="AE155" s="136"/>
      <c r="AF155" s="136"/>
      <c r="AG155" s="136"/>
      <c r="AH155" s="136"/>
      <c r="AI155" s="136"/>
      <c r="AJ155" s="136"/>
      <c r="AK155" s="136"/>
      <c r="AL155" s="136"/>
      <c r="AM155" s="136"/>
      <c r="AN155" s="136"/>
      <c r="AO155" s="136"/>
      <c r="AP155" s="136"/>
      <c r="AQ155" s="136"/>
      <c r="AR155" s="136"/>
      <c r="AS155" s="136"/>
      <c r="AT155" s="136"/>
      <c r="AU155" s="136"/>
      <c r="AV155" s="136"/>
      <c r="AW155" s="136"/>
      <c r="AX155" s="136"/>
      <c r="AY155" s="136"/>
      <c r="AZ155" s="136"/>
      <c r="BA155" s="136"/>
      <c r="BB155" s="136"/>
      <c r="BC155" s="136"/>
      <c r="BD155" s="136"/>
      <c r="BE155" s="136"/>
      <c r="BF155" s="136"/>
      <c r="BG155" s="136"/>
      <c r="BH155" s="136"/>
      <c r="BI155" s="136"/>
      <c r="BJ155" s="136"/>
      <c r="BK155" s="136"/>
      <c r="BL155" s="136"/>
      <c r="BM155" s="136"/>
      <c r="BN155" s="136"/>
      <c r="BO155" s="136"/>
      <c r="BP155" s="136"/>
      <c r="BQ155" s="136"/>
      <c r="BR155" s="136"/>
      <c r="BS155" s="136"/>
      <c r="BT155" s="136"/>
      <c r="BU155" s="136"/>
      <c r="BV155" s="136"/>
      <c r="BW155" s="136"/>
      <c r="BX155" s="136"/>
      <c r="BY155" s="136"/>
      <c r="BZ155" s="136"/>
      <c r="CA155" s="136"/>
      <c r="CB155" s="136"/>
      <c r="CC155" s="136"/>
      <c r="CD155" s="136"/>
      <c r="CE155" s="136"/>
      <c r="CF155" s="136"/>
      <c r="CG155" s="136"/>
      <c r="CH155" s="136"/>
      <c r="CI155" s="136"/>
      <c r="CJ155" s="136"/>
      <c r="CK155" s="136"/>
      <c r="CL155" s="136"/>
      <c r="CM155" s="136"/>
      <c r="CN155" s="136"/>
      <c r="CO155" s="136"/>
      <c r="CP155" s="136"/>
      <c r="CQ155" s="136"/>
      <c r="CR155" s="136"/>
      <c r="CS155" s="136"/>
      <c r="CT155" s="136"/>
      <c r="CU155" s="136"/>
      <c r="CV155" s="136"/>
      <c r="CW155" s="136"/>
      <c r="CX155" s="136"/>
      <c r="CY155" s="136"/>
      <c r="CZ155" s="136"/>
      <c r="DA155" s="136"/>
      <c r="DB155" s="136"/>
      <c r="DC155" s="136"/>
      <c r="DD155" s="136"/>
      <c r="DE155" s="136"/>
      <c r="DF155" s="136"/>
      <c r="DG155" s="136"/>
      <c r="DH155" s="136"/>
      <c r="DI155" s="136"/>
      <c r="DJ155" s="136"/>
      <c r="DK155" s="136"/>
      <c r="DL155" s="136"/>
      <c r="DM155" s="136"/>
      <c r="DN155" s="136"/>
      <c r="DO155" s="136"/>
      <c r="DP155" s="136"/>
      <c r="DQ155" s="136"/>
      <c r="DR155" s="136"/>
      <c r="DS155" s="136"/>
      <c r="DT155" s="136"/>
      <c r="DU155" s="136"/>
      <c r="DV155" s="136"/>
      <c r="DW155" s="136"/>
      <c r="DX155" s="136"/>
      <c r="DY155" s="136"/>
      <c r="DZ155" s="136"/>
      <c r="EA155" s="136"/>
      <c r="EB155" s="136"/>
      <c r="EC155" s="136"/>
      <c r="ED155" s="136"/>
      <c r="EE155" s="136"/>
      <c r="EF155" s="136"/>
      <c r="EG155" s="136"/>
      <c r="EH155" s="136"/>
      <c r="EI155" s="136"/>
      <c r="EJ155" s="136"/>
      <c r="EK155" s="136"/>
      <c r="EL155" s="136"/>
      <c r="EM155" s="136"/>
      <c r="EN155" s="136"/>
      <c r="EO155" s="136"/>
      <c r="EP155" s="136"/>
      <c r="EQ155" s="136"/>
      <c r="ER155" s="136"/>
      <c r="ES155" s="136"/>
      <c r="ET155" s="136"/>
      <c r="EU155" s="136"/>
      <c r="EV155" s="136"/>
      <c r="EW155" s="136"/>
      <c r="EX155" s="136"/>
      <c r="EY155" s="136"/>
      <c r="EZ155" s="136"/>
      <c r="FA155" s="136"/>
      <c r="FB155" s="136"/>
      <c r="FC155" s="136"/>
      <c r="FD155" s="136"/>
      <c r="FE155" s="136"/>
      <c r="FF155" s="136"/>
      <c r="FG155" s="136"/>
      <c r="FH155" s="136"/>
      <c r="FI155" s="136"/>
      <c r="FJ155" s="136"/>
      <c r="FK155" s="136"/>
      <c r="FL155" s="136"/>
      <c r="FM155" s="136"/>
      <c r="FN155" s="136"/>
      <c r="FO155" s="136"/>
      <c r="FP155" s="136"/>
      <c r="FQ155" s="136"/>
      <c r="FR155" s="136"/>
      <c r="FS155" s="136"/>
      <c r="FT155" s="136"/>
      <c r="FU155" s="136"/>
      <c r="FV155" s="136"/>
      <c r="FW155" s="136"/>
      <c r="FX155" s="136"/>
      <c r="FY155" s="136"/>
      <c r="FZ155" s="136"/>
      <c r="GA155" s="136"/>
      <c r="GB155" s="136"/>
      <c r="GC155" s="136"/>
      <c r="GD155" s="136"/>
      <c r="GE155" s="136"/>
      <c r="GF155" s="136"/>
      <c r="GG155" s="136"/>
      <c r="GH155" s="136"/>
      <c r="GI155" s="136"/>
      <c r="GJ155" s="136"/>
      <c r="GK155" s="136"/>
      <c r="GL155" s="136"/>
      <c r="GM155" s="136"/>
      <c r="GN155" s="136"/>
      <c r="GO155" s="136"/>
      <c r="GP155" s="136"/>
      <c r="GQ155" s="136"/>
      <c r="GR155" s="136"/>
      <c r="GS155" s="136"/>
      <c r="GT155" s="136"/>
      <c r="GU155" s="136"/>
      <c r="GV155" s="136"/>
      <c r="GW155" s="136"/>
      <c r="GX155" s="136"/>
      <c r="GY155" s="136"/>
      <c r="GZ155" s="136"/>
      <c r="HA155" s="136"/>
      <c r="HB155" s="136"/>
      <c r="HC155" s="136"/>
      <c r="HD155" s="136"/>
      <c r="HE155" s="136"/>
      <c r="HF155" s="136"/>
      <c r="HG155" s="136"/>
      <c r="HH155" s="136"/>
      <c r="HI155" s="136"/>
      <c r="HJ155" s="136"/>
      <c r="HK155" s="136"/>
      <c r="HL155" s="136"/>
      <c r="HM155" s="136"/>
      <c r="HN155" s="136"/>
      <c r="HO155" s="136"/>
      <c r="HP155" s="136"/>
      <c r="HQ155" s="136"/>
      <c r="HR155" s="136"/>
      <c r="HS155" s="136"/>
      <c r="HT155" s="136"/>
      <c r="HU155" s="136"/>
      <c r="HV155" s="136"/>
      <c r="HW155" s="136"/>
      <c r="HX155" s="136"/>
      <c r="HY155" s="136"/>
      <c r="HZ155" s="136"/>
      <c r="IA155" s="136"/>
      <c r="IB155" s="136"/>
      <c r="IC155" s="136"/>
      <c r="ID155" s="136"/>
      <c r="IE155" s="136"/>
      <c r="IF155" s="136"/>
      <c r="IG155" s="136"/>
      <c r="IH155" s="136"/>
      <c r="II155" s="136"/>
      <c r="IJ155" s="136"/>
      <c r="IK155" s="136"/>
      <c r="IL155" s="136"/>
      <c r="IM155" s="136"/>
      <c r="IN155" s="136"/>
      <c r="IO155" s="136"/>
      <c r="IP155" s="136"/>
      <c r="IQ155" s="136"/>
      <c r="IR155" s="136"/>
      <c r="IS155" s="136"/>
      <c r="IT155" s="136"/>
      <c r="IU155" s="136"/>
    </row>
    <row r="156" spans="1:255" ht="105" x14ac:dyDescent="0.2">
      <c r="A156" s="242" t="str">
        <f>'HECVAT - Full'!A156</f>
        <v>DBAS-01</v>
      </c>
      <c r="B156" s="242" t="str">
        <f>VLOOKUP(A156,'HECVAT - Full'!A$24:B$312,2,FALSE)</f>
        <v>Does the database support encryption of specified data elements in storage?</v>
      </c>
      <c r="C156" s="275" t="s">
        <v>3036</v>
      </c>
      <c r="D156" s="250" t="s">
        <v>2854</v>
      </c>
      <c r="E156" s="136"/>
      <c r="F156" s="136"/>
      <c r="G156" s="136"/>
      <c r="H156" s="136"/>
      <c r="I156" s="136"/>
      <c r="J156" s="136"/>
      <c r="K156" s="136"/>
      <c r="L156" s="136"/>
      <c r="M156" s="136"/>
      <c r="N156" s="136"/>
      <c r="O156" s="136"/>
      <c r="P156" s="136"/>
      <c r="Q156" s="136"/>
      <c r="R156" s="136"/>
      <c r="S156" s="136"/>
      <c r="T156" s="136"/>
      <c r="U156" s="136"/>
      <c r="V156" s="136"/>
      <c r="W156" s="136"/>
      <c r="X156" s="136"/>
      <c r="Y156" s="136"/>
      <c r="Z156" s="136"/>
      <c r="AA156" s="136"/>
      <c r="AB156" s="136"/>
      <c r="AC156" s="136"/>
      <c r="AD156" s="136"/>
      <c r="AE156" s="136"/>
      <c r="AF156" s="136"/>
      <c r="AG156" s="136"/>
      <c r="AH156" s="136"/>
      <c r="AI156" s="136"/>
      <c r="AJ156" s="136"/>
      <c r="AK156" s="136"/>
      <c r="AL156" s="136"/>
      <c r="AM156" s="136"/>
      <c r="AN156" s="136"/>
      <c r="AO156" s="136"/>
      <c r="AP156" s="136"/>
      <c r="AQ156" s="136"/>
      <c r="AR156" s="136"/>
      <c r="AS156" s="136"/>
      <c r="AT156" s="136"/>
      <c r="AU156" s="136"/>
      <c r="AV156" s="136"/>
      <c r="AW156" s="136"/>
      <c r="AX156" s="136"/>
      <c r="AY156" s="136"/>
      <c r="AZ156" s="136"/>
      <c r="BA156" s="136"/>
      <c r="BB156" s="136"/>
      <c r="BC156" s="136"/>
      <c r="BD156" s="136"/>
      <c r="BE156" s="136"/>
      <c r="BF156" s="136"/>
      <c r="BG156" s="136"/>
      <c r="BH156" s="136"/>
      <c r="BI156" s="136"/>
      <c r="BJ156" s="136"/>
      <c r="BK156" s="136"/>
      <c r="BL156" s="136"/>
      <c r="BM156" s="136"/>
      <c r="BN156" s="136"/>
      <c r="BO156" s="136"/>
      <c r="BP156" s="136"/>
      <c r="BQ156" s="136"/>
      <c r="BR156" s="136"/>
      <c r="BS156" s="136"/>
      <c r="BT156" s="136"/>
      <c r="BU156" s="136"/>
      <c r="BV156" s="136"/>
      <c r="BW156" s="136"/>
      <c r="BX156" s="136"/>
      <c r="BY156" s="136"/>
      <c r="BZ156" s="136"/>
      <c r="CA156" s="136"/>
      <c r="CB156" s="136"/>
      <c r="CC156" s="136"/>
      <c r="CD156" s="136"/>
      <c r="CE156" s="136"/>
      <c r="CF156" s="136"/>
      <c r="CG156" s="136"/>
      <c r="CH156" s="136"/>
      <c r="CI156" s="136"/>
      <c r="CJ156" s="136"/>
      <c r="CK156" s="136"/>
      <c r="CL156" s="136"/>
      <c r="CM156" s="136"/>
      <c r="CN156" s="136"/>
      <c r="CO156" s="136"/>
      <c r="CP156" s="136"/>
      <c r="CQ156" s="136"/>
      <c r="CR156" s="136"/>
      <c r="CS156" s="136"/>
      <c r="CT156" s="136"/>
      <c r="CU156" s="136"/>
      <c r="CV156" s="136"/>
      <c r="CW156" s="136"/>
      <c r="CX156" s="136"/>
      <c r="CY156" s="136"/>
      <c r="CZ156" s="136"/>
      <c r="DA156" s="136"/>
      <c r="DB156" s="136"/>
      <c r="DC156" s="136"/>
      <c r="DD156" s="136"/>
      <c r="DE156" s="136"/>
      <c r="DF156" s="136"/>
      <c r="DG156" s="136"/>
      <c r="DH156" s="136"/>
      <c r="DI156" s="136"/>
      <c r="DJ156" s="136"/>
      <c r="DK156" s="136"/>
      <c r="DL156" s="136"/>
      <c r="DM156" s="136"/>
      <c r="DN156" s="136"/>
      <c r="DO156" s="136"/>
      <c r="DP156" s="136"/>
      <c r="DQ156" s="136"/>
      <c r="DR156" s="136"/>
      <c r="DS156" s="136"/>
      <c r="DT156" s="136"/>
      <c r="DU156" s="136"/>
      <c r="DV156" s="136"/>
      <c r="DW156" s="136"/>
      <c r="DX156" s="136"/>
      <c r="DY156" s="136"/>
      <c r="DZ156" s="136"/>
      <c r="EA156" s="136"/>
      <c r="EB156" s="136"/>
      <c r="EC156" s="136"/>
      <c r="ED156" s="136"/>
      <c r="EE156" s="136"/>
      <c r="EF156" s="136"/>
      <c r="EG156" s="136"/>
      <c r="EH156" s="136"/>
      <c r="EI156" s="136"/>
      <c r="EJ156" s="136"/>
      <c r="EK156" s="136"/>
      <c r="EL156" s="136"/>
      <c r="EM156" s="136"/>
      <c r="EN156" s="136"/>
      <c r="EO156" s="136"/>
      <c r="EP156" s="136"/>
      <c r="EQ156" s="136"/>
      <c r="ER156" s="136"/>
      <c r="ES156" s="136"/>
      <c r="ET156" s="136"/>
      <c r="EU156" s="136"/>
      <c r="EV156" s="136"/>
      <c r="EW156" s="136"/>
      <c r="EX156" s="136"/>
      <c r="EY156" s="136"/>
      <c r="EZ156" s="136"/>
      <c r="FA156" s="136"/>
      <c r="FB156" s="136"/>
      <c r="FC156" s="136"/>
      <c r="FD156" s="136"/>
      <c r="FE156" s="136"/>
      <c r="FF156" s="136"/>
      <c r="FG156" s="136"/>
      <c r="FH156" s="136"/>
      <c r="FI156" s="136"/>
      <c r="FJ156" s="136"/>
      <c r="FK156" s="136"/>
      <c r="FL156" s="136"/>
      <c r="FM156" s="136"/>
      <c r="FN156" s="136"/>
      <c r="FO156" s="136"/>
      <c r="FP156" s="136"/>
      <c r="FQ156" s="136"/>
      <c r="FR156" s="136"/>
      <c r="FS156" s="136"/>
      <c r="FT156" s="136"/>
      <c r="FU156" s="136"/>
      <c r="FV156" s="136"/>
      <c r="FW156" s="136"/>
      <c r="FX156" s="136"/>
      <c r="FY156" s="136"/>
      <c r="FZ156" s="136"/>
      <c r="GA156" s="136"/>
      <c r="GB156" s="136"/>
      <c r="GC156" s="136"/>
      <c r="GD156" s="136"/>
      <c r="GE156" s="136"/>
      <c r="GF156" s="136"/>
      <c r="GG156" s="136"/>
      <c r="GH156" s="136"/>
      <c r="GI156" s="136"/>
      <c r="GJ156" s="136"/>
      <c r="GK156" s="136"/>
      <c r="GL156" s="136"/>
      <c r="GM156" s="136"/>
      <c r="GN156" s="136"/>
      <c r="GO156" s="136"/>
      <c r="GP156" s="136"/>
      <c r="GQ156" s="136"/>
      <c r="GR156" s="136"/>
      <c r="GS156" s="136"/>
      <c r="GT156" s="136"/>
      <c r="GU156" s="136"/>
      <c r="GV156" s="136"/>
      <c r="GW156" s="136"/>
      <c r="GX156" s="136"/>
      <c r="GY156" s="136"/>
      <c r="GZ156" s="136"/>
      <c r="HA156" s="136"/>
      <c r="HB156" s="136"/>
      <c r="HC156" s="136"/>
      <c r="HD156" s="136"/>
      <c r="HE156" s="136"/>
      <c r="HF156" s="136"/>
      <c r="HG156" s="136"/>
      <c r="HH156" s="136"/>
      <c r="HI156" s="136"/>
      <c r="HJ156" s="136"/>
      <c r="HK156" s="136"/>
      <c r="HL156" s="136"/>
      <c r="HM156" s="136"/>
      <c r="HN156" s="136"/>
      <c r="HO156" s="136"/>
      <c r="HP156" s="136"/>
      <c r="HQ156" s="136"/>
      <c r="HR156" s="136"/>
      <c r="HS156" s="136"/>
      <c r="HT156" s="136"/>
      <c r="HU156" s="136"/>
      <c r="HV156" s="136"/>
      <c r="HW156" s="136"/>
      <c r="HX156" s="136"/>
      <c r="HY156" s="136"/>
      <c r="HZ156" s="136"/>
      <c r="IA156" s="136"/>
      <c r="IB156" s="136"/>
      <c r="IC156" s="136"/>
      <c r="ID156" s="136"/>
      <c r="IE156" s="136"/>
      <c r="IF156" s="136"/>
      <c r="IG156" s="136"/>
      <c r="IH156" s="136"/>
      <c r="II156" s="136"/>
      <c r="IJ156" s="136"/>
      <c r="IK156" s="136"/>
      <c r="IL156" s="136"/>
      <c r="IM156" s="136"/>
      <c r="IN156" s="136"/>
      <c r="IO156" s="136"/>
      <c r="IP156" s="136"/>
      <c r="IQ156" s="136"/>
      <c r="IR156" s="136"/>
      <c r="IS156" s="136"/>
      <c r="IT156" s="136"/>
      <c r="IU156" s="136"/>
    </row>
    <row r="157" spans="1:255" ht="105" x14ac:dyDescent="0.2">
      <c r="A157" s="242" t="str">
        <f>'HECVAT - Full'!A157</f>
        <v>DBAS-02</v>
      </c>
      <c r="B157" s="242" t="str">
        <f>VLOOKUP(A157,'HECVAT - Full'!A$24:B$312,2,FALSE)</f>
        <v>Do you currently use encryption in your database(s)?</v>
      </c>
      <c r="C157" s="245" t="s">
        <v>2855</v>
      </c>
      <c r="D157" s="250" t="s">
        <v>2856</v>
      </c>
      <c r="E157" s="136"/>
      <c r="F157" s="136"/>
      <c r="G157" s="136"/>
      <c r="H157" s="136"/>
      <c r="I157" s="136"/>
      <c r="J157" s="136"/>
      <c r="K157" s="136"/>
      <c r="L157" s="136"/>
      <c r="M157" s="136"/>
      <c r="N157" s="136"/>
      <c r="O157" s="136"/>
      <c r="P157" s="136"/>
      <c r="Q157" s="136"/>
      <c r="R157" s="136"/>
      <c r="S157" s="136"/>
      <c r="T157" s="136"/>
      <c r="U157" s="136"/>
      <c r="V157" s="136"/>
      <c r="W157" s="136"/>
      <c r="X157" s="136"/>
      <c r="Y157" s="136"/>
      <c r="Z157" s="136"/>
      <c r="AA157" s="136"/>
      <c r="AB157" s="136"/>
      <c r="AC157" s="136"/>
      <c r="AD157" s="136"/>
      <c r="AE157" s="136"/>
      <c r="AF157" s="136"/>
      <c r="AG157" s="136"/>
      <c r="AH157" s="136"/>
      <c r="AI157" s="136"/>
      <c r="AJ157" s="136"/>
      <c r="AK157" s="136"/>
      <c r="AL157" s="136"/>
      <c r="AM157" s="136"/>
      <c r="AN157" s="136"/>
      <c r="AO157" s="136"/>
      <c r="AP157" s="136"/>
      <c r="AQ157" s="136"/>
      <c r="AR157" s="136"/>
      <c r="AS157" s="136"/>
      <c r="AT157" s="136"/>
      <c r="AU157" s="136"/>
      <c r="AV157" s="136"/>
      <c r="AW157" s="136"/>
      <c r="AX157" s="136"/>
      <c r="AY157" s="136"/>
      <c r="AZ157" s="136"/>
      <c r="BA157" s="136"/>
      <c r="BB157" s="136"/>
      <c r="BC157" s="136"/>
      <c r="BD157" s="136"/>
      <c r="BE157" s="136"/>
      <c r="BF157" s="136"/>
      <c r="BG157" s="136"/>
      <c r="BH157" s="136"/>
      <c r="BI157" s="136"/>
      <c r="BJ157" s="136"/>
      <c r="BK157" s="136"/>
      <c r="BL157" s="136"/>
      <c r="BM157" s="136"/>
      <c r="BN157" s="136"/>
      <c r="BO157" s="136"/>
      <c r="BP157" s="136"/>
      <c r="BQ157" s="136"/>
      <c r="BR157" s="136"/>
      <c r="BS157" s="136"/>
      <c r="BT157" s="136"/>
      <c r="BU157" s="136"/>
      <c r="BV157" s="136"/>
      <c r="BW157" s="136"/>
      <c r="BX157" s="136"/>
      <c r="BY157" s="136"/>
      <c r="BZ157" s="136"/>
      <c r="CA157" s="136"/>
      <c r="CB157" s="136"/>
      <c r="CC157" s="136"/>
      <c r="CD157" s="136"/>
      <c r="CE157" s="136"/>
      <c r="CF157" s="136"/>
      <c r="CG157" s="136"/>
      <c r="CH157" s="136"/>
      <c r="CI157" s="136"/>
      <c r="CJ157" s="136"/>
      <c r="CK157" s="136"/>
      <c r="CL157" s="136"/>
      <c r="CM157" s="136"/>
      <c r="CN157" s="136"/>
      <c r="CO157" s="136"/>
      <c r="CP157" s="136"/>
      <c r="CQ157" s="136"/>
      <c r="CR157" s="136"/>
      <c r="CS157" s="136"/>
      <c r="CT157" s="136"/>
      <c r="CU157" s="136"/>
      <c r="CV157" s="136"/>
      <c r="CW157" s="136"/>
      <c r="CX157" s="136"/>
      <c r="CY157" s="136"/>
      <c r="CZ157" s="136"/>
      <c r="DA157" s="136"/>
      <c r="DB157" s="136"/>
      <c r="DC157" s="136"/>
      <c r="DD157" s="136"/>
      <c r="DE157" s="136"/>
      <c r="DF157" s="136"/>
      <c r="DG157" s="136"/>
      <c r="DH157" s="136"/>
      <c r="DI157" s="136"/>
      <c r="DJ157" s="136"/>
      <c r="DK157" s="136"/>
      <c r="DL157" s="136"/>
      <c r="DM157" s="136"/>
      <c r="DN157" s="136"/>
      <c r="DO157" s="136"/>
      <c r="DP157" s="136"/>
      <c r="DQ157" s="136"/>
      <c r="DR157" s="136"/>
      <c r="DS157" s="136"/>
      <c r="DT157" s="136"/>
      <c r="DU157" s="136"/>
      <c r="DV157" s="136"/>
      <c r="DW157" s="136"/>
      <c r="DX157" s="136"/>
      <c r="DY157" s="136"/>
      <c r="DZ157" s="136"/>
      <c r="EA157" s="136"/>
      <c r="EB157" s="136"/>
      <c r="EC157" s="136"/>
      <c r="ED157" s="136"/>
      <c r="EE157" s="136"/>
      <c r="EF157" s="136"/>
      <c r="EG157" s="136"/>
      <c r="EH157" s="136"/>
      <c r="EI157" s="136"/>
      <c r="EJ157" s="136"/>
      <c r="EK157" s="136"/>
      <c r="EL157" s="136"/>
      <c r="EM157" s="136"/>
      <c r="EN157" s="136"/>
      <c r="EO157" s="136"/>
      <c r="EP157" s="136"/>
      <c r="EQ157" s="136"/>
      <c r="ER157" s="136"/>
      <c r="ES157" s="136"/>
      <c r="ET157" s="136"/>
      <c r="EU157" s="136"/>
      <c r="EV157" s="136"/>
      <c r="EW157" s="136"/>
      <c r="EX157" s="136"/>
      <c r="EY157" s="136"/>
      <c r="EZ157" s="136"/>
      <c r="FA157" s="136"/>
      <c r="FB157" s="136"/>
      <c r="FC157" s="136"/>
      <c r="FD157" s="136"/>
      <c r="FE157" s="136"/>
      <c r="FF157" s="136"/>
      <c r="FG157" s="136"/>
      <c r="FH157" s="136"/>
      <c r="FI157" s="136"/>
      <c r="FJ157" s="136"/>
      <c r="FK157" s="136"/>
      <c r="FL157" s="136"/>
      <c r="FM157" s="136"/>
      <c r="FN157" s="136"/>
      <c r="FO157" s="136"/>
      <c r="FP157" s="136"/>
      <c r="FQ157" s="136"/>
      <c r="FR157" s="136"/>
      <c r="FS157" s="136"/>
      <c r="FT157" s="136"/>
      <c r="FU157" s="136"/>
      <c r="FV157" s="136"/>
      <c r="FW157" s="136"/>
      <c r="FX157" s="136"/>
      <c r="FY157" s="136"/>
      <c r="FZ157" s="136"/>
      <c r="GA157" s="136"/>
      <c r="GB157" s="136"/>
      <c r="GC157" s="136"/>
      <c r="GD157" s="136"/>
      <c r="GE157" s="136"/>
      <c r="GF157" s="136"/>
      <c r="GG157" s="136"/>
      <c r="GH157" s="136"/>
      <c r="GI157" s="136"/>
      <c r="GJ157" s="136"/>
      <c r="GK157" s="136"/>
      <c r="GL157" s="136"/>
      <c r="GM157" s="136"/>
      <c r="GN157" s="136"/>
      <c r="GO157" s="136"/>
      <c r="GP157" s="136"/>
      <c r="GQ157" s="136"/>
      <c r="GR157" s="136"/>
      <c r="GS157" s="136"/>
      <c r="GT157" s="136"/>
      <c r="GU157" s="136"/>
      <c r="GV157" s="136"/>
      <c r="GW157" s="136"/>
      <c r="GX157" s="136"/>
      <c r="GY157" s="136"/>
      <c r="GZ157" s="136"/>
      <c r="HA157" s="136"/>
      <c r="HB157" s="136"/>
      <c r="HC157" s="136"/>
      <c r="HD157" s="136"/>
      <c r="HE157" s="136"/>
      <c r="HF157" s="136"/>
      <c r="HG157" s="136"/>
      <c r="HH157" s="136"/>
      <c r="HI157" s="136"/>
      <c r="HJ157" s="136"/>
      <c r="HK157" s="136"/>
      <c r="HL157" s="136"/>
      <c r="HM157" s="136"/>
      <c r="HN157" s="136"/>
      <c r="HO157" s="136"/>
      <c r="HP157" s="136"/>
      <c r="HQ157" s="136"/>
      <c r="HR157" s="136"/>
      <c r="HS157" s="136"/>
      <c r="HT157" s="136"/>
      <c r="HU157" s="136"/>
      <c r="HV157" s="136"/>
      <c r="HW157" s="136"/>
      <c r="HX157" s="136"/>
      <c r="HY157" s="136"/>
      <c r="HZ157" s="136"/>
      <c r="IA157" s="136"/>
      <c r="IB157" s="136"/>
      <c r="IC157" s="136"/>
      <c r="ID157" s="136"/>
      <c r="IE157" s="136"/>
      <c r="IF157" s="136"/>
      <c r="IG157" s="136"/>
      <c r="IH157" s="136"/>
      <c r="II157" s="136"/>
      <c r="IJ157" s="136"/>
      <c r="IK157" s="136"/>
      <c r="IL157" s="136"/>
      <c r="IM157" s="136"/>
      <c r="IN157" s="136"/>
      <c r="IO157" s="136"/>
      <c r="IP157" s="136"/>
      <c r="IQ157" s="136"/>
      <c r="IR157" s="136"/>
      <c r="IS157" s="136"/>
      <c r="IT157" s="136"/>
      <c r="IU157" s="136"/>
    </row>
    <row r="158" spans="1:255" ht="36" customHeight="1" x14ac:dyDescent="0.2">
      <c r="A158" s="335" t="str">
        <f>IF($C$30="","Datacenter",IF($C$30="Yes","Datacenter - Optional based on QUALIFIER response.","Datacenter"))</f>
        <v>Datacenter</v>
      </c>
      <c r="B158" s="335"/>
      <c r="C158" s="240" t="str">
        <f>$C$22</f>
        <v>Reason for Question</v>
      </c>
      <c r="D158" s="240" t="str">
        <f>$D$22</f>
        <v>Follow-up Inquiries/Responses</v>
      </c>
      <c r="E158" s="136"/>
      <c r="F158" s="136"/>
      <c r="G158" s="136"/>
      <c r="H158" s="136"/>
      <c r="I158" s="136"/>
      <c r="J158" s="136"/>
      <c r="K158" s="136"/>
      <c r="L158" s="136"/>
      <c r="M158" s="136"/>
      <c r="N158" s="136"/>
      <c r="O158" s="136"/>
      <c r="P158" s="136"/>
      <c r="Q158" s="136"/>
      <c r="R158" s="136"/>
      <c r="S158" s="136"/>
      <c r="T158" s="136"/>
      <c r="U158" s="136"/>
      <c r="V158" s="136"/>
      <c r="W158" s="136"/>
      <c r="X158" s="136"/>
      <c r="Y158" s="136"/>
      <c r="Z158" s="136"/>
      <c r="AA158" s="136"/>
      <c r="AB158" s="136"/>
      <c r="AC158" s="136"/>
      <c r="AD158" s="136"/>
      <c r="AE158" s="136"/>
      <c r="AF158" s="136"/>
      <c r="AG158" s="136"/>
      <c r="AH158" s="136"/>
      <c r="AI158" s="136"/>
      <c r="AJ158" s="136"/>
      <c r="AK158" s="136"/>
      <c r="AL158" s="136"/>
      <c r="AM158" s="136"/>
      <c r="AN158" s="136"/>
      <c r="AO158" s="136"/>
      <c r="AP158" s="136"/>
      <c r="AQ158" s="136"/>
      <c r="AR158" s="136"/>
      <c r="AS158" s="136"/>
      <c r="AT158" s="136"/>
      <c r="AU158" s="136"/>
      <c r="AV158" s="136"/>
      <c r="AW158" s="136"/>
      <c r="AX158" s="136"/>
      <c r="AY158" s="136"/>
      <c r="AZ158" s="136"/>
      <c r="BA158" s="136"/>
      <c r="BB158" s="136"/>
      <c r="BC158" s="136"/>
      <c r="BD158" s="136"/>
      <c r="BE158" s="136"/>
      <c r="BF158" s="136"/>
      <c r="BG158" s="136"/>
      <c r="BH158" s="136"/>
      <c r="BI158" s="136"/>
      <c r="BJ158" s="136"/>
      <c r="BK158" s="136"/>
      <c r="BL158" s="136"/>
      <c r="BM158" s="136"/>
      <c r="BN158" s="136"/>
      <c r="BO158" s="136"/>
      <c r="BP158" s="136"/>
      <c r="BQ158" s="136"/>
      <c r="BR158" s="136"/>
      <c r="BS158" s="136"/>
      <c r="BT158" s="136"/>
      <c r="BU158" s="136"/>
      <c r="BV158" s="136"/>
      <c r="BW158" s="136"/>
      <c r="BX158" s="136"/>
      <c r="BY158" s="136"/>
      <c r="BZ158" s="136"/>
      <c r="CA158" s="136"/>
      <c r="CB158" s="136"/>
      <c r="CC158" s="136"/>
      <c r="CD158" s="136"/>
      <c r="CE158" s="136"/>
      <c r="CF158" s="136"/>
      <c r="CG158" s="136"/>
      <c r="CH158" s="136"/>
      <c r="CI158" s="136"/>
      <c r="CJ158" s="136"/>
      <c r="CK158" s="136"/>
      <c r="CL158" s="136"/>
      <c r="CM158" s="136"/>
      <c r="CN158" s="136"/>
      <c r="CO158" s="136"/>
      <c r="CP158" s="136"/>
      <c r="CQ158" s="136"/>
      <c r="CR158" s="136"/>
      <c r="CS158" s="136"/>
      <c r="CT158" s="136"/>
      <c r="CU158" s="136"/>
      <c r="CV158" s="136"/>
      <c r="CW158" s="136"/>
      <c r="CX158" s="136"/>
      <c r="CY158" s="136"/>
      <c r="CZ158" s="136"/>
      <c r="DA158" s="136"/>
      <c r="DB158" s="136"/>
      <c r="DC158" s="136"/>
      <c r="DD158" s="136"/>
      <c r="DE158" s="136"/>
      <c r="DF158" s="136"/>
      <c r="DG158" s="136"/>
      <c r="DH158" s="136"/>
      <c r="DI158" s="136"/>
      <c r="DJ158" s="136"/>
      <c r="DK158" s="136"/>
      <c r="DL158" s="136"/>
      <c r="DM158" s="136"/>
      <c r="DN158" s="136"/>
      <c r="DO158" s="136"/>
      <c r="DP158" s="136"/>
      <c r="DQ158" s="136"/>
      <c r="DR158" s="136"/>
      <c r="DS158" s="136"/>
      <c r="DT158" s="136"/>
      <c r="DU158" s="136"/>
      <c r="DV158" s="136"/>
      <c r="DW158" s="136"/>
      <c r="DX158" s="136"/>
      <c r="DY158" s="136"/>
      <c r="DZ158" s="136"/>
      <c r="EA158" s="136"/>
      <c r="EB158" s="136"/>
      <c r="EC158" s="136"/>
      <c r="ED158" s="136"/>
      <c r="EE158" s="136"/>
      <c r="EF158" s="136"/>
      <c r="EG158" s="136"/>
      <c r="EH158" s="136"/>
      <c r="EI158" s="136"/>
      <c r="EJ158" s="136"/>
      <c r="EK158" s="136"/>
      <c r="EL158" s="136"/>
      <c r="EM158" s="136"/>
      <c r="EN158" s="136"/>
      <c r="EO158" s="136"/>
      <c r="EP158" s="136"/>
      <c r="EQ158" s="136"/>
      <c r="ER158" s="136"/>
      <c r="ES158" s="136"/>
      <c r="ET158" s="136"/>
      <c r="EU158" s="136"/>
      <c r="EV158" s="136"/>
      <c r="EW158" s="136"/>
      <c r="EX158" s="136"/>
      <c r="EY158" s="136"/>
      <c r="EZ158" s="136"/>
      <c r="FA158" s="136"/>
      <c r="FB158" s="136"/>
      <c r="FC158" s="136"/>
      <c r="FD158" s="136"/>
      <c r="FE158" s="136"/>
      <c r="FF158" s="136"/>
      <c r="FG158" s="136"/>
      <c r="FH158" s="136"/>
      <c r="FI158" s="136"/>
      <c r="FJ158" s="136"/>
      <c r="FK158" s="136"/>
      <c r="FL158" s="136"/>
      <c r="FM158" s="136"/>
      <c r="FN158" s="136"/>
      <c r="FO158" s="136"/>
      <c r="FP158" s="136"/>
      <c r="FQ158" s="136"/>
      <c r="FR158" s="136"/>
      <c r="FS158" s="136"/>
      <c r="FT158" s="136"/>
      <c r="FU158" s="136"/>
      <c r="FV158" s="136"/>
      <c r="FW158" s="136"/>
      <c r="FX158" s="136"/>
      <c r="FY158" s="136"/>
      <c r="FZ158" s="136"/>
      <c r="GA158" s="136"/>
      <c r="GB158" s="136"/>
      <c r="GC158" s="136"/>
      <c r="GD158" s="136"/>
      <c r="GE158" s="136"/>
      <c r="GF158" s="136"/>
      <c r="GG158" s="136"/>
      <c r="GH158" s="136"/>
      <c r="GI158" s="136"/>
      <c r="GJ158" s="136"/>
      <c r="GK158" s="136"/>
      <c r="GL158" s="136"/>
      <c r="GM158" s="136"/>
      <c r="GN158" s="136"/>
      <c r="GO158" s="136"/>
      <c r="GP158" s="136"/>
      <c r="GQ158" s="136"/>
      <c r="GR158" s="136"/>
      <c r="GS158" s="136"/>
      <c r="GT158" s="136"/>
      <c r="GU158" s="136"/>
      <c r="GV158" s="136"/>
      <c r="GW158" s="136"/>
      <c r="GX158" s="136"/>
      <c r="GY158" s="136"/>
      <c r="GZ158" s="136"/>
      <c r="HA158" s="136"/>
      <c r="HB158" s="136"/>
      <c r="HC158" s="136"/>
      <c r="HD158" s="136"/>
      <c r="HE158" s="136"/>
      <c r="HF158" s="136"/>
      <c r="HG158" s="136"/>
      <c r="HH158" s="136"/>
      <c r="HI158" s="136"/>
      <c r="HJ158" s="136"/>
      <c r="HK158" s="136"/>
      <c r="HL158" s="136"/>
      <c r="HM158" s="136"/>
      <c r="HN158" s="136"/>
      <c r="HO158" s="136"/>
      <c r="HP158" s="136"/>
      <c r="HQ158" s="136"/>
      <c r="HR158" s="136"/>
      <c r="HS158" s="136"/>
      <c r="HT158" s="136"/>
      <c r="HU158" s="136"/>
      <c r="HV158" s="136"/>
      <c r="HW158" s="136"/>
      <c r="HX158" s="136"/>
      <c r="HY158" s="136"/>
      <c r="HZ158" s="136"/>
      <c r="IA158" s="136"/>
      <c r="IB158" s="136"/>
      <c r="IC158" s="136"/>
      <c r="ID158" s="136"/>
      <c r="IE158" s="136"/>
      <c r="IF158" s="136"/>
      <c r="IG158" s="136"/>
      <c r="IH158" s="136"/>
      <c r="II158" s="136"/>
      <c r="IJ158" s="136"/>
      <c r="IK158" s="136"/>
      <c r="IL158" s="136"/>
      <c r="IM158" s="136"/>
      <c r="IN158" s="136"/>
      <c r="IO158" s="136"/>
      <c r="IP158" s="136"/>
      <c r="IQ158" s="136"/>
      <c r="IR158" s="136"/>
      <c r="IS158" s="136"/>
      <c r="IT158" s="136"/>
      <c r="IU158" s="136"/>
    </row>
    <row r="159" spans="1:255" ht="64" customHeight="1" x14ac:dyDescent="0.2">
      <c r="A159" s="242" t="str">
        <f>'HECVAT - Full'!A159</f>
        <v>DCTR-01</v>
      </c>
      <c r="B159" s="242" t="str">
        <f>VLOOKUP(A159,'HECVAT - Full'!A$24:B$312,2,FALSE)</f>
        <v>Does your company own the physical data center where the Institution's data will reside?</v>
      </c>
      <c r="C159" s="245" t="s">
        <v>2857</v>
      </c>
      <c r="D159" s="250" t="s">
        <v>2858</v>
      </c>
      <c r="E159" s="136"/>
      <c r="F159" s="136"/>
      <c r="G159" s="136"/>
      <c r="H159" s="136"/>
      <c r="I159" s="136"/>
      <c r="J159" s="136"/>
      <c r="K159" s="136"/>
      <c r="L159" s="136"/>
      <c r="M159" s="136"/>
      <c r="N159" s="136"/>
      <c r="O159" s="136"/>
      <c r="P159" s="136"/>
      <c r="Q159" s="136"/>
      <c r="R159" s="136"/>
      <c r="S159" s="136"/>
      <c r="T159" s="136"/>
      <c r="U159" s="136"/>
      <c r="V159" s="136"/>
      <c r="W159" s="136"/>
      <c r="X159" s="136"/>
      <c r="Y159" s="136"/>
      <c r="Z159" s="136"/>
      <c r="AA159" s="136"/>
      <c r="AB159" s="136"/>
      <c r="AC159" s="136"/>
      <c r="AD159" s="136"/>
      <c r="AE159" s="136"/>
      <c r="AF159" s="136"/>
      <c r="AG159" s="136"/>
      <c r="AH159" s="136"/>
      <c r="AI159" s="136"/>
      <c r="AJ159" s="136"/>
      <c r="AK159" s="136"/>
      <c r="AL159" s="136"/>
      <c r="AM159" s="136"/>
      <c r="AN159" s="136"/>
      <c r="AO159" s="136"/>
      <c r="AP159" s="136"/>
      <c r="AQ159" s="136"/>
      <c r="AR159" s="136"/>
      <c r="AS159" s="136"/>
      <c r="AT159" s="136"/>
      <c r="AU159" s="136"/>
      <c r="AV159" s="136"/>
      <c r="AW159" s="136"/>
      <c r="AX159" s="136"/>
      <c r="AY159" s="136"/>
      <c r="AZ159" s="136"/>
      <c r="BA159" s="136"/>
      <c r="BB159" s="136"/>
      <c r="BC159" s="136"/>
      <c r="BD159" s="136"/>
      <c r="BE159" s="136"/>
      <c r="BF159" s="136"/>
      <c r="BG159" s="136"/>
      <c r="BH159" s="136"/>
      <c r="BI159" s="136"/>
      <c r="BJ159" s="136"/>
      <c r="BK159" s="136"/>
      <c r="BL159" s="136"/>
      <c r="BM159" s="136"/>
      <c r="BN159" s="136"/>
      <c r="BO159" s="136"/>
      <c r="BP159" s="136"/>
      <c r="BQ159" s="136"/>
      <c r="BR159" s="136"/>
      <c r="BS159" s="136"/>
      <c r="BT159" s="136"/>
      <c r="BU159" s="136"/>
      <c r="BV159" s="136"/>
      <c r="BW159" s="136"/>
      <c r="BX159" s="136"/>
      <c r="BY159" s="136"/>
      <c r="BZ159" s="136"/>
      <c r="CA159" s="136"/>
      <c r="CB159" s="136"/>
      <c r="CC159" s="136"/>
      <c r="CD159" s="136"/>
      <c r="CE159" s="136"/>
      <c r="CF159" s="136"/>
      <c r="CG159" s="136"/>
      <c r="CH159" s="136"/>
      <c r="CI159" s="136"/>
      <c r="CJ159" s="136"/>
      <c r="CK159" s="136"/>
      <c r="CL159" s="136"/>
      <c r="CM159" s="136"/>
      <c r="CN159" s="136"/>
      <c r="CO159" s="136"/>
      <c r="CP159" s="136"/>
      <c r="CQ159" s="136"/>
      <c r="CR159" s="136"/>
      <c r="CS159" s="136"/>
      <c r="CT159" s="136"/>
      <c r="CU159" s="136"/>
      <c r="CV159" s="136"/>
      <c r="CW159" s="136"/>
      <c r="CX159" s="136"/>
      <c r="CY159" s="136"/>
      <c r="CZ159" s="136"/>
      <c r="DA159" s="136"/>
      <c r="DB159" s="136"/>
      <c r="DC159" s="136"/>
      <c r="DD159" s="136"/>
      <c r="DE159" s="136"/>
      <c r="DF159" s="136"/>
      <c r="DG159" s="136"/>
      <c r="DH159" s="136"/>
      <c r="DI159" s="136"/>
      <c r="DJ159" s="136"/>
      <c r="DK159" s="136"/>
      <c r="DL159" s="136"/>
      <c r="DM159" s="136"/>
      <c r="DN159" s="136"/>
      <c r="DO159" s="136"/>
      <c r="DP159" s="136"/>
      <c r="DQ159" s="136"/>
      <c r="DR159" s="136"/>
      <c r="DS159" s="136"/>
      <c r="DT159" s="136"/>
      <c r="DU159" s="136"/>
      <c r="DV159" s="136"/>
      <c r="DW159" s="136"/>
      <c r="DX159" s="136"/>
      <c r="DY159" s="136"/>
      <c r="DZ159" s="136"/>
      <c r="EA159" s="136"/>
      <c r="EB159" s="136"/>
      <c r="EC159" s="136"/>
      <c r="ED159" s="136"/>
      <c r="EE159" s="136"/>
      <c r="EF159" s="136"/>
      <c r="EG159" s="136"/>
      <c r="EH159" s="136"/>
      <c r="EI159" s="136"/>
      <c r="EJ159" s="136"/>
      <c r="EK159" s="136"/>
      <c r="EL159" s="136"/>
      <c r="EM159" s="136"/>
      <c r="EN159" s="136"/>
      <c r="EO159" s="136"/>
      <c r="EP159" s="136"/>
      <c r="EQ159" s="136"/>
      <c r="ER159" s="136"/>
      <c r="ES159" s="136"/>
      <c r="ET159" s="136"/>
      <c r="EU159" s="136"/>
      <c r="EV159" s="136"/>
      <c r="EW159" s="136"/>
      <c r="EX159" s="136"/>
      <c r="EY159" s="136"/>
      <c r="EZ159" s="136"/>
      <c r="FA159" s="136"/>
      <c r="FB159" s="136"/>
      <c r="FC159" s="136"/>
      <c r="FD159" s="136"/>
      <c r="FE159" s="136"/>
      <c r="FF159" s="136"/>
      <c r="FG159" s="136"/>
      <c r="FH159" s="136"/>
      <c r="FI159" s="136"/>
      <c r="FJ159" s="136"/>
      <c r="FK159" s="136"/>
      <c r="FL159" s="136"/>
      <c r="FM159" s="136"/>
      <c r="FN159" s="136"/>
      <c r="FO159" s="136"/>
      <c r="FP159" s="136"/>
      <c r="FQ159" s="136"/>
      <c r="FR159" s="136"/>
      <c r="FS159" s="136"/>
      <c r="FT159" s="136"/>
      <c r="FU159" s="136"/>
      <c r="FV159" s="136"/>
      <c r="FW159" s="136"/>
      <c r="FX159" s="136"/>
      <c r="FY159" s="136"/>
      <c r="FZ159" s="136"/>
      <c r="GA159" s="136"/>
      <c r="GB159" s="136"/>
      <c r="GC159" s="136"/>
      <c r="GD159" s="136"/>
      <c r="GE159" s="136"/>
      <c r="GF159" s="136"/>
      <c r="GG159" s="136"/>
      <c r="GH159" s="136"/>
      <c r="GI159" s="136"/>
      <c r="GJ159" s="136"/>
      <c r="GK159" s="136"/>
      <c r="GL159" s="136"/>
      <c r="GM159" s="136"/>
      <c r="GN159" s="136"/>
      <c r="GO159" s="136"/>
      <c r="GP159" s="136"/>
      <c r="GQ159" s="136"/>
      <c r="GR159" s="136"/>
      <c r="GS159" s="136"/>
      <c r="GT159" s="136"/>
      <c r="GU159" s="136"/>
      <c r="GV159" s="136"/>
      <c r="GW159" s="136"/>
      <c r="GX159" s="136"/>
      <c r="GY159" s="136"/>
      <c r="GZ159" s="136"/>
      <c r="HA159" s="136"/>
      <c r="HB159" s="136"/>
      <c r="HC159" s="136"/>
      <c r="HD159" s="136"/>
      <c r="HE159" s="136"/>
      <c r="HF159" s="136"/>
      <c r="HG159" s="136"/>
      <c r="HH159" s="136"/>
      <c r="HI159" s="136"/>
      <c r="HJ159" s="136"/>
      <c r="HK159" s="136"/>
      <c r="HL159" s="136"/>
      <c r="HM159" s="136"/>
      <c r="HN159" s="136"/>
      <c r="HO159" s="136"/>
      <c r="HP159" s="136"/>
      <c r="HQ159" s="136"/>
      <c r="HR159" s="136"/>
      <c r="HS159" s="136"/>
      <c r="HT159" s="136"/>
      <c r="HU159" s="136"/>
      <c r="HV159" s="136"/>
      <c r="HW159" s="136"/>
      <c r="HX159" s="136"/>
      <c r="HY159" s="136"/>
      <c r="HZ159" s="136"/>
      <c r="IA159" s="136"/>
      <c r="IB159" s="136"/>
      <c r="IC159" s="136"/>
      <c r="ID159" s="136"/>
      <c r="IE159" s="136"/>
      <c r="IF159" s="136"/>
      <c r="IG159" s="136"/>
      <c r="IH159" s="136"/>
      <c r="II159" s="136"/>
      <c r="IJ159" s="136"/>
      <c r="IK159" s="136"/>
      <c r="IL159" s="136"/>
      <c r="IM159" s="136"/>
      <c r="IN159" s="136"/>
      <c r="IO159" s="136"/>
      <c r="IP159" s="136"/>
      <c r="IQ159" s="136"/>
      <c r="IR159" s="136"/>
      <c r="IS159" s="136"/>
      <c r="IT159" s="136"/>
      <c r="IU159" s="136"/>
    </row>
    <row r="160" spans="1:255" ht="180" x14ac:dyDescent="0.2">
      <c r="A160" s="242" t="str">
        <f>'HECVAT - Full'!A160</f>
        <v>DCTR-02</v>
      </c>
      <c r="B160" s="242" t="str">
        <f>VLOOKUP(A160,'HECVAT - Full'!A$24:B$312,2,FALSE)</f>
        <v>Does the hosting provider have a SOC 2 Type 2 report available?</v>
      </c>
      <c r="C160" s="245" t="s">
        <v>2859</v>
      </c>
      <c r="D160" s="250" t="s">
        <v>2860</v>
      </c>
      <c r="E160" s="136"/>
      <c r="F160" s="136"/>
      <c r="G160" s="136"/>
      <c r="H160" s="136"/>
      <c r="I160" s="136"/>
      <c r="J160" s="136"/>
      <c r="K160" s="136"/>
      <c r="L160" s="136"/>
      <c r="M160" s="136"/>
      <c r="N160" s="136"/>
      <c r="O160" s="136"/>
      <c r="P160" s="136"/>
      <c r="Q160" s="136"/>
      <c r="R160" s="136"/>
      <c r="S160" s="136"/>
      <c r="T160" s="136"/>
      <c r="U160" s="136"/>
      <c r="V160" s="136"/>
      <c r="W160" s="136"/>
      <c r="X160" s="136"/>
      <c r="Y160" s="136"/>
      <c r="Z160" s="136"/>
      <c r="AA160" s="136"/>
      <c r="AB160" s="136"/>
      <c r="AC160" s="136"/>
      <c r="AD160" s="136"/>
      <c r="AE160" s="136"/>
      <c r="AF160" s="136"/>
      <c r="AG160" s="136"/>
      <c r="AH160" s="136"/>
      <c r="AI160" s="136"/>
      <c r="AJ160" s="136"/>
      <c r="AK160" s="136"/>
      <c r="AL160" s="136"/>
      <c r="AM160" s="136"/>
      <c r="AN160" s="136"/>
      <c r="AO160" s="136"/>
      <c r="AP160" s="136"/>
      <c r="AQ160" s="136"/>
      <c r="AR160" s="136"/>
      <c r="AS160" s="136"/>
      <c r="AT160" s="136"/>
      <c r="AU160" s="136"/>
      <c r="AV160" s="136"/>
      <c r="AW160" s="136"/>
      <c r="AX160" s="136"/>
      <c r="AY160" s="136"/>
      <c r="AZ160" s="136"/>
      <c r="BA160" s="136"/>
      <c r="BB160" s="136"/>
      <c r="BC160" s="136"/>
      <c r="BD160" s="136"/>
      <c r="BE160" s="136"/>
      <c r="BF160" s="136"/>
      <c r="BG160" s="136"/>
      <c r="BH160" s="136"/>
      <c r="BI160" s="136"/>
      <c r="BJ160" s="136"/>
      <c r="BK160" s="136"/>
      <c r="BL160" s="136"/>
      <c r="BM160" s="136"/>
      <c r="BN160" s="136"/>
      <c r="BO160" s="136"/>
      <c r="BP160" s="136"/>
      <c r="BQ160" s="136"/>
      <c r="BR160" s="136"/>
      <c r="BS160" s="136"/>
      <c r="BT160" s="136"/>
      <c r="BU160" s="136"/>
      <c r="BV160" s="136"/>
      <c r="BW160" s="136"/>
      <c r="BX160" s="136"/>
      <c r="BY160" s="136"/>
      <c r="BZ160" s="136"/>
      <c r="CA160" s="136"/>
      <c r="CB160" s="136"/>
      <c r="CC160" s="136"/>
      <c r="CD160" s="136"/>
      <c r="CE160" s="136"/>
      <c r="CF160" s="136"/>
      <c r="CG160" s="136"/>
      <c r="CH160" s="136"/>
      <c r="CI160" s="136"/>
      <c r="CJ160" s="136"/>
      <c r="CK160" s="136"/>
      <c r="CL160" s="136"/>
      <c r="CM160" s="136"/>
      <c r="CN160" s="136"/>
      <c r="CO160" s="136"/>
      <c r="CP160" s="136"/>
      <c r="CQ160" s="136"/>
      <c r="CR160" s="136"/>
      <c r="CS160" s="136"/>
      <c r="CT160" s="136"/>
      <c r="CU160" s="136"/>
      <c r="CV160" s="136"/>
      <c r="CW160" s="136"/>
      <c r="CX160" s="136"/>
      <c r="CY160" s="136"/>
      <c r="CZ160" s="136"/>
      <c r="DA160" s="136"/>
      <c r="DB160" s="136"/>
      <c r="DC160" s="136"/>
      <c r="DD160" s="136"/>
      <c r="DE160" s="136"/>
      <c r="DF160" s="136"/>
      <c r="DG160" s="136"/>
      <c r="DH160" s="136"/>
      <c r="DI160" s="136"/>
      <c r="DJ160" s="136"/>
      <c r="DK160" s="136"/>
      <c r="DL160" s="136"/>
      <c r="DM160" s="136"/>
      <c r="DN160" s="136"/>
      <c r="DO160" s="136"/>
      <c r="DP160" s="136"/>
      <c r="DQ160" s="136"/>
      <c r="DR160" s="136"/>
      <c r="DS160" s="136"/>
      <c r="DT160" s="136"/>
      <c r="DU160" s="136"/>
      <c r="DV160" s="136"/>
      <c r="DW160" s="136"/>
      <c r="DX160" s="136"/>
      <c r="DY160" s="136"/>
      <c r="DZ160" s="136"/>
      <c r="EA160" s="136"/>
      <c r="EB160" s="136"/>
      <c r="EC160" s="136"/>
      <c r="ED160" s="136"/>
      <c r="EE160" s="136"/>
      <c r="EF160" s="136"/>
      <c r="EG160" s="136"/>
      <c r="EH160" s="136"/>
      <c r="EI160" s="136"/>
      <c r="EJ160" s="136"/>
      <c r="EK160" s="136"/>
      <c r="EL160" s="136"/>
      <c r="EM160" s="136"/>
      <c r="EN160" s="136"/>
      <c r="EO160" s="136"/>
      <c r="EP160" s="136"/>
      <c r="EQ160" s="136"/>
      <c r="ER160" s="136"/>
      <c r="ES160" s="136"/>
      <c r="ET160" s="136"/>
      <c r="EU160" s="136"/>
      <c r="EV160" s="136"/>
      <c r="EW160" s="136"/>
      <c r="EX160" s="136"/>
      <c r="EY160" s="136"/>
      <c r="EZ160" s="136"/>
      <c r="FA160" s="136"/>
      <c r="FB160" s="136"/>
      <c r="FC160" s="136"/>
      <c r="FD160" s="136"/>
      <c r="FE160" s="136"/>
      <c r="FF160" s="136"/>
      <c r="FG160" s="136"/>
      <c r="FH160" s="136"/>
      <c r="FI160" s="136"/>
      <c r="FJ160" s="136"/>
      <c r="FK160" s="136"/>
      <c r="FL160" s="136"/>
      <c r="FM160" s="136"/>
      <c r="FN160" s="136"/>
      <c r="FO160" s="136"/>
      <c r="FP160" s="136"/>
      <c r="FQ160" s="136"/>
      <c r="FR160" s="136"/>
      <c r="FS160" s="136"/>
      <c r="FT160" s="136"/>
      <c r="FU160" s="136"/>
      <c r="FV160" s="136"/>
      <c r="FW160" s="136"/>
      <c r="FX160" s="136"/>
      <c r="FY160" s="136"/>
      <c r="FZ160" s="136"/>
      <c r="GA160" s="136"/>
      <c r="GB160" s="136"/>
      <c r="GC160" s="136"/>
      <c r="GD160" s="136"/>
      <c r="GE160" s="136"/>
      <c r="GF160" s="136"/>
      <c r="GG160" s="136"/>
      <c r="GH160" s="136"/>
      <c r="GI160" s="136"/>
      <c r="GJ160" s="136"/>
      <c r="GK160" s="136"/>
      <c r="GL160" s="136"/>
      <c r="GM160" s="136"/>
      <c r="GN160" s="136"/>
      <c r="GO160" s="136"/>
      <c r="GP160" s="136"/>
      <c r="GQ160" s="136"/>
      <c r="GR160" s="136"/>
      <c r="GS160" s="136"/>
      <c r="GT160" s="136"/>
      <c r="GU160" s="136"/>
      <c r="GV160" s="136"/>
      <c r="GW160" s="136"/>
      <c r="GX160" s="136"/>
      <c r="GY160" s="136"/>
      <c r="GZ160" s="136"/>
      <c r="HA160" s="136"/>
      <c r="HB160" s="136"/>
      <c r="HC160" s="136"/>
      <c r="HD160" s="136"/>
      <c r="HE160" s="136"/>
      <c r="HF160" s="136"/>
      <c r="HG160" s="136"/>
      <c r="HH160" s="136"/>
      <c r="HI160" s="136"/>
      <c r="HJ160" s="136"/>
      <c r="HK160" s="136"/>
      <c r="HL160" s="136"/>
      <c r="HM160" s="136"/>
      <c r="HN160" s="136"/>
      <c r="HO160" s="136"/>
      <c r="HP160" s="136"/>
      <c r="HQ160" s="136"/>
      <c r="HR160" s="136"/>
      <c r="HS160" s="136"/>
      <c r="HT160" s="136"/>
      <c r="HU160" s="136"/>
      <c r="HV160" s="136"/>
      <c r="HW160" s="136"/>
      <c r="HX160" s="136"/>
      <c r="HY160" s="136"/>
      <c r="HZ160" s="136"/>
      <c r="IA160" s="136"/>
      <c r="IB160" s="136"/>
      <c r="IC160" s="136"/>
      <c r="ID160" s="136"/>
      <c r="IE160" s="136"/>
      <c r="IF160" s="136"/>
      <c r="IG160" s="136"/>
      <c r="IH160" s="136"/>
      <c r="II160" s="136"/>
      <c r="IJ160" s="136"/>
      <c r="IK160" s="136"/>
      <c r="IL160" s="136"/>
      <c r="IM160" s="136"/>
      <c r="IN160" s="136"/>
      <c r="IO160" s="136"/>
      <c r="IP160" s="136"/>
      <c r="IQ160" s="136"/>
      <c r="IR160" s="136"/>
      <c r="IS160" s="136"/>
      <c r="IT160" s="136"/>
      <c r="IU160" s="136"/>
    </row>
    <row r="161" spans="1:255" ht="79.5" customHeight="1" x14ac:dyDescent="0.2">
      <c r="A161" s="242" t="str">
        <f>'HECVAT - Full'!A161</f>
        <v>DCTR-03</v>
      </c>
      <c r="B161" s="242" t="str">
        <f>VLOOKUP(A161,'HECVAT - Full'!A$24:B$312,2,FALSE)</f>
        <v>Are the data centers staffed 24 hours a day, seven days a week (i.e., 24x7x365)?</v>
      </c>
      <c r="C161" s="243" t="s">
        <v>2861</v>
      </c>
      <c r="D161" s="253" t="s">
        <v>2862</v>
      </c>
      <c r="E161" s="136"/>
      <c r="F161" s="136"/>
      <c r="G161" s="136"/>
      <c r="H161" s="136"/>
      <c r="I161" s="136"/>
      <c r="J161" s="136"/>
      <c r="K161" s="136"/>
      <c r="L161" s="136"/>
      <c r="M161" s="136"/>
      <c r="N161" s="136"/>
      <c r="O161" s="136"/>
      <c r="P161" s="136"/>
      <c r="Q161" s="136"/>
      <c r="R161" s="136"/>
      <c r="S161" s="136"/>
      <c r="T161" s="136"/>
      <c r="U161" s="136"/>
      <c r="V161" s="136"/>
      <c r="W161" s="136"/>
      <c r="X161" s="136"/>
      <c r="Y161" s="136"/>
      <c r="Z161" s="136"/>
      <c r="AA161" s="136"/>
      <c r="AB161" s="136"/>
      <c r="AC161" s="136"/>
      <c r="AD161" s="136"/>
      <c r="AE161" s="136"/>
      <c r="AF161" s="136"/>
      <c r="AG161" s="136"/>
      <c r="AH161" s="136"/>
      <c r="AI161" s="136"/>
      <c r="AJ161" s="136"/>
      <c r="AK161" s="136"/>
      <c r="AL161" s="136"/>
      <c r="AM161" s="136"/>
      <c r="AN161" s="136"/>
      <c r="AO161" s="136"/>
      <c r="AP161" s="136"/>
      <c r="AQ161" s="136"/>
      <c r="AR161" s="136"/>
      <c r="AS161" s="136"/>
      <c r="AT161" s="136"/>
      <c r="AU161" s="136"/>
      <c r="AV161" s="136"/>
      <c r="AW161" s="136"/>
      <c r="AX161" s="136"/>
      <c r="AY161" s="136"/>
      <c r="AZ161" s="136"/>
      <c r="BA161" s="136"/>
      <c r="BB161" s="136"/>
      <c r="BC161" s="136"/>
      <c r="BD161" s="136"/>
      <c r="BE161" s="136"/>
      <c r="BF161" s="136"/>
      <c r="BG161" s="136"/>
      <c r="BH161" s="136"/>
      <c r="BI161" s="136"/>
      <c r="BJ161" s="136"/>
      <c r="BK161" s="136"/>
      <c r="BL161" s="136"/>
      <c r="BM161" s="136"/>
      <c r="BN161" s="136"/>
      <c r="BO161" s="136"/>
      <c r="BP161" s="136"/>
      <c r="BQ161" s="136"/>
      <c r="BR161" s="136"/>
      <c r="BS161" s="136"/>
      <c r="BT161" s="136"/>
      <c r="BU161" s="136"/>
      <c r="BV161" s="136"/>
      <c r="BW161" s="136"/>
      <c r="BX161" s="136"/>
      <c r="BY161" s="136"/>
      <c r="BZ161" s="136"/>
      <c r="CA161" s="136"/>
      <c r="CB161" s="136"/>
      <c r="CC161" s="136"/>
      <c r="CD161" s="136"/>
      <c r="CE161" s="136"/>
      <c r="CF161" s="136"/>
      <c r="CG161" s="136"/>
      <c r="CH161" s="136"/>
      <c r="CI161" s="136"/>
      <c r="CJ161" s="136"/>
      <c r="CK161" s="136"/>
      <c r="CL161" s="136"/>
      <c r="CM161" s="136"/>
      <c r="CN161" s="136"/>
      <c r="CO161" s="136"/>
      <c r="CP161" s="136"/>
      <c r="CQ161" s="136"/>
      <c r="CR161" s="136"/>
      <c r="CS161" s="136"/>
      <c r="CT161" s="136"/>
      <c r="CU161" s="136"/>
      <c r="CV161" s="136"/>
      <c r="CW161" s="136"/>
      <c r="CX161" s="136"/>
      <c r="CY161" s="136"/>
      <c r="CZ161" s="136"/>
      <c r="DA161" s="136"/>
      <c r="DB161" s="136"/>
      <c r="DC161" s="136"/>
      <c r="DD161" s="136"/>
      <c r="DE161" s="136"/>
      <c r="DF161" s="136"/>
      <c r="DG161" s="136"/>
      <c r="DH161" s="136"/>
      <c r="DI161" s="136"/>
      <c r="DJ161" s="136"/>
      <c r="DK161" s="136"/>
      <c r="DL161" s="136"/>
      <c r="DM161" s="136"/>
      <c r="DN161" s="136"/>
      <c r="DO161" s="136"/>
      <c r="DP161" s="136"/>
      <c r="DQ161" s="136"/>
      <c r="DR161" s="136"/>
      <c r="DS161" s="136"/>
      <c r="DT161" s="136"/>
      <c r="DU161" s="136"/>
      <c r="DV161" s="136"/>
      <c r="DW161" s="136"/>
      <c r="DX161" s="136"/>
      <c r="DY161" s="136"/>
      <c r="DZ161" s="136"/>
      <c r="EA161" s="136"/>
      <c r="EB161" s="136"/>
      <c r="EC161" s="136"/>
      <c r="ED161" s="136"/>
      <c r="EE161" s="136"/>
      <c r="EF161" s="136"/>
      <c r="EG161" s="136"/>
      <c r="EH161" s="136"/>
      <c r="EI161" s="136"/>
      <c r="EJ161" s="136"/>
      <c r="EK161" s="136"/>
      <c r="EL161" s="136"/>
      <c r="EM161" s="136"/>
      <c r="EN161" s="136"/>
      <c r="EO161" s="136"/>
      <c r="EP161" s="136"/>
      <c r="EQ161" s="136"/>
      <c r="ER161" s="136"/>
      <c r="ES161" s="136"/>
      <c r="ET161" s="136"/>
      <c r="EU161" s="136"/>
      <c r="EV161" s="136"/>
      <c r="EW161" s="136"/>
      <c r="EX161" s="136"/>
      <c r="EY161" s="136"/>
      <c r="EZ161" s="136"/>
      <c r="FA161" s="136"/>
      <c r="FB161" s="136"/>
      <c r="FC161" s="136"/>
      <c r="FD161" s="136"/>
      <c r="FE161" s="136"/>
      <c r="FF161" s="136"/>
      <c r="FG161" s="136"/>
      <c r="FH161" s="136"/>
      <c r="FI161" s="136"/>
      <c r="FJ161" s="136"/>
      <c r="FK161" s="136"/>
      <c r="FL161" s="136"/>
      <c r="FM161" s="136"/>
      <c r="FN161" s="136"/>
      <c r="FO161" s="136"/>
      <c r="FP161" s="136"/>
      <c r="FQ161" s="136"/>
      <c r="FR161" s="136"/>
      <c r="FS161" s="136"/>
      <c r="FT161" s="136"/>
      <c r="FU161" s="136"/>
      <c r="FV161" s="136"/>
      <c r="FW161" s="136"/>
      <c r="FX161" s="136"/>
      <c r="FY161" s="136"/>
      <c r="FZ161" s="136"/>
      <c r="GA161" s="136"/>
      <c r="GB161" s="136"/>
      <c r="GC161" s="136"/>
      <c r="GD161" s="136"/>
      <c r="GE161" s="136"/>
      <c r="GF161" s="136"/>
      <c r="GG161" s="136"/>
      <c r="GH161" s="136"/>
      <c r="GI161" s="136"/>
      <c r="GJ161" s="136"/>
      <c r="GK161" s="136"/>
      <c r="GL161" s="136"/>
      <c r="GM161" s="136"/>
      <c r="GN161" s="136"/>
      <c r="GO161" s="136"/>
      <c r="GP161" s="136"/>
      <c r="GQ161" s="136"/>
      <c r="GR161" s="136"/>
      <c r="GS161" s="136"/>
      <c r="GT161" s="136"/>
      <c r="GU161" s="136"/>
      <c r="GV161" s="136"/>
      <c r="GW161" s="136"/>
      <c r="GX161" s="136"/>
      <c r="GY161" s="136"/>
      <c r="GZ161" s="136"/>
      <c r="HA161" s="136"/>
      <c r="HB161" s="136"/>
      <c r="HC161" s="136"/>
      <c r="HD161" s="136"/>
      <c r="HE161" s="136"/>
      <c r="HF161" s="136"/>
      <c r="HG161" s="136"/>
      <c r="HH161" s="136"/>
      <c r="HI161" s="136"/>
      <c r="HJ161" s="136"/>
      <c r="HK161" s="136"/>
      <c r="HL161" s="136"/>
      <c r="HM161" s="136"/>
      <c r="HN161" s="136"/>
      <c r="HO161" s="136"/>
      <c r="HP161" s="136"/>
      <c r="HQ161" s="136"/>
      <c r="HR161" s="136"/>
      <c r="HS161" s="136"/>
      <c r="HT161" s="136"/>
      <c r="HU161" s="136"/>
      <c r="HV161" s="136"/>
      <c r="HW161" s="136"/>
      <c r="HX161" s="136"/>
      <c r="HY161" s="136"/>
      <c r="HZ161" s="136"/>
      <c r="IA161" s="136"/>
      <c r="IB161" s="136"/>
      <c r="IC161" s="136"/>
      <c r="ID161" s="136"/>
      <c r="IE161" s="136"/>
      <c r="IF161" s="136"/>
      <c r="IG161" s="136"/>
      <c r="IH161" s="136"/>
      <c r="II161" s="136"/>
      <c r="IJ161" s="136"/>
      <c r="IK161" s="136"/>
      <c r="IL161" s="136"/>
      <c r="IM161" s="136"/>
      <c r="IN161" s="136"/>
      <c r="IO161" s="136"/>
      <c r="IP161" s="136"/>
      <c r="IQ161" s="136"/>
      <c r="IR161" s="136"/>
      <c r="IS161" s="136"/>
      <c r="IT161" s="136"/>
      <c r="IU161" s="136"/>
    </row>
    <row r="162" spans="1:255" ht="64.5" customHeight="1" x14ac:dyDescent="0.2">
      <c r="A162" s="242" t="str">
        <f>'HECVAT - Full'!A162</f>
        <v>DCTR-04</v>
      </c>
      <c r="B162" s="242" t="str">
        <f>VLOOKUP(A162,'HECVAT - Full'!A$24:B$312,2,FALSE)</f>
        <v>Do any of your servers reside in a co-located data center?</v>
      </c>
      <c r="C162" s="243" t="s">
        <v>2863</v>
      </c>
      <c r="D162" s="253" t="s">
        <v>2864</v>
      </c>
      <c r="E162" s="136"/>
      <c r="F162" s="136"/>
      <c r="G162" s="136"/>
      <c r="H162" s="136"/>
      <c r="I162" s="136"/>
      <c r="J162" s="136"/>
      <c r="K162" s="136"/>
      <c r="L162" s="136"/>
      <c r="M162" s="136"/>
      <c r="N162" s="136"/>
      <c r="O162" s="136"/>
      <c r="P162" s="136"/>
      <c r="Q162" s="136"/>
      <c r="R162" s="136"/>
      <c r="S162" s="136"/>
      <c r="T162" s="136"/>
      <c r="U162" s="136"/>
      <c r="V162" s="136"/>
      <c r="W162" s="136"/>
      <c r="X162" s="136"/>
      <c r="Y162" s="136"/>
      <c r="Z162" s="136"/>
      <c r="AA162" s="136"/>
      <c r="AB162" s="136"/>
      <c r="AC162" s="136"/>
      <c r="AD162" s="136"/>
      <c r="AE162" s="136"/>
      <c r="AF162" s="136"/>
      <c r="AG162" s="136"/>
      <c r="AH162" s="136"/>
      <c r="AI162" s="136"/>
      <c r="AJ162" s="136"/>
      <c r="AK162" s="136"/>
      <c r="AL162" s="136"/>
      <c r="AM162" s="136"/>
      <c r="AN162" s="136"/>
      <c r="AO162" s="136"/>
      <c r="AP162" s="136"/>
      <c r="AQ162" s="136"/>
      <c r="AR162" s="136"/>
      <c r="AS162" s="136"/>
      <c r="AT162" s="136"/>
      <c r="AU162" s="136"/>
      <c r="AV162" s="136"/>
      <c r="AW162" s="136"/>
      <c r="AX162" s="136"/>
      <c r="AY162" s="136"/>
      <c r="AZ162" s="136"/>
      <c r="BA162" s="136"/>
      <c r="BB162" s="136"/>
      <c r="BC162" s="136"/>
      <c r="BD162" s="136"/>
      <c r="BE162" s="136"/>
      <c r="BF162" s="136"/>
      <c r="BG162" s="136"/>
      <c r="BH162" s="136"/>
      <c r="BI162" s="136"/>
      <c r="BJ162" s="136"/>
      <c r="BK162" s="136"/>
      <c r="BL162" s="136"/>
      <c r="BM162" s="136"/>
      <c r="BN162" s="136"/>
      <c r="BO162" s="136"/>
      <c r="BP162" s="136"/>
      <c r="BQ162" s="136"/>
      <c r="BR162" s="136"/>
      <c r="BS162" s="136"/>
      <c r="BT162" s="136"/>
      <c r="BU162" s="136"/>
      <c r="BV162" s="136"/>
      <c r="BW162" s="136"/>
      <c r="BX162" s="136"/>
      <c r="BY162" s="136"/>
      <c r="BZ162" s="136"/>
      <c r="CA162" s="136"/>
      <c r="CB162" s="136"/>
      <c r="CC162" s="136"/>
      <c r="CD162" s="136"/>
      <c r="CE162" s="136"/>
      <c r="CF162" s="136"/>
      <c r="CG162" s="136"/>
      <c r="CH162" s="136"/>
      <c r="CI162" s="136"/>
      <c r="CJ162" s="136"/>
      <c r="CK162" s="136"/>
      <c r="CL162" s="136"/>
      <c r="CM162" s="136"/>
      <c r="CN162" s="136"/>
      <c r="CO162" s="136"/>
      <c r="CP162" s="136"/>
      <c r="CQ162" s="136"/>
      <c r="CR162" s="136"/>
      <c r="CS162" s="136"/>
      <c r="CT162" s="136"/>
      <c r="CU162" s="136"/>
      <c r="CV162" s="136"/>
      <c r="CW162" s="136"/>
      <c r="CX162" s="136"/>
      <c r="CY162" s="136"/>
      <c r="CZ162" s="136"/>
      <c r="DA162" s="136"/>
      <c r="DB162" s="136"/>
      <c r="DC162" s="136"/>
      <c r="DD162" s="136"/>
      <c r="DE162" s="136"/>
      <c r="DF162" s="136"/>
      <c r="DG162" s="136"/>
      <c r="DH162" s="136"/>
      <c r="DI162" s="136"/>
      <c r="DJ162" s="136"/>
      <c r="DK162" s="136"/>
      <c r="DL162" s="136"/>
      <c r="DM162" s="136"/>
      <c r="DN162" s="136"/>
      <c r="DO162" s="136"/>
      <c r="DP162" s="136"/>
      <c r="DQ162" s="136"/>
      <c r="DR162" s="136"/>
      <c r="DS162" s="136"/>
      <c r="DT162" s="136"/>
      <c r="DU162" s="136"/>
      <c r="DV162" s="136"/>
      <c r="DW162" s="136"/>
      <c r="DX162" s="136"/>
      <c r="DY162" s="136"/>
      <c r="DZ162" s="136"/>
      <c r="EA162" s="136"/>
      <c r="EB162" s="136"/>
      <c r="EC162" s="136"/>
      <c r="ED162" s="136"/>
      <c r="EE162" s="136"/>
      <c r="EF162" s="136"/>
      <c r="EG162" s="136"/>
      <c r="EH162" s="136"/>
      <c r="EI162" s="136"/>
      <c r="EJ162" s="136"/>
      <c r="EK162" s="136"/>
      <c r="EL162" s="136"/>
      <c r="EM162" s="136"/>
      <c r="EN162" s="136"/>
      <c r="EO162" s="136"/>
      <c r="EP162" s="136"/>
      <c r="EQ162" s="136"/>
      <c r="ER162" s="136"/>
      <c r="ES162" s="136"/>
      <c r="ET162" s="136"/>
      <c r="EU162" s="136"/>
      <c r="EV162" s="136"/>
      <c r="EW162" s="136"/>
      <c r="EX162" s="136"/>
      <c r="EY162" s="136"/>
      <c r="EZ162" s="136"/>
      <c r="FA162" s="136"/>
      <c r="FB162" s="136"/>
      <c r="FC162" s="136"/>
      <c r="FD162" s="136"/>
      <c r="FE162" s="136"/>
      <c r="FF162" s="136"/>
      <c r="FG162" s="136"/>
      <c r="FH162" s="136"/>
      <c r="FI162" s="136"/>
      <c r="FJ162" s="136"/>
      <c r="FK162" s="136"/>
      <c r="FL162" s="136"/>
      <c r="FM162" s="136"/>
      <c r="FN162" s="136"/>
      <c r="FO162" s="136"/>
      <c r="FP162" s="136"/>
      <c r="FQ162" s="136"/>
      <c r="FR162" s="136"/>
      <c r="FS162" s="136"/>
      <c r="FT162" s="136"/>
      <c r="FU162" s="136"/>
      <c r="FV162" s="136"/>
      <c r="FW162" s="136"/>
      <c r="FX162" s="136"/>
      <c r="FY162" s="136"/>
      <c r="FZ162" s="136"/>
      <c r="GA162" s="136"/>
      <c r="GB162" s="136"/>
      <c r="GC162" s="136"/>
      <c r="GD162" s="136"/>
      <c r="GE162" s="136"/>
      <c r="GF162" s="136"/>
      <c r="GG162" s="136"/>
      <c r="GH162" s="136"/>
      <c r="GI162" s="136"/>
      <c r="GJ162" s="136"/>
      <c r="GK162" s="136"/>
      <c r="GL162" s="136"/>
      <c r="GM162" s="136"/>
      <c r="GN162" s="136"/>
      <c r="GO162" s="136"/>
      <c r="GP162" s="136"/>
      <c r="GQ162" s="136"/>
      <c r="GR162" s="136"/>
      <c r="GS162" s="136"/>
      <c r="GT162" s="136"/>
      <c r="GU162" s="136"/>
      <c r="GV162" s="136"/>
      <c r="GW162" s="136"/>
      <c r="GX162" s="136"/>
      <c r="GY162" s="136"/>
      <c r="GZ162" s="136"/>
      <c r="HA162" s="136"/>
      <c r="HB162" s="136"/>
      <c r="HC162" s="136"/>
      <c r="HD162" s="136"/>
      <c r="HE162" s="136"/>
      <c r="HF162" s="136"/>
      <c r="HG162" s="136"/>
      <c r="HH162" s="136"/>
      <c r="HI162" s="136"/>
      <c r="HJ162" s="136"/>
      <c r="HK162" s="136"/>
      <c r="HL162" s="136"/>
      <c r="HM162" s="136"/>
      <c r="HN162" s="136"/>
      <c r="HO162" s="136"/>
      <c r="HP162" s="136"/>
      <c r="HQ162" s="136"/>
      <c r="HR162" s="136"/>
      <c r="HS162" s="136"/>
      <c r="HT162" s="136"/>
      <c r="HU162" s="136"/>
      <c r="HV162" s="136"/>
      <c r="HW162" s="136"/>
      <c r="HX162" s="136"/>
      <c r="HY162" s="136"/>
      <c r="HZ162" s="136"/>
      <c r="IA162" s="136"/>
      <c r="IB162" s="136"/>
      <c r="IC162" s="136"/>
      <c r="ID162" s="136"/>
      <c r="IE162" s="136"/>
      <c r="IF162" s="136"/>
      <c r="IG162" s="136"/>
      <c r="IH162" s="136"/>
      <c r="II162" s="136"/>
      <c r="IJ162" s="136"/>
      <c r="IK162" s="136"/>
      <c r="IL162" s="136"/>
      <c r="IM162" s="136"/>
      <c r="IN162" s="136"/>
      <c r="IO162" s="136"/>
      <c r="IP162" s="136"/>
      <c r="IQ162" s="136"/>
      <c r="IR162" s="136"/>
      <c r="IS162" s="136"/>
      <c r="IT162" s="136"/>
      <c r="IU162" s="136"/>
    </row>
    <row r="163" spans="1:255" ht="92.25" customHeight="1" x14ac:dyDescent="0.2">
      <c r="A163" s="242" t="str">
        <f>'HECVAT - Full'!A163</f>
        <v>DCTR-05</v>
      </c>
      <c r="B163" s="242" t="str">
        <f>VLOOKUP(A163,'HECVAT - Full'!A$24:B$312,2,FALSE)</f>
        <v>Are your servers separated from other companies via a physical barrier, such as a cage or hardened walls?</v>
      </c>
      <c r="C163" s="245" t="s">
        <v>2865</v>
      </c>
      <c r="D163" s="250" t="s">
        <v>2866</v>
      </c>
      <c r="E163" s="136"/>
      <c r="F163" s="136"/>
      <c r="G163" s="136"/>
      <c r="H163" s="136"/>
      <c r="I163" s="136"/>
      <c r="J163" s="136"/>
      <c r="K163" s="136"/>
      <c r="L163" s="136"/>
      <c r="M163" s="136"/>
      <c r="N163" s="136"/>
      <c r="O163" s="136"/>
      <c r="P163" s="136"/>
      <c r="Q163" s="136"/>
      <c r="R163" s="136"/>
      <c r="S163" s="136"/>
      <c r="T163" s="136"/>
      <c r="U163" s="136"/>
      <c r="V163" s="136"/>
      <c r="W163" s="136"/>
      <c r="X163" s="136"/>
      <c r="Y163" s="136"/>
      <c r="Z163" s="136"/>
      <c r="AA163" s="136"/>
      <c r="AB163" s="136"/>
      <c r="AC163" s="136"/>
      <c r="AD163" s="136"/>
      <c r="AE163" s="136"/>
      <c r="AF163" s="136"/>
      <c r="AG163" s="136"/>
      <c r="AH163" s="136"/>
      <c r="AI163" s="136"/>
      <c r="AJ163" s="136"/>
      <c r="AK163" s="136"/>
      <c r="AL163" s="136"/>
      <c r="AM163" s="136"/>
      <c r="AN163" s="136"/>
      <c r="AO163" s="136"/>
      <c r="AP163" s="136"/>
      <c r="AQ163" s="136"/>
      <c r="AR163" s="136"/>
      <c r="AS163" s="136"/>
      <c r="AT163" s="136"/>
      <c r="AU163" s="136"/>
      <c r="AV163" s="136"/>
      <c r="AW163" s="136"/>
      <c r="AX163" s="136"/>
      <c r="AY163" s="136"/>
      <c r="AZ163" s="136"/>
      <c r="BA163" s="136"/>
      <c r="BB163" s="136"/>
      <c r="BC163" s="136"/>
      <c r="BD163" s="136"/>
      <c r="BE163" s="136"/>
      <c r="BF163" s="136"/>
      <c r="BG163" s="136"/>
      <c r="BH163" s="136"/>
      <c r="BI163" s="136"/>
      <c r="BJ163" s="136"/>
      <c r="BK163" s="136"/>
      <c r="BL163" s="136"/>
      <c r="BM163" s="136"/>
      <c r="BN163" s="136"/>
      <c r="BO163" s="136"/>
      <c r="BP163" s="136"/>
      <c r="BQ163" s="136"/>
      <c r="BR163" s="136"/>
      <c r="BS163" s="136"/>
      <c r="BT163" s="136"/>
      <c r="BU163" s="136"/>
      <c r="BV163" s="136"/>
      <c r="BW163" s="136"/>
      <c r="BX163" s="136"/>
      <c r="BY163" s="136"/>
      <c r="BZ163" s="136"/>
      <c r="CA163" s="136"/>
      <c r="CB163" s="136"/>
      <c r="CC163" s="136"/>
      <c r="CD163" s="136"/>
      <c r="CE163" s="136"/>
      <c r="CF163" s="136"/>
      <c r="CG163" s="136"/>
      <c r="CH163" s="136"/>
      <c r="CI163" s="136"/>
      <c r="CJ163" s="136"/>
      <c r="CK163" s="136"/>
      <c r="CL163" s="136"/>
      <c r="CM163" s="136"/>
      <c r="CN163" s="136"/>
      <c r="CO163" s="136"/>
      <c r="CP163" s="136"/>
      <c r="CQ163" s="136"/>
      <c r="CR163" s="136"/>
      <c r="CS163" s="136"/>
      <c r="CT163" s="136"/>
      <c r="CU163" s="136"/>
      <c r="CV163" s="136"/>
      <c r="CW163" s="136"/>
      <c r="CX163" s="136"/>
      <c r="CY163" s="136"/>
      <c r="CZ163" s="136"/>
      <c r="DA163" s="136"/>
      <c r="DB163" s="136"/>
      <c r="DC163" s="136"/>
      <c r="DD163" s="136"/>
      <c r="DE163" s="136"/>
      <c r="DF163" s="136"/>
      <c r="DG163" s="136"/>
      <c r="DH163" s="136"/>
      <c r="DI163" s="136"/>
      <c r="DJ163" s="136"/>
      <c r="DK163" s="136"/>
      <c r="DL163" s="136"/>
      <c r="DM163" s="136"/>
      <c r="DN163" s="136"/>
      <c r="DO163" s="136"/>
      <c r="DP163" s="136"/>
      <c r="DQ163" s="136"/>
      <c r="DR163" s="136"/>
      <c r="DS163" s="136"/>
      <c r="DT163" s="136"/>
      <c r="DU163" s="136"/>
      <c r="DV163" s="136"/>
      <c r="DW163" s="136"/>
      <c r="DX163" s="136"/>
      <c r="DY163" s="136"/>
      <c r="DZ163" s="136"/>
      <c r="EA163" s="136"/>
      <c r="EB163" s="136"/>
      <c r="EC163" s="136"/>
      <c r="ED163" s="136"/>
      <c r="EE163" s="136"/>
      <c r="EF163" s="136"/>
      <c r="EG163" s="136"/>
      <c r="EH163" s="136"/>
      <c r="EI163" s="136"/>
      <c r="EJ163" s="136"/>
      <c r="EK163" s="136"/>
      <c r="EL163" s="136"/>
      <c r="EM163" s="136"/>
      <c r="EN163" s="136"/>
      <c r="EO163" s="136"/>
      <c r="EP163" s="136"/>
      <c r="EQ163" s="136"/>
      <c r="ER163" s="136"/>
      <c r="ES163" s="136"/>
      <c r="ET163" s="136"/>
      <c r="EU163" s="136"/>
      <c r="EV163" s="136"/>
      <c r="EW163" s="136"/>
      <c r="EX163" s="136"/>
      <c r="EY163" s="136"/>
      <c r="EZ163" s="136"/>
      <c r="FA163" s="136"/>
      <c r="FB163" s="136"/>
      <c r="FC163" s="136"/>
      <c r="FD163" s="136"/>
      <c r="FE163" s="136"/>
      <c r="FF163" s="136"/>
      <c r="FG163" s="136"/>
      <c r="FH163" s="136"/>
      <c r="FI163" s="136"/>
      <c r="FJ163" s="136"/>
      <c r="FK163" s="136"/>
      <c r="FL163" s="136"/>
      <c r="FM163" s="136"/>
      <c r="FN163" s="136"/>
      <c r="FO163" s="136"/>
      <c r="FP163" s="136"/>
      <c r="FQ163" s="136"/>
      <c r="FR163" s="136"/>
      <c r="FS163" s="136"/>
      <c r="FT163" s="136"/>
      <c r="FU163" s="136"/>
      <c r="FV163" s="136"/>
      <c r="FW163" s="136"/>
      <c r="FX163" s="136"/>
      <c r="FY163" s="136"/>
      <c r="FZ163" s="136"/>
      <c r="GA163" s="136"/>
      <c r="GB163" s="136"/>
      <c r="GC163" s="136"/>
      <c r="GD163" s="136"/>
      <c r="GE163" s="136"/>
      <c r="GF163" s="136"/>
      <c r="GG163" s="136"/>
      <c r="GH163" s="136"/>
      <c r="GI163" s="136"/>
      <c r="GJ163" s="136"/>
      <c r="GK163" s="136"/>
      <c r="GL163" s="136"/>
      <c r="GM163" s="136"/>
      <c r="GN163" s="136"/>
      <c r="GO163" s="136"/>
      <c r="GP163" s="136"/>
      <c r="GQ163" s="136"/>
      <c r="GR163" s="136"/>
      <c r="GS163" s="136"/>
      <c r="GT163" s="136"/>
      <c r="GU163" s="136"/>
      <c r="GV163" s="136"/>
      <c r="GW163" s="136"/>
      <c r="GX163" s="136"/>
      <c r="GY163" s="136"/>
      <c r="GZ163" s="136"/>
      <c r="HA163" s="136"/>
      <c r="HB163" s="136"/>
      <c r="HC163" s="136"/>
      <c r="HD163" s="136"/>
      <c r="HE163" s="136"/>
      <c r="HF163" s="136"/>
      <c r="HG163" s="136"/>
      <c r="HH163" s="136"/>
      <c r="HI163" s="136"/>
      <c r="HJ163" s="136"/>
      <c r="HK163" s="136"/>
      <c r="HL163" s="136"/>
      <c r="HM163" s="136"/>
      <c r="HN163" s="136"/>
      <c r="HO163" s="136"/>
      <c r="HP163" s="136"/>
      <c r="HQ163" s="136"/>
      <c r="HR163" s="136"/>
      <c r="HS163" s="136"/>
      <c r="HT163" s="136"/>
      <c r="HU163" s="136"/>
      <c r="HV163" s="136"/>
      <c r="HW163" s="136"/>
      <c r="HX163" s="136"/>
      <c r="HY163" s="136"/>
      <c r="HZ163" s="136"/>
      <c r="IA163" s="136"/>
      <c r="IB163" s="136"/>
      <c r="IC163" s="136"/>
      <c r="ID163" s="136"/>
      <c r="IE163" s="136"/>
      <c r="IF163" s="136"/>
      <c r="IG163" s="136"/>
      <c r="IH163" s="136"/>
      <c r="II163" s="136"/>
      <c r="IJ163" s="136"/>
      <c r="IK163" s="136"/>
      <c r="IL163" s="136"/>
      <c r="IM163" s="136"/>
      <c r="IN163" s="136"/>
      <c r="IO163" s="136"/>
      <c r="IP163" s="136"/>
      <c r="IQ163" s="136"/>
      <c r="IR163" s="136"/>
      <c r="IS163" s="136"/>
      <c r="IT163" s="136"/>
      <c r="IU163" s="136"/>
    </row>
    <row r="164" spans="1:255" ht="92.25" customHeight="1" x14ac:dyDescent="0.2">
      <c r="A164" s="242" t="str">
        <f>'HECVAT - Full'!A164</f>
        <v>DCTR-06</v>
      </c>
      <c r="B164" s="242" t="str">
        <f>VLOOKUP(A164,'HECVAT - Full'!A$24:B$312,2,FALSE)</f>
        <v>Does a physical barrier fully enclose the physical space preventing unauthorized physical contact with any of your devices?</v>
      </c>
      <c r="C164" s="245" t="s">
        <v>2865</v>
      </c>
      <c r="D164" s="250" t="s">
        <v>2866</v>
      </c>
      <c r="E164" s="136"/>
      <c r="F164" s="136"/>
      <c r="G164" s="136"/>
      <c r="H164" s="136"/>
      <c r="I164" s="136"/>
      <c r="J164" s="136"/>
      <c r="K164" s="136"/>
      <c r="L164" s="136"/>
      <c r="M164" s="136"/>
      <c r="N164" s="136"/>
      <c r="O164" s="136"/>
      <c r="P164" s="136"/>
      <c r="Q164" s="136"/>
      <c r="R164" s="136"/>
      <c r="S164" s="136"/>
      <c r="T164" s="136"/>
      <c r="U164" s="136"/>
      <c r="V164" s="136"/>
      <c r="W164" s="136"/>
      <c r="X164" s="136"/>
      <c r="Y164" s="136"/>
      <c r="Z164" s="136"/>
      <c r="AA164" s="136"/>
      <c r="AB164" s="136"/>
      <c r="AC164" s="136"/>
      <c r="AD164" s="136"/>
      <c r="AE164" s="136"/>
      <c r="AF164" s="136"/>
      <c r="AG164" s="136"/>
      <c r="AH164" s="136"/>
      <c r="AI164" s="136"/>
      <c r="AJ164" s="136"/>
      <c r="AK164" s="136"/>
      <c r="AL164" s="136"/>
      <c r="AM164" s="136"/>
      <c r="AN164" s="136"/>
      <c r="AO164" s="136"/>
      <c r="AP164" s="136"/>
      <c r="AQ164" s="136"/>
      <c r="AR164" s="136"/>
      <c r="AS164" s="136"/>
      <c r="AT164" s="136"/>
      <c r="AU164" s="136"/>
      <c r="AV164" s="136"/>
      <c r="AW164" s="136"/>
      <c r="AX164" s="136"/>
      <c r="AY164" s="136"/>
      <c r="AZ164" s="136"/>
      <c r="BA164" s="136"/>
      <c r="BB164" s="136"/>
      <c r="BC164" s="136"/>
      <c r="BD164" s="136"/>
      <c r="BE164" s="136"/>
      <c r="BF164" s="136"/>
      <c r="BG164" s="136"/>
      <c r="BH164" s="136"/>
      <c r="BI164" s="136"/>
      <c r="BJ164" s="136"/>
      <c r="BK164" s="136"/>
      <c r="BL164" s="136"/>
      <c r="BM164" s="136"/>
      <c r="BN164" s="136"/>
      <c r="BO164" s="136"/>
      <c r="BP164" s="136"/>
      <c r="BQ164" s="136"/>
      <c r="BR164" s="136"/>
      <c r="BS164" s="136"/>
      <c r="BT164" s="136"/>
      <c r="BU164" s="136"/>
      <c r="BV164" s="136"/>
      <c r="BW164" s="136"/>
      <c r="BX164" s="136"/>
      <c r="BY164" s="136"/>
      <c r="BZ164" s="136"/>
      <c r="CA164" s="136"/>
      <c r="CB164" s="136"/>
      <c r="CC164" s="136"/>
      <c r="CD164" s="136"/>
      <c r="CE164" s="136"/>
      <c r="CF164" s="136"/>
      <c r="CG164" s="136"/>
      <c r="CH164" s="136"/>
      <c r="CI164" s="136"/>
      <c r="CJ164" s="136"/>
      <c r="CK164" s="136"/>
      <c r="CL164" s="136"/>
      <c r="CM164" s="136"/>
      <c r="CN164" s="136"/>
      <c r="CO164" s="136"/>
      <c r="CP164" s="136"/>
      <c r="CQ164" s="136"/>
      <c r="CR164" s="136"/>
      <c r="CS164" s="136"/>
      <c r="CT164" s="136"/>
      <c r="CU164" s="136"/>
      <c r="CV164" s="136"/>
      <c r="CW164" s="136"/>
      <c r="CX164" s="136"/>
      <c r="CY164" s="136"/>
      <c r="CZ164" s="136"/>
      <c r="DA164" s="136"/>
      <c r="DB164" s="136"/>
      <c r="DC164" s="136"/>
      <c r="DD164" s="136"/>
      <c r="DE164" s="136"/>
      <c r="DF164" s="136"/>
      <c r="DG164" s="136"/>
      <c r="DH164" s="136"/>
      <c r="DI164" s="136"/>
      <c r="DJ164" s="136"/>
      <c r="DK164" s="136"/>
      <c r="DL164" s="136"/>
      <c r="DM164" s="136"/>
      <c r="DN164" s="136"/>
      <c r="DO164" s="136"/>
      <c r="DP164" s="136"/>
      <c r="DQ164" s="136"/>
      <c r="DR164" s="136"/>
      <c r="DS164" s="136"/>
      <c r="DT164" s="136"/>
      <c r="DU164" s="136"/>
      <c r="DV164" s="136"/>
      <c r="DW164" s="136"/>
      <c r="DX164" s="136"/>
      <c r="DY164" s="136"/>
      <c r="DZ164" s="136"/>
      <c r="EA164" s="136"/>
      <c r="EB164" s="136"/>
      <c r="EC164" s="136"/>
      <c r="ED164" s="136"/>
      <c r="EE164" s="136"/>
      <c r="EF164" s="136"/>
      <c r="EG164" s="136"/>
      <c r="EH164" s="136"/>
      <c r="EI164" s="136"/>
      <c r="EJ164" s="136"/>
      <c r="EK164" s="136"/>
      <c r="EL164" s="136"/>
      <c r="EM164" s="136"/>
      <c r="EN164" s="136"/>
      <c r="EO164" s="136"/>
      <c r="EP164" s="136"/>
      <c r="EQ164" s="136"/>
      <c r="ER164" s="136"/>
      <c r="ES164" s="136"/>
      <c r="ET164" s="136"/>
      <c r="EU164" s="136"/>
      <c r="EV164" s="136"/>
      <c r="EW164" s="136"/>
      <c r="EX164" s="136"/>
      <c r="EY164" s="136"/>
      <c r="EZ164" s="136"/>
      <c r="FA164" s="136"/>
      <c r="FB164" s="136"/>
      <c r="FC164" s="136"/>
      <c r="FD164" s="136"/>
      <c r="FE164" s="136"/>
      <c r="FF164" s="136"/>
      <c r="FG164" s="136"/>
      <c r="FH164" s="136"/>
      <c r="FI164" s="136"/>
      <c r="FJ164" s="136"/>
      <c r="FK164" s="136"/>
      <c r="FL164" s="136"/>
      <c r="FM164" s="136"/>
      <c r="FN164" s="136"/>
      <c r="FO164" s="136"/>
      <c r="FP164" s="136"/>
      <c r="FQ164" s="136"/>
      <c r="FR164" s="136"/>
      <c r="FS164" s="136"/>
      <c r="FT164" s="136"/>
      <c r="FU164" s="136"/>
      <c r="FV164" s="136"/>
      <c r="FW164" s="136"/>
      <c r="FX164" s="136"/>
      <c r="FY164" s="136"/>
      <c r="FZ164" s="136"/>
      <c r="GA164" s="136"/>
      <c r="GB164" s="136"/>
      <c r="GC164" s="136"/>
      <c r="GD164" s="136"/>
      <c r="GE164" s="136"/>
      <c r="GF164" s="136"/>
      <c r="GG164" s="136"/>
      <c r="GH164" s="136"/>
      <c r="GI164" s="136"/>
      <c r="GJ164" s="136"/>
      <c r="GK164" s="136"/>
      <c r="GL164" s="136"/>
      <c r="GM164" s="136"/>
      <c r="GN164" s="136"/>
      <c r="GO164" s="136"/>
      <c r="GP164" s="136"/>
      <c r="GQ164" s="136"/>
      <c r="GR164" s="136"/>
      <c r="GS164" s="136"/>
      <c r="GT164" s="136"/>
      <c r="GU164" s="136"/>
      <c r="GV164" s="136"/>
      <c r="GW164" s="136"/>
      <c r="GX164" s="136"/>
      <c r="GY164" s="136"/>
      <c r="GZ164" s="136"/>
      <c r="HA164" s="136"/>
      <c r="HB164" s="136"/>
      <c r="HC164" s="136"/>
      <c r="HD164" s="136"/>
      <c r="HE164" s="136"/>
      <c r="HF164" s="136"/>
      <c r="HG164" s="136"/>
      <c r="HH164" s="136"/>
      <c r="HI164" s="136"/>
      <c r="HJ164" s="136"/>
      <c r="HK164" s="136"/>
      <c r="HL164" s="136"/>
      <c r="HM164" s="136"/>
      <c r="HN164" s="136"/>
      <c r="HO164" s="136"/>
      <c r="HP164" s="136"/>
      <c r="HQ164" s="136"/>
      <c r="HR164" s="136"/>
      <c r="HS164" s="136"/>
      <c r="HT164" s="136"/>
      <c r="HU164" s="136"/>
      <c r="HV164" s="136"/>
      <c r="HW164" s="136"/>
      <c r="HX164" s="136"/>
      <c r="HY164" s="136"/>
      <c r="HZ164" s="136"/>
      <c r="IA164" s="136"/>
      <c r="IB164" s="136"/>
      <c r="IC164" s="136"/>
      <c r="ID164" s="136"/>
      <c r="IE164" s="136"/>
      <c r="IF164" s="136"/>
      <c r="IG164" s="136"/>
      <c r="IH164" s="136"/>
      <c r="II164" s="136"/>
      <c r="IJ164" s="136"/>
      <c r="IK164" s="136"/>
      <c r="IL164" s="136"/>
      <c r="IM164" s="136"/>
      <c r="IN164" s="136"/>
      <c r="IO164" s="136"/>
      <c r="IP164" s="136"/>
      <c r="IQ164" s="136"/>
      <c r="IR164" s="136"/>
      <c r="IS164" s="136"/>
      <c r="IT164" s="136"/>
      <c r="IU164" s="136"/>
    </row>
    <row r="165" spans="1:255" ht="105" x14ac:dyDescent="0.2">
      <c r="A165" s="242" t="str">
        <f>'HECVAT - Full'!A165</f>
        <v>DCTR-07</v>
      </c>
      <c r="B165" s="242" t="str">
        <f>VLOOKUP(A165,'HECVAT - Full'!A$24:B$312,2,FALSE)</f>
        <v>Select the option that best describes the network segment that servers are connected to.</v>
      </c>
      <c r="C165" s="243" t="s">
        <v>2867</v>
      </c>
      <c r="D165" s="253" t="s">
        <v>2868</v>
      </c>
      <c r="E165" s="136"/>
      <c r="F165" s="136"/>
      <c r="G165" s="136"/>
      <c r="H165" s="136"/>
      <c r="I165" s="136"/>
      <c r="J165" s="136"/>
      <c r="K165" s="136"/>
      <c r="L165" s="136"/>
      <c r="M165" s="136"/>
      <c r="N165" s="136"/>
      <c r="O165" s="136"/>
      <c r="P165" s="136"/>
      <c r="Q165" s="136"/>
      <c r="R165" s="136"/>
      <c r="S165" s="136"/>
      <c r="T165" s="136"/>
      <c r="U165" s="136"/>
      <c r="V165" s="136"/>
      <c r="W165" s="136"/>
      <c r="X165" s="136"/>
      <c r="Y165" s="136"/>
      <c r="Z165" s="136"/>
      <c r="AA165" s="136"/>
      <c r="AB165" s="136"/>
      <c r="AC165" s="136"/>
      <c r="AD165" s="136"/>
      <c r="AE165" s="136"/>
      <c r="AF165" s="136"/>
      <c r="AG165" s="136"/>
      <c r="AH165" s="136"/>
      <c r="AI165" s="136"/>
      <c r="AJ165" s="136"/>
      <c r="AK165" s="136"/>
      <c r="AL165" s="136"/>
      <c r="AM165" s="136"/>
      <c r="AN165" s="136"/>
      <c r="AO165" s="136"/>
      <c r="AP165" s="136"/>
      <c r="AQ165" s="136"/>
      <c r="AR165" s="136"/>
      <c r="AS165" s="136"/>
      <c r="AT165" s="136"/>
      <c r="AU165" s="136"/>
      <c r="AV165" s="136"/>
      <c r="AW165" s="136"/>
      <c r="AX165" s="136"/>
      <c r="AY165" s="136"/>
      <c r="AZ165" s="136"/>
      <c r="BA165" s="136"/>
      <c r="BB165" s="136"/>
      <c r="BC165" s="136"/>
      <c r="BD165" s="136"/>
      <c r="BE165" s="136"/>
      <c r="BF165" s="136"/>
      <c r="BG165" s="136"/>
      <c r="BH165" s="136"/>
      <c r="BI165" s="136"/>
      <c r="BJ165" s="136"/>
      <c r="BK165" s="136"/>
      <c r="BL165" s="136"/>
      <c r="BM165" s="136"/>
      <c r="BN165" s="136"/>
      <c r="BO165" s="136"/>
      <c r="BP165" s="136"/>
      <c r="BQ165" s="136"/>
      <c r="BR165" s="136"/>
      <c r="BS165" s="136"/>
      <c r="BT165" s="136"/>
      <c r="BU165" s="136"/>
      <c r="BV165" s="136"/>
      <c r="BW165" s="136"/>
      <c r="BX165" s="136"/>
      <c r="BY165" s="136"/>
      <c r="BZ165" s="136"/>
      <c r="CA165" s="136"/>
      <c r="CB165" s="136"/>
      <c r="CC165" s="136"/>
      <c r="CD165" s="136"/>
      <c r="CE165" s="136"/>
      <c r="CF165" s="136"/>
      <c r="CG165" s="136"/>
      <c r="CH165" s="136"/>
      <c r="CI165" s="136"/>
      <c r="CJ165" s="136"/>
      <c r="CK165" s="136"/>
      <c r="CL165" s="136"/>
      <c r="CM165" s="136"/>
      <c r="CN165" s="136"/>
      <c r="CO165" s="136"/>
      <c r="CP165" s="136"/>
      <c r="CQ165" s="136"/>
      <c r="CR165" s="136"/>
      <c r="CS165" s="136"/>
      <c r="CT165" s="136"/>
      <c r="CU165" s="136"/>
      <c r="CV165" s="136"/>
      <c r="CW165" s="136"/>
      <c r="CX165" s="136"/>
      <c r="CY165" s="136"/>
      <c r="CZ165" s="136"/>
      <c r="DA165" s="136"/>
      <c r="DB165" s="136"/>
      <c r="DC165" s="136"/>
      <c r="DD165" s="136"/>
      <c r="DE165" s="136"/>
      <c r="DF165" s="136"/>
      <c r="DG165" s="136"/>
      <c r="DH165" s="136"/>
      <c r="DI165" s="136"/>
      <c r="DJ165" s="136"/>
      <c r="DK165" s="136"/>
      <c r="DL165" s="136"/>
      <c r="DM165" s="136"/>
      <c r="DN165" s="136"/>
      <c r="DO165" s="136"/>
      <c r="DP165" s="136"/>
      <c r="DQ165" s="136"/>
      <c r="DR165" s="136"/>
      <c r="DS165" s="136"/>
      <c r="DT165" s="136"/>
      <c r="DU165" s="136"/>
      <c r="DV165" s="136"/>
      <c r="DW165" s="136"/>
      <c r="DX165" s="136"/>
      <c r="DY165" s="136"/>
      <c r="DZ165" s="136"/>
      <c r="EA165" s="136"/>
      <c r="EB165" s="136"/>
      <c r="EC165" s="136"/>
      <c r="ED165" s="136"/>
      <c r="EE165" s="136"/>
      <c r="EF165" s="136"/>
      <c r="EG165" s="136"/>
      <c r="EH165" s="136"/>
      <c r="EI165" s="136"/>
      <c r="EJ165" s="136"/>
      <c r="EK165" s="136"/>
      <c r="EL165" s="136"/>
      <c r="EM165" s="136"/>
      <c r="EN165" s="136"/>
      <c r="EO165" s="136"/>
      <c r="EP165" s="136"/>
      <c r="EQ165" s="136"/>
      <c r="ER165" s="136"/>
      <c r="ES165" s="136"/>
      <c r="ET165" s="136"/>
      <c r="EU165" s="136"/>
      <c r="EV165" s="136"/>
      <c r="EW165" s="136"/>
      <c r="EX165" s="136"/>
      <c r="EY165" s="136"/>
      <c r="EZ165" s="136"/>
      <c r="FA165" s="136"/>
      <c r="FB165" s="136"/>
      <c r="FC165" s="136"/>
      <c r="FD165" s="136"/>
      <c r="FE165" s="136"/>
      <c r="FF165" s="136"/>
      <c r="FG165" s="136"/>
      <c r="FH165" s="136"/>
      <c r="FI165" s="136"/>
      <c r="FJ165" s="136"/>
      <c r="FK165" s="136"/>
      <c r="FL165" s="136"/>
      <c r="FM165" s="136"/>
      <c r="FN165" s="136"/>
      <c r="FO165" s="136"/>
      <c r="FP165" s="136"/>
      <c r="FQ165" s="136"/>
      <c r="FR165" s="136"/>
      <c r="FS165" s="136"/>
      <c r="FT165" s="136"/>
      <c r="FU165" s="136"/>
      <c r="FV165" s="136"/>
      <c r="FW165" s="136"/>
      <c r="FX165" s="136"/>
      <c r="FY165" s="136"/>
      <c r="FZ165" s="136"/>
      <c r="GA165" s="136"/>
      <c r="GB165" s="136"/>
      <c r="GC165" s="136"/>
      <c r="GD165" s="136"/>
      <c r="GE165" s="136"/>
      <c r="GF165" s="136"/>
      <c r="GG165" s="136"/>
      <c r="GH165" s="136"/>
      <c r="GI165" s="136"/>
      <c r="GJ165" s="136"/>
      <c r="GK165" s="136"/>
      <c r="GL165" s="136"/>
      <c r="GM165" s="136"/>
      <c r="GN165" s="136"/>
      <c r="GO165" s="136"/>
      <c r="GP165" s="136"/>
      <c r="GQ165" s="136"/>
      <c r="GR165" s="136"/>
      <c r="GS165" s="136"/>
      <c r="GT165" s="136"/>
      <c r="GU165" s="136"/>
      <c r="GV165" s="136"/>
      <c r="GW165" s="136"/>
      <c r="GX165" s="136"/>
      <c r="GY165" s="136"/>
      <c r="GZ165" s="136"/>
      <c r="HA165" s="136"/>
      <c r="HB165" s="136"/>
      <c r="HC165" s="136"/>
      <c r="HD165" s="136"/>
      <c r="HE165" s="136"/>
      <c r="HF165" s="136"/>
      <c r="HG165" s="136"/>
      <c r="HH165" s="136"/>
      <c r="HI165" s="136"/>
      <c r="HJ165" s="136"/>
      <c r="HK165" s="136"/>
      <c r="HL165" s="136"/>
      <c r="HM165" s="136"/>
      <c r="HN165" s="136"/>
      <c r="HO165" s="136"/>
      <c r="HP165" s="136"/>
      <c r="HQ165" s="136"/>
      <c r="HR165" s="136"/>
      <c r="HS165" s="136"/>
      <c r="HT165" s="136"/>
      <c r="HU165" s="136"/>
      <c r="HV165" s="136"/>
      <c r="HW165" s="136"/>
      <c r="HX165" s="136"/>
      <c r="HY165" s="136"/>
      <c r="HZ165" s="136"/>
      <c r="IA165" s="136"/>
      <c r="IB165" s="136"/>
      <c r="IC165" s="136"/>
      <c r="ID165" s="136"/>
      <c r="IE165" s="136"/>
      <c r="IF165" s="136"/>
      <c r="IG165" s="136"/>
      <c r="IH165" s="136"/>
      <c r="II165" s="136"/>
      <c r="IJ165" s="136"/>
      <c r="IK165" s="136"/>
      <c r="IL165" s="136"/>
      <c r="IM165" s="136"/>
      <c r="IN165" s="136"/>
      <c r="IO165" s="136"/>
      <c r="IP165" s="136"/>
      <c r="IQ165" s="136"/>
      <c r="IR165" s="136"/>
      <c r="IS165" s="136"/>
      <c r="IT165" s="136"/>
      <c r="IU165" s="136"/>
    </row>
    <row r="166" spans="1:255" ht="90" x14ac:dyDescent="0.2">
      <c r="A166" s="242" t="str">
        <f>'HECVAT - Full'!A166</f>
        <v>DCTR-08</v>
      </c>
      <c r="B166" s="242" t="str">
        <f>VLOOKUP(A166,'HECVAT - Full'!A$24:B$312,2,FALSE)</f>
        <v>Does this data center operate outside of the Institution's Data Zone?</v>
      </c>
      <c r="C166" s="245" t="s">
        <v>2845</v>
      </c>
      <c r="D166" s="250" t="s">
        <v>2869</v>
      </c>
      <c r="E166" s="136"/>
      <c r="F166" s="136"/>
      <c r="G166" s="136"/>
      <c r="H166" s="136"/>
      <c r="I166" s="136"/>
      <c r="J166" s="136"/>
      <c r="K166" s="136"/>
      <c r="L166" s="136"/>
      <c r="M166" s="136"/>
      <c r="N166" s="136"/>
      <c r="O166" s="136"/>
      <c r="P166" s="136"/>
      <c r="Q166" s="136"/>
      <c r="R166" s="136"/>
      <c r="S166" s="136"/>
      <c r="T166" s="136"/>
      <c r="U166" s="136"/>
      <c r="V166" s="136"/>
      <c r="W166" s="136"/>
      <c r="X166" s="136"/>
      <c r="Y166" s="136"/>
      <c r="Z166" s="136"/>
      <c r="AA166" s="136"/>
      <c r="AB166" s="136"/>
      <c r="AC166" s="136"/>
      <c r="AD166" s="136"/>
      <c r="AE166" s="136"/>
      <c r="AF166" s="136"/>
      <c r="AG166" s="136"/>
      <c r="AH166" s="136"/>
      <c r="AI166" s="136"/>
      <c r="AJ166" s="136"/>
      <c r="AK166" s="136"/>
      <c r="AL166" s="136"/>
      <c r="AM166" s="136"/>
      <c r="AN166" s="136"/>
      <c r="AO166" s="136"/>
      <c r="AP166" s="136"/>
      <c r="AQ166" s="136"/>
      <c r="AR166" s="136"/>
      <c r="AS166" s="136"/>
      <c r="AT166" s="136"/>
      <c r="AU166" s="136"/>
      <c r="AV166" s="136"/>
      <c r="AW166" s="136"/>
      <c r="AX166" s="136"/>
      <c r="AY166" s="136"/>
      <c r="AZ166" s="136"/>
      <c r="BA166" s="136"/>
      <c r="BB166" s="136"/>
      <c r="BC166" s="136"/>
      <c r="BD166" s="136"/>
      <c r="BE166" s="136"/>
      <c r="BF166" s="136"/>
      <c r="BG166" s="136"/>
      <c r="BH166" s="136"/>
      <c r="BI166" s="136"/>
      <c r="BJ166" s="136"/>
      <c r="BK166" s="136"/>
      <c r="BL166" s="136"/>
      <c r="BM166" s="136"/>
      <c r="BN166" s="136"/>
      <c r="BO166" s="136"/>
      <c r="BP166" s="136"/>
      <c r="BQ166" s="136"/>
      <c r="BR166" s="136"/>
      <c r="BS166" s="136"/>
      <c r="BT166" s="136"/>
      <c r="BU166" s="136"/>
      <c r="BV166" s="136"/>
      <c r="BW166" s="136"/>
      <c r="BX166" s="136"/>
      <c r="BY166" s="136"/>
      <c r="BZ166" s="136"/>
      <c r="CA166" s="136"/>
      <c r="CB166" s="136"/>
      <c r="CC166" s="136"/>
      <c r="CD166" s="136"/>
      <c r="CE166" s="136"/>
      <c r="CF166" s="136"/>
      <c r="CG166" s="136"/>
      <c r="CH166" s="136"/>
      <c r="CI166" s="136"/>
      <c r="CJ166" s="136"/>
      <c r="CK166" s="136"/>
      <c r="CL166" s="136"/>
      <c r="CM166" s="136"/>
      <c r="CN166" s="136"/>
      <c r="CO166" s="136"/>
      <c r="CP166" s="136"/>
      <c r="CQ166" s="136"/>
      <c r="CR166" s="136"/>
      <c r="CS166" s="136"/>
      <c r="CT166" s="136"/>
      <c r="CU166" s="136"/>
      <c r="CV166" s="136"/>
      <c r="CW166" s="136"/>
      <c r="CX166" s="136"/>
      <c r="CY166" s="136"/>
      <c r="CZ166" s="136"/>
      <c r="DA166" s="136"/>
      <c r="DB166" s="136"/>
      <c r="DC166" s="136"/>
      <c r="DD166" s="136"/>
      <c r="DE166" s="136"/>
      <c r="DF166" s="136"/>
      <c r="DG166" s="136"/>
      <c r="DH166" s="136"/>
      <c r="DI166" s="136"/>
      <c r="DJ166" s="136"/>
      <c r="DK166" s="136"/>
      <c r="DL166" s="136"/>
      <c r="DM166" s="136"/>
      <c r="DN166" s="136"/>
      <c r="DO166" s="136"/>
      <c r="DP166" s="136"/>
      <c r="DQ166" s="136"/>
      <c r="DR166" s="136"/>
      <c r="DS166" s="136"/>
      <c r="DT166" s="136"/>
      <c r="DU166" s="136"/>
      <c r="DV166" s="136"/>
      <c r="DW166" s="136"/>
      <c r="DX166" s="136"/>
      <c r="DY166" s="136"/>
      <c r="DZ166" s="136"/>
      <c r="EA166" s="136"/>
      <c r="EB166" s="136"/>
      <c r="EC166" s="136"/>
      <c r="ED166" s="136"/>
      <c r="EE166" s="136"/>
      <c r="EF166" s="136"/>
      <c r="EG166" s="136"/>
      <c r="EH166" s="136"/>
      <c r="EI166" s="136"/>
      <c r="EJ166" s="136"/>
      <c r="EK166" s="136"/>
      <c r="EL166" s="136"/>
      <c r="EM166" s="136"/>
      <c r="EN166" s="136"/>
      <c r="EO166" s="136"/>
      <c r="EP166" s="136"/>
      <c r="EQ166" s="136"/>
      <c r="ER166" s="136"/>
      <c r="ES166" s="136"/>
      <c r="ET166" s="136"/>
      <c r="EU166" s="136"/>
      <c r="EV166" s="136"/>
      <c r="EW166" s="136"/>
      <c r="EX166" s="136"/>
      <c r="EY166" s="136"/>
      <c r="EZ166" s="136"/>
      <c r="FA166" s="136"/>
      <c r="FB166" s="136"/>
      <c r="FC166" s="136"/>
      <c r="FD166" s="136"/>
      <c r="FE166" s="136"/>
      <c r="FF166" s="136"/>
      <c r="FG166" s="136"/>
      <c r="FH166" s="136"/>
      <c r="FI166" s="136"/>
      <c r="FJ166" s="136"/>
      <c r="FK166" s="136"/>
      <c r="FL166" s="136"/>
      <c r="FM166" s="136"/>
      <c r="FN166" s="136"/>
      <c r="FO166" s="136"/>
      <c r="FP166" s="136"/>
      <c r="FQ166" s="136"/>
      <c r="FR166" s="136"/>
      <c r="FS166" s="136"/>
      <c r="FT166" s="136"/>
      <c r="FU166" s="136"/>
      <c r="FV166" s="136"/>
      <c r="FW166" s="136"/>
      <c r="FX166" s="136"/>
      <c r="FY166" s="136"/>
      <c r="FZ166" s="136"/>
      <c r="GA166" s="136"/>
      <c r="GB166" s="136"/>
      <c r="GC166" s="136"/>
      <c r="GD166" s="136"/>
      <c r="GE166" s="136"/>
      <c r="GF166" s="136"/>
      <c r="GG166" s="136"/>
      <c r="GH166" s="136"/>
      <c r="GI166" s="136"/>
      <c r="GJ166" s="136"/>
      <c r="GK166" s="136"/>
      <c r="GL166" s="136"/>
      <c r="GM166" s="136"/>
      <c r="GN166" s="136"/>
      <c r="GO166" s="136"/>
      <c r="GP166" s="136"/>
      <c r="GQ166" s="136"/>
      <c r="GR166" s="136"/>
      <c r="GS166" s="136"/>
      <c r="GT166" s="136"/>
      <c r="GU166" s="136"/>
      <c r="GV166" s="136"/>
      <c r="GW166" s="136"/>
      <c r="GX166" s="136"/>
      <c r="GY166" s="136"/>
      <c r="GZ166" s="136"/>
      <c r="HA166" s="136"/>
      <c r="HB166" s="136"/>
      <c r="HC166" s="136"/>
      <c r="HD166" s="136"/>
      <c r="HE166" s="136"/>
      <c r="HF166" s="136"/>
      <c r="HG166" s="136"/>
      <c r="HH166" s="136"/>
      <c r="HI166" s="136"/>
      <c r="HJ166" s="136"/>
      <c r="HK166" s="136"/>
      <c r="HL166" s="136"/>
      <c r="HM166" s="136"/>
      <c r="HN166" s="136"/>
      <c r="HO166" s="136"/>
      <c r="HP166" s="136"/>
      <c r="HQ166" s="136"/>
      <c r="HR166" s="136"/>
      <c r="HS166" s="136"/>
      <c r="HT166" s="136"/>
      <c r="HU166" s="136"/>
      <c r="HV166" s="136"/>
      <c r="HW166" s="136"/>
      <c r="HX166" s="136"/>
      <c r="HY166" s="136"/>
      <c r="HZ166" s="136"/>
      <c r="IA166" s="136"/>
      <c r="IB166" s="136"/>
      <c r="IC166" s="136"/>
      <c r="ID166" s="136"/>
      <c r="IE166" s="136"/>
      <c r="IF166" s="136"/>
      <c r="IG166" s="136"/>
      <c r="IH166" s="136"/>
      <c r="II166" s="136"/>
      <c r="IJ166" s="136"/>
      <c r="IK166" s="136"/>
      <c r="IL166" s="136"/>
      <c r="IM166" s="136"/>
      <c r="IN166" s="136"/>
      <c r="IO166" s="136"/>
      <c r="IP166" s="136"/>
      <c r="IQ166" s="136"/>
      <c r="IR166" s="136"/>
      <c r="IS166" s="136"/>
      <c r="IT166" s="136"/>
      <c r="IU166" s="136"/>
    </row>
    <row r="167" spans="1:255" ht="90" x14ac:dyDescent="0.2">
      <c r="A167" s="242" t="str">
        <f>'HECVAT - Full'!A167</f>
        <v>DCTR-09</v>
      </c>
      <c r="B167" s="242" t="str">
        <f>VLOOKUP(A167,'HECVAT - Full'!A$24:B$312,2,FALSE)</f>
        <v>Will any institution data leave the Institution's Data Zone?</v>
      </c>
      <c r="C167" s="245" t="s">
        <v>2845</v>
      </c>
      <c r="D167" s="250" t="s">
        <v>2846</v>
      </c>
      <c r="E167" s="136"/>
      <c r="F167" s="136"/>
      <c r="G167" s="136"/>
      <c r="H167" s="136"/>
      <c r="I167" s="136"/>
      <c r="J167" s="136"/>
      <c r="K167" s="136"/>
      <c r="L167" s="136"/>
      <c r="M167" s="136"/>
      <c r="N167" s="136"/>
      <c r="O167" s="136"/>
      <c r="P167" s="136"/>
      <c r="Q167" s="136"/>
      <c r="R167" s="136"/>
      <c r="S167" s="136"/>
      <c r="T167" s="136"/>
      <c r="U167" s="136"/>
      <c r="V167" s="136"/>
      <c r="W167" s="136"/>
      <c r="X167" s="136"/>
      <c r="Y167" s="136"/>
      <c r="Z167" s="136"/>
      <c r="AA167" s="136"/>
      <c r="AB167" s="136"/>
      <c r="AC167" s="136"/>
      <c r="AD167" s="136"/>
      <c r="AE167" s="136"/>
      <c r="AF167" s="136"/>
      <c r="AG167" s="136"/>
      <c r="AH167" s="136"/>
      <c r="AI167" s="136"/>
      <c r="AJ167" s="136"/>
      <c r="AK167" s="136"/>
      <c r="AL167" s="136"/>
      <c r="AM167" s="136"/>
      <c r="AN167" s="136"/>
      <c r="AO167" s="136"/>
      <c r="AP167" s="136"/>
      <c r="AQ167" s="136"/>
      <c r="AR167" s="136"/>
      <c r="AS167" s="136"/>
      <c r="AT167" s="136"/>
      <c r="AU167" s="136"/>
      <c r="AV167" s="136"/>
      <c r="AW167" s="136"/>
      <c r="AX167" s="136"/>
      <c r="AY167" s="136"/>
      <c r="AZ167" s="136"/>
      <c r="BA167" s="136"/>
      <c r="BB167" s="136"/>
      <c r="BC167" s="136"/>
      <c r="BD167" s="136"/>
      <c r="BE167" s="136"/>
      <c r="BF167" s="136"/>
      <c r="BG167" s="136"/>
      <c r="BH167" s="136"/>
      <c r="BI167" s="136"/>
      <c r="BJ167" s="136"/>
      <c r="BK167" s="136"/>
      <c r="BL167" s="136"/>
      <c r="BM167" s="136"/>
      <c r="BN167" s="136"/>
      <c r="BO167" s="136"/>
      <c r="BP167" s="136"/>
      <c r="BQ167" s="136"/>
      <c r="BR167" s="136"/>
      <c r="BS167" s="136"/>
      <c r="BT167" s="136"/>
      <c r="BU167" s="136"/>
      <c r="BV167" s="136"/>
      <c r="BW167" s="136"/>
      <c r="BX167" s="136"/>
      <c r="BY167" s="136"/>
      <c r="BZ167" s="136"/>
      <c r="CA167" s="136"/>
      <c r="CB167" s="136"/>
      <c r="CC167" s="136"/>
      <c r="CD167" s="136"/>
      <c r="CE167" s="136"/>
      <c r="CF167" s="136"/>
      <c r="CG167" s="136"/>
      <c r="CH167" s="136"/>
      <c r="CI167" s="136"/>
      <c r="CJ167" s="136"/>
      <c r="CK167" s="136"/>
      <c r="CL167" s="136"/>
      <c r="CM167" s="136"/>
      <c r="CN167" s="136"/>
      <c r="CO167" s="136"/>
      <c r="CP167" s="136"/>
      <c r="CQ167" s="136"/>
      <c r="CR167" s="136"/>
      <c r="CS167" s="136"/>
      <c r="CT167" s="136"/>
      <c r="CU167" s="136"/>
      <c r="CV167" s="136"/>
      <c r="CW167" s="136"/>
      <c r="CX167" s="136"/>
      <c r="CY167" s="136"/>
      <c r="CZ167" s="136"/>
      <c r="DA167" s="136"/>
      <c r="DB167" s="136"/>
      <c r="DC167" s="136"/>
      <c r="DD167" s="136"/>
      <c r="DE167" s="136"/>
      <c r="DF167" s="136"/>
      <c r="DG167" s="136"/>
      <c r="DH167" s="136"/>
      <c r="DI167" s="136"/>
      <c r="DJ167" s="136"/>
      <c r="DK167" s="136"/>
      <c r="DL167" s="136"/>
      <c r="DM167" s="136"/>
      <c r="DN167" s="136"/>
      <c r="DO167" s="136"/>
      <c r="DP167" s="136"/>
      <c r="DQ167" s="136"/>
      <c r="DR167" s="136"/>
      <c r="DS167" s="136"/>
      <c r="DT167" s="136"/>
      <c r="DU167" s="136"/>
      <c r="DV167" s="136"/>
      <c r="DW167" s="136"/>
      <c r="DX167" s="136"/>
      <c r="DY167" s="136"/>
      <c r="DZ167" s="136"/>
      <c r="EA167" s="136"/>
      <c r="EB167" s="136"/>
      <c r="EC167" s="136"/>
      <c r="ED167" s="136"/>
      <c r="EE167" s="136"/>
      <c r="EF167" s="136"/>
      <c r="EG167" s="136"/>
      <c r="EH167" s="136"/>
      <c r="EI167" s="136"/>
      <c r="EJ167" s="136"/>
      <c r="EK167" s="136"/>
      <c r="EL167" s="136"/>
      <c r="EM167" s="136"/>
      <c r="EN167" s="136"/>
      <c r="EO167" s="136"/>
      <c r="EP167" s="136"/>
      <c r="EQ167" s="136"/>
      <c r="ER167" s="136"/>
      <c r="ES167" s="136"/>
      <c r="ET167" s="136"/>
      <c r="EU167" s="136"/>
      <c r="EV167" s="136"/>
      <c r="EW167" s="136"/>
      <c r="EX167" s="136"/>
      <c r="EY167" s="136"/>
      <c r="EZ167" s="136"/>
      <c r="FA167" s="136"/>
      <c r="FB167" s="136"/>
      <c r="FC167" s="136"/>
      <c r="FD167" s="136"/>
      <c r="FE167" s="136"/>
      <c r="FF167" s="136"/>
      <c r="FG167" s="136"/>
      <c r="FH167" s="136"/>
      <c r="FI167" s="136"/>
      <c r="FJ167" s="136"/>
      <c r="FK167" s="136"/>
      <c r="FL167" s="136"/>
      <c r="FM167" s="136"/>
      <c r="FN167" s="136"/>
      <c r="FO167" s="136"/>
      <c r="FP167" s="136"/>
      <c r="FQ167" s="136"/>
      <c r="FR167" s="136"/>
      <c r="FS167" s="136"/>
      <c r="FT167" s="136"/>
      <c r="FU167" s="136"/>
      <c r="FV167" s="136"/>
      <c r="FW167" s="136"/>
      <c r="FX167" s="136"/>
      <c r="FY167" s="136"/>
      <c r="FZ167" s="136"/>
      <c r="GA167" s="136"/>
      <c r="GB167" s="136"/>
      <c r="GC167" s="136"/>
      <c r="GD167" s="136"/>
      <c r="GE167" s="136"/>
      <c r="GF167" s="136"/>
      <c r="GG167" s="136"/>
      <c r="GH167" s="136"/>
      <c r="GI167" s="136"/>
      <c r="GJ167" s="136"/>
      <c r="GK167" s="136"/>
      <c r="GL167" s="136"/>
      <c r="GM167" s="136"/>
      <c r="GN167" s="136"/>
      <c r="GO167" s="136"/>
      <c r="GP167" s="136"/>
      <c r="GQ167" s="136"/>
      <c r="GR167" s="136"/>
      <c r="GS167" s="136"/>
      <c r="GT167" s="136"/>
      <c r="GU167" s="136"/>
      <c r="GV167" s="136"/>
      <c r="GW167" s="136"/>
      <c r="GX167" s="136"/>
      <c r="GY167" s="136"/>
      <c r="GZ167" s="136"/>
      <c r="HA167" s="136"/>
      <c r="HB167" s="136"/>
      <c r="HC167" s="136"/>
      <c r="HD167" s="136"/>
      <c r="HE167" s="136"/>
      <c r="HF167" s="136"/>
      <c r="HG167" s="136"/>
      <c r="HH167" s="136"/>
      <c r="HI167" s="136"/>
      <c r="HJ167" s="136"/>
      <c r="HK167" s="136"/>
      <c r="HL167" s="136"/>
      <c r="HM167" s="136"/>
      <c r="HN167" s="136"/>
      <c r="HO167" s="136"/>
      <c r="HP167" s="136"/>
      <c r="HQ167" s="136"/>
      <c r="HR167" s="136"/>
      <c r="HS167" s="136"/>
      <c r="HT167" s="136"/>
      <c r="HU167" s="136"/>
      <c r="HV167" s="136"/>
      <c r="HW167" s="136"/>
      <c r="HX167" s="136"/>
      <c r="HY167" s="136"/>
      <c r="HZ167" s="136"/>
      <c r="IA167" s="136"/>
      <c r="IB167" s="136"/>
      <c r="IC167" s="136"/>
      <c r="ID167" s="136"/>
      <c r="IE167" s="136"/>
      <c r="IF167" s="136"/>
      <c r="IG167" s="136"/>
      <c r="IH167" s="136"/>
      <c r="II167" s="136"/>
      <c r="IJ167" s="136"/>
      <c r="IK167" s="136"/>
      <c r="IL167" s="136"/>
      <c r="IM167" s="136"/>
      <c r="IN167" s="136"/>
      <c r="IO167" s="136"/>
      <c r="IP167" s="136"/>
      <c r="IQ167" s="136"/>
      <c r="IR167" s="136"/>
      <c r="IS167" s="136"/>
      <c r="IT167" s="136"/>
      <c r="IU167" s="136"/>
    </row>
    <row r="168" spans="1:255" ht="90" x14ac:dyDescent="0.2">
      <c r="A168" s="242" t="str">
        <f>'HECVAT - Full'!A168</f>
        <v>DCTR-10</v>
      </c>
      <c r="B168" s="242" t="str">
        <f>VLOOKUP(A168,'HECVAT - Full'!A$24:B$312,2,FALSE)</f>
        <v xml:space="preserve">List all datacenters and the cities, states (provinces), and countries where the Institution's data will be stored (including within the Institution's Data Zone).   </v>
      </c>
      <c r="C168" s="245" t="s">
        <v>2845</v>
      </c>
      <c r="D168" s="250" t="s">
        <v>2869</v>
      </c>
      <c r="E168" s="136"/>
      <c r="F168" s="136"/>
      <c r="G168" s="136"/>
      <c r="H168" s="136"/>
      <c r="I168" s="136"/>
      <c r="J168" s="136"/>
      <c r="K168" s="136"/>
      <c r="L168" s="136"/>
      <c r="M168" s="136"/>
      <c r="N168" s="136"/>
      <c r="O168" s="136"/>
      <c r="P168" s="136"/>
      <c r="Q168" s="136"/>
      <c r="R168" s="136"/>
      <c r="S168" s="136"/>
      <c r="T168" s="136"/>
      <c r="U168" s="136"/>
      <c r="V168" s="136"/>
      <c r="W168" s="136"/>
      <c r="X168" s="136"/>
      <c r="Y168" s="136"/>
      <c r="Z168" s="136"/>
      <c r="AA168" s="136"/>
      <c r="AB168" s="136"/>
      <c r="AC168" s="136"/>
      <c r="AD168" s="136"/>
      <c r="AE168" s="136"/>
      <c r="AF168" s="136"/>
      <c r="AG168" s="136"/>
      <c r="AH168" s="136"/>
      <c r="AI168" s="136"/>
      <c r="AJ168" s="136"/>
      <c r="AK168" s="136"/>
      <c r="AL168" s="136"/>
      <c r="AM168" s="136"/>
      <c r="AN168" s="136"/>
      <c r="AO168" s="136"/>
      <c r="AP168" s="136"/>
      <c r="AQ168" s="136"/>
      <c r="AR168" s="136"/>
      <c r="AS168" s="136"/>
      <c r="AT168" s="136"/>
      <c r="AU168" s="136"/>
      <c r="AV168" s="136"/>
      <c r="AW168" s="136"/>
      <c r="AX168" s="136"/>
      <c r="AY168" s="136"/>
      <c r="AZ168" s="136"/>
      <c r="BA168" s="136"/>
      <c r="BB168" s="136"/>
      <c r="BC168" s="136"/>
      <c r="BD168" s="136"/>
      <c r="BE168" s="136"/>
      <c r="BF168" s="136"/>
      <c r="BG168" s="136"/>
      <c r="BH168" s="136"/>
      <c r="BI168" s="136"/>
      <c r="BJ168" s="136"/>
      <c r="BK168" s="136"/>
      <c r="BL168" s="136"/>
      <c r="BM168" s="136"/>
      <c r="BN168" s="136"/>
      <c r="BO168" s="136"/>
      <c r="BP168" s="136"/>
      <c r="BQ168" s="136"/>
      <c r="BR168" s="136"/>
      <c r="BS168" s="136"/>
      <c r="BT168" s="136"/>
      <c r="BU168" s="136"/>
      <c r="BV168" s="136"/>
      <c r="BW168" s="136"/>
      <c r="BX168" s="136"/>
      <c r="BY168" s="136"/>
      <c r="BZ168" s="136"/>
      <c r="CA168" s="136"/>
      <c r="CB168" s="136"/>
      <c r="CC168" s="136"/>
      <c r="CD168" s="136"/>
      <c r="CE168" s="136"/>
      <c r="CF168" s="136"/>
      <c r="CG168" s="136"/>
      <c r="CH168" s="136"/>
      <c r="CI168" s="136"/>
      <c r="CJ168" s="136"/>
      <c r="CK168" s="136"/>
      <c r="CL168" s="136"/>
      <c r="CM168" s="136"/>
      <c r="CN168" s="136"/>
      <c r="CO168" s="136"/>
      <c r="CP168" s="136"/>
      <c r="CQ168" s="136"/>
      <c r="CR168" s="136"/>
      <c r="CS168" s="136"/>
      <c r="CT168" s="136"/>
      <c r="CU168" s="136"/>
      <c r="CV168" s="136"/>
      <c r="CW168" s="136"/>
      <c r="CX168" s="136"/>
      <c r="CY168" s="136"/>
      <c r="CZ168" s="136"/>
      <c r="DA168" s="136"/>
      <c r="DB168" s="136"/>
      <c r="DC168" s="136"/>
      <c r="DD168" s="136"/>
      <c r="DE168" s="136"/>
      <c r="DF168" s="136"/>
      <c r="DG168" s="136"/>
      <c r="DH168" s="136"/>
      <c r="DI168" s="136"/>
      <c r="DJ168" s="136"/>
      <c r="DK168" s="136"/>
      <c r="DL168" s="136"/>
      <c r="DM168" s="136"/>
      <c r="DN168" s="136"/>
      <c r="DO168" s="136"/>
      <c r="DP168" s="136"/>
      <c r="DQ168" s="136"/>
      <c r="DR168" s="136"/>
      <c r="DS168" s="136"/>
      <c r="DT168" s="136"/>
      <c r="DU168" s="136"/>
      <c r="DV168" s="136"/>
      <c r="DW168" s="136"/>
      <c r="DX168" s="136"/>
      <c r="DY168" s="136"/>
      <c r="DZ168" s="136"/>
      <c r="EA168" s="136"/>
      <c r="EB168" s="136"/>
      <c r="EC168" s="136"/>
      <c r="ED168" s="136"/>
      <c r="EE168" s="136"/>
      <c r="EF168" s="136"/>
      <c r="EG168" s="136"/>
      <c r="EH168" s="136"/>
      <c r="EI168" s="136"/>
      <c r="EJ168" s="136"/>
      <c r="EK168" s="136"/>
      <c r="EL168" s="136"/>
      <c r="EM168" s="136"/>
      <c r="EN168" s="136"/>
      <c r="EO168" s="136"/>
      <c r="EP168" s="136"/>
      <c r="EQ168" s="136"/>
      <c r="ER168" s="136"/>
      <c r="ES168" s="136"/>
      <c r="ET168" s="136"/>
      <c r="EU168" s="136"/>
      <c r="EV168" s="136"/>
      <c r="EW168" s="136"/>
      <c r="EX168" s="136"/>
      <c r="EY168" s="136"/>
      <c r="EZ168" s="136"/>
      <c r="FA168" s="136"/>
      <c r="FB168" s="136"/>
      <c r="FC168" s="136"/>
      <c r="FD168" s="136"/>
      <c r="FE168" s="136"/>
      <c r="FF168" s="136"/>
      <c r="FG168" s="136"/>
      <c r="FH168" s="136"/>
      <c r="FI168" s="136"/>
      <c r="FJ168" s="136"/>
      <c r="FK168" s="136"/>
      <c r="FL168" s="136"/>
      <c r="FM168" s="136"/>
      <c r="FN168" s="136"/>
      <c r="FO168" s="136"/>
      <c r="FP168" s="136"/>
      <c r="FQ168" s="136"/>
      <c r="FR168" s="136"/>
      <c r="FS168" s="136"/>
      <c r="FT168" s="136"/>
      <c r="FU168" s="136"/>
      <c r="FV168" s="136"/>
      <c r="FW168" s="136"/>
      <c r="FX168" s="136"/>
      <c r="FY168" s="136"/>
      <c r="FZ168" s="136"/>
      <c r="GA168" s="136"/>
      <c r="GB168" s="136"/>
      <c r="GC168" s="136"/>
      <c r="GD168" s="136"/>
      <c r="GE168" s="136"/>
      <c r="GF168" s="136"/>
      <c r="GG168" s="136"/>
      <c r="GH168" s="136"/>
      <c r="GI168" s="136"/>
      <c r="GJ168" s="136"/>
      <c r="GK168" s="136"/>
      <c r="GL168" s="136"/>
      <c r="GM168" s="136"/>
      <c r="GN168" s="136"/>
      <c r="GO168" s="136"/>
      <c r="GP168" s="136"/>
      <c r="GQ168" s="136"/>
      <c r="GR168" s="136"/>
      <c r="GS168" s="136"/>
      <c r="GT168" s="136"/>
      <c r="GU168" s="136"/>
      <c r="GV168" s="136"/>
      <c r="GW168" s="136"/>
      <c r="GX168" s="136"/>
      <c r="GY168" s="136"/>
      <c r="GZ168" s="136"/>
      <c r="HA168" s="136"/>
      <c r="HB168" s="136"/>
      <c r="HC168" s="136"/>
      <c r="HD168" s="136"/>
      <c r="HE168" s="136"/>
      <c r="HF168" s="136"/>
      <c r="HG168" s="136"/>
      <c r="HH168" s="136"/>
      <c r="HI168" s="136"/>
      <c r="HJ168" s="136"/>
      <c r="HK168" s="136"/>
      <c r="HL168" s="136"/>
      <c r="HM168" s="136"/>
      <c r="HN168" s="136"/>
      <c r="HO168" s="136"/>
      <c r="HP168" s="136"/>
      <c r="HQ168" s="136"/>
      <c r="HR168" s="136"/>
      <c r="HS168" s="136"/>
      <c r="HT168" s="136"/>
      <c r="HU168" s="136"/>
      <c r="HV168" s="136"/>
      <c r="HW168" s="136"/>
      <c r="HX168" s="136"/>
      <c r="HY168" s="136"/>
      <c r="HZ168" s="136"/>
      <c r="IA168" s="136"/>
      <c r="IB168" s="136"/>
      <c r="IC168" s="136"/>
      <c r="ID168" s="136"/>
      <c r="IE168" s="136"/>
      <c r="IF168" s="136"/>
      <c r="IG168" s="136"/>
      <c r="IH168" s="136"/>
      <c r="II168" s="136"/>
      <c r="IJ168" s="136"/>
      <c r="IK168" s="136"/>
      <c r="IL168" s="136"/>
      <c r="IM168" s="136"/>
      <c r="IN168" s="136"/>
      <c r="IO168" s="136"/>
      <c r="IP168" s="136"/>
      <c r="IQ168" s="136"/>
      <c r="IR168" s="136"/>
      <c r="IS168" s="136"/>
      <c r="IT168" s="136"/>
      <c r="IU168" s="136"/>
    </row>
    <row r="169" spans="1:255" ht="60" x14ac:dyDescent="0.2">
      <c r="A169" s="242" t="str">
        <f>'HECVAT - Full'!A169</f>
        <v>DCTR-11</v>
      </c>
      <c r="B169" s="242" t="str">
        <f>VLOOKUP(A169,'HECVAT - Full'!A$24:B$312,2,FALSE)</f>
        <v>Are your primary and secondary data centers geographically diverse?</v>
      </c>
      <c r="C169" s="243" t="s">
        <v>2870</v>
      </c>
      <c r="D169" s="253" t="s">
        <v>2871</v>
      </c>
      <c r="E169" s="136"/>
      <c r="F169" s="136"/>
      <c r="G169" s="136"/>
      <c r="H169" s="136"/>
      <c r="I169" s="136"/>
      <c r="J169" s="136"/>
      <c r="K169" s="136"/>
      <c r="L169" s="136"/>
      <c r="M169" s="136"/>
      <c r="N169" s="136"/>
      <c r="O169" s="136"/>
      <c r="P169" s="136"/>
      <c r="Q169" s="136"/>
      <c r="R169" s="136"/>
      <c r="S169" s="136"/>
      <c r="T169" s="136"/>
      <c r="U169" s="136"/>
      <c r="V169" s="136"/>
      <c r="W169" s="136"/>
      <c r="X169" s="136"/>
      <c r="Y169" s="136"/>
      <c r="Z169" s="136"/>
      <c r="AA169" s="136"/>
      <c r="AB169" s="136"/>
      <c r="AC169" s="136"/>
      <c r="AD169" s="136"/>
      <c r="AE169" s="136"/>
      <c r="AF169" s="136"/>
      <c r="AG169" s="136"/>
      <c r="AH169" s="136"/>
      <c r="AI169" s="136"/>
      <c r="AJ169" s="136"/>
      <c r="AK169" s="136"/>
      <c r="AL169" s="136"/>
      <c r="AM169" s="136"/>
      <c r="AN169" s="136"/>
      <c r="AO169" s="136"/>
      <c r="AP169" s="136"/>
      <c r="AQ169" s="136"/>
      <c r="AR169" s="136"/>
      <c r="AS169" s="136"/>
      <c r="AT169" s="136"/>
      <c r="AU169" s="136"/>
      <c r="AV169" s="136"/>
      <c r="AW169" s="136"/>
      <c r="AX169" s="136"/>
      <c r="AY169" s="136"/>
      <c r="AZ169" s="136"/>
      <c r="BA169" s="136"/>
      <c r="BB169" s="136"/>
      <c r="BC169" s="136"/>
      <c r="BD169" s="136"/>
      <c r="BE169" s="136"/>
      <c r="BF169" s="136"/>
      <c r="BG169" s="136"/>
      <c r="BH169" s="136"/>
      <c r="BI169" s="136"/>
      <c r="BJ169" s="136"/>
      <c r="BK169" s="136"/>
      <c r="BL169" s="136"/>
      <c r="BM169" s="136"/>
      <c r="BN169" s="136"/>
      <c r="BO169" s="136"/>
      <c r="BP169" s="136"/>
      <c r="BQ169" s="136"/>
      <c r="BR169" s="136"/>
      <c r="BS169" s="136"/>
      <c r="BT169" s="136"/>
      <c r="BU169" s="136"/>
      <c r="BV169" s="136"/>
      <c r="BW169" s="136"/>
      <c r="BX169" s="136"/>
      <c r="BY169" s="136"/>
      <c r="BZ169" s="136"/>
      <c r="CA169" s="136"/>
      <c r="CB169" s="136"/>
      <c r="CC169" s="136"/>
      <c r="CD169" s="136"/>
      <c r="CE169" s="136"/>
      <c r="CF169" s="136"/>
      <c r="CG169" s="136"/>
      <c r="CH169" s="136"/>
      <c r="CI169" s="136"/>
      <c r="CJ169" s="136"/>
      <c r="CK169" s="136"/>
      <c r="CL169" s="136"/>
      <c r="CM169" s="136"/>
      <c r="CN169" s="136"/>
      <c r="CO169" s="136"/>
      <c r="CP169" s="136"/>
      <c r="CQ169" s="136"/>
      <c r="CR169" s="136"/>
      <c r="CS169" s="136"/>
      <c r="CT169" s="136"/>
      <c r="CU169" s="136"/>
      <c r="CV169" s="136"/>
      <c r="CW169" s="136"/>
      <c r="CX169" s="136"/>
      <c r="CY169" s="136"/>
      <c r="CZ169" s="136"/>
      <c r="DA169" s="136"/>
      <c r="DB169" s="136"/>
      <c r="DC169" s="136"/>
      <c r="DD169" s="136"/>
      <c r="DE169" s="136"/>
      <c r="DF169" s="136"/>
      <c r="DG169" s="136"/>
      <c r="DH169" s="136"/>
      <c r="DI169" s="136"/>
      <c r="DJ169" s="136"/>
      <c r="DK169" s="136"/>
      <c r="DL169" s="136"/>
      <c r="DM169" s="136"/>
      <c r="DN169" s="136"/>
      <c r="DO169" s="136"/>
      <c r="DP169" s="136"/>
      <c r="DQ169" s="136"/>
      <c r="DR169" s="136"/>
      <c r="DS169" s="136"/>
      <c r="DT169" s="136"/>
      <c r="DU169" s="136"/>
      <c r="DV169" s="136"/>
      <c r="DW169" s="136"/>
      <c r="DX169" s="136"/>
      <c r="DY169" s="136"/>
      <c r="DZ169" s="136"/>
      <c r="EA169" s="136"/>
      <c r="EB169" s="136"/>
      <c r="EC169" s="136"/>
      <c r="ED169" s="136"/>
      <c r="EE169" s="136"/>
      <c r="EF169" s="136"/>
      <c r="EG169" s="136"/>
      <c r="EH169" s="136"/>
      <c r="EI169" s="136"/>
      <c r="EJ169" s="136"/>
      <c r="EK169" s="136"/>
      <c r="EL169" s="136"/>
      <c r="EM169" s="136"/>
      <c r="EN169" s="136"/>
      <c r="EO169" s="136"/>
      <c r="EP169" s="136"/>
      <c r="EQ169" s="136"/>
      <c r="ER169" s="136"/>
      <c r="ES169" s="136"/>
      <c r="ET169" s="136"/>
      <c r="EU169" s="136"/>
      <c r="EV169" s="136"/>
      <c r="EW169" s="136"/>
      <c r="EX169" s="136"/>
      <c r="EY169" s="136"/>
      <c r="EZ169" s="136"/>
      <c r="FA169" s="136"/>
      <c r="FB169" s="136"/>
      <c r="FC169" s="136"/>
      <c r="FD169" s="136"/>
      <c r="FE169" s="136"/>
      <c r="FF169" s="136"/>
      <c r="FG169" s="136"/>
      <c r="FH169" s="136"/>
      <c r="FI169" s="136"/>
      <c r="FJ169" s="136"/>
      <c r="FK169" s="136"/>
      <c r="FL169" s="136"/>
      <c r="FM169" s="136"/>
      <c r="FN169" s="136"/>
      <c r="FO169" s="136"/>
      <c r="FP169" s="136"/>
      <c r="FQ169" s="136"/>
      <c r="FR169" s="136"/>
      <c r="FS169" s="136"/>
      <c r="FT169" s="136"/>
      <c r="FU169" s="136"/>
      <c r="FV169" s="136"/>
      <c r="FW169" s="136"/>
      <c r="FX169" s="136"/>
      <c r="FY169" s="136"/>
      <c r="FZ169" s="136"/>
      <c r="GA169" s="136"/>
      <c r="GB169" s="136"/>
      <c r="GC169" s="136"/>
      <c r="GD169" s="136"/>
      <c r="GE169" s="136"/>
      <c r="GF169" s="136"/>
      <c r="GG169" s="136"/>
      <c r="GH169" s="136"/>
      <c r="GI169" s="136"/>
      <c r="GJ169" s="136"/>
      <c r="GK169" s="136"/>
      <c r="GL169" s="136"/>
      <c r="GM169" s="136"/>
      <c r="GN169" s="136"/>
      <c r="GO169" s="136"/>
      <c r="GP169" s="136"/>
      <c r="GQ169" s="136"/>
      <c r="GR169" s="136"/>
      <c r="GS169" s="136"/>
      <c r="GT169" s="136"/>
      <c r="GU169" s="136"/>
      <c r="GV169" s="136"/>
      <c r="GW169" s="136"/>
      <c r="GX169" s="136"/>
      <c r="GY169" s="136"/>
      <c r="GZ169" s="136"/>
      <c r="HA169" s="136"/>
      <c r="HB169" s="136"/>
      <c r="HC169" s="136"/>
      <c r="HD169" s="136"/>
      <c r="HE169" s="136"/>
      <c r="HF169" s="136"/>
      <c r="HG169" s="136"/>
      <c r="HH169" s="136"/>
      <c r="HI169" s="136"/>
      <c r="HJ169" s="136"/>
      <c r="HK169" s="136"/>
      <c r="HL169" s="136"/>
      <c r="HM169" s="136"/>
      <c r="HN169" s="136"/>
      <c r="HO169" s="136"/>
      <c r="HP169" s="136"/>
      <c r="HQ169" s="136"/>
      <c r="HR169" s="136"/>
      <c r="HS169" s="136"/>
      <c r="HT169" s="136"/>
      <c r="HU169" s="136"/>
      <c r="HV169" s="136"/>
      <c r="HW169" s="136"/>
      <c r="HX169" s="136"/>
      <c r="HY169" s="136"/>
      <c r="HZ169" s="136"/>
      <c r="IA169" s="136"/>
      <c r="IB169" s="136"/>
      <c r="IC169" s="136"/>
      <c r="ID169" s="136"/>
      <c r="IE169" s="136"/>
      <c r="IF169" s="136"/>
      <c r="IG169" s="136"/>
      <c r="IH169" s="136"/>
      <c r="II169" s="136"/>
      <c r="IJ169" s="136"/>
      <c r="IK169" s="136"/>
      <c r="IL169" s="136"/>
      <c r="IM169" s="136"/>
      <c r="IN169" s="136"/>
      <c r="IO169" s="136"/>
      <c r="IP169" s="136"/>
      <c r="IQ169" s="136"/>
      <c r="IR169" s="136"/>
      <c r="IS169" s="136"/>
      <c r="IT169" s="136"/>
      <c r="IU169" s="136"/>
    </row>
    <row r="170" spans="1:255" ht="90" x14ac:dyDescent="0.2">
      <c r="A170" s="242" t="str">
        <f>'HECVAT - Full'!A170</f>
        <v>DCTR-12</v>
      </c>
      <c r="B170" s="242" t="str">
        <f>VLOOKUP(A170,'HECVAT - Full'!A$24:B$312,2,FALSE)</f>
        <v>If outsourced or co-located, is there a contract in place to prevent data from leaving the Institution's Data Zone?</v>
      </c>
      <c r="C170" s="245" t="s">
        <v>2845</v>
      </c>
      <c r="D170" s="250" t="s">
        <v>2872</v>
      </c>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c r="AA170" s="136"/>
      <c r="AB170" s="136"/>
      <c r="AC170" s="136"/>
      <c r="AD170" s="136"/>
      <c r="AE170" s="136"/>
      <c r="AF170" s="136"/>
      <c r="AG170" s="136"/>
      <c r="AH170" s="136"/>
      <c r="AI170" s="136"/>
      <c r="AJ170" s="136"/>
      <c r="AK170" s="136"/>
      <c r="AL170" s="136"/>
      <c r="AM170" s="136"/>
      <c r="AN170" s="136"/>
      <c r="AO170" s="136"/>
      <c r="AP170" s="136"/>
      <c r="AQ170" s="136"/>
      <c r="AR170" s="136"/>
      <c r="AS170" s="136"/>
      <c r="AT170" s="136"/>
      <c r="AU170" s="136"/>
      <c r="AV170" s="136"/>
      <c r="AW170" s="136"/>
      <c r="AX170" s="136"/>
      <c r="AY170" s="136"/>
      <c r="AZ170" s="136"/>
      <c r="BA170" s="136"/>
      <c r="BB170" s="136"/>
      <c r="BC170" s="136"/>
      <c r="BD170" s="136"/>
      <c r="BE170" s="136"/>
      <c r="BF170" s="136"/>
      <c r="BG170" s="136"/>
      <c r="BH170" s="136"/>
      <c r="BI170" s="136"/>
      <c r="BJ170" s="136"/>
      <c r="BK170" s="136"/>
      <c r="BL170" s="136"/>
      <c r="BM170" s="136"/>
      <c r="BN170" s="136"/>
      <c r="BO170" s="136"/>
      <c r="BP170" s="136"/>
      <c r="BQ170" s="136"/>
      <c r="BR170" s="136"/>
      <c r="BS170" s="136"/>
      <c r="BT170" s="136"/>
      <c r="BU170" s="136"/>
      <c r="BV170" s="136"/>
      <c r="BW170" s="136"/>
      <c r="BX170" s="136"/>
      <c r="BY170" s="136"/>
      <c r="BZ170" s="136"/>
      <c r="CA170" s="136"/>
      <c r="CB170" s="136"/>
      <c r="CC170" s="136"/>
      <c r="CD170" s="136"/>
      <c r="CE170" s="136"/>
      <c r="CF170" s="136"/>
      <c r="CG170" s="136"/>
      <c r="CH170" s="136"/>
      <c r="CI170" s="136"/>
      <c r="CJ170" s="136"/>
      <c r="CK170" s="136"/>
      <c r="CL170" s="136"/>
      <c r="CM170" s="136"/>
      <c r="CN170" s="136"/>
      <c r="CO170" s="136"/>
      <c r="CP170" s="136"/>
      <c r="CQ170" s="136"/>
      <c r="CR170" s="136"/>
      <c r="CS170" s="136"/>
      <c r="CT170" s="136"/>
      <c r="CU170" s="136"/>
      <c r="CV170" s="136"/>
      <c r="CW170" s="136"/>
      <c r="CX170" s="136"/>
      <c r="CY170" s="136"/>
      <c r="CZ170" s="136"/>
      <c r="DA170" s="136"/>
      <c r="DB170" s="136"/>
      <c r="DC170" s="136"/>
      <c r="DD170" s="136"/>
      <c r="DE170" s="136"/>
      <c r="DF170" s="136"/>
      <c r="DG170" s="136"/>
      <c r="DH170" s="136"/>
      <c r="DI170" s="136"/>
      <c r="DJ170" s="136"/>
      <c r="DK170" s="136"/>
      <c r="DL170" s="136"/>
      <c r="DM170" s="136"/>
      <c r="DN170" s="136"/>
      <c r="DO170" s="136"/>
      <c r="DP170" s="136"/>
      <c r="DQ170" s="136"/>
      <c r="DR170" s="136"/>
      <c r="DS170" s="136"/>
      <c r="DT170" s="136"/>
      <c r="DU170" s="136"/>
      <c r="DV170" s="136"/>
      <c r="DW170" s="136"/>
      <c r="DX170" s="136"/>
      <c r="DY170" s="136"/>
      <c r="DZ170" s="136"/>
      <c r="EA170" s="136"/>
      <c r="EB170" s="136"/>
      <c r="EC170" s="136"/>
      <c r="ED170" s="136"/>
      <c r="EE170" s="136"/>
      <c r="EF170" s="136"/>
      <c r="EG170" s="136"/>
      <c r="EH170" s="136"/>
      <c r="EI170" s="136"/>
      <c r="EJ170" s="136"/>
      <c r="EK170" s="136"/>
      <c r="EL170" s="136"/>
      <c r="EM170" s="136"/>
      <c r="EN170" s="136"/>
      <c r="EO170" s="136"/>
      <c r="EP170" s="136"/>
      <c r="EQ170" s="136"/>
      <c r="ER170" s="136"/>
      <c r="ES170" s="136"/>
      <c r="ET170" s="136"/>
      <c r="EU170" s="136"/>
      <c r="EV170" s="136"/>
      <c r="EW170" s="136"/>
      <c r="EX170" s="136"/>
      <c r="EY170" s="136"/>
      <c r="EZ170" s="136"/>
      <c r="FA170" s="136"/>
      <c r="FB170" s="136"/>
      <c r="FC170" s="136"/>
      <c r="FD170" s="136"/>
      <c r="FE170" s="136"/>
      <c r="FF170" s="136"/>
      <c r="FG170" s="136"/>
      <c r="FH170" s="136"/>
      <c r="FI170" s="136"/>
      <c r="FJ170" s="136"/>
      <c r="FK170" s="136"/>
      <c r="FL170" s="136"/>
      <c r="FM170" s="136"/>
      <c r="FN170" s="136"/>
      <c r="FO170" s="136"/>
      <c r="FP170" s="136"/>
      <c r="FQ170" s="136"/>
      <c r="FR170" s="136"/>
      <c r="FS170" s="136"/>
      <c r="FT170" s="136"/>
      <c r="FU170" s="136"/>
      <c r="FV170" s="136"/>
      <c r="FW170" s="136"/>
      <c r="FX170" s="136"/>
      <c r="FY170" s="136"/>
      <c r="FZ170" s="136"/>
      <c r="GA170" s="136"/>
      <c r="GB170" s="136"/>
      <c r="GC170" s="136"/>
      <c r="GD170" s="136"/>
      <c r="GE170" s="136"/>
      <c r="GF170" s="136"/>
      <c r="GG170" s="136"/>
      <c r="GH170" s="136"/>
      <c r="GI170" s="136"/>
      <c r="GJ170" s="136"/>
      <c r="GK170" s="136"/>
      <c r="GL170" s="136"/>
      <c r="GM170" s="136"/>
      <c r="GN170" s="136"/>
      <c r="GO170" s="136"/>
      <c r="GP170" s="136"/>
      <c r="GQ170" s="136"/>
      <c r="GR170" s="136"/>
      <c r="GS170" s="136"/>
      <c r="GT170" s="136"/>
      <c r="GU170" s="136"/>
      <c r="GV170" s="136"/>
      <c r="GW170" s="136"/>
      <c r="GX170" s="136"/>
      <c r="GY170" s="136"/>
      <c r="GZ170" s="136"/>
      <c r="HA170" s="136"/>
      <c r="HB170" s="136"/>
      <c r="HC170" s="136"/>
      <c r="HD170" s="136"/>
      <c r="HE170" s="136"/>
      <c r="HF170" s="136"/>
      <c r="HG170" s="136"/>
      <c r="HH170" s="136"/>
      <c r="HI170" s="136"/>
      <c r="HJ170" s="136"/>
      <c r="HK170" s="136"/>
      <c r="HL170" s="136"/>
      <c r="HM170" s="136"/>
      <c r="HN170" s="136"/>
      <c r="HO170" s="136"/>
      <c r="HP170" s="136"/>
      <c r="HQ170" s="136"/>
      <c r="HR170" s="136"/>
      <c r="HS170" s="136"/>
      <c r="HT170" s="136"/>
      <c r="HU170" s="136"/>
      <c r="HV170" s="136"/>
      <c r="HW170" s="136"/>
      <c r="HX170" s="136"/>
      <c r="HY170" s="136"/>
      <c r="HZ170" s="136"/>
      <c r="IA170" s="136"/>
      <c r="IB170" s="136"/>
      <c r="IC170" s="136"/>
      <c r="ID170" s="136"/>
      <c r="IE170" s="136"/>
      <c r="IF170" s="136"/>
      <c r="IG170" s="136"/>
      <c r="IH170" s="136"/>
      <c r="II170" s="136"/>
      <c r="IJ170" s="136"/>
      <c r="IK170" s="136"/>
      <c r="IL170" s="136"/>
      <c r="IM170" s="136"/>
      <c r="IN170" s="136"/>
      <c r="IO170" s="136"/>
      <c r="IP170" s="136"/>
      <c r="IQ170" s="136"/>
      <c r="IR170" s="136"/>
      <c r="IS170" s="136"/>
      <c r="IT170" s="136"/>
      <c r="IU170" s="136"/>
    </row>
    <row r="171" spans="1:255" ht="64.25" customHeight="1" x14ac:dyDescent="0.2">
      <c r="A171" s="242" t="str">
        <f>'HECVAT - Full'!A171</f>
        <v>DCTR-13</v>
      </c>
      <c r="B171" s="242" t="str">
        <f>VLOOKUP(A171,'HECVAT - Full'!A$24:B$312,2,FALSE)</f>
        <v>What Tier Level is your data center (per levels defined by the Uptime Institute)?</v>
      </c>
      <c r="C171" s="275" t="s">
        <v>3037</v>
      </c>
      <c r="D171" s="250" t="s">
        <v>2873</v>
      </c>
      <c r="E171" s="136"/>
      <c r="F171" s="136"/>
      <c r="G171" s="136"/>
      <c r="H171" s="136"/>
      <c r="I171" s="136"/>
      <c r="J171" s="136"/>
      <c r="K171" s="136"/>
      <c r="L171" s="136"/>
      <c r="M171" s="136"/>
      <c r="N171" s="136"/>
      <c r="O171" s="136"/>
      <c r="P171" s="136"/>
      <c r="Q171" s="136"/>
      <c r="R171" s="136"/>
      <c r="S171" s="136"/>
      <c r="T171" s="136"/>
      <c r="U171" s="136"/>
      <c r="V171" s="136"/>
      <c r="W171" s="136"/>
      <c r="X171" s="136"/>
      <c r="Y171" s="136"/>
      <c r="Z171" s="136"/>
      <c r="AA171" s="136"/>
      <c r="AB171" s="136"/>
      <c r="AC171" s="136"/>
      <c r="AD171" s="136"/>
      <c r="AE171" s="136"/>
      <c r="AF171" s="136"/>
      <c r="AG171" s="136"/>
      <c r="AH171" s="136"/>
      <c r="AI171" s="136"/>
      <c r="AJ171" s="136"/>
      <c r="AK171" s="136"/>
      <c r="AL171" s="136"/>
      <c r="AM171" s="136"/>
      <c r="AN171" s="136"/>
      <c r="AO171" s="136"/>
      <c r="AP171" s="136"/>
      <c r="AQ171" s="136"/>
      <c r="AR171" s="136"/>
      <c r="AS171" s="136"/>
      <c r="AT171" s="136"/>
      <c r="AU171" s="136"/>
      <c r="AV171" s="136"/>
      <c r="AW171" s="136"/>
      <c r="AX171" s="136"/>
      <c r="AY171" s="136"/>
      <c r="AZ171" s="136"/>
      <c r="BA171" s="136"/>
      <c r="BB171" s="136"/>
      <c r="BC171" s="136"/>
      <c r="BD171" s="136"/>
      <c r="BE171" s="136"/>
      <c r="BF171" s="136"/>
      <c r="BG171" s="136"/>
      <c r="BH171" s="136"/>
      <c r="BI171" s="136"/>
      <c r="BJ171" s="136"/>
      <c r="BK171" s="136"/>
      <c r="BL171" s="136"/>
      <c r="BM171" s="136"/>
      <c r="BN171" s="136"/>
      <c r="BO171" s="136"/>
      <c r="BP171" s="136"/>
      <c r="BQ171" s="136"/>
      <c r="BR171" s="136"/>
      <c r="BS171" s="136"/>
      <c r="BT171" s="136"/>
      <c r="BU171" s="136"/>
      <c r="BV171" s="136"/>
      <c r="BW171" s="136"/>
      <c r="BX171" s="136"/>
      <c r="BY171" s="136"/>
      <c r="BZ171" s="136"/>
      <c r="CA171" s="136"/>
      <c r="CB171" s="136"/>
      <c r="CC171" s="136"/>
      <c r="CD171" s="136"/>
      <c r="CE171" s="136"/>
      <c r="CF171" s="136"/>
      <c r="CG171" s="136"/>
      <c r="CH171" s="136"/>
      <c r="CI171" s="136"/>
      <c r="CJ171" s="136"/>
      <c r="CK171" s="136"/>
      <c r="CL171" s="136"/>
      <c r="CM171" s="136"/>
      <c r="CN171" s="136"/>
      <c r="CO171" s="136"/>
      <c r="CP171" s="136"/>
      <c r="CQ171" s="136"/>
      <c r="CR171" s="136"/>
      <c r="CS171" s="136"/>
      <c r="CT171" s="136"/>
      <c r="CU171" s="136"/>
      <c r="CV171" s="136"/>
      <c r="CW171" s="136"/>
      <c r="CX171" s="136"/>
      <c r="CY171" s="136"/>
      <c r="CZ171" s="136"/>
      <c r="DA171" s="136"/>
      <c r="DB171" s="136"/>
      <c r="DC171" s="136"/>
      <c r="DD171" s="136"/>
      <c r="DE171" s="136"/>
      <c r="DF171" s="136"/>
      <c r="DG171" s="136"/>
      <c r="DH171" s="136"/>
      <c r="DI171" s="136"/>
      <c r="DJ171" s="136"/>
      <c r="DK171" s="136"/>
      <c r="DL171" s="136"/>
      <c r="DM171" s="136"/>
      <c r="DN171" s="136"/>
      <c r="DO171" s="136"/>
      <c r="DP171" s="136"/>
      <c r="DQ171" s="136"/>
      <c r="DR171" s="136"/>
      <c r="DS171" s="136"/>
      <c r="DT171" s="136"/>
      <c r="DU171" s="136"/>
      <c r="DV171" s="136"/>
      <c r="DW171" s="136"/>
      <c r="DX171" s="136"/>
      <c r="DY171" s="136"/>
      <c r="DZ171" s="136"/>
      <c r="EA171" s="136"/>
      <c r="EB171" s="136"/>
      <c r="EC171" s="136"/>
      <c r="ED171" s="136"/>
      <c r="EE171" s="136"/>
      <c r="EF171" s="136"/>
      <c r="EG171" s="136"/>
      <c r="EH171" s="136"/>
      <c r="EI171" s="136"/>
      <c r="EJ171" s="136"/>
      <c r="EK171" s="136"/>
      <c r="EL171" s="136"/>
      <c r="EM171" s="136"/>
      <c r="EN171" s="136"/>
      <c r="EO171" s="136"/>
      <c r="EP171" s="136"/>
      <c r="EQ171" s="136"/>
      <c r="ER171" s="136"/>
      <c r="ES171" s="136"/>
      <c r="ET171" s="136"/>
      <c r="EU171" s="136"/>
      <c r="EV171" s="136"/>
      <c r="EW171" s="136"/>
      <c r="EX171" s="136"/>
      <c r="EY171" s="136"/>
      <c r="EZ171" s="136"/>
      <c r="FA171" s="136"/>
      <c r="FB171" s="136"/>
      <c r="FC171" s="136"/>
      <c r="FD171" s="136"/>
      <c r="FE171" s="136"/>
      <c r="FF171" s="136"/>
      <c r="FG171" s="136"/>
      <c r="FH171" s="136"/>
      <c r="FI171" s="136"/>
      <c r="FJ171" s="136"/>
      <c r="FK171" s="136"/>
      <c r="FL171" s="136"/>
      <c r="FM171" s="136"/>
      <c r="FN171" s="136"/>
      <c r="FO171" s="136"/>
      <c r="FP171" s="136"/>
      <c r="FQ171" s="136"/>
      <c r="FR171" s="136"/>
      <c r="FS171" s="136"/>
      <c r="FT171" s="136"/>
      <c r="FU171" s="136"/>
      <c r="FV171" s="136"/>
      <c r="FW171" s="136"/>
      <c r="FX171" s="136"/>
      <c r="FY171" s="136"/>
      <c r="FZ171" s="136"/>
      <c r="GA171" s="136"/>
      <c r="GB171" s="136"/>
      <c r="GC171" s="136"/>
      <c r="GD171" s="136"/>
      <c r="GE171" s="136"/>
      <c r="GF171" s="136"/>
      <c r="GG171" s="136"/>
      <c r="GH171" s="136"/>
      <c r="GI171" s="136"/>
      <c r="GJ171" s="136"/>
      <c r="GK171" s="136"/>
      <c r="GL171" s="136"/>
      <c r="GM171" s="136"/>
      <c r="GN171" s="136"/>
      <c r="GO171" s="136"/>
      <c r="GP171" s="136"/>
      <c r="GQ171" s="136"/>
      <c r="GR171" s="136"/>
      <c r="GS171" s="136"/>
      <c r="GT171" s="136"/>
      <c r="GU171" s="136"/>
      <c r="GV171" s="136"/>
      <c r="GW171" s="136"/>
      <c r="GX171" s="136"/>
      <c r="GY171" s="136"/>
      <c r="GZ171" s="136"/>
      <c r="HA171" s="136"/>
      <c r="HB171" s="136"/>
      <c r="HC171" s="136"/>
      <c r="HD171" s="136"/>
      <c r="HE171" s="136"/>
      <c r="HF171" s="136"/>
      <c r="HG171" s="136"/>
      <c r="HH171" s="136"/>
      <c r="HI171" s="136"/>
      <c r="HJ171" s="136"/>
      <c r="HK171" s="136"/>
      <c r="HL171" s="136"/>
      <c r="HM171" s="136"/>
      <c r="HN171" s="136"/>
      <c r="HO171" s="136"/>
      <c r="HP171" s="136"/>
      <c r="HQ171" s="136"/>
      <c r="HR171" s="136"/>
      <c r="HS171" s="136"/>
      <c r="HT171" s="136"/>
      <c r="HU171" s="136"/>
      <c r="HV171" s="136"/>
      <c r="HW171" s="136"/>
      <c r="HX171" s="136"/>
      <c r="HY171" s="136"/>
      <c r="HZ171" s="136"/>
      <c r="IA171" s="136"/>
      <c r="IB171" s="136"/>
      <c r="IC171" s="136"/>
      <c r="ID171" s="136"/>
      <c r="IE171" s="136"/>
      <c r="IF171" s="136"/>
      <c r="IG171" s="136"/>
      <c r="IH171" s="136"/>
      <c r="II171" s="136"/>
      <c r="IJ171" s="136"/>
      <c r="IK171" s="136"/>
      <c r="IL171" s="136"/>
      <c r="IM171" s="136"/>
      <c r="IN171" s="136"/>
      <c r="IO171" s="136"/>
      <c r="IP171" s="136"/>
      <c r="IQ171" s="136"/>
      <c r="IR171" s="136"/>
      <c r="IS171" s="136"/>
      <c r="IT171" s="136"/>
      <c r="IU171" s="136"/>
    </row>
    <row r="172" spans="1:255" s="1" customFormat="1" ht="48" customHeight="1" x14ac:dyDescent="0.2">
      <c r="A172" s="242" t="str">
        <f>'HECVAT - Full'!A172</f>
        <v>DCTR-14</v>
      </c>
      <c r="B172" s="242" t="str">
        <f>VLOOKUP(A172,'HECVAT - Full'!A$24:B$312,2,FALSE)</f>
        <v>Is the service hosted in a high availability environment?</v>
      </c>
      <c r="C172" s="243" t="s">
        <v>2874</v>
      </c>
      <c r="D172" s="253" t="s">
        <v>2875</v>
      </c>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row>
    <row r="173" spans="1:255" ht="48" customHeight="1" x14ac:dyDescent="0.2">
      <c r="A173" s="242" t="str">
        <f>'HECVAT - Full'!A173</f>
        <v>DCTR-15</v>
      </c>
      <c r="B173" s="242" t="str">
        <f>VLOOKUP(A173,'HECVAT - Full'!A$24:B$312,2,FALSE)</f>
        <v xml:space="preserve">Is redundant power available for all datacenters where institution data will reside? </v>
      </c>
      <c r="C173" s="243" t="s">
        <v>2874</v>
      </c>
      <c r="D173" s="253" t="s">
        <v>2875</v>
      </c>
      <c r="E173" s="136"/>
      <c r="F173" s="136"/>
      <c r="G173" s="136"/>
      <c r="H173" s="136"/>
      <c r="I173" s="136"/>
      <c r="J173" s="136"/>
      <c r="K173" s="136"/>
      <c r="L173" s="136"/>
      <c r="M173" s="136"/>
      <c r="N173" s="136"/>
      <c r="O173" s="136"/>
      <c r="P173" s="136"/>
      <c r="Q173" s="136"/>
      <c r="R173" s="136"/>
      <c r="S173" s="136"/>
      <c r="T173" s="136"/>
      <c r="U173" s="136"/>
      <c r="V173" s="136"/>
      <c r="W173" s="136"/>
      <c r="X173" s="136"/>
      <c r="Y173" s="136"/>
      <c r="Z173" s="136"/>
      <c r="AA173" s="136"/>
      <c r="AB173" s="136"/>
      <c r="AC173" s="136"/>
      <c r="AD173" s="136"/>
      <c r="AE173" s="136"/>
      <c r="AF173" s="136"/>
      <c r="AG173" s="136"/>
      <c r="AH173" s="136"/>
      <c r="AI173" s="136"/>
      <c r="AJ173" s="136"/>
      <c r="AK173" s="136"/>
      <c r="AL173" s="136"/>
      <c r="AM173" s="136"/>
      <c r="AN173" s="136"/>
      <c r="AO173" s="136"/>
      <c r="AP173" s="136"/>
      <c r="AQ173" s="136"/>
      <c r="AR173" s="136"/>
      <c r="AS173" s="136"/>
      <c r="AT173" s="136"/>
      <c r="AU173" s="136"/>
      <c r="AV173" s="136"/>
      <c r="AW173" s="136"/>
      <c r="AX173" s="136"/>
      <c r="AY173" s="136"/>
      <c r="AZ173" s="136"/>
      <c r="BA173" s="136"/>
      <c r="BB173" s="136"/>
      <c r="BC173" s="136"/>
      <c r="BD173" s="136"/>
      <c r="BE173" s="136"/>
      <c r="BF173" s="136"/>
      <c r="BG173" s="136"/>
      <c r="BH173" s="136"/>
      <c r="BI173" s="136"/>
      <c r="BJ173" s="136"/>
      <c r="BK173" s="136"/>
      <c r="BL173" s="136"/>
      <c r="BM173" s="136"/>
      <c r="BN173" s="136"/>
      <c r="BO173" s="136"/>
      <c r="BP173" s="136"/>
      <c r="BQ173" s="136"/>
      <c r="BR173" s="136"/>
      <c r="BS173" s="136"/>
      <c r="BT173" s="136"/>
      <c r="BU173" s="136"/>
      <c r="BV173" s="136"/>
      <c r="BW173" s="136"/>
      <c r="BX173" s="136"/>
      <c r="BY173" s="136"/>
      <c r="BZ173" s="136"/>
      <c r="CA173" s="136"/>
      <c r="CB173" s="136"/>
      <c r="CC173" s="136"/>
      <c r="CD173" s="136"/>
      <c r="CE173" s="136"/>
      <c r="CF173" s="136"/>
      <c r="CG173" s="136"/>
      <c r="CH173" s="136"/>
      <c r="CI173" s="136"/>
      <c r="CJ173" s="136"/>
      <c r="CK173" s="136"/>
      <c r="CL173" s="136"/>
      <c r="CM173" s="136"/>
      <c r="CN173" s="136"/>
      <c r="CO173" s="136"/>
      <c r="CP173" s="136"/>
      <c r="CQ173" s="136"/>
      <c r="CR173" s="136"/>
      <c r="CS173" s="136"/>
      <c r="CT173" s="136"/>
      <c r="CU173" s="136"/>
      <c r="CV173" s="136"/>
      <c r="CW173" s="136"/>
      <c r="CX173" s="136"/>
      <c r="CY173" s="136"/>
      <c r="CZ173" s="136"/>
      <c r="DA173" s="136"/>
      <c r="DB173" s="136"/>
      <c r="DC173" s="136"/>
      <c r="DD173" s="136"/>
      <c r="DE173" s="136"/>
      <c r="DF173" s="136"/>
      <c r="DG173" s="136"/>
      <c r="DH173" s="136"/>
      <c r="DI173" s="136"/>
      <c r="DJ173" s="136"/>
      <c r="DK173" s="136"/>
      <c r="DL173" s="136"/>
      <c r="DM173" s="136"/>
      <c r="DN173" s="136"/>
      <c r="DO173" s="136"/>
      <c r="DP173" s="136"/>
      <c r="DQ173" s="136"/>
      <c r="DR173" s="136"/>
      <c r="DS173" s="136"/>
      <c r="DT173" s="136"/>
      <c r="DU173" s="136"/>
      <c r="DV173" s="136"/>
      <c r="DW173" s="136"/>
      <c r="DX173" s="136"/>
      <c r="DY173" s="136"/>
      <c r="DZ173" s="136"/>
      <c r="EA173" s="136"/>
      <c r="EB173" s="136"/>
      <c r="EC173" s="136"/>
      <c r="ED173" s="136"/>
      <c r="EE173" s="136"/>
      <c r="EF173" s="136"/>
      <c r="EG173" s="136"/>
      <c r="EH173" s="136"/>
      <c r="EI173" s="136"/>
      <c r="EJ173" s="136"/>
      <c r="EK173" s="136"/>
      <c r="EL173" s="136"/>
      <c r="EM173" s="136"/>
      <c r="EN173" s="136"/>
      <c r="EO173" s="136"/>
      <c r="EP173" s="136"/>
      <c r="EQ173" s="136"/>
      <c r="ER173" s="136"/>
      <c r="ES173" s="136"/>
      <c r="ET173" s="136"/>
      <c r="EU173" s="136"/>
      <c r="EV173" s="136"/>
      <c r="EW173" s="136"/>
      <c r="EX173" s="136"/>
      <c r="EY173" s="136"/>
      <c r="EZ173" s="136"/>
      <c r="FA173" s="136"/>
      <c r="FB173" s="136"/>
      <c r="FC173" s="136"/>
      <c r="FD173" s="136"/>
      <c r="FE173" s="136"/>
      <c r="FF173" s="136"/>
      <c r="FG173" s="136"/>
      <c r="FH173" s="136"/>
      <c r="FI173" s="136"/>
      <c r="FJ173" s="136"/>
      <c r="FK173" s="136"/>
      <c r="FL173" s="136"/>
      <c r="FM173" s="136"/>
      <c r="FN173" s="136"/>
      <c r="FO173" s="136"/>
      <c r="FP173" s="136"/>
      <c r="FQ173" s="136"/>
      <c r="FR173" s="136"/>
      <c r="FS173" s="136"/>
      <c r="FT173" s="136"/>
      <c r="FU173" s="136"/>
      <c r="FV173" s="136"/>
      <c r="FW173" s="136"/>
      <c r="FX173" s="136"/>
      <c r="FY173" s="136"/>
      <c r="FZ173" s="136"/>
      <c r="GA173" s="136"/>
      <c r="GB173" s="136"/>
      <c r="GC173" s="136"/>
      <c r="GD173" s="136"/>
      <c r="GE173" s="136"/>
      <c r="GF173" s="136"/>
      <c r="GG173" s="136"/>
      <c r="GH173" s="136"/>
      <c r="GI173" s="136"/>
      <c r="GJ173" s="136"/>
      <c r="GK173" s="136"/>
      <c r="GL173" s="136"/>
      <c r="GM173" s="136"/>
      <c r="GN173" s="136"/>
      <c r="GO173" s="136"/>
      <c r="GP173" s="136"/>
      <c r="GQ173" s="136"/>
      <c r="GR173" s="136"/>
      <c r="GS173" s="136"/>
      <c r="GT173" s="136"/>
      <c r="GU173" s="136"/>
      <c r="GV173" s="136"/>
      <c r="GW173" s="136"/>
      <c r="GX173" s="136"/>
      <c r="GY173" s="136"/>
      <c r="GZ173" s="136"/>
      <c r="HA173" s="136"/>
      <c r="HB173" s="136"/>
      <c r="HC173" s="136"/>
      <c r="HD173" s="136"/>
      <c r="HE173" s="136"/>
      <c r="HF173" s="136"/>
      <c r="HG173" s="136"/>
      <c r="HH173" s="136"/>
      <c r="HI173" s="136"/>
      <c r="HJ173" s="136"/>
      <c r="HK173" s="136"/>
      <c r="HL173" s="136"/>
      <c r="HM173" s="136"/>
      <c r="HN173" s="136"/>
      <c r="HO173" s="136"/>
      <c r="HP173" s="136"/>
      <c r="HQ173" s="136"/>
      <c r="HR173" s="136"/>
      <c r="HS173" s="136"/>
      <c r="HT173" s="136"/>
      <c r="HU173" s="136"/>
      <c r="HV173" s="136"/>
      <c r="HW173" s="136"/>
      <c r="HX173" s="136"/>
      <c r="HY173" s="136"/>
      <c r="HZ173" s="136"/>
      <c r="IA173" s="136"/>
      <c r="IB173" s="136"/>
      <c r="IC173" s="136"/>
      <c r="ID173" s="136"/>
      <c r="IE173" s="136"/>
      <c r="IF173" s="136"/>
      <c r="IG173" s="136"/>
      <c r="IH173" s="136"/>
      <c r="II173" s="136"/>
      <c r="IJ173" s="136"/>
      <c r="IK173" s="136"/>
      <c r="IL173" s="136"/>
      <c r="IM173" s="136"/>
      <c r="IN173" s="136"/>
      <c r="IO173" s="136"/>
      <c r="IP173" s="136"/>
      <c r="IQ173" s="136"/>
      <c r="IR173" s="136"/>
      <c r="IS173" s="136"/>
      <c r="IT173" s="136"/>
      <c r="IU173" s="136"/>
    </row>
    <row r="174" spans="1:255" ht="75" x14ac:dyDescent="0.2">
      <c r="A174" s="242" t="str">
        <f>'HECVAT - Full'!A174</f>
        <v>DCTR-16</v>
      </c>
      <c r="B174" s="242" t="str">
        <f>VLOOKUP(A174,'HECVAT - Full'!A$24:B$312,2,FALSE)</f>
        <v>Are redundant power strategies tested?</v>
      </c>
      <c r="C174" s="243" t="s">
        <v>2876</v>
      </c>
      <c r="D174" s="250" t="s">
        <v>2877</v>
      </c>
      <c r="E174" s="136"/>
      <c r="F174" s="136"/>
      <c r="G174" s="136"/>
      <c r="H174" s="136"/>
      <c r="I174" s="136"/>
      <c r="J174" s="136"/>
      <c r="K174" s="136"/>
      <c r="L174" s="136"/>
      <c r="M174" s="136"/>
      <c r="N174" s="136"/>
      <c r="O174" s="136"/>
      <c r="P174" s="136"/>
      <c r="Q174" s="136"/>
      <c r="R174" s="136"/>
      <c r="S174" s="136"/>
      <c r="T174" s="136"/>
      <c r="U174" s="136"/>
      <c r="V174" s="136"/>
      <c r="W174" s="136"/>
      <c r="X174" s="136"/>
      <c r="Y174" s="136"/>
      <c r="Z174" s="136"/>
      <c r="AA174" s="136"/>
      <c r="AB174" s="136"/>
      <c r="AC174" s="136"/>
      <c r="AD174" s="136"/>
      <c r="AE174" s="136"/>
      <c r="AF174" s="136"/>
      <c r="AG174" s="136"/>
      <c r="AH174" s="136"/>
      <c r="AI174" s="136"/>
      <c r="AJ174" s="136"/>
      <c r="AK174" s="136"/>
      <c r="AL174" s="136"/>
      <c r="AM174" s="136"/>
      <c r="AN174" s="136"/>
      <c r="AO174" s="136"/>
      <c r="AP174" s="136"/>
      <c r="AQ174" s="136"/>
      <c r="AR174" s="136"/>
      <c r="AS174" s="136"/>
      <c r="AT174" s="136"/>
      <c r="AU174" s="136"/>
      <c r="AV174" s="136"/>
      <c r="AW174" s="136"/>
      <c r="AX174" s="136"/>
      <c r="AY174" s="136"/>
      <c r="AZ174" s="136"/>
      <c r="BA174" s="136"/>
      <c r="BB174" s="136"/>
      <c r="BC174" s="136"/>
      <c r="BD174" s="136"/>
      <c r="BE174" s="136"/>
      <c r="BF174" s="136"/>
      <c r="BG174" s="136"/>
      <c r="BH174" s="136"/>
      <c r="BI174" s="136"/>
      <c r="BJ174" s="136"/>
      <c r="BK174" s="136"/>
      <c r="BL174" s="136"/>
      <c r="BM174" s="136"/>
      <c r="BN174" s="136"/>
      <c r="BO174" s="136"/>
      <c r="BP174" s="136"/>
      <c r="BQ174" s="136"/>
      <c r="BR174" s="136"/>
      <c r="BS174" s="136"/>
      <c r="BT174" s="136"/>
      <c r="BU174" s="136"/>
      <c r="BV174" s="136"/>
      <c r="BW174" s="136"/>
      <c r="BX174" s="136"/>
      <c r="BY174" s="136"/>
      <c r="BZ174" s="136"/>
      <c r="CA174" s="136"/>
      <c r="CB174" s="136"/>
      <c r="CC174" s="136"/>
      <c r="CD174" s="136"/>
      <c r="CE174" s="136"/>
      <c r="CF174" s="136"/>
      <c r="CG174" s="136"/>
      <c r="CH174" s="136"/>
      <c r="CI174" s="136"/>
      <c r="CJ174" s="136"/>
      <c r="CK174" s="136"/>
      <c r="CL174" s="136"/>
      <c r="CM174" s="136"/>
      <c r="CN174" s="136"/>
      <c r="CO174" s="136"/>
      <c r="CP174" s="136"/>
      <c r="CQ174" s="136"/>
      <c r="CR174" s="136"/>
      <c r="CS174" s="136"/>
      <c r="CT174" s="136"/>
      <c r="CU174" s="136"/>
      <c r="CV174" s="136"/>
      <c r="CW174" s="136"/>
      <c r="CX174" s="136"/>
      <c r="CY174" s="136"/>
      <c r="CZ174" s="136"/>
      <c r="DA174" s="136"/>
      <c r="DB174" s="136"/>
      <c r="DC174" s="136"/>
      <c r="DD174" s="136"/>
      <c r="DE174" s="136"/>
      <c r="DF174" s="136"/>
      <c r="DG174" s="136"/>
      <c r="DH174" s="136"/>
      <c r="DI174" s="136"/>
      <c r="DJ174" s="136"/>
      <c r="DK174" s="136"/>
      <c r="DL174" s="136"/>
      <c r="DM174" s="136"/>
      <c r="DN174" s="136"/>
      <c r="DO174" s="136"/>
      <c r="DP174" s="136"/>
      <c r="DQ174" s="136"/>
      <c r="DR174" s="136"/>
      <c r="DS174" s="136"/>
      <c r="DT174" s="136"/>
      <c r="DU174" s="136"/>
      <c r="DV174" s="136"/>
      <c r="DW174" s="136"/>
      <c r="DX174" s="136"/>
      <c r="DY174" s="136"/>
      <c r="DZ174" s="136"/>
      <c r="EA174" s="136"/>
      <c r="EB174" s="136"/>
      <c r="EC174" s="136"/>
      <c r="ED174" s="136"/>
      <c r="EE174" s="136"/>
      <c r="EF174" s="136"/>
      <c r="EG174" s="136"/>
      <c r="EH174" s="136"/>
      <c r="EI174" s="136"/>
      <c r="EJ174" s="136"/>
      <c r="EK174" s="136"/>
      <c r="EL174" s="136"/>
      <c r="EM174" s="136"/>
      <c r="EN174" s="136"/>
      <c r="EO174" s="136"/>
      <c r="EP174" s="136"/>
      <c r="EQ174" s="136"/>
      <c r="ER174" s="136"/>
      <c r="ES174" s="136"/>
      <c r="ET174" s="136"/>
      <c r="EU174" s="136"/>
      <c r="EV174" s="136"/>
      <c r="EW174" s="136"/>
      <c r="EX174" s="136"/>
      <c r="EY174" s="136"/>
      <c r="EZ174" s="136"/>
      <c r="FA174" s="136"/>
      <c r="FB174" s="136"/>
      <c r="FC174" s="136"/>
      <c r="FD174" s="136"/>
      <c r="FE174" s="136"/>
      <c r="FF174" s="136"/>
      <c r="FG174" s="136"/>
      <c r="FH174" s="136"/>
      <c r="FI174" s="136"/>
      <c r="FJ174" s="136"/>
      <c r="FK174" s="136"/>
      <c r="FL174" s="136"/>
      <c r="FM174" s="136"/>
      <c r="FN174" s="136"/>
      <c r="FO174" s="136"/>
      <c r="FP174" s="136"/>
      <c r="FQ174" s="136"/>
      <c r="FR174" s="136"/>
      <c r="FS174" s="136"/>
      <c r="FT174" s="136"/>
      <c r="FU174" s="136"/>
      <c r="FV174" s="136"/>
      <c r="FW174" s="136"/>
      <c r="FX174" s="136"/>
      <c r="FY174" s="136"/>
      <c r="FZ174" s="136"/>
      <c r="GA174" s="136"/>
      <c r="GB174" s="136"/>
      <c r="GC174" s="136"/>
      <c r="GD174" s="136"/>
      <c r="GE174" s="136"/>
      <c r="GF174" s="136"/>
      <c r="GG174" s="136"/>
      <c r="GH174" s="136"/>
      <c r="GI174" s="136"/>
      <c r="GJ174" s="136"/>
      <c r="GK174" s="136"/>
      <c r="GL174" s="136"/>
      <c r="GM174" s="136"/>
      <c r="GN174" s="136"/>
      <c r="GO174" s="136"/>
      <c r="GP174" s="136"/>
      <c r="GQ174" s="136"/>
      <c r="GR174" s="136"/>
      <c r="GS174" s="136"/>
      <c r="GT174" s="136"/>
      <c r="GU174" s="136"/>
      <c r="GV174" s="136"/>
      <c r="GW174" s="136"/>
      <c r="GX174" s="136"/>
      <c r="GY174" s="136"/>
      <c r="GZ174" s="136"/>
      <c r="HA174" s="136"/>
      <c r="HB174" s="136"/>
      <c r="HC174" s="136"/>
      <c r="HD174" s="136"/>
      <c r="HE174" s="136"/>
      <c r="HF174" s="136"/>
      <c r="HG174" s="136"/>
      <c r="HH174" s="136"/>
      <c r="HI174" s="136"/>
      <c r="HJ174" s="136"/>
      <c r="HK174" s="136"/>
      <c r="HL174" s="136"/>
      <c r="HM174" s="136"/>
      <c r="HN174" s="136"/>
      <c r="HO174" s="136"/>
      <c r="HP174" s="136"/>
      <c r="HQ174" s="136"/>
      <c r="HR174" s="136"/>
      <c r="HS174" s="136"/>
      <c r="HT174" s="136"/>
      <c r="HU174" s="136"/>
      <c r="HV174" s="136"/>
      <c r="HW174" s="136"/>
      <c r="HX174" s="136"/>
      <c r="HY174" s="136"/>
      <c r="HZ174" s="136"/>
      <c r="IA174" s="136"/>
      <c r="IB174" s="136"/>
      <c r="IC174" s="136"/>
      <c r="ID174" s="136"/>
      <c r="IE174" s="136"/>
      <c r="IF174" s="136"/>
      <c r="IG174" s="136"/>
      <c r="IH174" s="136"/>
      <c r="II174" s="136"/>
      <c r="IJ174" s="136"/>
      <c r="IK174" s="136"/>
      <c r="IL174" s="136"/>
      <c r="IM174" s="136"/>
      <c r="IN174" s="136"/>
      <c r="IO174" s="136"/>
      <c r="IP174" s="136"/>
      <c r="IQ174" s="136"/>
      <c r="IR174" s="136"/>
      <c r="IS174" s="136"/>
      <c r="IT174" s="136"/>
      <c r="IU174" s="136"/>
    </row>
    <row r="175" spans="1:255" ht="80.25" customHeight="1" x14ac:dyDescent="0.2">
      <c r="A175" s="242" t="str">
        <f>'HECVAT - Full'!A175</f>
        <v>DCTR-17</v>
      </c>
      <c r="B175" s="242" t="str">
        <f>VLOOKUP(A175,'HECVAT - Full'!A$24:B$312,2,FALSE)</f>
        <v>Describe or provide a reference to the availability of cooling and fire suppression systems in all datacenters where institution data will reside.</v>
      </c>
      <c r="C175" s="243" t="s">
        <v>2878</v>
      </c>
      <c r="D175" s="250" t="s">
        <v>2879</v>
      </c>
      <c r="E175" s="136"/>
      <c r="F175" s="136"/>
      <c r="G175" s="136"/>
      <c r="H175" s="136"/>
      <c r="I175" s="136"/>
      <c r="J175" s="136"/>
      <c r="K175" s="136"/>
      <c r="L175" s="136"/>
      <c r="M175" s="136"/>
      <c r="N175" s="136"/>
      <c r="O175" s="136"/>
      <c r="P175" s="136"/>
      <c r="Q175" s="136"/>
      <c r="R175" s="136"/>
      <c r="S175" s="136"/>
      <c r="T175" s="136"/>
      <c r="U175" s="136"/>
      <c r="V175" s="136"/>
      <c r="W175" s="136"/>
      <c r="X175" s="136"/>
      <c r="Y175" s="136"/>
      <c r="Z175" s="136"/>
      <c r="AA175" s="136"/>
      <c r="AB175" s="136"/>
      <c r="AC175" s="136"/>
      <c r="AD175" s="136"/>
      <c r="AE175" s="136"/>
      <c r="AF175" s="136"/>
      <c r="AG175" s="136"/>
      <c r="AH175" s="136"/>
      <c r="AI175" s="136"/>
      <c r="AJ175" s="136"/>
      <c r="AK175" s="136"/>
      <c r="AL175" s="136"/>
      <c r="AM175" s="136"/>
      <c r="AN175" s="136"/>
      <c r="AO175" s="136"/>
      <c r="AP175" s="136"/>
      <c r="AQ175" s="136"/>
      <c r="AR175" s="136"/>
      <c r="AS175" s="136"/>
      <c r="AT175" s="136"/>
      <c r="AU175" s="136"/>
      <c r="AV175" s="136"/>
      <c r="AW175" s="136"/>
      <c r="AX175" s="136"/>
      <c r="AY175" s="136"/>
      <c r="AZ175" s="136"/>
      <c r="BA175" s="136"/>
      <c r="BB175" s="136"/>
      <c r="BC175" s="136"/>
      <c r="BD175" s="136"/>
      <c r="BE175" s="136"/>
      <c r="BF175" s="136"/>
      <c r="BG175" s="136"/>
      <c r="BH175" s="136"/>
      <c r="BI175" s="136"/>
      <c r="BJ175" s="136"/>
      <c r="BK175" s="136"/>
      <c r="BL175" s="136"/>
      <c r="BM175" s="136"/>
      <c r="BN175" s="136"/>
      <c r="BO175" s="136"/>
      <c r="BP175" s="136"/>
      <c r="BQ175" s="136"/>
      <c r="BR175" s="136"/>
      <c r="BS175" s="136"/>
      <c r="BT175" s="136"/>
      <c r="BU175" s="136"/>
      <c r="BV175" s="136"/>
      <c r="BW175" s="136"/>
      <c r="BX175" s="136"/>
      <c r="BY175" s="136"/>
      <c r="BZ175" s="136"/>
      <c r="CA175" s="136"/>
      <c r="CB175" s="136"/>
      <c r="CC175" s="136"/>
      <c r="CD175" s="136"/>
      <c r="CE175" s="136"/>
      <c r="CF175" s="136"/>
      <c r="CG175" s="136"/>
      <c r="CH175" s="136"/>
      <c r="CI175" s="136"/>
      <c r="CJ175" s="136"/>
      <c r="CK175" s="136"/>
      <c r="CL175" s="136"/>
      <c r="CM175" s="136"/>
      <c r="CN175" s="136"/>
      <c r="CO175" s="136"/>
      <c r="CP175" s="136"/>
      <c r="CQ175" s="136"/>
      <c r="CR175" s="136"/>
      <c r="CS175" s="136"/>
      <c r="CT175" s="136"/>
      <c r="CU175" s="136"/>
      <c r="CV175" s="136"/>
      <c r="CW175" s="136"/>
      <c r="CX175" s="136"/>
      <c r="CY175" s="136"/>
      <c r="CZ175" s="136"/>
      <c r="DA175" s="136"/>
      <c r="DB175" s="136"/>
      <c r="DC175" s="136"/>
      <c r="DD175" s="136"/>
      <c r="DE175" s="136"/>
      <c r="DF175" s="136"/>
      <c r="DG175" s="136"/>
      <c r="DH175" s="136"/>
      <c r="DI175" s="136"/>
      <c r="DJ175" s="136"/>
      <c r="DK175" s="136"/>
      <c r="DL175" s="136"/>
      <c r="DM175" s="136"/>
      <c r="DN175" s="136"/>
      <c r="DO175" s="136"/>
      <c r="DP175" s="136"/>
      <c r="DQ175" s="136"/>
      <c r="DR175" s="136"/>
      <c r="DS175" s="136"/>
      <c r="DT175" s="136"/>
      <c r="DU175" s="136"/>
      <c r="DV175" s="136"/>
      <c r="DW175" s="136"/>
      <c r="DX175" s="136"/>
      <c r="DY175" s="136"/>
      <c r="DZ175" s="136"/>
      <c r="EA175" s="136"/>
      <c r="EB175" s="136"/>
      <c r="EC175" s="136"/>
      <c r="ED175" s="136"/>
      <c r="EE175" s="136"/>
      <c r="EF175" s="136"/>
      <c r="EG175" s="136"/>
      <c r="EH175" s="136"/>
      <c r="EI175" s="136"/>
      <c r="EJ175" s="136"/>
      <c r="EK175" s="136"/>
      <c r="EL175" s="136"/>
      <c r="EM175" s="136"/>
      <c r="EN175" s="136"/>
      <c r="EO175" s="136"/>
      <c r="EP175" s="136"/>
      <c r="EQ175" s="136"/>
      <c r="ER175" s="136"/>
      <c r="ES175" s="136"/>
      <c r="ET175" s="136"/>
      <c r="EU175" s="136"/>
      <c r="EV175" s="136"/>
      <c r="EW175" s="136"/>
      <c r="EX175" s="136"/>
      <c r="EY175" s="136"/>
      <c r="EZ175" s="136"/>
      <c r="FA175" s="136"/>
      <c r="FB175" s="136"/>
      <c r="FC175" s="136"/>
      <c r="FD175" s="136"/>
      <c r="FE175" s="136"/>
      <c r="FF175" s="136"/>
      <c r="FG175" s="136"/>
      <c r="FH175" s="136"/>
      <c r="FI175" s="136"/>
      <c r="FJ175" s="136"/>
      <c r="FK175" s="136"/>
      <c r="FL175" s="136"/>
      <c r="FM175" s="136"/>
      <c r="FN175" s="136"/>
      <c r="FO175" s="136"/>
      <c r="FP175" s="136"/>
      <c r="FQ175" s="136"/>
      <c r="FR175" s="136"/>
      <c r="FS175" s="136"/>
      <c r="FT175" s="136"/>
      <c r="FU175" s="136"/>
      <c r="FV175" s="136"/>
      <c r="FW175" s="136"/>
      <c r="FX175" s="136"/>
      <c r="FY175" s="136"/>
      <c r="FZ175" s="136"/>
      <c r="GA175" s="136"/>
      <c r="GB175" s="136"/>
      <c r="GC175" s="136"/>
      <c r="GD175" s="136"/>
      <c r="GE175" s="136"/>
      <c r="GF175" s="136"/>
      <c r="GG175" s="136"/>
      <c r="GH175" s="136"/>
      <c r="GI175" s="136"/>
      <c r="GJ175" s="136"/>
      <c r="GK175" s="136"/>
      <c r="GL175" s="136"/>
      <c r="GM175" s="136"/>
      <c r="GN175" s="136"/>
      <c r="GO175" s="136"/>
      <c r="GP175" s="136"/>
      <c r="GQ175" s="136"/>
      <c r="GR175" s="136"/>
      <c r="GS175" s="136"/>
      <c r="GT175" s="136"/>
      <c r="GU175" s="136"/>
      <c r="GV175" s="136"/>
      <c r="GW175" s="136"/>
      <c r="GX175" s="136"/>
      <c r="GY175" s="136"/>
      <c r="GZ175" s="136"/>
      <c r="HA175" s="136"/>
      <c r="HB175" s="136"/>
      <c r="HC175" s="136"/>
      <c r="HD175" s="136"/>
      <c r="HE175" s="136"/>
      <c r="HF175" s="136"/>
      <c r="HG175" s="136"/>
      <c r="HH175" s="136"/>
      <c r="HI175" s="136"/>
      <c r="HJ175" s="136"/>
      <c r="HK175" s="136"/>
      <c r="HL175" s="136"/>
      <c r="HM175" s="136"/>
      <c r="HN175" s="136"/>
      <c r="HO175" s="136"/>
      <c r="HP175" s="136"/>
      <c r="HQ175" s="136"/>
      <c r="HR175" s="136"/>
      <c r="HS175" s="136"/>
      <c r="HT175" s="136"/>
      <c r="HU175" s="136"/>
      <c r="HV175" s="136"/>
      <c r="HW175" s="136"/>
      <c r="HX175" s="136"/>
      <c r="HY175" s="136"/>
      <c r="HZ175" s="136"/>
      <c r="IA175" s="136"/>
      <c r="IB175" s="136"/>
      <c r="IC175" s="136"/>
      <c r="ID175" s="136"/>
      <c r="IE175" s="136"/>
      <c r="IF175" s="136"/>
      <c r="IG175" s="136"/>
      <c r="IH175" s="136"/>
      <c r="II175" s="136"/>
      <c r="IJ175" s="136"/>
      <c r="IK175" s="136"/>
      <c r="IL175" s="136"/>
      <c r="IM175" s="136"/>
      <c r="IN175" s="136"/>
      <c r="IO175" s="136"/>
      <c r="IP175" s="136"/>
      <c r="IQ175" s="136"/>
      <c r="IR175" s="136"/>
      <c r="IS175" s="136"/>
      <c r="IT175" s="136"/>
      <c r="IU175" s="136"/>
    </row>
    <row r="176" spans="1:255" ht="48" customHeight="1" x14ac:dyDescent="0.2">
      <c r="A176" s="242" t="str">
        <f>'HECVAT - Full'!A176</f>
        <v>DCTR-18</v>
      </c>
      <c r="B176" s="242" t="str">
        <f>VLOOKUP(A176,'HECVAT - Full'!A$24:B$312,2,FALSE)</f>
        <v xml:space="preserve">State how many Internet Service Providers (ISPs) provide connectivity to each datacenter where the institution's data will reside. </v>
      </c>
      <c r="C176" s="243" t="s">
        <v>2874</v>
      </c>
      <c r="D176" s="253" t="s">
        <v>2875</v>
      </c>
      <c r="E176" s="136"/>
      <c r="F176" s="136"/>
      <c r="G176" s="136"/>
      <c r="H176" s="136"/>
      <c r="I176" s="136"/>
      <c r="J176" s="136"/>
      <c r="K176" s="136"/>
      <c r="L176" s="136"/>
      <c r="M176" s="136"/>
      <c r="N176" s="136"/>
      <c r="O176" s="136"/>
      <c r="P176" s="136"/>
      <c r="Q176" s="136"/>
      <c r="R176" s="136"/>
      <c r="S176" s="136"/>
      <c r="T176" s="136"/>
      <c r="U176" s="136"/>
      <c r="V176" s="136"/>
      <c r="W176" s="136"/>
      <c r="X176" s="136"/>
      <c r="Y176" s="136"/>
      <c r="Z176" s="136"/>
      <c r="AA176" s="136"/>
      <c r="AB176" s="136"/>
      <c r="AC176" s="136"/>
      <c r="AD176" s="136"/>
      <c r="AE176" s="136"/>
      <c r="AF176" s="136"/>
      <c r="AG176" s="136"/>
      <c r="AH176" s="136"/>
      <c r="AI176" s="136"/>
      <c r="AJ176" s="136"/>
      <c r="AK176" s="136"/>
      <c r="AL176" s="136"/>
      <c r="AM176" s="136"/>
      <c r="AN176" s="136"/>
      <c r="AO176" s="136"/>
      <c r="AP176" s="136"/>
      <c r="AQ176" s="136"/>
      <c r="AR176" s="136"/>
      <c r="AS176" s="136"/>
      <c r="AT176" s="136"/>
      <c r="AU176" s="136"/>
      <c r="AV176" s="136"/>
      <c r="AW176" s="136"/>
      <c r="AX176" s="136"/>
      <c r="AY176" s="136"/>
      <c r="AZ176" s="136"/>
      <c r="BA176" s="136"/>
      <c r="BB176" s="136"/>
      <c r="BC176" s="136"/>
      <c r="BD176" s="136"/>
      <c r="BE176" s="136"/>
      <c r="BF176" s="136"/>
      <c r="BG176" s="136"/>
      <c r="BH176" s="136"/>
      <c r="BI176" s="136"/>
      <c r="BJ176" s="136"/>
      <c r="BK176" s="136"/>
      <c r="BL176" s="136"/>
      <c r="BM176" s="136"/>
      <c r="BN176" s="136"/>
      <c r="BO176" s="136"/>
      <c r="BP176" s="136"/>
      <c r="BQ176" s="136"/>
      <c r="BR176" s="136"/>
      <c r="BS176" s="136"/>
      <c r="BT176" s="136"/>
      <c r="BU176" s="136"/>
      <c r="BV176" s="136"/>
      <c r="BW176" s="136"/>
      <c r="BX176" s="136"/>
      <c r="BY176" s="136"/>
      <c r="BZ176" s="136"/>
      <c r="CA176" s="136"/>
      <c r="CB176" s="136"/>
      <c r="CC176" s="136"/>
      <c r="CD176" s="136"/>
      <c r="CE176" s="136"/>
      <c r="CF176" s="136"/>
      <c r="CG176" s="136"/>
      <c r="CH176" s="136"/>
      <c r="CI176" s="136"/>
      <c r="CJ176" s="136"/>
      <c r="CK176" s="136"/>
      <c r="CL176" s="136"/>
      <c r="CM176" s="136"/>
      <c r="CN176" s="136"/>
      <c r="CO176" s="136"/>
      <c r="CP176" s="136"/>
      <c r="CQ176" s="136"/>
      <c r="CR176" s="136"/>
      <c r="CS176" s="136"/>
      <c r="CT176" s="136"/>
      <c r="CU176" s="136"/>
      <c r="CV176" s="136"/>
      <c r="CW176" s="136"/>
      <c r="CX176" s="136"/>
      <c r="CY176" s="136"/>
      <c r="CZ176" s="136"/>
      <c r="DA176" s="136"/>
      <c r="DB176" s="136"/>
      <c r="DC176" s="136"/>
      <c r="DD176" s="136"/>
      <c r="DE176" s="136"/>
      <c r="DF176" s="136"/>
      <c r="DG176" s="136"/>
      <c r="DH176" s="136"/>
      <c r="DI176" s="136"/>
      <c r="DJ176" s="136"/>
      <c r="DK176" s="136"/>
      <c r="DL176" s="136"/>
      <c r="DM176" s="136"/>
      <c r="DN176" s="136"/>
      <c r="DO176" s="136"/>
      <c r="DP176" s="136"/>
      <c r="DQ176" s="136"/>
      <c r="DR176" s="136"/>
      <c r="DS176" s="136"/>
      <c r="DT176" s="136"/>
      <c r="DU176" s="136"/>
      <c r="DV176" s="136"/>
      <c r="DW176" s="136"/>
      <c r="DX176" s="136"/>
      <c r="DY176" s="136"/>
      <c r="DZ176" s="136"/>
      <c r="EA176" s="136"/>
      <c r="EB176" s="136"/>
      <c r="EC176" s="136"/>
      <c r="ED176" s="136"/>
      <c r="EE176" s="136"/>
      <c r="EF176" s="136"/>
      <c r="EG176" s="136"/>
      <c r="EH176" s="136"/>
      <c r="EI176" s="136"/>
      <c r="EJ176" s="136"/>
      <c r="EK176" s="136"/>
      <c r="EL176" s="136"/>
      <c r="EM176" s="136"/>
      <c r="EN176" s="136"/>
      <c r="EO176" s="136"/>
      <c r="EP176" s="136"/>
      <c r="EQ176" s="136"/>
      <c r="ER176" s="136"/>
      <c r="ES176" s="136"/>
      <c r="ET176" s="136"/>
      <c r="EU176" s="136"/>
      <c r="EV176" s="136"/>
      <c r="EW176" s="136"/>
      <c r="EX176" s="136"/>
      <c r="EY176" s="136"/>
      <c r="EZ176" s="136"/>
      <c r="FA176" s="136"/>
      <c r="FB176" s="136"/>
      <c r="FC176" s="136"/>
      <c r="FD176" s="136"/>
      <c r="FE176" s="136"/>
      <c r="FF176" s="136"/>
      <c r="FG176" s="136"/>
      <c r="FH176" s="136"/>
      <c r="FI176" s="136"/>
      <c r="FJ176" s="136"/>
      <c r="FK176" s="136"/>
      <c r="FL176" s="136"/>
      <c r="FM176" s="136"/>
      <c r="FN176" s="136"/>
      <c r="FO176" s="136"/>
      <c r="FP176" s="136"/>
      <c r="FQ176" s="136"/>
      <c r="FR176" s="136"/>
      <c r="FS176" s="136"/>
      <c r="FT176" s="136"/>
      <c r="FU176" s="136"/>
      <c r="FV176" s="136"/>
      <c r="FW176" s="136"/>
      <c r="FX176" s="136"/>
      <c r="FY176" s="136"/>
      <c r="FZ176" s="136"/>
      <c r="GA176" s="136"/>
      <c r="GB176" s="136"/>
      <c r="GC176" s="136"/>
      <c r="GD176" s="136"/>
      <c r="GE176" s="136"/>
      <c r="GF176" s="136"/>
      <c r="GG176" s="136"/>
      <c r="GH176" s="136"/>
      <c r="GI176" s="136"/>
      <c r="GJ176" s="136"/>
      <c r="GK176" s="136"/>
      <c r="GL176" s="136"/>
      <c r="GM176" s="136"/>
      <c r="GN176" s="136"/>
      <c r="GO176" s="136"/>
      <c r="GP176" s="136"/>
      <c r="GQ176" s="136"/>
      <c r="GR176" s="136"/>
      <c r="GS176" s="136"/>
      <c r="GT176" s="136"/>
      <c r="GU176" s="136"/>
      <c r="GV176" s="136"/>
      <c r="GW176" s="136"/>
      <c r="GX176" s="136"/>
      <c r="GY176" s="136"/>
      <c r="GZ176" s="136"/>
      <c r="HA176" s="136"/>
      <c r="HB176" s="136"/>
      <c r="HC176" s="136"/>
      <c r="HD176" s="136"/>
      <c r="HE176" s="136"/>
      <c r="HF176" s="136"/>
      <c r="HG176" s="136"/>
      <c r="HH176" s="136"/>
      <c r="HI176" s="136"/>
      <c r="HJ176" s="136"/>
      <c r="HK176" s="136"/>
      <c r="HL176" s="136"/>
      <c r="HM176" s="136"/>
      <c r="HN176" s="136"/>
      <c r="HO176" s="136"/>
      <c r="HP176" s="136"/>
      <c r="HQ176" s="136"/>
      <c r="HR176" s="136"/>
      <c r="HS176" s="136"/>
      <c r="HT176" s="136"/>
      <c r="HU176" s="136"/>
      <c r="HV176" s="136"/>
      <c r="HW176" s="136"/>
      <c r="HX176" s="136"/>
      <c r="HY176" s="136"/>
      <c r="HZ176" s="136"/>
      <c r="IA176" s="136"/>
      <c r="IB176" s="136"/>
      <c r="IC176" s="136"/>
      <c r="ID176" s="136"/>
      <c r="IE176" s="136"/>
      <c r="IF176" s="136"/>
      <c r="IG176" s="136"/>
      <c r="IH176" s="136"/>
      <c r="II176" s="136"/>
      <c r="IJ176" s="136"/>
      <c r="IK176" s="136"/>
      <c r="IL176" s="136"/>
      <c r="IM176" s="136"/>
      <c r="IN176" s="136"/>
      <c r="IO176" s="136"/>
      <c r="IP176" s="136"/>
      <c r="IQ176" s="136"/>
      <c r="IR176" s="136"/>
      <c r="IS176" s="136"/>
      <c r="IT176" s="136"/>
      <c r="IU176" s="136"/>
    </row>
    <row r="177" spans="1:255" ht="48" customHeight="1" x14ac:dyDescent="0.2">
      <c r="A177" s="242" t="str">
        <f>'HECVAT - Full'!A177</f>
        <v>DCTR-19</v>
      </c>
      <c r="B177" s="242" t="str">
        <f>VLOOKUP(A177,'HECVAT - Full'!A$24:B$312,2,FALSE)</f>
        <v>Does every datacenter where the Institution's data will reside have multiple telephone company or network provider entrances to the facility?</v>
      </c>
      <c r="C177" s="243" t="s">
        <v>2874</v>
      </c>
      <c r="D177" s="253" t="s">
        <v>2875</v>
      </c>
      <c r="E177" s="136"/>
      <c r="F177" s="136"/>
      <c r="G177" s="136"/>
      <c r="H177" s="136"/>
      <c r="I177" s="136"/>
      <c r="J177" s="136"/>
      <c r="K177" s="136"/>
      <c r="L177" s="136"/>
      <c r="M177" s="136"/>
      <c r="N177" s="136"/>
      <c r="O177" s="136"/>
      <c r="P177" s="136"/>
      <c r="Q177" s="136"/>
      <c r="R177" s="136"/>
      <c r="S177" s="136"/>
      <c r="T177" s="136"/>
      <c r="U177" s="136"/>
      <c r="V177" s="136"/>
      <c r="W177" s="136"/>
      <c r="X177" s="136"/>
      <c r="Y177" s="136"/>
      <c r="Z177" s="136"/>
      <c r="AA177" s="136"/>
      <c r="AB177" s="136"/>
      <c r="AC177" s="136"/>
      <c r="AD177" s="136"/>
      <c r="AE177" s="136"/>
      <c r="AF177" s="136"/>
      <c r="AG177" s="136"/>
      <c r="AH177" s="136"/>
      <c r="AI177" s="136"/>
      <c r="AJ177" s="136"/>
      <c r="AK177" s="136"/>
      <c r="AL177" s="136"/>
      <c r="AM177" s="136"/>
      <c r="AN177" s="136"/>
      <c r="AO177" s="136"/>
      <c r="AP177" s="136"/>
      <c r="AQ177" s="136"/>
      <c r="AR177" s="136"/>
      <c r="AS177" s="136"/>
      <c r="AT177" s="136"/>
      <c r="AU177" s="136"/>
      <c r="AV177" s="136"/>
      <c r="AW177" s="136"/>
      <c r="AX177" s="136"/>
      <c r="AY177" s="136"/>
      <c r="AZ177" s="136"/>
      <c r="BA177" s="136"/>
      <c r="BB177" s="136"/>
      <c r="BC177" s="136"/>
      <c r="BD177" s="136"/>
      <c r="BE177" s="136"/>
      <c r="BF177" s="136"/>
      <c r="BG177" s="136"/>
      <c r="BH177" s="136"/>
      <c r="BI177" s="136"/>
      <c r="BJ177" s="136"/>
      <c r="BK177" s="136"/>
      <c r="BL177" s="136"/>
      <c r="BM177" s="136"/>
      <c r="BN177" s="136"/>
      <c r="BO177" s="136"/>
      <c r="BP177" s="136"/>
      <c r="BQ177" s="136"/>
      <c r="BR177" s="136"/>
      <c r="BS177" s="136"/>
      <c r="BT177" s="136"/>
      <c r="BU177" s="136"/>
      <c r="BV177" s="136"/>
      <c r="BW177" s="136"/>
      <c r="BX177" s="136"/>
      <c r="BY177" s="136"/>
      <c r="BZ177" s="136"/>
      <c r="CA177" s="136"/>
      <c r="CB177" s="136"/>
      <c r="CC177" s="136"/>
      <c r="CD177" s="136"/>
      <c r="CE177" s="136"/>
      <c r="CF177" s="136"/>
      <c r="CG177" s="136"/>
      <c r="CH177" s="136"/>
      <c r="CI177" s="136"/>
      <c r="CJ177" s="136"/>
      <c r="CK177" s="136"/>
      <c r="CL177" s="136"/>
      <c r="CM177" s="136"/>
      <c r="CN177" s="136"/>
      <c r="CO177" s="136"/>
      <c r="CP177" s="136"/>
      <c r="CQ177" s="136"/>
      <c r="CR177" s="136"/>
      <c r="CS177" s="136"/>
      <c r="CT177" s="136"/>
      <c r="CU177" s="136"/>
      <c r="CV177" s="136"/>
      <c r="CW177" s="136"/>
      <c r="CX177" s="136"/>
      <c r="CY177" s="136"/>
      <c r="CZ177" s="136"/>
      <c r="DA177" s="136"/>
      <c r="DB177" s="136"/>
      <c r="DC177" s="136"/>
      <c r="DD177" s="136"/>
      <c r="DE177" s="136"/>
      <c r="DF177" s="136"/>
      <c r="DG177" s="136"/>
      <c r="DH177" s="136"/>
      <c r="DI177" s="136"/>
      <c r="DJ177" s="136"/>
      <c r="DK177" s="136"/>
      <c r="DL177" s="136"/>
      <c r="DM177" s="136"/>
      <c r="DN177" s="136"/>
      <c r="DO177" s="136"/>
      <c r="DP177" s="136"/>
      <c r="DQ177" s="136"/>
      <c r="DR177" s="136"/>
      <c r="DS177" s="136"/>
      <c r="DT177" s="136"/>
      <c r="DU177" s="136"/>
      <c r="DV177" s="136"/>
      <c r="DW177" s="136"/>
      <c r="DX177" s="136"/>
      <c r="DY177" s="136"/>
      <c r="DZ177" s="136"/>
      <c r="EA177" s="136"/>
      <c r="EB177" s="136"/>
      <c r="EC177" s="136"/>
      <c r="ED177" s="136"/>
      <c r="EE177" s="136"/>
      <c r="EF177" s="136"/>
      <c r="EG177" s="136"/>
      <c r="EH177" s="136"/>
      <c r="EI177" s="136"/>
      <c r="EJ177" s="136"/>
      <c r="EK177" s="136"/>
      <c r="EL177" s="136"/>
      <c r="EM177" s="136"/>
      <c r="EN177" s="136"/>
      <c r="EO177" s="136"/>
      <c r="EP177" s="136"/>
      <c r="EQ177" s="136"/>
      <c r="ER177" s="136"/>
      <c r="ES177" s="136"/>
      <c r="ET177" s="136"/>
      <c r="EU177" s="136"/>
      <c r="EV177" s="136"/>
      <c r="EW177" s="136"/>
      <c r="EX177" s="136"/>
      <c r="EY177" s="136"/>
      <c r="EZ177" s="136"/>
      <c r="FA177" s="136"/>
      <c r="FB177" s="136"/>
      <c r="FC177" s="136"/>
      <c r="FD177" s="136"/>
      <c r="FE177" s="136"/>
      <c r="FF177" s="136"/>
      <c r="FG177" s="136"/>
      <c r="FH177" s="136"/>
      <c r="FI177" s="136"/>
      <c r="FJ177" s="136"/>
      <c r="FK177" s="136"/>
      <c r="FL177" s="136"/>
      <c r="FM177" s="136"/>
      <c r="FN177" s="136"/>
      <c r="FO177" s="136"/>
      <c r="FP177" s="136"/>
      <c r="FQ177" s="136"/>
      <c r="FR177" s="136"/>
      <c r="FS177" s="136"/>
      <c r="FT177" s="136"/>
      <c r="FU177" s="136"/>
      <c r="FV177" s="136"/>
      <c r="FW177" s="136"/>
      <c r="FX177" s="136"/>
      <c r="FY177" s="136"/>
      <c r="FZ177" s="136"/>
      <c r="GA177" s="136"/>
      <c r="GB177" s="136"/>
      <c r="GC177" s="136"/>
      <c r="GD177" s="136"/>
      <c r="GE177" s="136"/>
      <c r="GF177" s="136"/>
      <c r="GG177" s="136"/>
      <c r="GH177" s="136"/>
      <c r="GI177" s="136"/>
      <c r="GJ177" s="136"/>
      <c r="GK177" s="136"/>
      <c r="GL177" s="136"/>
      <c r="GM177" s="136"/>
      <c r="GN177" s="136"/>
      <c r="GO177" s="136"/>
      <c r="GP177" s="136"/>
      <c r="GQ177" s="136"/>
      <c r="GR177" s="136"/>
      <c r="GS177" s="136"/>
      <c r="GT177" s="136"/>
      <c r="GU177" s="136"/>
      <c r="GV177" s="136"/>
      <c r="GW177" s="136"/>
      <c r="GX177" s="136"/>
      <c r="GY177" s="136"/>
      <c r="GZ177" s="136"/>
      <c r="HA177" s="136"/>
      <c r="HB177" s="136"/>
      <c r="HC177" s="136"/>
      <c r="HD177" s="136"/>
      <c r="HE177" s="136"/>
      <c r="HF177" s="136"/>
      <c r="HG177" s="136"/>
      <c r="HH177" s="136"/>
      <c r="HI177" s="136"/>
      <c r="HJ177" s="136"/>
      <c r="HK177" s="136"/>
      <c r="HL177" s="136"/>
      <c r="HM177" s="136"/>
      <c r="HN177" s="136"/>
      <c r="HO177" s="136"/>
      <c r="HP177" s="136"/>
      <c r="HQ177" s="136"/>
      <c r="HR177" s="136"/>
      <c r="HS177" s="136"/>
      <c r="HT177" s="136"/>
      <c r="HU177" s="136"/>
      <c r="HV177" s="136"/>
      <c r="HW177" s="136"/>
      <c r="HX177" s="136"/>
      <c r="HY177" s="136"/>
      <c r="HZ177" s="136"/>
      <c r="IA177" s="136"/>
      <c r="IB177" s="136"/>
      <c r="IC177" s="136"/>
      <c r="ID177" s="136"/>
      <c r="IE177" s="136"/>
      <c r="IF177" s="136"/>
      <c r="IG177" s="136"/>
      <c r="IH177" s="136"/>
      <c r="II177" s="136"/>
      <c r="IJ177" s="136"/>
      <c r="IK177" s="136"/>
      <c r="IL177" s="136"/>
      <c r="IM177" s="136"/>
      <c r="IN177" s="136"/>
      <c r="IO177" s="136"/>
      <c r="IP177" s="136"/>
      <c r="IQ177" s="136"/>
      <c r="IR177" s="136"/>
      <c r="IS177" s="136"/>
      <c r="IT177" s="136"/>
      <c r="IU177" s="136"/>
    </row>
    <row r="178" spans="1:255" ht="36" customHeight="1" x14ac:dyDescent="0.2">
      <c r="A178" s="335" t="str">
        <f>IF(OR($C$28="No",$C$30="Yes"),"DRP - Respond to as many questions below as possible.","Disaster Recovery Plan")</f>
        <v>Disaster Recovery Plan</v>
      </c>
      <c r="B178" s="335"/>
      <c r="C178" s="240" t="str">
        <f>$C$22</f>
        <v>Reason for Question</v>
      </c>
      <c r="D178" s="240" t="str">
        <f>$D$22</f>
        <v>Follow-up Inquiries/Responses</v>
      </c>
      <c r="E178" s="136"/>
      <c r="F178" s="136"/>
      <c r="G178" s="136"/>
      <c r="H178" s="136"/>
      <c r="I178" s="136"/>
      <c r="J178" s="136"/>
      <c r="K178" s="136"/>
      <c r="L178" s="136"/>
      <c r="M178" s="136"/>
      <c r="N178" s="136"/>
      <c r="O178" s="136"/>
      <c r="P178" s="136"/>
      <c r="Q178" s="136"/>
      <c r="R178" s="136"/>
      <c r="S178" s="136"/>
      <c r="T178" s="136"/>
      <c r="U178" s="136"/>
      <c r="V178" s="136"/>
      <c r="W178" s="136"/>
      <c r="X178" s="136"/>
      <c r="Y178" s="136"/>
      <c r="Z178" s="136"/>
      <c r="AA178" s="136"/>
      <c r="AB178" s="136"/>
      <c r="AC178" s="136"/>
      <c r="AD178" s="136"/>
      <c r="AE178" s="136"/>
      <c r="AF178" s="136"/>
      <c r="AG178" s="136"/>
      <c r="AH178" s="136"/>
      <c r="AI178" s="136"/>
      <c r="AJ178" s="136"/>
      <c r="AK178" s="136"/>
      <c r="AL178" s="136"/>
      <c r="AM178" s="136"/>
      <c r="AN178" s="136"/>
      <c r="AO178" s="136"/>
      <c r="AP178" s="136"/>
      <c r="AQ178" s="136"/>
      <c r="AR178" s="136"/>
      <c r="AS178" s="136"/>
      <c r="AT178" s="136"/>
      <c r="AU178" s="136"/>
      <c r="AV178" s="136"/>
      <c r="AW178" s="136"/>
      <c r="AX178" s="136"/>
      <c r="AY178" s="136"/>
      <c r="AZ178" s="136"/>
      <c r="BA178" s="136"/>
      <c r="BB178" s="136"/>
      <c r="BC178" s="136"/>
      <c r="BD178" s="136"/>
      <c r="BE178" s="136"/>
      <c r="BF178" s="136"/>
      <c r="BG178" s="136"/>
      <c r="BH178" s="136"/>
      <c r="BI178" s="136"/>
      <c r="BJ178" s="136"/>
      <c r="BK178" s="136"/>
      <c r="BL178" s="136"/>
      <c r="BM178" s="136"/>
      <c r="BN178" s="136"/>
      <c r="BO178" s="136"/>
      <c r="BP178" s="136"/>
      <c r="BQ178" s="136"/>
      <c r="BR178" s="136"/>
      <c r="BS178" s="136"/>
      <c r="BT178" s="136"/>
      <c r="BU178" s="136"/>
      <c r="BV178" s="136"/>
      <c r="BW178" s="136"/>
      <c r="BX178" s="136"/>
      <c r="BY178" s="136"/>
      <c r="BZ178" s="136"/>
      <c r="CA178" s="136"/>
      <c r="CB178" s="136"/>
      <c r="CC178" s="136"/>
      <c r="CD178" s="136"/>
      <c r="CE178" s="136"/>
      <c r="CF178" s="136"/>
      <c r="CG178" s="136"/>
      <c r="CH178" s="136"/>
      <c r="CI178" s="136"/>
      <c r="CJ178" s="136"/>
      <c r="CK178" s="136"/>
      <c r="CL178" s="136"/>
      <c r="CM178" s="136"/>
      <c r="CN178" s="136"/>
      <c r="CO178" s="136"/>
      <c r="CP178" s="136"/>
      <c r="CQ178" s="136"/>
      <c r="CR178" s="136"/>
      <c r="CS178" s="136"/>
      <c r="CT178" s="136"/>
      <c r="CU178" s="136"/>
      <c r="CV178" s="136"/>
      <c r="CW178" s="136"/>
      <c r="CX178" s="136"/>
      <c r="CY178" s="136"/>
      <c r="CZ178" s="136"/>
      <c r="DA178" s="136"/>
      <c r="DB178" s="136"/>
      <c r="DC178" s="136"/>
      <c r="DD178" s="136"/>
      <c r="DE178" s="136"/>
      <c r="DF178" s="136"/>
      <c r="DG178" s="136"/>
      <c r="DH178" s="136"/>
      <c r="DI178" s="136"/>
      <c r="DJ178" s="136"/>
      <c r="DK178" s="136"/>
      <c r="DL178" s="136"/>
      <c r="DM178" s="136"/>
      <c r="DN178" s="136"/>
      <c r="DO178" s="136"/>
      <c r="DP178" s="136"/>
      <c r="DQ178" s="136"/>
      <c r="DR178" s="136"/>
      <c r="DS178" s="136"/>
      <c r="DT178" s="136"/>
      <c r="DU178" s="136"/>
      <c r="DV178" s="136"/>
      <c r="DW178" s="136"/>
      <c r="DX178" s="136"/>
      <c r="DY178" s="136"/>
      <c r="DZ178" s="136"/>
      <c r="EA178" s="136"/>
      <c r="EB178" s="136"/>
      <c r="EC178" s="136"/>
      <c r="ED178" s="136"/>
      <c r="EE178" s="136"/>
      <c r="EF178" s="136"/>
      <c r="EG178" s="136"/>
      <c r="EH178" s="136"/>
      <c r="EI178" s="136"/>
      <c r="EJ178" s="136"/>
      <c r="EK178" s="136"/>
      <c r="EL178" s="136"/>
      <c r="EM178" s="136"/>
      <c r="EN178" s="136"/>
      <c r="EO178" s="136"/>
      <c r="EP178" s="136"/>
      <c r="EQ178" s="136"/>
      <c r="ER178" s="136"/>
      <c r="ES178" s="136"/>
      <c r="ET178" s="136"/>
      <c r="EU178" s="136"/>
      <c r="EV178" s="136"/>
      <c r="EW178" s="136"/>
      <c r="EX178" s="136"/>
      <c r="EY178" s="136"/>
      <c r="EZ178" s="136"/>
      <c r="FA178" s="136"/>
      <c r="FB178" s="136"/>
      <c r="FC178" s="136"/>
      <c r="FD178" s="136"/>
      <c r="FE178" s="136"/>
      <c r="FF178" s="136"/>
      <c r="FG178" s="136"/>
      <c r="FH178" s="136"/>
      <c r="FI178" s="136"/>
      <c r="FJ178" s="136"/>
      <c r="FK178" s="136"/>
      <c r="FL178" s="136"/>
      <c r="FM178" s="136"/>
      <c r="FN178" s="136"/>
      <c r="FO178" s="136"/>
      <c r="FP178" s="136"/>
      <c r="FQ178" s="136"/>
      <c r="FR178" s="136"/>
      <c r="FS178" s="136"/>
      <c r="FT178" s="136"/>
      <c r="FU178" s="136"/>
      <c r="FV178" s="136"/>
      <c r="FW178" s="136"/>
      <c r="FX178" s="136"/>
      <c r="FY178" s="136"/>
      <c r="FZ178" s="136"/>
      <c r="GA178" s="136"/>
      <c r="GB178" s="136"/>
      <c r="GC178" s="136"/>
      <c r="GD178" s="136"/>
      <c r="GE178" s="136"/>
      <c r="GF178" s="136"/>
      <c r="GG178" s="136"/>
      <c r="GH178" s="136"/>
      <c r="GI178" s="136"/>
      <c r="GJ178" s="136"/>
      <c r="GK178" s="136"/>
      <c r="GL178" s="136"/>
      <c r="GM178" s="136"/>
      <c r="GN178" s="136"/>
      <c r="GO178" s="136"/>
      <c r="GP178" s="136"/>
      <c r="GQ178" s="136"/>
      <c r="GR178" s="136"/>
      <c r="GS178" s="136"/>
      <c r="GT178" s="136"/>
      <c r="GU178" s="136"/>
      <c r="GV178" s="136"/>
      <c r="GW178" s="136"/>
      <c r="GX178" s="136"/>
      <c r="GY178" s="136"/>
      <c r="GZ178" s="136"/>
      <c r="HA178" s="136"/>
      <c r="HB178" s="136"/>
      <c r="HC178" s="136"/>
      <c r="HD178" s="136"/>
      <c r="HE178" s="136"/>
      <c r="HF178" s="136"/>
      <c r="HG178" s="136"/>
      <c r="HH178" s="136"/>
      <c r="HI178" s="136"/>
      <c r="HJ178" s="136"/>
      <c r="HK178" s="136"/>
      <c r="HL178" s="136"/>
      <c r="HM178" s="136"/>
      <c r="HN178" s="136"/>
      <c r="HO178" s="136"/>
      <c r="HP178" s="136"/>
      <c r="HQ178" s="136"/>
      <c r="HR178" s="136"/>
      <c r="HS178" s="136"/>
      <c r="HT178" s="136"/>
      <c r="HU178" s="136"/>
      <c r="HV178" s="136"/>
      <c r="HW178" s="136"/>
      <c r="HX178" s="136"/>
      <c r="HY178" s="136"/>
      <c r="HZ178" s="136"/>
      <c r="IA178" s="136"/>
      <c r="IB178" s="136"/>
      <c r="IC178" s="136"/>
      <c r="ID178" s="136"/>
      <c r="IE178" s="136"/>
      <c r="IF178" s="136"/>
      <c r="IG178" s="136"/>
      <c r="IH178" s="136"/>
      <c r="II178" s="136"/>
      <c r="IJ178" s="136"/>
      <c r="IK178" s="136"/>
      <c r="IL178" s="136"/>
      <c r="IM178" s="136"/>
      <c r="IN178" s="136"/>
      <c r="IO178" s="136"/>
      <c r="IP178" s="136"/>
      <c r="IQ178" s="136"/>
      <c r="IR178" s="136"/>
      <c r="IS178" s="136"/>
      <c r="IT178" s="136"/>
      <c r="IU178" s="136"/>
    </row>
    <row r="179" spans="1:255" ht="111.75" customHeight="1" x14ac:dyDescent="0.2">
      <c r="A179" s="242" t="str">
        <f>'HECVAT - Full'!A179</f>
        <v>DRPL-01</v>
      </c>
      <c r="B179" s="242" t="str">
        <f>VLOOKUP(A179,'HECVAT - Full'!A$24:B$312,2,FALSE)</f>
        <v>Describe or provide a reference to your Disaster Recovery Plan (DRP).</v>
      </c>
      <c r="C179" s="275" t="s">
        <v>3038</v>
      </c>
      <c r="D179" s="257" t="s">
        <v>2880</v>
      </c>
      <c r="E179" s="136"/>
      <c r="F179" s="136"/>
      <c r="G179" s="136"/>
      <c r="H179" s="136"/>
      <c r="I179" s="136"/>
      <c r="J179" s="136"/>
      <c r="K179" s="136"/>
      <c r="L179" s="136"/>
      <c r="M179" s="136"/>
      <c r="N179" s="136"/>
      <c r="O179" s="136"/>
      <c r="P179" s="136"/>
      <c r="Q179" s="136"/>
      <c r="R179" s="136"/>
      <c r="S179" s="136"/>
      <c r="T179" s="136"/>
      <c r="U179" s="136"/>
      <c r="V179" s="136"/>
      <c r="W179" s="136"/>
      <c r="X179" s="136"/>
      <c r="Y179" s="136"/>
      <c r="Z179" s="136"/>
      <c r="AA179" s="136"/>
      <c r="AB179" s="136"/>
      <c r="AC179" s="136"/>
      <c r="AD179" s="136"/>
      <c r="AE179" s="136"/>
      <c r="AF179" s="136"/>
      <c r="AG179" s="136"/>
      <c r="AH179" s="136"/>
      <c r="AI179" s="136"/>
      <c r="AJ179" s="136"/>
      <c r="AK179" s="136"/>
      <c r="AL179" s="136"/>
      <c r="AM179" s="136"/>
      <c r="AN179" s="136"/>
      <c r="AO179" s="136"/>
      <c r="AP179" s="136"/>
      <c r="AQ179" s="136"/>
      <c r="AR179" s="136"/>
      <c r="AS179" s="136"/>
      <c r="AT179" s="136"/>
      <c r="AU179" s="136"/>
      <c r="AV179" s="136"/>
      <c r="AW179" s="136"/>
      <c r="AX179" s="136"/>
      <c r="AY179" s="136"/>
      <c r="AZ179" s="136"/>
      <c r="BA179" s="136"/>
      <c r="BB179" s="136"/>
      <c r="BC179" s="136"/>
      <c r="BD179" s="136"/>
      <c r="BE179" s="136"/>
      <c r="BF179" s="136"/>
      <c r="BG179" s="136"/>
      <c r="BH179" s="136"/>
      <c r="BI179" s="136"/>
      <c r="BJ179" s="136"/>
      <c r="BK179" s="136"/>
      <c r="BL179" s="136"/>
      <c r="BM179" s="136"/>
      <c r="BN179" s="136"/>
      <c r="BO179" s="136"/>
      <c r="BP179" s="136"/>
      <c r="BQ179" s="136"/>
      <c r="BR179" s="136"/>
      <c r="BS179" s="136"/>
      <c r="BT179" s="136"/>
      <c r="BU179" s="136"/>
      <c r="BV179" s="136"/>
      <c r="BW179" s="136"/>
      <c r="BX179" s="136"/>
      <c r="BY179" s="136"/>
      <c r="BZ179" s="136"/>
      <c r="CA179" s="136"/>
      <c r="CB179" s="136"/>
      <c r="CC179" s="136"/>
      <c r="CD179" s="136"/>
      <c r="CE179" s="136"/>
      <c r="CF179" s="136"/>
      <c r="CG179" s="136"/>
      <c r="CH179" s="136"/>
      <c r="CI179" s="136"/>
      <c r="CJ179" s="136"/>
      <c r="CK179" s="136"/>
      <c r="CL179" s="136"/>
      <c r="CM179" s="136"/>
      <c r="CN179" s="136"/>
      <c r="CO179" s="136"/>
      <c r="CP179" s="136"/>
      <c r="CQ179" s="136"/>
      <c r="CR179" s="136"/>
      <c r="CS179" s="136"/>
      <c r="CT179" s="136"/>
      <c r="CU179" s="136"/>
      <c r="CV179" s="136"/>
      <c r="CW179" s="136"/>
      <c r="CX179" s="136"/>
      <c r="CY179" s="136"/>
      <c r="CZ179" s="136"/>
      <c r="DA179" s="136"/>
      <c r="DB179" s="136"/>
      <c r="DC179" s="136"/>
      <c r="DD179" s="136"/>
      <c r="DE179" s="136"/>
      <c r="DF179" s="136"/>
      <c r="DG179" s="136"/>
      <c r="DH179" s="136"/>
      <c r="DI179" s="136"/>
      <c r="DJ179" s="136"/>
      <c r="DK179" s="136"/>
      <c r="DL179" s="136"/>
      <c r="DM179" s="136"/>
      <c r="DN179" s="136"/>
      <c r="DO179" s="136"/>
      <c r="DP179" s="136"/>
      <c r="DQ179" s="136"/>
      <c r="DR179" s="136"/>
      <c r="DS179" s="136"/>
      <c r="DT179" s="136"/>
      <c r="DU179" s="136"/>
      <c r="DV179" s="136"/>
      <c r="DW179" s="136"/>
      <c r="DX179" s="136"/>
      <c r="DY179" s="136"/>
      <c r="DZ179" s="136"/>
      <c r="EA179" s="136"/>
      <c r="EB179" s="136"/>
      <c r="EC179" s="136"/>
      <c r="ED179" s="136"/>
      <c r="EE179" s="136"/>
      <c r="EF179" s="136"/>
      <c r="EG179" s="136"/>
      <c r="EH179" s="136"/>
      <c r="EI179" s="136"/>
      <c r="EJ179" s="136"/>
      <c r="EK179" s="136"/>
      <c r="EL179" s="136"/>
      <c r="EM179" s="136"/>
      <c r="EN179" s="136"/>
      <c r="EO179" s="136"/>
      <c r="EP179" s="136"/>
      <c r="EQ179" s="136"/>
      <c r="ER179" s="136"/>
      <c r="ES179" s="136"/>
      <c r="ET179" s="136"/>
      <c r="EU179" s="136"/>
      <c r="EV179" s="136"/>
      <c r="EW179" s="136"/>
      <c r="EX179" s="136"/>
      <c r="EY179" s="136"/>
      <c r="EZ179" s="136"/>
      <c r="FA179" s="136"/>
      <c r="FB179" s="136"/>
      <c r="FC179" s="136"/>
      <c r="FD179" s="136"/>
      <c r="FE179" s="136"/>
      <c r="FF179" s="136"/>
      <c r="FG179" s="136"/>
      <c r="FH179" s="136"/>
      <c r="FI179" s="136"/>
      <c r="FJ179" s="136"/>
      <c r="FK179" s="136"/>
      <c r="FL179" s="136"/>
      <c r="FM179" s="136"/>
      <c r="FN179" s="136"/>
      <c r="FO179" s="136"/>
      <c r="FP179" s="136"/>
      <c r="FQ179" s="136"/>
      <c r="FR179" s="136"/>
      <c r="FS179" s="136"/>
      <c r="FT179" s="136"/>
      <c r="FU179" s="136"/>
      <c r="FV179" s="136"/>
      <c r="FW179" s="136"/>
      <c r="FX179" s="136"/>
      <c r="FY179" s="136"/>
      <c r="FZ179" s="136"/>
      <c r="GA179" s="136"/>
      <c r="GB179" s="136"/>
      <c r="GC179" s="136"/>
      <c r="GD179" s="136"/>
      <c r="GE179" s="136"/>
      <c r="GF179" s="136"/>
      <c r="GG179" s="136"/>
      <c r="GH179" s="136"/>
      <c r="GI179" s="136"/>
      <c r="GJ179" s="136"/>
      <c r="GK179" s="136"/>
      <c r="GL179" s="136"/>
      <c r="GM179" s="136"/>
      <c r="GN179" s="136"/>
      <c r="GO179" s="136"/>
      <c r="GP179" s="136"/>
      <c r="GQ179" s="136"/>
      <c r="GR179" s="136"/>
      <c r="GS179" s="136"/>
      <c r="GT179" s="136"/>
      <c r="GU179" s="136"/>
      <c r="GV179" s="136"/>
      <c r="GW179" s="136"/>
      <c r="GX179" s="136"/>
      <c r="GY179" s="136"/>
      <c r="GZ179" s="136"/>
      <c r="HA179" s="136"/>
      <c r="HB179" s="136"/>
      <c r="HC179" s="136"/>
      <c r="HD179" s="136"/>
      <c r="HE179" s="136"/>
      <c r="HF179" s="136"/>
      <c r="HG179" s="136"/>
      <c r="HH179" s="136"/>
      <c r="HI179" s="136"/>
      <c r="HJ179" s="136"/>
      <c r="HK179" s="136"/>
      <c r="HL179" s="136"/>
      <c r="HM179" s="136"/>
      <c r="HN179" s="136"/>
      <c r="HO179" s="136"/>
      <c r="HP179" s="136"/>
      <c r="HQ179" s="136"/>
      <c r="HR179" s="136"/>
      <c r="HS179" s="136"/>
      <c r="HT179" s="136"/>
      <c r="HU179" s="136"/>
      <c r="HV179" s="136"/>
      <c r="HW179" s="136"/>
      <c r="HX179" s="136"/>
      <c r="HY179" s="136"/>
      <c r="HZ179" s="136"/>
      <c r="IA179" s="136"/>
      <c r="IB179" s="136"/>
      <c r="IC179" s="136"/>
      <c r="ID179" s="136"/>
      <c r="IE179" s="136"/>
      <c r="IF179" s="136"/>
      <c r="IG179" s="136"/>
      <c r="IH179" s="136"/>
      <c r="II179" s="136"/>
      <c r="IJ179" s="136"/>
      <c r="IK179" s="136"/>
      <c r="IL179" s="136"/>
      <c r="IM179" s="136"/>
      <c r="IN179" s="136"/>
      <c r="IO179" s="136"/>
      <c r="IP179" s="136"/>
      <c r="IQ179" s="136"/>
      <c r="IR179" s="136"/>
      <c r="IS179" s="136"/>
      <c r="IT179" s="136"/>
      <c r="IU179" s="136"/>
    </row>
    <row r="180" spans="1:255" ht="64.5" customHeight="1" x14ac:dyDescent="0.2">
      <c r="A180" s="242" t="str">
        <f>'HECVAT - Full'!A180</f>
        <v>DRPL-02</v>
      </c>
      <c r="B180" s="242" t="str">
        <f>VLOOKUP(A180,'HECVAT - Full'!A$24:B$312,2,FALSE)</f>
        <v>Is an owner assigned who is responsible for the maintenance and review of the DRP?</v>
      </c>
      <c r="C180" s="271" t="s">
        <v>3039</v>
      </c>
      <c r="D180" s="250" t="s">
        <v>2881</v>
      </c>
      <c r="E180" s="136"/>
      <c r="F180" s="136"/>
      <c r="G180" s="136"/>
      <c r="H180" s="136"/>
      <c r="I180" s="136"/>
      <c r="J180" s="136"/>
      <c r="K180" s="136"/>
      <c r="L180" s="136"/>
      <c r="M180" s="136"/>
      <c r="N180" s="136"/>
      <c r="O180" s="136"/>
      <c r="P180" s="136"/>
      <c r="Q180" s="136"/>
      <c r="R180" s="136"/>
      <c r="S180" s="136"/>
      <c r="T180" s="136"/>
      <c r="U180" s="136"/>
      <c r="V180" s="136"/>
      <c r="W180" s="136"/>
      <c r="X180" s="136"/>
      <c r="Y180" s="136"/>
      <c r="Z180" s="136"/>
      <c r="AA180" s="136"/>
      <c r="AB180" s="136"/>
      <c r="AC180" s="136"/>
      <c r="AD180" s="136"/>
      <c r="AE180" s="136"/>
      <c r="AF180" s="136"/>
      <c r="AG180" s="136"/>
      <c r="AH180" s="136"/>
      <c r="AI180" s="136"/>
      <c r="AJ180" s="136"/>
      <c r="AK180" s="136"/>
      <c r="AL180" s="136"/>
      <c r="AM180" s="136"/>
      <c r="AN180" s="136"/>
      <c r="AO180" s="136"/>
      <c r="AP180" s="136"/>
      <c r="AQ180" s="136"/>
      <c r="AR180" s="136"/>
      <c r="AS180" s="136"/>
      <c r="AT180" s="136"/>
      <c r="AU180" s="136"/>
      <c r="AV180" s="136"/>
      <c r="AW180" s="136"/>
      <c r="AX180" s="136"/>
      <c r="AY180" s="136"/>
      <c r="AZ180" s="136"/>
      <c r="BA180" s="136"/>
      <c r="BB180" s="136"/>
      <c r="BC180" s="136"/>
      <c r="BD180" s="136"/>
      <c r="BE180" s="136"/>
      <c r="BF180" s="136"/>
      <c r="BG180" s="136"/>
      <c r="BH180" s="136"/>
      <c r="BI180" s="136"/>
      <c r="BJ180" s="136"/>
      <c r="BK180" s="136"/>
      <c r="BL180" s="136"/>
      <c r="BM180" s="136"/>
      <c r="BN180" s="136"/>
      <c r="BO180" s="136"/>
      <c r="BP180" s="136"/>
      <c r="BQ180" s="136"/>
      <c r="BR180" s="136"/>
      <c r="BS180" s="136"/>
      <c r="BT180" s="136"/>
      <c r="BU180" s="136"/>
      <c r="BV180" s="136"/>
      <c r="BW180" s="136"/>
      <c r="BX180" s="136"/>
      <c r="BY180" s="136"/>
      <c r="BZ180" s="136"/>
      <c r="CA180" s="136"/>
      <c r="CB180" s="136"/>
      <c r="CC180" s="136"/>
      <c r="CD180" s="136"/>
      <c r="CE180" s="136"/>
      <c r="CF180" s="136"/>
      <c r="CG180" s="136"/>
      <c r="CH180" s="136"/>
      <c r="CI180" s="136"/>
      <c r="CJ180" s="136"/>
      <c r="CK180" s="136"/>
      <c r="CL180" s="136"/>
      <c r="CM180" s="136"/>
      <c r="CN180" s="136"/>
      <c r="CO180" s="136"/>
      <c r="CP180" s="136"/>
      <c r="CQ180" s="136"/>
      <c r="CR180" s="136"/>
      <c r="CS180" s="136"/>
      <c r="CT180" s="136"/>
      <c r="CU180" s="136"/>
      <c r="CV180" s="136"/>
      <c r="CW180" s="136"/>
      <c r="CX180" s="136"/>
      <c r="CY180" s="136"/>
      <c r="CZ180" s="136"/>
      <c r="DA180" s="136"/>
      <c r="DB180" s="136"/>
      <c r="DC180" s="136"/>
      <c r="DD180" s="136"/>
      <c r="DE180" s="136"/>
      <c r="DF180" s="136"/>
      <c r="DG180" s="136"/>
      <c r="DH180" s="136"/>
      <c r="DI180" s="136"/>
      <c r="DJ180" s="136"/>
      <c r="DK180" s="136"/>
      <c r="DL180" s="136"/>
      <c r="DM180" s="136"/>
      <c r="DN180" s="136"/>
      <c r="DO180" s="136"/>
      <c r="DP180" s="136"/>
      <c r="DQ180" s="136"/>
      <c r="DR180" s="136"/>
      <c r="DS180" s="136"/>
      <c r="DT180" s="136"/>
      <c r="DU180" s="136"/>
      <c r="DV180" s="136"/>
      <c r="DW180" s="136"/>
      <c r="DX180" s="136"/>
      <c r="DY180" s="136"/>
      <c r="DZ180" s="136"/>
      <c r="EA180" s="136"/>
      <c r="EB180" s="136"/>
      <c r="EC180" s="136"/>
      <c r="ED180" s="136"/>
      <c r="EE180" s="136"/>
      <c r="EF180" s="136"/>
      <c r="EG180" s="136"/>
      <c r="EH180" s="136"/>
      <c r="EI180" s="136"/>
      <c r="EJ180" s="136"/>
      <c r="EK180" s="136"/>
      <c r="EL180" s="136"/>
      <c r="EM180" s="136"/>
      <c r="EN180" s="136"/>
      <c r="EO180" s="136"/>
      <c r="EP180" s="136"/>
      <c r="EQ180" s="136"/>
      <c r="ER180" s="136"/>
      <c r="ES180" s="136"/>
      <c r="ET180" s="136"/>
      <c r="EU180" s="136"/>
      <c r="EV180" s="136"/>
      <c r="EW180" s="136"/>
      <c r="EX180" s="136"/>
      <c r="EY180" s="136"/>
      <c r="EZ180" s="136"/>
      <c r="FA180" s="136"/>
      <c r="FB180" s="136"/>
      <c r="FC180" s="136"/>
      <c r="FD180" s="136"/>
      <c r="FE180" s="136"/>
      <c r="FF180" s="136"/>
      <c r="FG180" s="136"/>
      <c r="FH180" s="136"/>
      <c r="FI180" s="136"/>
      <c r="FJ180" s="136"/>
      <c r="FK180" s="136"/>
      <c r="FL180" s="136"/>
      <c r="FM180" s="136"/>
      <c r="FN180" s="136"/>
      <c r="FO180" s="136"/>
      <c r="FP180" s="136"/>
      <c r="FQ180" s="136"/>
      <c r="FR180" s="136"/>
      <c r="FS180" s="136"/>
      <c r="FT180" s="136"/>
      <c r="FU180" s="136"/>
      <c r="FV180" s="136"/>
      <c r="FW180" s="136"/>
      <c r="FX180" s="136"/>
      <c r="FY180" s="136"/>
      <c r="FZ180" s="136"/>
      <c r="GA180" s="136"/>
      <c r="GB180" s="136"/>
      <c r="GC180" s="136"/>
      <c r="GD180" s="136"/>
      <c r="GE180" s="136"/>
      <c r="GF180" s="136"/>
      <c r="GG180" s="136"/>
      <c r="GH180" s="136"/>
      <c r="GI180" s="136"/>
      <c r="GJ180" s="136"/>
      <c r="GK180" s="136"/>
      <c r="GL180" s="136"/>
      <c r="GM180" s="136"/>
      <c r="GN180" s="136"/>
      <c r="GO180" s="136"/>
      <c r="GP180" s="136"/>
      <c r="GQ180" s="136"/>
      <c r="GR180" s="136"/>
      <c r="GS180" s="136"/>
      <c r="GT180" s="136"/>
      <c r="GU180" s="136"/>
      <c r="GV180" s="136"/>
      <c r="GW180" s="136"/>
      <c r="GX180" s="136"/>
      <c r="GY180" s="136"/>
      <c r="GZ180" s="136"/>
      <c r="HA180" s="136"/>
      <c r="HB180" s="136"/>
      <c r="HC180" s="136"/>
      <c r="HD180" s="136"/>
      <c r="HE180" s="136"/>
      <c r="HF180" s="136"/>
      <c r="HG180" s="136"/>
      <c r="HH180" s="136"/>
      <c r="HI180" s="136"/>
      <c r="HJ180" s="136"/>
      <c r="HK180" s="136"/>
      <c r="HL180" s="136"/>
      <c r="HM180" s="136"/>
      <c r="HN180" s="136"/>
      <c r="HO180" s="136"/>
      <c r="HP180" s="136"/>
      <c r="HQ180" s="136"/>
      <c r="HR180" s="136"/>
      <c r="HS180" s="136"/>
      <c r="HT180" s="136"/>
      <c r="HU180" s="136"/>
      <c r="HV180" s="136"/>
      <c r="HW180" s="136"/>
      <c r="HX180" s="136"/>
      <c r="HY180" s="136"/>
      <c r="HZ180" s="136"/>
      <c r="IA180" s="136"/>
      <c r="IB180" s="136"/>
      <c r="IC180" s="136"/>
      <c r="ID180" s="136"/>
      <c r="IE180" s="136"/>
      <c r="IF180" s="136"/>
      <c r="IG180" s="136"/>
      <c r="IH180" s="136"/>
      <c r="II180" s="136"/>
      <c r="IJ180" s="136"/>
      <c r="IK180" s="136"/>
      <c r="IL180" s="136"/>
      <c r="IM180" s="136"/>
      <c r="IN180" s="136"/>
      <c r="IO180" s="136"/>
      <c r="IP180" s="136"/>
      <c r="IQ180" s="136"/>
      <c r="IR180" s="136"/>
      <c r="IS180" s="136"/>
      <c r="IT180" s="136"/>
      <c r="IU180" s="136"/>
    </row>
    <row r="181" spans="1:255" ht="60" x14ac:dyDescent="0.2">
      <c r="A181" s="242" t="str">
        <f>'HECVAT - Full'!A181</f>
        <v>DRPL-03</v>
      </c>
      <c r="B181" s="242" t="str">
        <f>VLOOKUP(A181,'HECVAT - Full'!A$24:B$312,2,FALSE)</f>
        <v>Can the Institution review your DRP and supporting documentation?</v>
      </c>
      <c r="C181" s="271" t="s">
        <v>3040</v>
      </c>
      <c r="D181" s="253" t="s">
        <v>2882</v>
      </c>
      <c r="E181" s="136"/>
      <c r="F181" s="136"/>
      <c r="G181" s="136"/>
      <c r="H181" s="136"/>
      <c r="I181" s="136"/>
      <c r="J181" s="136"/>
      <c r="K181" s="136"/>
      <c r="L181" s="136"/>
      <c r="M181" s="136"/>
      <c r="N181" s="136"/>
      <c r="O181" s="136"/>
      <c r="P181" s="136"/>
      <c r="Q181" s="136"/>
      <c r="R181" s="136"/>
      <c r="S181" s="136"/>
      <c r="T181" s="136"/>
      <c r="U181" s="136"/>
      <c r="V181" s="136"/>
      <c r="W181" s="136"/>
      <c r="X181" s="136"/>
      <c r="Y181" s="136"/>
      <c r="Z181" s="136"/>
      <c r="AA181" s="136"/>
      <c r="AB181" s="136"/>
      <c r="AC181" s="136"/>
      <c r="AD181" s="136"/>
      <c r="AE181" s="136"/>
      <c r="AF181" s="136"/>
      <c r="AG181" s="136"/>
      <c r="AH181" s="136"/>
      <c r="AI181" s="136"/>
      <c r="AJ181" s="136"/>
      <c r="AK181" s="136"/>
      <c r="AL181" s="136"/>
      <c r="AM181" s="136"/>
      <c r="AN181" s="136"/>
      <c r="AO181" s="136"/>
      <c r="AP181" s="136"/>
      <c r="AQ181" s="136"/>
      <c r="AR181" s="136"/>
      <c r="AS181" s="136"/>
      <c r="AT181" s="136"/>
      <c r="AU181" s="136"/>
      <c r="AV181" s="136"/>
      <c r="AW181" s="136"/>
      <c r="AX181" s="136"/>
      <c r="AY181" s="136"/>
      <c r="AZ181" s="136"/>
      <c r="BA181" s="136"/>
      <c r="BB181" s="136"/>
      <c r="BC181" s="136"/>
      <c r="BD181" s="136"/>
      <c r="BE181" s="136"/>
      <c r="BF181" s="136"/>
      <c r="BG181" s="136"/>
      <c r="BH181" s="136"/>
      <c r="BI181" s="136"/>
      <c r="BJ181" s="136"/>
      <c r="BK181" s="136"/>
      <c r="BL181" s="136"/>
      <c r="BM181" s="136"/>
      <c r="BN181" s="136"/>
      <c r="BO181" s="136"/>
      <c r="BP181" s="136"/>
      <c r="BQ181" s="136"/>
      <c r="BR181" s="136"/>
      <c r="BS181" s="136"/>
      <c r="BT181" s="136"/>
      <c r="BU181" s="136"/>
      <c r="BV181" s="136"/>
      <c r="BW181" s="136"/>
      <c r="BX181" s="136"/>
      <c r="BY181" s="136"/>
      <c r="BZ181" s="136"/>
      <c r="CA181" s="136"/>
      <c r="CB181" s="136"/>
      <c r="CC181" s="136"/>
      <c r="CD181" s="136"/>
      <c r="CE181" s="136"/>
      <c r="CF181" s="136"/>
      <c r="CG181" s="136"/>
      <c r="CH181" s="136"/>
      <c r="CI181" s="136"/>
      <c r="CJ181" s="136"/>
      <c r="CK181" s="136"/>
      <c r="CL181" s="136"/>
      <c r="CM181" s="136"/>
      <c r="CN181" s="136"/>
      <c r="CO181" s="136"/>
      <c r="CP181" s="136"/>
      <c r="CQ181" s="136"/>
      <c r="CR181" s="136"/>
      <c r="CS181" s="136"/>
      <c r="CT181" s="136"/>
      <c r="CU181" s="136"/>
      <c r="CV181" s="136"/>
      <c r="CW181" s="136"/>
      <c r="CX181" s="136"/>
      <c r="CY181" s="136"/>
      <c r="CZ181" s="136"/>
      <c r="DA181" s="136"/>
      <c r="DB181" s="136"/>
      <c r="DC181" s="136"/>
      <c r="DD181" s="136"/>
      <c r="DE181" s="136"/>
      <c r="DF181" s="136"/>
      <c r="DG181" s="136"/>
      <c r="DH181" s="136"/>
      <c r="DI181" s="136"/>
      <c r="DJ181" s="136"/>
      <c r="DK181" s="136"/>
      <c r="DL181" s="136"/>
      <c r="DM181" s="136"/>
      <c r="DN181" s="136"/>
      <c r="DO181" s="136"/>
      <c r="DP181" s="136"/>
      <c r="DQ181" s="136"/>
      <c r="DR181" s="136"/>
      <c r="DS181" s="136"/>
      <c r="DT181" s="136"/>
      <c r="DU181" s="136"/>
      <c r="DV181" s="136"/>
      <c r="DW181" s="136"/>
      <c r="DX181" s="136"/>
      <c r="DY181" s="136"/>
      <c r="DZ181" s="136"/>
      <c r="EA181" s="136"/>
      <c r="EB181" s="136"/>
      <c r="EC181" s="136"/>
      <c r="ED181" s="136"/>
      <c r="EE181" s="136"/>
      <c r="EF181" s="136"/>
      <c r="EG181" s="136"/>
      <c r="EH181" s="136"/>
      <c r="EI181" s="136"/>
      <c r="EJ181" s="136"/>
      <c r="EK181" s="136"/>
      <c r="EL181" s="136"/>
      <c r="EM181" s="136"/>
      <c r="EN181" s="136"/>
      <c r="EO181" s="136"/>
      <c r="EP181" s="136"/>
      <c r="EQ181" s="136"/>
      <c r="ER181" s="136"/>
      <c r="ES181" s="136"/>
      <c r="ET181" s="136"/>
      <c r="EU181" s="136"/>
      <c r="EV181" s="136"/>
      <c r="EW181" s="136"/>
      <c r="EX181" s="136"/>
      <c r="EY181" s="136"/>
      <c r="EZ181" s="136"/>
      <c r="FA181" s="136"/>
      <c r="FB181" s="136"/>
      <c r="FC181" s="136"/>
      <c r="FD181" s="136"/>
      <c r="FE181" s="136"/>
      <c r="FF181" s="136"/>
      <c r="FG181" s="136"/>
      <c r="FH181" s="136"/>
      <c r="FI181" s="136"/>
      <c r="FJ181" s="136"/>
      <c r="FK181" s="136"/>
      <c r="FL181" s="136"/>
      <c r="FM181" s="136"/>
      <c r="FN181" s="136"/>
      <c r="FO181" s="136"/>
      <c r="FP181" s="136"/>
      <c r="FQ181" s="136"/>
      <c r="FR181" s="136"/>
      <c r="FS181" s="136"/>
      <c r="FT181" s="136"/>
      <c r="FU181" s="136"/>
      <c r="FV181" s="136"/>
      <c r="FW181" s="136"/>
      <c r="FX181" s="136"/>
      <c r="FY181" s="136"/>
      <c r="FZ181" s="136"/>
      <c r="GA181" s="136"/>
      <c r="GB181" s="136"/>
      <c r="GC181" s="136"/>
      <c r="GD181" s="136"/>
      <c r="GE181" s="136"/>
      <c r="GF181" s="136"/>
      <c r="GG181" s="136"/>
      <c r="GH181" s="136"/>
      <c r="GI181" s="136"/>
      <c r="GJ181" s="136"/>
      <c r="GK181" s="136"/>
      <c r="GL181" s="136"/>
      <c r="GM181" s="136"/>
      <c r="GN181" s="136"/>
      <c r="GO181" s="136"/>
      <c r="GP181" s="136"/>
      <c r="GQ181" s="136"/>
      <c r="GR181" s="136"/>
      <c r="GS181" s="136"/>
      <c r="GT181" s="136"/>
      <c r="GU181" s="136"/>
      <c r="GV181" s="136"/>
      <c r="GW181" s="136"/>
      <c r="GX181" s="136"/>
      <c r="GY181" s="136"/>
      <c r="GZ181" s="136"/>
      <c r="HA181" s="136"/>
      <c r="HB181" s="136"/>
      <c r="HC181" s="136"/>
      <c r="HD181" s="136"/>
      <c r="HE181" s="136"/>
      <c r="HF181" s="136"/>
      <c r="HG181" s="136"/>
      <c r="HH181" s="136"/>
      <c r="HI181" s="136"/>
      <c r="HJ181" s="136"/>
      <c r="HK181" s="136"/>
      <c r="HL181" s="136"/>
      <c r="HM181" s="136"/>
      <c r="HN181" s="136"/>
      <c r="HO181" s="136"/>
      <c r="HP181" s="136"/>
      <c r="HQ181" s="136"/>
      <c r="HR181" s="136"/>
      <c r="HS181" s="136"/>
      <c r="HT181" s="136"/>
      <c r="HU181" s="136"/>
      <c r="HV181" s="136"/>
      <c r="HW181" s="136"/>
      <c r="HX181" s="136"/>
      <c r="HY181" s="136"/>
      <c r="HZ181" s="136"/>
      <c r="IA181" s="136"/>
      <c r="IB181" s="136"/>
      <c r="IC181" s="136"/>
      <c r="ID181" s="136"/>
      <c r="IE181" s="136"/>
      <c r="IF181" s="136"/>
      <c r="IG181" s="136"/>
      <c r="IH181" s="136"/>
      <c r="II181" s="136"/>
      <c r="IJ181" s="136"/>
      <c r="IK181" s="136"/>
      <c r="IL181" s="136"/>
      <c r="IM181" s="136"/>
      <c r="IN181" s="136"/>
      <c r="IO181" s="136"/>
      <c r="IP181" s="136"/>
      <c r="IQ181" s="136"/>
      <c r="IR181" s="136"/>
      <c r="IS181" s="136"/>
      <c r="IT181" s="136"/>
      <c r="IU181" s="136"/>
    </row>
    <row r="182" spans="1:255" ht="90" x14ac:dyDescent="0.2">
      <c r="A182" s="242" t="str">
        <f>'HECVAT - Full'!A182</f>
        <v>DRPL-04</v>
      </c>
      <c r="B182" s="242" t="str">
        <f>VLOOKUP(A182,'HECVAT - Full'!A$24:B$312,2,FALSE)</f>
        <v>Are any disaster recovery locations outside the Institution's Data Zone?</v>
      </c>
      <c r="C182" s="245" t="s">
        <v>2845</v>
      </c>
      <c r="D182" s="250" t="s">
        <v>2846</v>
      </c>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c r="BA182" s="136"/>
      <c r="BB182" s="136"/>
      <c r="BC182" s="136"/>
      <c r="BD182" s="136"/>
      <c r="BE182" s="136"/>
      <c r="BF182" s="136"/>
      <c r="BG182" s="136"/>
      <c r="BH182" s="136"/>
      <c r="BI182" s="136"/>
      <c r="BJ182" s="136"/>
      <c r="BK182" s="136"/>
      <c r="BL182" s="136"/>
      <c r="BM182" s="136"/>
      <c r="BN182" s="136"/>
      <c r="BO182" s="136"/>
      <c r="BP182" s="136"/>
      <c r="BQ182" s="136"/>
      <c r="BR182" s="136"/>
      <c r="BS182" s="136"/>
      <c r="BT182" s="136"/>
      <c r="BU182" s="136"/>
      <c r="BV182" s="136"/>
      <c r="BW182" s="136"/>
      <c r="BX182" s="136"/>
      <c r="BY182" s="136"/>
      <c r="BZ182" s="136"/>
      <c r="CA182" s="136"/>
      <c r="CB182" s="136"/>
      <c r="CC182" s="136"/>
      <c r="CD182" s="136"/>
      <c r="CE182" s="136"/>
      <c r="CF182" s="136"/>
      <c r="CG182" s="136"/>
      <c r="CH182" s="136"/>
      <c r="CI182" s="136"/>
      <c r="CJ182" s="136"/>
      <c r="CK182" s="136"/>
      <c r="CL182" s="136"/>
      <c r="CM182" s="136"/>
      <c r="CN182" s="136"/>
      <c r="CO182" s="136"/>
      <c r="CP182" s="136"/>
      <c r="CQ182" s="136"/>
      <c r="CR182" s="136"/>
      <c r="CS182" s="136"/>
      <c r="CT182" s="136"/>
      <c r="CU182" s="136"/>
      <c r="CV182" s="136"/>
      <c r="CW182" s="136"/>
      <c r="CX182" s="136"/>
      <c r="CY182" s="136"/>
      <c r="CZ182" s="136"/>
      <c r="DA182" s="136"/>
      <c r="DB182" s="136"/>
      <c r="DC182" s="136"/>
      <c r="DD182" s="136"/>
      <c r="DE182" s="136"/>
      <c r="DF182" s="136"/>
      <c r="DG182" s="136"/>
      <c r="DH182" s="136"/>
      <c r="DI182" s="136"/>
      <c r="DJ182" s="136"/>
      <c r="DK182" s="136"/>
      <c r="DL182" s="136"/>
      <c r="DM182" s="136"/>
      <c r="DN182" s="136"/>
      <c r="DO182" s="136"/>
      <c r="DP182" s="136"/>
      <c r="DQ182" s="136"/>
      <c r="DR182" s="136"/>
      <c r="DS182" s="136"/>
      <c r="DT182" s="136"/>
      <c r="DU182" s="136"/>
      <c r="DV182" s="136"/>
      <c r="DW182" s="136"/>
      <c r="DX182" s="136"/>
      <c r="DY182" s="136"/>
      <c r="DZ182" s="136"/>
      <c r="EA182" s="136"/>
      <c r="EB182" s="136"/>
      <c r="EC182" s="136"/>
      <c r="ED182" s="136"/>
      <c r="EE182" s="136"/>
      <c r="EF182" s="136"/>
      <c r="EG182" s="136"/>
      <c r="EH182" s="136"/>
      <c r="EI182" s="136"/>
      <c r="EJ182" s="136"/>
      <c r="EK182" s="136"/>
      <c r="EL182" s="136"/>
      <c r="EM182" s="136"/>
      <c r="EN182" s="136"/>
      <c r="EO182" s="136"/>
      <c r="EP182" s="136"/>
      <c r="EQ182" s="136"/>
      <c r="ER182" s="136"/>
      <c r="ES182" s="136"/>
      <c r="ET182" s="136"/>
      <c r="EU182" s="136"/>
      <c r="EV182" s="136"/>
      <c r="EW182" s="136"/>
      <c r="EX182" s="136"/>
      <c r="EY182" s="136"/>
      <c r="EZ182" s="136"/>
      <c r="FA182" s="136"/>
      <c r="FB182" s="136"/>
      <c r="FC182" s="136"/>
      <c r="FD182" s="136"/>
      <c r="FE182" s="136"/>
      <c r="FF182" s="136"/>
      <c r="FG182" s="136"/>
      <c r="FH182" s="136"/>
      <c r="FI182" s="136"/>
      <c r="FJ182" s="136"/>
      <c r="FK182" s="136"/>
      <c r="FL182" s="136"/>
      <c r="FM182" s="136"/>
      <c r="FN182" s="136"/>
      <c r="FO182" s="136"/>
      <c r="FP182" s="136"/>
      <c r="FQ182" s="136"/>
      <c r="FR182" s="136"/>
      <c r="FS182" s="136"/>
      <c r="FT182" s="136"/>
      <c r="FU182" s="136"/>
      <c r="FV182" s="136"/>
      <c r="FW182" s="136"/>
      <c r="FX182" s="136"/>
      <c r="FY182" s="136"/>
      <c r="FZ182" s="136"/>
      <c r="GA182" s="136"/>
      <c r="GB182" s="136"/>
      <c r="GC182" s="136"/>
      <c r="GD182" s="136"/>
      <c r="GE182" s="136"/>
      <c r="GF182" s="136"/>
      <c r="GG182" s="136"/>
      <c r="GH182" s="136"/>
      <c r="GI182" s="136"/>
      <c r="GJ182" s="136"/>
      <c r="GK182" s="136"/>
      <c r="GL182" s="136"/>
      <c r="GM182" s="136"/>
      <c r="GN182" s="136"/>
      <c r="GO182" s="136"/>
      <c r="GP182" s="136"/>
      <c r="GQ182" s="136"/>
      <c r="GR182" s="136"/>
      <c r="GS182" s="136"/>
      <c r="GT182" s="136"/>
      <c r="GU182" s="136"/>
      <c r="GV182" s="136"/>
      <c r="GW182" s="136"/>
      <c r="GX182" s="136"/>
      <c r="GY182" s="136"/>
      <c r="GZ182" s="136"/>
      <c r="HA182" s="136"/>
      <c r="HB182" s="136"/>
      <c r="HC182" s="136"/>
      <c r="HD182" s="136"/>
      <c r="HE182" s="136"/>
      <c r="HF182" s="136"/>
      <c r="HG182" s="136"/>
      <c r="HH182" s="136"/>
      <c r="HI182" s="136"/>
      <c r="HJ182" s="136"/>
      <c r="HK182" s="136"/>
      <c r="HL182" s="136"/>
      <c r="HM182" s="136"/>
      <c r="HN182" s="136"/>
      <c r="HO182" s="136"/>
      <c r="HP182" s="136"/>
      <c r="HQ182" s="136"/>
      <c r="HR182" s="136"/>
      <c r="HS182" s="136"/>
      <c r="HT182" s="136"/>
      <c r="HU182" s="136"/>
      <c r="HV182" s="136"/>
      <c r="HW182" s="136"/>
      <c r="HX182" s="136"/>
      <c r="HY182" s="136"/>
      <c r="HZ182" s="136"/>
      <c r="IA182" s="136"/>
      <c r="IB182" s="136"/>
      <c r="IC182" s="136"/>
      <c r="ID182" s="136"/>
      <c r="IE182" s="136"/>
      <c r="IF182" s="136"/>
      <c r="IG182" s="136"/>
      <c r="IH182" s="136"/>
      <c r="II182" s="136"/>
      <c r="IJ182" s="136"/>
      <c r="IK182" s="136"/>
      <c r="IL182" s="136"/>
      <c r="IM182" s="136"/>
      <c r="IN182" s="136"/>
      <c r="IO182" s="136"/>
      <c r="IP182" s="136"/>
      <c r="IQ182" s="136"/>
      <c r="IR182" s="136"/>
      <c r="IS182" s="136"/>
      <c r="IT182" s="136"/>
      <c r="IU182" s="136"/>
    </row>
    <row r="183" spans="1:255" ht="84.75" customHeight="1" x14ac:dyDescent="0.2">
      <c r="A183" s="242" t="str">
        <f>'HECVAT - Full'!A183</f>
        <v>DRPL-05</v>
      </c>
      <c r="B183" s="242" t="str">
        <f>VLOOKUP(A183,'HECVAT - Full'!A$24:B$312,2,FALSE)</f>
        <v>Does your organization have a disaster recovery site or a contracted Disaster Recovery provider?</v>
      </c>
      <c r="C183" s="243" t="s">
        <v>2883</v>
      </c>
      <c r="D183" s="253" t="s">
        <v>2884</v>
      </c>
      <c r="E183" s="136"/>
      <c r="F183" s="136"/>
      <c r="G183" s="136"/>
      <c r="H183" s="136"/>
      <c r="I183" s="136"/>
      <c r="J183" s="136"/>
      <c r="K183" s="136"/>
      <c r="L183" s="136"/>
      <c r="M183" s="136"/>
      <c r="N183" s="136"/>
      <c r="O183" s="136"/>
      <c r="P183" s="136"/>
      <c r="Q183" s="136"/>
      <c r="R183" s="136"/>
      <c r="S183" s="136"/>
      <c r="T183" s="136"/>
      <c r="U183" s="136"/>
      <c r="V183" s="136"/>
      <c r="W183" s="136"/>
      <c r="X183" s="136"/>
      <c r="Y183" s="136"/>
      <c r="Z183" s="136"/>
      <c r="AA183" s="136"/>
      <c r="AB183" s="136"/>
      <c r="AC183" s="136"/>
      <c r="AD183" s="136"/>
      <c r="AE183" s="136"/>
      <c r="AF183" s="136"/>
      <c r="AG183" s="136"/>
      <c r="AH183" s="136"/>
      <c r="AI183" s="136"/>
      <c r="AJ183" s="136"/>
      <c r="AK183" s="136"/>
      <c r="AL183" s="136"/>
      <c r="AM183" s="136"/>
      <c r="AN183" s="136"/>
      <c r="AO183" s="136"/>
      <c r="AP183" s="136"/>
      <c r="AQ183" s="136"/>
      <c r="AR183" s="136"/>
      <c r="AS183" s="136"/>
      <c r="AT183" s="136"/>
      <c r="AU183" s="136"/>
      <c r="AV183" s="136"/>
      <c r="AW183" s="136"/>
      <c r="AX183" s="136"/>
      <c r="AY183" s="136"/>
      <c r="AZ183" s="136"/>
      <c r="BA183" s="136"/>
      <c r="BB183" s="136"/>
      <c r="BC183" s="136"/>
      <c r="BD183" s="136"/>
      <c r="BE183" s="136"/>
      <c r="BF183" s="136"/>
      <c r="BG183" s="136"/>
      <c r="BH183" s="136"/>
      <c r="BI183" s="136"/>
      <c r="BJ183" s="136"/>
      <c r="BK183" s="136"/>
      <c r="BL183" s="136"/>
      <c r="BM183" s="136"/>
      <c r="BN183" s="136"/>
      <c r="BO183" s="136"/>
      <c r="BP183" s="136"/>
      <c r="BQ183" s="136"/>
      <c r="BR183" s="136"/>
      <c r="BS183" s="136"/>
      <c r="BT183" s="136"/>
      <c r="BU183" s="136"/>
      <c r="BV183" s="136"/>
      <c r="BW183" s="136"/>
      <c r="BX183" s="136"/>
      <c r="BY183" s="136"/>
      <c r="BZ183" s="136"/>
      <c r="CA183" s="136"/>
      <c r="CB183" s="136"/>
      <c r="CC183" s="136"/>
      <c r="CD183" s="136"/>
      <c r="CE183" s="136"/>
      <c r="CF183" s="136"/>
      <c r="CG183" s="136"/>
      <c r="CH183" s="136"/>
      <c r="CI183" s="136"/>
      <c r="CJ183" s="136"/>
      <c r="CK183" s="136"/>
      <c r="CL183" s="136"/>
      <c r="CM183" s="136"/>
      <c r="CN183" s="136"/>
      <c r="CO183" s="136"/>
      <c r="CP183" s="136"/>
      <c r="CQ183" s="136"/>
      <c r="CR183" s="136"/>
      <c r="CS183" s="136"/>
      <c r="CT183" s="136"/>
      <c r="CU183" s="136"/>
      <c r="CV183" s="136"/>
      <c r="CW183" s="136"/>
      <c r="CX183" s="136"/>
      <c r="CY183" s="136"/>
      <c r="CZ183" s="136"/>
      <c r="DA183" s="136"/>
      <c r="DB183" s="136"/>
      <c r="DC183" s="136"/>
      <c r="DD183" s="136"/>
      <c r="DE183" s="136"/>
      <c r="DF183" s="136"/>
      <c r="DG183" s="136"/>
      <c r="DH183" s="136"/>
      <c r="DI183" s="136"/>
      <c r="DJ183" s="136"/>
      <c r="DK183" s="136"/>
      <c r="DL183" s="136"/>
      <c r="DM183" s="136"/>
      <c r="DN183" s="136"/>
      <c r="DO183" s="136"/>
      <c r="DP183" s="136"/>
      <c r="DQ183" s="136"/>
      <c r="DR183" s="136"/>
      <c r="DS183" s="136"/>
      <c r="DT183" s="136"/>
      <c r="DU183" s="136"/>
      <c r="DV183" s="136"/>
      <c r="DW183" s="136"/>
      <c r="DX183" s="136"/>
      <c r="DY183" s="136"/>
      <c r="DZ183" s="136"/>
      <c r="EA183" s="136"/>
      <c r="EB183" s="136"/>
      <c r="EC183" s="136"/>
      <c r="ED183" s="136"/>
      <c r="EE183" s="136"/>
      <c r="EF183" s="136"/>
      <c r="EG183" s="136"/>
      <c r="EH183" s="136"/>
      <c r="EI183" s="136"/>
      <c r="EJ183" s="136"/>
      <c r="EK183" s="136"/>
      <c r="EL183" s="136"/>
      <c r="EM183" s="136"/>
      <c r="EN183" s="136"/>
      <c r="EO183" s="136"/>
      <c r="EP183" s="136"/>
      <c r="EQ183" s="136"/>
      <c r="ER183" s="136"/>
      <c r="ES183" s="136"/>
      <c r="ET183" s="136"/>
      <c r="EU183" s="136"/>
      <c r="EV183" s="136"/>
      <c r="EW183" s="136"/>
      <c r="EX183" s="136"/>
      <c r="EY183" s="136"/>
      <c r="EZ183" s="136"/>
      <c r="FA183" s="136"/>
      <c r="FB183" s="136"/>
      <c r="FC183" s="136"/>
      <c r="FD183" s="136"/>
      <c r="FE183" s="136"/>
      <c r="FF183" s="136"/>
      <c r="FG183" s="136"/>
      <c r="FH183" s="136"/>
      <c r="FI183" s="136"/>
      <c r="FJ183" s="136"/>
      <c r="FK183" s="136"/>
      <c r="FL183" s="136"/>
      <c r="FM183" s="136"/>
      <c r="FN183" s="136"/>
      <c r="FO183" s="136"/>
      <c r="FP183" s="136"/>
      <c r="FQ183" s="136"/>
      <c r="FR183" s="136"/>
      <c r="FS183" s="136"/>
      <c r="FT183" s="136"/>
      <c r="FU183" s="136"/>
      <c r="FV183" s="136"/>
      <c r="FW183" s="136"/>
      <c r="FX183" s="136"/>
      <c r="FY183" s="136"/>
      <c r="FZ183" s="136"/>
      <c r="GA183" s="136"/>
      <c r="GB183" s="136"/>
      <c r="GC183" s="136"/>
      <c r="GD183" s="136"/>
      <c r="GE183" s="136"/>
      <c r="GF183" s="136"/>
      <c r="GG183" s="136"/>
      <c r="GH183" s="136"/>
      <c r="GI183" s="136"/>
      <c r="GJ183" s="136"/>
      <c r="GK183" s="136"/>
      <c r="GL183" s="136"/>
      <c r="GM183" s="136"/>
      <c r="GN183" s="136"/>
      <c r="GO183" s="136"/>
      <c r="GP183" s="136"/>
      <c r="GQ183" s="136"/>
      <c r="GR183" s="136"/>
      <c r="GS183" s="136"/>
      <c r="GT183" s="136"/>
      <c r="GU183" s="136"/>
      <c r="GV183" s="136"/>
      <c r="GW183" s="136"/>
      <c r="GX183" s="136"/>
      <c r="GY183" s="136"/>
      <c r="GZ183" s="136"/>
      <c r="HA183" s="136"/>
      <c r="HB183" s="136"/>
      <c r="HC183" s="136"/>
      <c r="HD183" s="136"/>
      <c r="HE183" s="136"/>
      <c r="HF183" s="136"/>
      <c r="HG183" s="136"/>
      <c r="HH183" s="136"/>
      <c r="HI183" s="136"/>
      <c r="HJ183" s="136"/>
      <c r="HK183" s="136"/>
      <c r="HL183" s="136"/>
      <c r="HM183" s="136"/>
      <c r="HN183" s="136"/>
      <c r="HO183" s="136"/>
      <c r="HP183" s="136"/>
      <c r="HQ183" s="136"/>
      <c r="HR183" s="136"/>
      <c r="HS183" s="136"/>
      <c r="HT183" s="136"/>
      <c r="HU183" s="136"/>
      <c r="HV183" s="136"/>
      <c r="HW183" s="136"/>
      <c r="HX183" s="136"/>
      <c r="HY183" s="136"/>
      <c r="HZ183" s="136"/>
      <c r="IA183" s="136"/>
      <c r="IB183" s="136"/>
      <c r="IC183" s="136"/>
      <c r="ID183" s="136"/>
      <c r="IE183" s="136"/>
      <c r="IF183" s="136"/>
      <c r="IG183" s="136"/>
      <c r="IH183" s="136"/>
      <c r="II183" s="136"/>
      <c r="IJ183" s="136"/>
      <c r="IK183" s="136"/>
      <c r="IL183" s="136"/>
      <c r="IM183" s="136"/>
      <c r="IN183" s="136"/>
      <c r="IO183" s="136"/>
      <c r="IP183" s="136"/>
      <c r="IQ183" s="136"/>
      <c r="IR183" s="136"/>
      <c r="IS183" s="136"/>
      <c r="IT183" s="136"/>
      <c r="IU183" s="136"/>
    </row>
    <row r="184" spans="1:255" ht="75" x14ac:dyDescent="0.2">
      <c r="A184" s="242" t="str">
        <f>'HECVAT - Full'!A184</f>
        <v>DRPL-06</v>
      </c>
      <c r="B184" s="242" t="str">
        <f>VLOOKUP(A184,'HECVAT - Full'!A$24:B$312,2,FALSE)</f>
        <v>Does your organization conduct an annual test of relocating to this site for disaster recovery purposes?</v>
      </c>
      <c r="C184" s="275" t="s">
        <v>3041</v>
      </c>
      <c r="D184" s="257" t="s">
        <v>2885</v>
      </c>
      <c r="E184" s="136"/>
      <c r="F184" s="136"/>
      <c r="G184" s="136"/>
      <c r="H184" s="136"/>
      <c r="I184" s="136"/>
      <c r="J184" s="136"/>
      <c r="K184" s="136"/>
      <c r="L184" s="136"/>
      <c r="M184" s="136"/>
      <c r="N184" s="136"/>
      <c r="O184" s="136"/>
      <c r="P184" s="136"/>
      <c r="Q184" s="136"/>
      <c r="R184" s="136"/>
      <c r="S184" s="136"/>
      <c r="T184" s="136"/>
      <c r="U184" s="136"/>
      <c r="V184" s="136"/>
      <c r="W184" s="136"/>
      <c r="X184" s="136"/>
      <c r="Y184" s="136"/>
      <c r="Z184" s="136"/>
      <c r="AA184" s="136"/>
      <c r="AB184" s="136"/>
      <c r="AC184" s="136"/>
      <c r="AD184" s="136"/>
      <c r="AE184" s="136"/>
      <c r="AF184" s="136"/>
      <c r="AG184" s="136"/>
      <c r="AH184" s="136"/>
      <c r="AI184" s="136"/>
      <c r="AJ184" s="136"/>
      <c r="AK184" s="136"/>
      <c r="AL184" s="136"/>
      <c r="AM184" s="136"/>
      <c r="AN184" s="136"/>
      <c r="AO184" s="136"/>
      <c r="AP184" s="136"/>
      <c r="AQ184" s="136"/>
      <c r="AR184" s="136"/>
      <c r="AS184" s="136"/>
      <c r="AT184" s="136"/>
      <c r="AU184" s="136"/>
      <c r="AV184" s="136"/>
      <c r="AW184" s="136"/>
      <c r="AX184" s="136"/>
      <c r="AY184" s="136"/>
      <c r="AZ184" s="136"/>
      <c r="BA184" s="136"/>
      <c r="BB184" s="136"/>
      <c r="BC184" s="136"/>
      <c r="BD184" s="136"/>
      <c r="BE184" s="136"/>
      <c r="BF184" s="136"/>
      <c r="BG184" s="136"/>
      <c r="BH184" s="136"/>
      <c r="BI184" s="136"/>
      <c r="BJ184" s="136"/>
      <c r="BK184" s="136"/>
      <c r="BL184" s="136"/>
      <c r="BM184" s="136"/>
      <c r="BN184" s="136"/>
      <c r="BO184" s="136"/>
      <c r="BP184" s="136"/>
      <c r="BQ184" s="136"/>
      <c r="BR184" s="136"/>
      <c r="BS184" s="136"/>
      <c r="BT184" s="136"/>
      <c r="BU184" s="136"/>
      <c r="BV184" s="136"/>
      <c r="BW184" s="136"/>
      <c r="BX184" s="136"/>
      <c r="BY184" s="136"/>
      <c r="BZ184" s="136"/>
      <c r="CA184" s="136"/>
      <c r="CB184" s="136"/>
      <c r="CC184" s="136"/>
      <c r="CD184" s="136"/>
      <c r="CE184" s="136"/>
      <c r="CF184" s="136"/>
      <c r="CG184" s="136"/>
      <c r="CH184" s="136"/>
      <c r="CI184" s="136"/>
      <c r="CJ184" s="136"/>
      <c r="CK184" s="136"/>
      <c r="CL184" s="136"/>
      <c r="CM184" s="136"/>
      <c r="CN184" s="136"/>
      <c r="CO184" s="136"/>
      <c r="CP184" s="136"/>
      <c r="CQ184" s="136"/>
      <c r="CR184" s="136"/>
      <c r="CS184" s="136"/>
      <c r="CT184" s="136"/>
      <c r="CU184" s="136"/>
      <c r="CV184" s="136"/>
      <c r="CW184" s="136"/>
      <c r="CX184" s="136"/>
      <c r="CY184" s="136"/>
      <c r="CZ184" s="136"/>
      <c r="DA184" s="136"/>
      <c r="DB184" s="136"/>
      <c r="DC184" s="136"/>
      <c r="DD184" s="136"/>
      <c r="DE184" s="136"/>
      <c r="DF184" s="136"/>
      <c r="DG184" s="136"/>
      <c r="DH184" s="136"/>
      <c r="DI184" s="136"/>
      <c r="DJ184" s="136"/>
      <c r="DK184" s="136"/>
      <c r="DL184" s="136"/>
      <c r="DM184" s="136"/>
      <c r="DN184" s="136"/>
      <c r="DO184" s="136"/>
      <c r="DP184" s="136"/>
      <c r="DQ184" s="136"/>
      <c r="DR184" s="136"/>
      <c r="DS184" s="136"/>
      <c r="DT184" s="136"/>
      <c r="DU184" s="136"/>
      <c r="DV184" s="136"/>
      <c r="DW184" s="136"/>
      <c r="DX184" s="136"/>
      <c r="DY184" s="136"/>
      <c r="DZ184" s="136"/>
      <c r="EA184" s="136"/>
      <c r="EB184" s="136"/>
      <c r="EC184" s="136"/>
      <c r="ED184" s="136"/>
      <c r="EE184" s="136"/>
      <c r="EF184" s="136"/>
      <c r="EG184" s="136"/>
      <c r="EH184" s="136"/>
      <c r="EI184" s="136"/>
      <c r="EJ184" s="136"/>
      <c r="EK184" s="136"/>
      <c r="EL184" s="136"/>
      <c r="EM184" s="136"/>
      <c r="EN184" s="136"/>
      <c r="EO184" s="136"/>
      <c r="EP184" s="136"/>
      <c r="EQ184" s="136"/>
      <c r="ER184" s="136"/>
      <c r="ES184" s="136"/>
      <c r="ET184" s="136"/>
      <c r="EU184" s="136"/>
      <c r="EV184" s="136"/>
      <c r="EW184" s="136"/>
      <c r="EX184" s="136"/>
      <c r="EY184" s="136"/>
      <c r="EZ184" s="136"/>
      <c r="FA184" s="136"/>
      <c r="FB184" s="136"/>
      <c r="FC184" s="136"/>
      <c r="FD184" s="136"/>
      <c r="FE184" s="136"/>
      <c r="FF184" s="136"/>
      <c r="FG184" s="136"/>
      <c r="FH184" s="136"/>
      <c r="FI184" s="136"/>
      <c r="FJ184" s="136"/>
      <c r="FK184" s="136"/>
      <c r="FL184" s="136"/>
      <c r="FM184" s="136"/>
      <c r="FN184" s="136"/>
      <c r="FO184" s="136"/>
      <c r="FP184" s="136"/>
      <c r="FQ184" s="136"/>
      <c r="FR184" s="136"/>
      <c r="FS184" s="136"/>
      <c r="FT184" s="136"/>
      <c r="FU184" s="136"/>
      <c r="FV184" s="136"/>
      <c r="FW184" s="136"/>
      <c r="FX184" s="136"/>
      <c r="FY184" s="136"/>
      <c r="FZ184" s="136"/>
      <c r="GA184" s="136"/>
      <c r="GB184" s="136"/>
      <c r="GC184" s="136"/>
      <c r="GD184" s="136"/>
      <c r="GE184" s="136"/>
      <c r="GF184" s="136"/>
      <c r="GG184" s="136"/>
      <c r="GH184" s="136"/>
      <c r="GI184" s="136"/>
      <c r="GJ184" s="136"/>
      <c r="GK184" s="136"/>
      <c r="GL184" s="136"/>
      <c r="GM184" s="136"/>
      <c r="GN184" s="136"/>
      <c r="GO184" s="136"/>
      <c r="GP184" s="136"/>
      <c r="GQ184" s="136"/>
      <c r="GR184" s="136"/>
      <c r="GS184" s="136"/>
      <c r="GT184" s="136"/>
      <c r="GU184" s="136"/>
      <c r="GV184" s="136"/>
      <c r="GW184" s="136"/>
      <c r="GX184" s="136"/>
      <c r="GY184" s="136"/>
      <c r="GZ184" s="136"/>
      <c r="HA184" s="136"/>
      <c r="HB184" s="136"/>
      <c r="HC184" s="136"/>
      <c r="HD184" s="136"/>
      <c r="HE184" s="136"/>
      <c r="HF184" s="136"/>
      <c r="HG184" s="136"/>
      <c r="HH184" s="136"/>
      <c r="HI184" s="136"/>
      <c r="HJ184" s="136"/>
      <c r="HK184" s="136"/>
      <c r="HL184" s="136"/>
      <c r="HM184" s="136"/>
      <c r="HN184" s="136"/>
      <c r="HO184" s="136"/>
      <c r="HP184" s="136"/>
      <c r="HQ184" s="136"/>
      <c r="HR184" s="136"/>
      <c r="HS184" s="136"/>
      <c r="HT184" s="136"/>
      <c r="HU184" s="136"/>
      <c r="HV184" s="136"/>
      <c r="HW184" s="136"/>
      <c r="HX184" s="136"/>
      <c r="HY184" s="136"/>
      <c r="HZ184" s="136"/>
      <c r="IA184" s="136"/>
      <c r="IB184" s="136"/>
      <c r="IC184" s="136"/>
      <c r="ID184" s="136"/>
      <c r="IE184" s="136"/>
      <c r="IF184" s="136"/>
      <c r="IG184" s="136"/>
      <c r="IH184" s="136"/>
      <c r="II184" s="136"/>
      <c r="IJ184" s="136"/>
      <c r="IK184" s="136"/>
      <c r="IL184" s="136"/>
      <c r="IM184" s="136"/>
      <c r="IN184" s="136"/>
      <c r="IO184" s="136"/>
      <c r="IP184" s="136"/>
      <c r="IQ184" s="136"/>
      <c r="IR184" s="136"/>
      <c r="IS184" s="136"/>
      <c r="IT184" s="136"/>
      <c r="IU184" s="136"/>
    </row>
    <row r="185" spans="1:255" ht="60" x14ac:dyDescent="0.2">
      <c r="A185" s="242" t="str">
        <f>'HECVAT - Full'!A185</f>
        <v>DRPL-07</v>
      </c>
      <c r="B185" s="242" t="str">
        <f>VLOOKUP(A185,'HECVAT - Full'!A$24:B$312,2,FALSE)</f>
        <v>Is there a defined problem/issue escalation plan in your DRP for impacted clients?</v>
      </c>
      <c r="C185" s="245" t="s">
        <v>2781</v>
      </c>
      <c r="D185" s="249" t="s">
        <v>2782</v>
      </c>
      <c r="E185" s="136"/>
      <c r="F185" s="136"/>
      <c r="G185" s="136"/>
      <c r="H185" s="136"/>
      <c r="I185" s="136"/>
      <c r="J185" s="136"/>
      <c r="K185" s="136"/>
      <c r="L185" s="136"/>
      <c r="M185" s="136"/>
      <c r="N185" s="136"/>
      <c r="O185" s="136"/>
      <c r="P185" s="136"/>
      <c r="Q185" s="136"/>
      <c r="R185" s="136"/>
      <c r="S185" s="136"/>
      <c r="T185" s="136"/>
      <c r="U185" s="136"/>
      <c r="V185" s="136"/>
      <c r="W185" s="136"/>
      <c r="X185" s="136"/>
      <c r="Y185" s="136"/>
      <c r="Z185" s="136"/>
      <c r="AA185" s="136"/>
      <c r="AB185" s="136"/>
      <c r="AC185" s="136"/>
      <c r="AD185" s="136"/>
      <c r="AE185" s="136"/>
      <c r="AF185" s="136"/>
      <c r="AG185" s="136"/>
      <c r="AH185" s="136"/>
      <c r="AI185" s="136"/>
      <c r="AJ185" s="136"/>
      <c r="AK185" s="136"/>
      <c r="AL185" s="136"/>
      <c r="AM185" s="136"/>
      <c r="AN185" s="136"/>
      <c r="AO185" s="136"/>
      <c r="AP185" s="136"/>
      <c r="AQ185" s="136"/>
      <c r="AR185" s="136"/>
      <c r="AS185" s="136"/>
      <c r="AT185" s="136"/>
      <c r="AU185" s="136"/>
      <c r="AV185" s="136"/>
      <c r="AW185" s="136"/>
      <c r="AX185" s="136"/>
      <c r="AY185" s="136"/>
      <c r="AZ185" s="136"/>
      <c r="BA185" s="136"/>
      <c r="BB185" s="136"/>
      <c r="BC185" s="136"/>
      <c r="BD185" s="136"/>
      <c r="BE185" s="136"/>
      <c r="BF185" s="136"/>
      <c r="BG185" s="136"/>
      <c r="BH185" s="136"/>
      <c r="BI185" s="136"/>
      <c r="BJ185" s="136"/>
      <c r="BK185" s="136"/>
      <c r="BL185" s="136"/>
      <c r="BM185" s="136"/>
      <c r="BN185" s="136"/>
      <c r="BO185" s="136"/>
      <c r="BP185" s="136"/>
      <c r="BQ185" s="136"/>
      <c r="BR185" s="136"/>
      <c r="BS185" s="136"/>
      <c r="BT185" s="136"/>
      <c r="BU185" s="136"/>
      <c r="BV185" s="136"/>
      <c r="BW185" s="136"/>
      <c r="BX185" s="136"/>
      <c r="BY185" s="136"/>
      <c r="BZ185" s="136"/>
      <c r="CA185" s="136"/>
      <c r="CB185" s="136"/>
      <c r="CC185" s="136"/>
      <c r="CD185" s="136"/>
      <c r="CE185" s="136"/>
      <c r="CF185" s="136"/>
      <c r="CG185" s="136"/>
      <c r="CH185" s="136"/>
      <c r="CI185" s="136"/>
      <c r="CJ185" s="136"/>
      <c r="CK185" s="136"/>
      <c r="CL185" s="136"/>
      <c r="CM185" s="136"/>
      <c r="CN185" s="136"/>
      <c r="CO185" s="136"/>
      <c r="CP185" s="136"/>
      <c r="CQ185" s="136"/>
      <c r="CR185" s="136"/>
      <c r="CS185" s="136"/>
      <c r="CT185" s="136"/>
      <c r="CU185" s="136"/>
      <c r="CV185" s="136"/>
      <c r="CW185" s="136"/>
      <c r="CX185" s="136"/>
      <c r="CY185" s="136"/>
      <c r="CZ185" s="136"/>
      <c r="DA185" s="136"/>
      <c r="DB185" s="136"/>
      <c r="DC185" s="136"/>
      <c r="DD185" s="136"/>
      <c r="DE185" s="136"/>
      <c r="DF185" s="136"/>
      <c r="DG185" s="136"/>
      <c r="DH185" s="136"/>
      <c r="DI185" s="136"/>
      <c r="DJ185" s="136"/>
      <c r="DK185" s="136"/>
      <c r="DL185" s="136"/>
      <c r="DM185" s="136"/>
      <c r="DN185" s="136"/>
      <c r="DO185" s="136"/>
      <c r="DP185" s="136"/>
      <c r="DQ185" s="136"/>
      <c r="DR185" s="136"/>
      <c r="DS185" s="136"/>
      <c r="DT185" s="136"/>
      <c r="DU185" s="136"/>
      <c r="DV185" s="136"/>
      <c r="DW185" s="136"/>
      <c r="DX185" s="136"/>
      <c r="DY185" s="136"/>
      <c r="DZ185" s="136"/>
      <c r="EA185" s="136"/>
      <c r="EB185" s="136"/>
      <c r="EC185" s="136"/>
      <c r="ED185" s="136"/>
      <c r="EE185" s="136"/>
      <c r="EF185" s="136"/>
      <c r="EG185" s="136"/>
      <c r="EH185" s="136"/>
      <c r="EI185" s="136"/>
      <c r="EJ185" s="136"/>
      <c r="EK185" s="136"/>
      <c r="EL185" s="136"/>
      <c r="EM185" s="136"/>
      <c r="EN185" s="136"/>
      <c r="EO185" s="136"/>
      <c r="EP185" s="136"/>
      <c r="EQ185" s="136"/>
      <c r="ER185" s="136"/>
      <c r="ES185" s="136"/>
      <c r="ET185" s="136"/>
      <c r="EU185" s="136"/>
      <c r="EV185" s="136"/>
      <c r="EW185" s="136"/>
      <c r="EX185" s="136"/>
      <c r="EY185" s="136"/>
      <c r="EZ185" s="136"/>
      <c r="FA185" s="136"/>
      <c r="FB185" s="136"/>
      <c r="FC185" s="136"/>
      <c r="FD185" s="136"/>
      <c r="FE185" s="136"/>
      <c r="FF185" s="136"/>
      <c r="FG185" s="136"/>
      <c r="FH185" s="136"/>
      <c r="FI185" s="136"/>
      <c r="FJ185" s="136"/>
      <c r="FK185" s="136"/>
      <c r="FL185" s="136"/>
      <c r="FM185" s="136"/>
      <c r="FN185" s="136"/>
      <c r="FO185" s="136"/>
      <c r="FP185" s="136"/>
      <c r="FQ185" s="136"/>
      <c r="FR185" s="136"/>
      <c r="FS185" s="136"/>
      <c r="FT185" s="136"/>
      <c r="FU185" s="136"/>
      <c r="FV185" s="136"/>
      <c r="FW185" s="136"/>
      <c r="FX185" s="136"/>
      <c r="FY185" s="136"/>
      <c r="FZ185" s="136"/>
      <c r="GA185" s="136"/>
      <c r="GB185" s="136"/>
      <c r="GC185" s="136"/>
      <c r="GD185" s="136"/>
      <c r="GE185" s="136"/>
      <c r="GF185" s="136"/>
      <c r="GG185" s="136"/>
      <c r="GH185" s="136"/>
      <c r="GI185" s="136"/>
      <c r="GJ185" s="136"/>
      <c r="GK185" s="136"/>
      <c r="GL185" s="136"/>
      <c r="GM185" s="136"/>
      <c r="GN185" s="136"/>
      <c r="GO185" s="136"/>
      <c r="GP185" s="136"/>
      <c r="GQ185" s="136"/>
      <c r="GR185" s="136"/>
      <c r="GS185" s="136"/>
      <c r="GT185" s="136"/>
      <c r="GU185" s="136"/>
      <c r="GV185" s="136"/>
      <c r="GW185" s="136"/>
      <c r="GX185" s="136"/>
      <c r="GY185" s="136"/>
      <c r="GZ185" s="136"/>
      <c r="HA185" s="136"/>
      <c r="HB185" s="136"/>
      <c r="HC185" s="136"/>
      <c r="HD185" s="136"/>
      <c r="HE185" s="136"/>
      <c r="HF185" s="136"/>
      <c r="HG185" s="136"/>
      <c r="HH185" s="136"/>
      <c r="HI185" s="136"/>
      <c r="HJ185" s="136"/>
      <c r="HK185" s="136"/>
      <c r="HL185" s="136"/>
      <c r="HM185" s="136"/>
      <c r="HN185" s="136"/>
      <c r="HO185" s="136"/>
      <c r="HP185" s="136"/>
      <c r="HQ185" s="136"/>
      <c r="HR185" s="136"/>
      <c r="HS185" s="136"/>
      <c r="HT185" s="136"/>
      <c r="HU185" s="136"/>
      <c r="HV185" s="136"/>
      <c r="HW185" s="136"/>
      <c r="HX185" s="136"/>
      <c r="HY185" s="136"/>
      <c r="HZ185" s="136"/>
      <c r="IA185" s="136"/>
      <c r="IB185" s="136"/>
      <c r="IC185" s="136"/>
      <c r="ID185" s="136"/>
      <c r="IE185" s="136"/>
      <c r="IF185" s="136"/>
      <c r="IG185" s="136"/>
      <c r="IH185" s="136"/>
      <c r="II185" s="136"/>
      <c r="IJ185" s="136"/>
      <c r="IK185" s="136"/>
      <c r="IL185" s="136"/>
      <c r="IM185" s="136"/>
      <c r="IN185" s="136"/>
      <c r="IO185" s="136"/>
      <c r="IP185" s="136"/>
      <c r="IQ185" s="136"/>
      <c r="IR185" s="136"/>
      <c r="IS185" s="136"/>
      <c r="IT185" s="136"/>
      <c r="IU185" s="136"/>
    </row>
    <row r="186" spans="1:255" ht="60" x14ac:dyDescent="0.2">
      <c r="A186" s="242" t="str">
        <f>'HECVAT - Full'!A186</f>
        <v>DRPL-08</v>
      </c>
      <c r="B186" s="242" t="str">
        <f>VLOOKUP(A186,'HECVAT - Full'!A$24:B$312,2,FALSE)</f>
        <v>Is there a documented communication plan in your DRP for impacted clients?</v>
      </c>
      <c r="C186" s="245" t="s">
        <v>2781</v>
      </c>
      <c r="D186" s="249" t="s">
        <v>2782</v>
      </c>
      <c r="E186" s="136"/>
      <c r="F186" s="136"/>
      <c r="G186" s="136"/>
      <c r="H186" s="136"/>
      <c r="I186" s="136"/>
      <c r="J186" s="136"/>
      <c r="K186" s="136"/>
      <c r="L186" s="136"/>
      <c r="M186" s="136"/>
      <c r="N186" s="136"/>
      <c r="O186" s="136"/>
      <c r="P186" s="136"/>
      <c r="Q186" s="136"/>
      <c r="R186" s="136"/>
      <c r="S186" s="136"/>
      <c r="T186" s="136"/>
      <c r="U186" s="136"/>
      <c r="V186" s="136"/>
      <c r="W186" s="136"/>
      <c r="X186" s="136"/>
      <c r="Y186" s="136"/>
      <c r="Z186" s="136"/>
      <c r="AA186" s="136"/>
      <c r="AB186" s="136"/>
      <c r="AC186" s="136"/>
      <c r="AD186" s="136"/>
      <c r="AE186" s="136"/>
      <c r="AF186" s="136"/>
      <c r="AG186" s="136"/>
      <c r="AH186" s="136"/>
      <c r="AI186" s="136"/>
      <c r="AJ186" s="136"/>
      <c r="AK186" s="136"/>
      <c r="AL186" s="136"/>
      <c r="AM186" s="136"/>
      <c r="AN186" s="136"/>
      <c r="AO186" s="136"/>
      <c r="AP186" s="136"/>
      <c r="AQ186" s="136"/>
      <c r="AR186" s="136"/>
      <c r="AS186" s="136"/>
      <c r="AT186" s="136"/>
      <c r="AU186" s="136"/>
      <c r="AV186" s="136"/>
      <c r="AW186" s="136"/>
      <c r="AX186" s="136"/>
      <c r="AY186" s="136"/>
      <c r="AZ186" s="136"/>
      <c r="BA186" s="136"/>
      <c r="BB186" s="136"/>
      <c r="BC186" s="136"/>
      <c r="BD186" s="136"/>
      <c r="BE186" s="136"/>
      <c r="BF186" s="136"/>
      <c r="BG186" s="136"/>
      <c r="BH186" s="136"/>
      <c r="BI186" s="136"/>
      <c r="BJ186" s="136"/>
      <c r="BK186" s="136"/>
      <c r="BL186" s="136"/>
      <c r="BM186" s="136"/>
      <c r="BN186" s="136"/>
      <c r="BO186" s="136"/>
      <c r="BP186" s="136"/>
      <c r="BQ186" s="136"/>
      <c r="BR186" s="136"/>
      <c r="BS186" s="136"/>
      <c r="BT186" s="136"/>
      <c r="BU186" s="136"/>
      <c r="BV186" s="136"/>
      <c r="BW186" s="136"/>
      <c r="BX186" s="136"/>
      <c r="BY186" s="136"/>
      <c r="BZ186" s="136"/>
      <c r="CA186" s="136"/>
      <c r="CB186" s="136"/>
      <c r="CC186" s="136"/>
      <c r="CD186" s="136"/>
      <c r="CE186" s="136"/>
      <c r="CF186" s="136"/>
      <c r="CG186" s="136"/>
      <c r="CH186" s="136"/>
      <c r="CI186" s="136"/>
      <c r="CJ186" s="136"/>
      <c r="CK186" s="136"/>
      <c r="CL186" s="136"/>
      <c r="CM186" s="136"/>
      <c r="CN186" s="136"/>
      <c r="CO186" s="136"/>
      <c r="CP186" s="136"/>
      <c r="CQ186" s="136"/>
      <c r="CR186" s="136"/>
      <c r="CS186" s="136"/>
      <c r="CT186" s="136"/>
      <c r="CU186" s="136"/>
      <c r="CV186" s="136"/>
      <c r="CW186" s="136"/>
      <c r="CX186" s="136"/>
      <c r="CY186" s="136"/>
      <c r="CZ186" s="136"/>
      <c r="DA186" s="136"/>
      <c r="DB186" s="136"/>
      <c r="DC186" s="136"/>
      <c r="DD186" s="136"/>
      <c r="DE186" s="136"/>
      <c r="DF186" s="136"/>
      <c r="DG186" s="136"/>
      <c r="DH186" s="136"/>
      <c r="DI186" s="136"/>
      <c r="DJ186" s="136"/>
      <c r="DK186" s="136"/>
      <c r="DL186" s="136"/>
      <c r="DM186" s="136"/>
      <c r="DN186" s="136"/>
      <c r="DO186" s="136"/>
      <c r="DP186" s="136"/>
      <c r="DQ186" s="136"/>
      <c r="DR186" s="136"/>
      <c r="DS186" s="136"/>
      <c r="DT186" s="136"/>
      <c r="DU186" s="136"/>
      <c r="DV186" s="136"/>
      <c r="DW186" s="136"/>
      <c r="DX186" s="136"/>
      <c r="DY186" s="136"/>
      <c r="DZ186" s="136"/>
      <c r="EA186" s="136"/>
      <c r="EB186" s="136"/>
      <c r="EC186" s="136"/>
      <c r="ED186" s="136"/>
      <c r="EE186" s="136"/>
      <c r="EF186" s="136"/>
      <c r="EG186" s="136"/>
      <c r="EH186" s="136"/>
      <c r="EI186" s="136"/>
      <c r="EJ186" s="136"/>
      <c r="EK186" s="136"/>
      <c r="EL186" s="136"/>
      <c r="EM186" s="136"/>
      <c r="EN186" s="136"/>
      <c r="EO186" s="136"/>
      <c r="EP186" s="136"/>
      <c r="EQ186" s="136"/>
      <c r="ER186" s="136"/>
      <c r="ES186" s="136"/>
      <c r="ET186" s="136"/>
      <c r="EU186" s="136"/>
      <c r="EV186" s="136"/>
      <c r="EW186" s="136"/>
      <c r="EX186" s="136"/>
      <c r="EY186" s="136"/>
      <c r="EZ186" s="136"/>
      <c r="FA186" s="136"/>
      <c r="FB186" s="136"/>
      <c r="FC186" s="136"/>
      <c r="FD186" s="136"/>
      <c r="FE186" s="136"/>
      <c r="FF186" s="136"/>
      <c r="FG186" s="136"/>
      <c r="FH186" s="136"/>
      <c r="FI186" s="136"/>
      <c r="FJ186" s="136"/>
      <c r="FK186" s="136"/>
      <c r="FL186" s="136"/>
      <c r="FM186" s="136"/>
      <c r="FN186" s="136"/>
      <c r="FO186" s="136"/>
      <c r="FP186" s="136"/>
      <c r="FQ186" s="136"/>
      <c r="FR186" s="136"/>
      <c r="FS186" s="136"/>
      <c r="FT186" s="136"/>
      <c r="FU186" s="136"/>
      <c r="FV186" s="136"/>
      <c r="FW186" s="136"/>
      <c r="FX186" s="136"/>
      <c r="FY186" s="136"/>
      <c r="FZ186" s="136"/>
      <c r="GA186" s="136"/>
      <c r="GB186" s="136"/>
      <c r="GC186" s="136"/>
      <c r="GD186" s="136"/>
      <c r="GE186" s="136"/>
      <c r="GF186" s="136"/>
      <c r="GG186" s="136"/>
      <c r="GH186" s="136"/>
      <c r="GI186" s="136"/>
      <c r="GJ186" s="136"/>
      <c r="GK186" s="136"/>
      <c r="GL186" s="136"/>
      <c r="GM186" s="136"/>
      <c r="GN186" s="136"/>
      <c r="GO186" s="136"/>
      <c r="GP186" s="136"/>
      <c r="GQ186" s="136"/>
      <c r="GR186" s="136"/>
      <c r="GS186" s="136"/>
      <c r="GT186" s="136"/>
      <c r="GU186" s="136"/>
      <c r="GV186" s="136"/>
      <c r="GW186" s="136"/>
      <c r="GX186" s="136"/>
      <c r="GY186" s="136"/>
      <c r="GZ186" s="136"/>
      <c r="HA186" s="136"/>
      <c r="HB186" s="136"/>
      <c r="HC186" s="136"/>
      <c r="HD186" s="136"/>
      <c r="HE186" s="136"/>
      <c r="HF186" s="136"/>
      <c r="HG186" s="136"/>
      <c r="HH186" s="136"/>
      <c r="HI186" s="136"/>
      <c r="HJ186" s="136"/>
      <c r="HK186" s="136"/>
      <c r="HL186" s="136"/>
      <c r="HM186" s="136"/>
      <c r="HN186" s="136"/>
      <c r="HO186" s="136"/>
      <c r="HP186" s="136"/>
      <c r="HQ186" s="136"/>
      <c r="HR186" s="136"/>
      <c r="HS186" s="136"/>
      <c r="HT186" s="136"/>
      <c r="HU186" s="136"/>
      <c r="HV186" s="136"/>
      <c r="HW186" s="136"/>
      <c r="HX186" s="136"/>
      <c r="HY186" s="136"/>
      <c r="HZ186" s="136"/>
      <c r="IA186" s="136"/>
      <c r="IB186" s="136"/>
      <c r="IC186" s="136"/>
      <c r="ID186" s="136"/>
      <c r="IE186" s="136"/>
      <c r="IF186" s="136"/>
      <c r="IG186" s="136"/>
      <c r="IH186" s="136"/>
      <c r="II186" s="136"/>
      <c r="IJ186" s="136"/>
      <c r="IK186" s="136"/>
      <c r="IL186" s="136"/>
      <c r="IM186" s="136"/>
      <c r="IN186" s="136"/>
      <c r="IO186" s="136"/>
      <c r="IP186" s="136"/>
      <c r="IQ186" s="136"/>
      <c r="IR186" s="136"/>
      <c r="IS186" s="136"/>
      <c r="IT186" s="136"/>
      <c r="IU186" s="136"/>
    </row>
    <row r="187" spans="1:255" ht="83.25" customHeight="1" x14ac:dyDescent="0.2">
      <c r="A187" s="242" t="str">
        <f>'HECVAT - Full'!A187</f>
        <v>DRPL-09</v>
      </c>
      <c r="B187" s="242" t="str">
        <f>VLOOKUP(A187,'HECVAT - Full'!A$24:B$312,2,FALSE)</f>
        <v>Describe or provide a reference to how your disaster recovery plan is tested? (i.e. scope of DR tests, end-to-end testing, etc.)</v>
      </c>
      <c r="C187" s="275" t="s">
        <v>3042</v>
      </c>
      <c r="D187" s="257" t="s">
        <v>2885</v>
      </c>
      <c r="E187" s="136"/>
      <c r="F187" s="136"/>
      <c r="G187" s="136"/>
      <c r="H187" s="136"/>
      <c r="I187" s="136"/>
      <c r="J187" s="136"/>
      <c r="K187" s="136"/>
      <c r="L187" s="136"/>
      <c r="M187" s="136"/>
      <c r="N187" s="136"/>
      <c r="O187" s="136"/>
      <c r="P187" s="136"/>
      <c r="Q187" s="136"/>
      <c r="R187" s="136"/>
      <c r="S187" s="136"/>
      <c r="T187" s="136"/>
      <c r="U187" s="136"/>
      <c r="V187" s="136"/>
      <c r="W187" s="136"/>
      <c r="X187" s="136"/>
      <c r="Y187" s="136"/>
      <c r="Z187" s="136"/>
      <c r="AA187" s="136"/>
      <c r="AB187" s="136"/>
      <c r="AC187" s="136"/>
      <c r="AD187" s="136"/>
      <c r="AE187" s="136"/>
      <c r="AF187" s="136"/>
      <c r="AG187" s="136"/>
      <c r="AH187" s="136"/>
      <c r="AI187" s="136"/>
      <c r="AJ187" s="136"/>
      <c r="AK187" s="136"/>
      <c r="AL187" s="136"/>
      <c r="AM187" s="136"/>
      <c r="AN187" s="136"/>
      <c r="AO187" s="136"/>
      <c r="AP187" s="136"/>
      <c r="AQ187" s="136"/>
      <c r="AR187" s="136"/>
      <c r="AS187" s="136"/>
      <c r="AT187" s="136"/>
      <c r="AU187" s="136"/>
      <c r="AV187" s="136"/>
      <c r="AW187" s="136"/>
      <c r="AX187" s="136"/>
      <c r="AY187" s="136"/>
      <c r="AZ187" s="136"/>
      <c r="BA187" s="136"/>
      <c r="BB187" s="136"/>
      <c r="BC187" s="136"/>
      <c r="BD187" s="136"/>
      <c r="BE187" s="136"/>
      <c r="BF187" s="136"/>
      <c r="BG187" s="136"/>
      <c r="BH187" s="136"/>
      <c r="BI187" s="136"/>
      <c r="BJ187" s="136"/>
      <c r="BK187" s="136"/>
      <c r="BL187" s="136"/>
      <c r="BM187" s="136"/>
      <c r="BN187" s="136"/>
      <c r="BO187" s="136"/>
      <c r="BP187" s="136"/>
      <c r="BQ187" s="136"/>
      <c r="BR187" s="136"/>
      <c r="BS187" s="136"/>
      <c r="BT187" s="136"/>
      <c r="BU187" s="136"/>
      <c r="BV187" s="136"/>
      <c r="BW187" s="136"/>
      <c r="BX187" s="136"/>
      <c r="BY187" s="136"/>
      <c r="BZ187" s="136"/>
      <c r="CA187" s="136"/>
      <c r="CB187" s="136"/>
      <c r="CC187" s="136"/>
      <c r="CD187" s="136"/>
      <c r="CE187" s="136"/>
      <c r="CF187" s="136"/>
      <c r="CG187" s="136"/>
      <c r="CH187" s="136"/>
      <c r="CI187" s="136"/>
      <c r="CJ187" s="136"/>
      <c r="CK187" s="136"/>
      <c r="CL187" s="136"/>
      <c r="CM187" s="136"/>
      <c r="CN187" s="136"/>
      <c r="CO187" s="136"/>
      <c r="CP187" s="136"/>
      <c r="CQ187" s="136"/>
      <c r="CR187" s="136"/>
      <c r="CS187" s="136"/>
      <c r="CT187" s="136"/>
      <c r="CU187" s="136"/>
      <c r="CV187" s="136"/>
      <c r="CW187" s="136"/>
      <c r="CX187" s="136"/>
      <c r="CY187" s="136"/>
      <c r="CZ187" s="136"/>
      <c r="DA187" s="136"/>
      <c r="DB187" s="136"/>
      <c r="DC187" s="136"/>
      <c r="DD187" s="136"/>
      <c r="DE187" s="136"/>
      <c r="DF187" s="136"/>
      <c r="DG187" s="136"/>
      <c r="DH187" s="136"/>
      <c r="DI187" s="136"/>
      <c r="DJ187" s="136"/>
      <c r="DK187" s="136"/>
      <c r="DL187" s="136"/>
      <c r="DM187" s="136"/>
      <c r="DN187" s="136"/>
      <c r="DO187" s="136"/>
      <c r="DP187" s="136"/>
      <c r="DQ187" s="136"/>
      <c r="DR187" s="136"/>
      <c r="DS187" s="136"/>
      <c r="DT187" s="136"/>
      <c r="DU187" s="136"/>
      <c r="DV187" s="136"/>
      <c r="DW187" s="136"/>
      <c r="DX187" s="136"/>
      <c r="DY187" s="136"/>
      <c r="DZ187" s="136"/>
      <c r="EA187" s="136"/>
      <c r="EB187" s="136"/>
      <c r="EC187" s="136"/>
      <c r="ED187" s="136"/>
      <c r="EE187" s="136"/>
      <c r="EF187" s="136"/>
      <c r="EG187" s="136"/>
      <c r="EH187" s="136"/>
      <c r="EI187" s="136"/>
      <c r="EJ187" s="136"/>
      <c r="EK187" s="136"/>
      <c r="EL187" s="136"/>
      <c r="EM187" s="136"/>
      <c r="EN187" s="136"/>
      <c r="EO187" s="136"/>
      <c r="EP187" s="136"/>
      <c r="EQ187" s="136"/>
      <c r="ER187" s="136"/>
      <c r="ES187" s="136"/>
      <c r="ET187" s="136"/>
      <c r="EU187" s="136"/>
      <c r="EV187" s="136"/>
      <c r="EW187" s="136"/>
      <c r="EX187" s="136"/>
      <c r="EY187" s="136"/>
      <c r="EZ187" s="136"/>
      <c r="FA187" s="136"/>
      <c r="FB187" s="136"/>
      <c r="FC187" s="136"/>
      <c r="FD187" s="136"/>
      <c r="FE187" s="136"/>
      <c r="FF187" s="136"/>
      <c r="FG187" s="136"/>
      <c r="FH187" s="136"/>
      <c r="FI187" s="136"/>
      <c r="FJ187" s="136"/>
      <c r="FK187" s="136"/>
      <c r="FL187" s="136"/>
      <c r="FM187" s="136"/>
      <c r="FN187" s="136"/>
      <c r="FO187" s="136"/>
      <c r="FP187" s="136"/>
      <c r="FQ187" s="136"/>
      <c r="FR187" s="136"/>
      <c r="FS187" s="136"/>
      <c r="FT187" s="136"/>
      <c r="FU187" s="136"/>
      <c r="FV187" s="136"/>
      <c r="FW187" s="136"/>
      <c r="FX187" s="136"/>
      <c r="FY187" s="136"/>
      <c r="FZ187" s="136"/>
      <c r="GA187" s="136"/>
      <c r="GB187" s="136"/>
      <c r="GC187" s="136"/>
      <c r="GD187" s="136"/>
      <c r="GE187" s="136"/>
      <c r="GF187" s="136"/>
      <c r="GG187" s="136"/>
      <c r="GH187" s="136"/>
      <c r="GI187" s="136"/>
      <c r="GJ187" s="136"/>
      <c r="GK187" s="136"/>
      <c r="GL187" s="136"/>
      <c r="GM187" s="136"/>
      <c r="GN187" s="136"/>
      <c r="GO187" s="136"/>
      <c r="GP187" s="136"/>
      <c r="GQ187" s="136"/>
      <c r="GR187" s="136"/>
      <c r="GS187" s="136"/>
      <c r="GT187" s="136"/>
      <c r="GU187" s="136"/>
      <c r="GV187" s="136"/>
      <c r="GW187" s="136"/>
      <c r="GX187" s="136"/>
      <c r="GY187" s="136"/>
      <c r="GZ187" s="136"/>
      <c r="HA187" s="136"/>
      <c r="HB187" s="136"/>
      <c r="HC187" s="136"/>
      <c r="HD187" s="136"/>
      <c r="HE187" s="136"/>
      <c r="HF187" s="136"/>
      <c r="HG187" s="136"/>
      <c r="HH187" s="136"/>
      <c r="HI187" s="136"/>
      <c r="HJ187" s="136"/>
      <c r="HK187" s="136"/>
      <c r="HL187" s="136"/>
      <c r="HM187" s="136"/>
      <c r="HN187" s="136"/>
      <c r="HO187" s="136"/>
      <c r="HP187" s="136"/>
      <c r="HQ187" s="136"/>
      <c r="HR187" s="136"/>
      <c r="HS187" s="136"/>
      <c r="HT187" s="136"/>
      <c r="HU187" s="136"/>
      <c r="HV187" s="136"/>
      <c r="HW187" s="136"/>
      <c r="HX187" s="136"/>
      <c r="HY187" s="136"/>
      <c r="HZ187" s="136"/>
      <c r="IA187" s="136"/>
      <c r="IB187" s="136"/>
      <c r="IC187" s="136"/>
      <c r="ID187" s="136"/>
      <c r="IE187" s="136"/>
      <c r="IF187" s="136"/>
      <c r="IG187" s="136"/>
      <c r="IH187" s="136"/>
      <c r="II187" s="136"/>
      <c r="IJ187" s="136"/>
      <c r="IK187" s="136"/>
      <c r="IL187" s="136"/>
      <c r="IM187" s="136"/>
      <c r="IN187" s="136"/>
      <c r="IO187" s="136"/>
      <c r="IP187" s="136"/>
      <c r="IQ187" s="136"/>
      <c r="IR187" s="136"/>
      <c r="IS187" s="136"/>
      <c r="IT187" s="136"/>
      <c r="IU187" s="136"/>
    </row>
    <row r="188" spans="1:255" ht="83.25" customHeight="1" x14ac:dyDescent="0.2">
      <c r="A188" s="242" t="str">
        <f>'HECVAT - Full'!A188</f>
        <v>DRPL-10</v>
      </c>
      <c r="B188" s="242" t="str">
        <f>VLOOKUP(A188,'HECVAT - Full'!A$24:B$312,2,FALSE)</f>
        <v>Has the Disaster Recovery Plan been tested in the last year?  Please provide a summary of the results in Additional Information (including actual recovery time).</v>
      </c>
      <c r="C188" s="275" t="s">
        <v>3041</v>
      </c>
      <c r="D188" s="257" t="s">
        <v>2885</v>
      </c>
      <c r="E188" s="136"/>
      <c r="F188" s="136"/>
      <c r="G188" s="136"/>
      <c r="H188" s="136"/>
      <c r="I188" s="136"/>
      <c r="J188" s="136"/>
      <c r="K188" s="136"/>
      <c r="L188" s="136"/>
      <c r="M188" s="136"/>
      <c r="N188" s="136"/>
      <c r="O188" s="136"/>
      <c r="P188" s="136"/>
      <c r="Q188" s="136"/>
      <c r="R188" s="136"/>
      <c r="S188" s="136"/>
      <c r="T188" s="136"/>
      <c r="U188" s="136"/>
      <c r="V188" s="136"/>
      <c r="W188" s="136"/>
      <c r="X188" s="136"/>
      <c r="Y188" s="136"/>
      <c r="Z188" s="136"/>
      <c r="AA188" s="136"/>
      <c r="AB188" s="136"/>
      <c r="AC188" s="136"/>
      <c r="AD188" s="136"/>
      <c r="AE188" s="136"/>
      <c r="AF188" s="136"/>
      <c r="AG188" s="136"/>
      <c r="AH188" s="136"/>
      <c r="AI188" s="136"/>
      <c r="AJ188" s="136"/>
      <c r="AK188" s="136"/>
      <c r="AL188" s="136"/>
      <c r="AM188" s="136"/>
      <c r="AN188" s="136"/>
      <c r="AO188" s="136"/>
      <c r="AP188" s="136"/>
      <c r="AQ188" s="136"/>
      <c r="AR188" s="136"/>
      <c r="AS188" s="136"/>
      <c r="AT188" s="136"/>
      <c r="AU188" s="136"/>
      <c r="AV188" s="136"/>
      <c r="AW188" s="136"/>
      <c r="AX188" s="136"/>
      <c r="AY188" s="136"/>
      <c r="AZ188" s="136"/>
      <c r="BA188" s="136"/>
      <c r="BB188" s="136"/>
      <c r="BC188" s="136"/>
      <c r="BD188" s="136"/>
      <c r="BE188" s="136"/>
      <c r="BF188" s="136"/>
      <c r="BG188" s="136"/>
      <c r="BH188" s="136"/>
      <c r="BI188" s="136"/>
      <c r="BJ188" s="136"/>
      <c r="BK188" s="136"/>
      <c r="BL188" s="136"/>
      <c r="BM188" s="136"/>
      <c r="BN188" s="136"/>
      <c r="BO188" s="136"/>
      <c r="BP188" s="136"/>
      <c r="BQ188" s="136"/>
      <c r="BR188" s="136"/>
      <c r="BS188" s="136"/>
      <c r="BT188" s="136"/>
      <c r="BU188" s="136"/>
      <c r="BV188" s="136"/>
      <c r="BW188" s="136"/>
      <c r="BX188" s="136"/>
      <c r="BY188" s="136"/>
      <c r="BZ188" s="136"/>
      <c r="CA188" s="136"/>
      <c r="CB188" s="136"/>
      <c r="CC188" s="136"/>
      <c r="CD188" s="136"/>
      <c r="CE188" s="136"/>
      <c r="CF188" s="136"/>
      <c r="CG188" s="136"/>
      <c r="CH188" s="136"/>
      <c r="CI188" s="136"/>
      <c r="CJ188" s="136"/>
      <c r="CK188" s="136"/>
      <c r="CL188" s="136"/>
      <c r="CM188" s="136"/>
      <c r="CN188" s="136"/>
      <c r="CO188" s="136"/>
      <c r="CP188" s="136"/>
      <c r="CQ188" s="136"/>
      <c r="CR188" s="136"/>
      <c r="CS188" s="136"/>
      <c r="CT188" s="136"/>
      <c r="CU188" s="136"/>
      <c r="CV188" s="136"/>
      <c r="CW188" s="136"/>
      <c r="CX188" s="136"/>
      <c r="CY188" s="136"/>
      <c r="CZ188" s="136"/>
      <c r="DA188" s="136"/>
      <c r="DB188" s="136"/>
      <c r="DC188" s="136"/>
      <c r="DD188" s="136"/>
      <c r="DE188" s="136"/>
      <c r="DF188" s="136"/>
      <c r="DG188" s="136"/>
      <c r="DH188" s="136"/>
      <c r="DI188" s="136"/>
      <c r="DJ188" s="136"/>
      <c r="DK188" s="136"/>
      <c r="DL188" s="136"/>
      <c r="DM188" s="136"/>
      <c r="DN188" s="136"/>
      <c r="DO188" s="136"/>
      <c r="DP188" s="136"/>
      <c r="DQ188" s="136"/>
      <c r="DR188" s="136"/>
      <c r="DS188" s="136"/>
      <c r="DT188" s="136"/>
      <c r="DU188" s="136"/>
      <c r="DV188" s="136"/>
      <c r="DW188" s="136"/>
      <c r="DX188" s="136"/>
      <c r="DY188" s="136"/>
      <c r="DZ188" s="136"/>
      <c r="EA188" s="136"/>
      <c r="EB188" s="136"/>
      <c r="EC188" s="136"/>
      <c r="ED188" s="136"/>
      <c r="EE188" s="136"/>
      <c r="EF188" s="136"/>
      <c r="EG188" s="136"/>
      <c r="EH188" s="136"/>
      <c r="EI188" s="136"/>
      <c r="EJ188" s="136"/>
      <c r="EK188" s="136"/>
      <c r="EL188" s="136"/>
      <c r="EM188" s="136"/>
      <c r="EN188" s="136"/>
      <c r="EO188" s="136"/>
      <c r="EP188" s="136"/>
      <c r="EQ188" s="136"/>
      <c r="ER188" s="136"/>
      <c r="ES188" s="136"/>
      <c r="ET188" s="136"/>
      <c r="EU188" s="136"/>
      <c r="EV188" s="136"/>
      <c r="EW188" s="136"/>
      <c r="EX188" s="136"/>
      <c r="EY188" s="136"/>
      <c r="EZ188" s="136"/>
      <c r="FA188" s="136"/>
      <c r="FB188" s="136"/>
      <c r="FC188" s="136"/>
      <c r="FD188" s="136"/>
      <c r="FE188" s="136"/>
      <c r="FF188" s="136"/>
      <c r="FG188" s="136"/>
      <c r="FH188" s="136"/>
      <c r="FI188" s="136"/>
      <c r="FJ188" s="136"/>
      <c r="FK188" s="136"/>
      <c r="FL188" s="136"/>
      <c r="FM188" s="136"/>
      <c r="FN188" s="136"/>
      <c r="FO188" s="136"/>
      <c r="FP188" s="136"/>
      <c r="FQ188" s="136"/>
      <c r="FR188" s="136"/>
      <c r="FS188" s="136"/>
      <c r="FT188" s="136"/>
      <c r="FU188" s="136"/>
      <c r="FV188" s="136"/>
      <c r="FW188" s="136"/>
      <c r="FX188" s="136"/>
      <c r="FY188" s="136"/>
      <c r="FZ188" s="136"/>
      <c r="GA188" s="136"/>
      <c r="GB188" s="136"/>
      <c r="GC188" s="136"/>
      <c r="GD188" s="136"/>
      <c r="GE188" s="136"/>
      <c r="GF188" s="136"/>
      <c r="GG188" s="136"/>
      <c r="GH188" s="136"/>
      <c r="GI188" s="136"/>
      <c r="GJ188" s="136"/>
      <c r="GK188" s="136"/>
      <c r="GL188" s="136"/>
      <c r="GM188" s="136"/>
      <c r="GN188" s="136"/>
      <c r="GO188" s="136"/>
      <c r="GP188" s="136"/>
      <c r="GQ188" s="136"/>
      <c r="GR188" s="136"/>
      <c r="GS188" s="136"/>
      <c r="GT188" s="136"/>
      <c r="GU188" s="136"/>
      <c r="GV188" s="136"/>
      <c r="GW188" s="136"/>
      <c r="GX188" s="136"/>
      <c r="GY188" s="136"/>
      <c r="GZ188" s="136"/>
      <c r="HA188" s="136"/>
      <c r="HB188" s="136"/>
      <c r="HC188" s="136"/>
      <c r="HD188" s="136"/>
      <c r="HE188" s="136"/>
      <c r="HF188" s="136"/>
      <c r="HG188" s="136"/>
      <c r="HH188" s="136"/>
      <c r="HI188" s="136"/>
      <c r="HJ188" s="136"/>
      <c r="HK188" s="136"/>
      <c r="HL188" s="136"/>
      <c r="HM188" s="136"/>
      <c r="HN188" s="136"/>
      <c r="HO188" s="136"/>
      <c r="HP188" s="136"/>
      <c r="HQ188" s="136"/>
      <c r="HR188" s="136"/>
      <c r="HS188" s="136"/>
      <c r="HT188" s="136"/>
      <c r="HU188" s="136"/>
      <c r="HV188" s="136"/>
      <c r="HW188" s="136"/>
      <c r="HX188" s="136"/>
      <c r="HY188" s="136"/>
      <c r="HZ188" s="136"/>
      <c r="IA188" s="136"/>
      <c r="IB188" s="136"/>
      <c r="IC188" s="136"/>
      <c r="ID188" s="136"/>
      <c r="IE188" s="136"/>
      <c r="IF188" s="136"/>
      <c r="IG188" s="136"/>
      <c r="IH188" s="136"/>
      <c r="II188" s="136"/>
      <c r="IJ188" s="136"/>
      <c r="IK188" s="136"/>
      <c r="IL188" s="136"/>
      <c r="IM188" s="136"/>
      <c r="IN188" s="136"/>
      <c r="IO188" s="136"/>
      <c r="IP188" s="136"/>
      <c r="IQ188" s="136"/>
      <c r="IR188" s="136"/>
      <c r="IS188" s="136"/>
      <c r="IT188" s="136"/>
      <c r="IU188" s="136"/>
    </row>
    <row r="189" spans="1:255" ht="64.25" customHeight="1" x14ac:dyDescent="0.2">
      <c r="A189" s="242" t="str">
        <f>'HECVAT - Full'!A189</f>
        <v>DRPL-11</v>
      </c>
      <c r="B189" s="242" t="str">
        <f>VLOOKUP(A189,'HECVAT - Full'!A$24:B$312,2,FALSE)</f>
        <v>Do the documented test results identify your organizations actual recovery time capabilities for technology and facilities?</v>
      </c>
      <c r="C189" s="243" t="s">
        <v>2886</v>
      </c>
      <c r="D189" s="253" t="s">
        <v>2887</v>
      </c>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c r="BA189" s="136"/>
      <c r="BB189" s="136"/>
      <c r="BC189" s="136"/>
      <c r="BD189" s="136"/>
      <c r="BE189" s="136"/>
      <c r="BF189" s="136"/>
      <c r="BG189" s="136"/>
      <c r="BH189" s="136"/>
      <c r="BI189" s="136"/>
      <c r="BJ189" s="136"/>
      <c r="BK189" s="136"/>
      <c r="BL189" s="136"/>
      <c r="BM189" s="136"/>
      <c r="BN189" s="136"/>
      <c r="BO189" s="136"/>
      <c r="BP189" s="136"/>
      <c r="BQ189" s="136"/>
      <c r="BR189" s="136"/>
      <c r="BS189" s="136"/>
      <c r="BT189" s="136"/>
      <c r="BU189" s="136"/>
      <c r="BV189" s="136"/>
      <c r="BW189" s="136"/>
      <c r="BX189" s="136"/>
      <c r="BY189" s="136"/>
      <c r="BZ189" s="136"/>
      <c r="CA189" s="136"/>
      <c r="CB189" s="136"/>
      <c r="CC189" s="136"/>
      <c r="CD189" s="136"/>
      <c r="CE189" s="136"/>
      <c r="CF189" s="136"/>
      <c r="CG189" s="136"/>
      <c r="CH189" s="136"/>
      <c r="CI189" s="136"/>
      <c r="CJ189" s="136"/>
      <c r="CK189" s="136"/>
      <c r="CL189" s="136"/>
      <c r="CM189" s="136"/>
      <c r="CN189" s="136"/>
      <c r="CO189" s="136"/>
      <c r="CP189" s="136"/>
      <c r="CQ189" s="136"/>
      <c r="CR189" s="136"/>
      <c r="CS189" s="136"/>
      <c r="CT189" s="136"/>
      <c r="CU189" s="136"/>
      <c r="CV189" s="136"/>
      <c r="CW189" s="136"/>
      <c r="CX189" s="136"/>
      <c r="CY189" s="136"/>
      <c r="CZ189" s="136"/>
      <c r="DA189" s="136"/>
      <c r="DB189" s="136"/>
      <c r="DC189" s="136"/>
      <c r="DD189" s="136"/>
      <c r="DE189" s="136"/>
      <c r="DF189" s="136"/>
      <c r="DG189" s="136"/>
      <c r="DH189" s="136"/>
      <c r="DI189" s="136"/>
      <c r="DJ189" s="136"/>
      <c r="DK189" s="136"/>
      <c r="DL189" s="136"/>
      <c r="DM189" s="136"/>
      <c r="DN189" s="136"/>
      <c r="DO189" s="136"/>
      <c r="DP189" s="136"/>
      <c r="DQ189" s="136"/>
      <c r="DR189" s="136"/>
      <c r="DS189" s="136"/>
      <c r="DT189" s="136"/>
      <c r="DU189" s="136"/>
      <c r="DV189" s="136"/>
      <c r="DW189" s="136"/>
      <c r="DX189" s="136"/>
      <c r="DY189" s="136"/>
      <c r="DZ189" s="136"/>
      <c r="EA189" s="136"/>
      <c r="EB189" s="136"/>
      <c r="EC189" s="136"/>
      <c r="ED189" s="136"/>
      <c r="EE189" s="136"/>
      <c r="EF189" s="136"/>
      <c r="EG189" s="136"/>
      <c r="EH189" s="136"/>
      <c r="EI189" s="136"/>
      <c r="EJ189" s="136"/>
      <c r="EK189" s="136"/>
      <c r="EL189" s="136"/>
      <c r="EM189" s="136"/>
      <c r="EN189" s="136"/>
      <c r="EO189" s="136"/>
      <c r="EP189" s="136"/>
      <c r="EQ189" s="136"/>
      <c r="ER189" s="136"/>
      <c r="ES189" s="136"/>
      <c r="ET189" s="136"/>
      <c r="EU189" s="136"/>
      <c r="EV189" s="136"/>
      <c r="EW189" s="136"/>
      <c r="EX189" s="136"/>
      <c r="EY189" s="136"/>
      <c r="EZ189" s="136"/>
      <c r="FA189" s="136"/>
      <c r="FB189" s="136"/>
      <c r="FC189" s="136"/>
      <c r="FD189" s="136"/>
      <c r="FE189" s="136"/>
      <c r="FF189" s="136"/>
      <c r="FG189" s="136"/>
      <c r="FH189" s="136"/>
      <c r="FI189" s="136"/>
      <c r="FJ189" s="136"/>
      <c r="FK189" s="136"/>
      <c r="FL189" s="136"/>
      <c r="FM189" s="136"/>
      <c r="FN189" s="136"/>
      <c r="FO189" s="136"/>
      <c r="FP189" s="136"/>
      <c r="FQ189" s="136"/>
      <c r="FR189" s="136"/>
      <c r="FS189" s="136"/>
      <c r="FT189" s="136"/>
      <c r="FU189" s="136"/>
      <c r="FV189" s="136"/>
      <c r="FW189" s="136"/>
      <c r="FX189" s="136"/>
      <c r="FY189" s="136"/>
      <c r="FZ189" s="136"/>
      <c r="GA189" s="136"/>
      <c r="GB189" s="136"/>
      <c r="GC189" s="136"/>
      <c r="GD189" s="136"/>
      <c r="GE189" s="136"/>
      <c r="GF189" s="136"/>
      <c r="GG189" s="136"/>
      <c r="GH189" s="136"/>
      <c r="GI189" s="136"/>
      <c r="GJ189" s="136"/>
      <c r="GK189" s="136"/>
      <c r="GL189" s="136"/>
      <c r="GM189" s="136"/>
      <c r="GN189" s="136"/>
      <c r="GO189" s="136"/>
      <c r="GP189" s="136"/>
      <c r="GQ189" s="136"/>
      <c r="GR189" s="136"/>
      <c r="GS189" s="136"/>
      <c r="GT189" s="136"/>
      <c r="GU189" s="136"/>
      <c r="GV189" s="136"/>
      <c r="GW189" s="136"/>
      <c r="GX189" s="136"/>
      <c r="GY189" s="136"/>
      <c r="GZ189" s="136"/>
      <c r="HA189" s="136"/>
      <c r="HB189" s="136"/>
      <c r="HC189" s="136"/>
      <c r="HD189" s="136"/>
      <c r="HE189" s="136"/>
      <c r="HF189" s="136"/>
      <c r="HG189" s="136"/>
      <c r="HH189" s="136"/>
      <c r="HI189" s="136"/>
      <c r="HJ189" s="136"/>
      <c r="HK189" s="136"/>
      <c r="HL189" s="136"/>
      <c r="HM189" s="136"/>
      <c r="HN189" s="136"/>
      <c r="HO189" s="136"/>
      <c r="HP189" s="136"/>
      <c r="HQ189" s="136"/>
      <c r="HR189" s="136"/>
      <c r="HS189" s="136"/>
      <c r="HT189" s="136"/>
      <c r="HU189" s="136"/>
      <c r="HV189" s="136"/>
      <c r="HW189" s="136"/>
      <c r="HX189" s="136"/>
      <c r="HY189" s="136"/>
      <c r="HZ189" s="136"/>
      <c r="IA189" s="136"/>
      <c r="IB189" s="136"/>
      <c r="IC189" s="136"/>
      <c r="ID189" s="136"/>
      <c r="IE189" s="136"/>
      <c r="IF189" s="136"/>
      <c r="IG189" s="136"/>
      <c r="IH189" s="136"/>
      <c r="II189" s="136"/>
      <c r="IJ189" s="136"/>
      <c r="IK189" s="136"/>
      <c r="IL189" s="136"/>
      <c r="IM189" s="136"/>
      <c r="IN189" s="136"/>
      <c r="IO189" s="136"/>
      <c r="IP189" s="136"/>
      <c r="IQ189" s="136"/>
      <c r="IR189" s="136"/>
      <c r="IS189" s="136"/>
      <c r="IT189" s="136"/>
      <c r="IU189" s="136"/>
    </row>
    <row r="190" spans="1:255" ht="84" customHeight="1" x14ac:dyDescent="0.2">
      <c r="A190" s="242" t="str">
        <f>'HECVAT - Full'!A190</f>
        <v>DRPL-12</v>
      </c>
      <c r="B190" s="242" t="str">
        <f>VLOOKUP(A190,'HECVAT - Full'!A$24:B$312,2,FALSE)</f>
        <v xml:space="preserve">Are all components of the DRP reviewed at least annually and updated as needed to reflect change? </v>
      </c>
      <c r="C190" s="275" t="s">
        <v>3041</v>
      </c>
      <c r="D190" s="257" t="s">
        <v>2885</v>
      </c>
      <c r="E190" s="136"/>
      <c r="F190" s="136"/>
      <c r="G190" s="136"/>
      <c r="H190" s="136"/>
      <c r="I190" s="136"/>
      <c r="J190" s="136"/>
      <c r="K190" s="136"/>
      <c r="L190" s="136"/>
      <c r="M190" s="136"/>
      <c r="N190" s="136"/>
      <c r="O190" s="136"/>
      <c r="P190" s="136"/>
      <c r="Q190" s="136"/>
      <c r="R190" s="136"/>
      <c r="S190" s="136"/>
      <c r="T190" s="136"/>
      <c r="U190" s="136"/>
      <c r="V190" s="136"/>
      <c r="W190" s="136"/>
      <c r="X190" s="136"/>
      <c r="Y190" s="136"/>
      <c r="Z190" s="136"/>
      <c r="AA190" s="136"/>
      <c r="AB190" s="136"/>
      <c r="AC190" s="136"/>
      <c r="AD190" s="136"/>
      <c r="AE190" s="136"/>
      <c r="AF190" s="136"/>
      <c r="AG190" s="136"/>
      <c r="AH190" s="136"/>
      <c r="AI190" s="136"/>
      <c r="AJ190" s="136"/>
      <c r="AK190" s="136"/>
      <c r="AL190" s="136"/>
      <c r="AM190" s="136"/>
      <c r="AN190" s="136"/>
      <c r="AO190" s="136"/>
      <c r="AP190" s="136"/>
      <c r="AQ190" s="136"/>
      <c r="AR190" s="136"/>
      <c r="AS190" s="136"/>
      <c r="AT190" s="136"/>
      <c r="AU190" s="136"/>
      <c r="AV190" s="136"/>
      <c r="AW190" s="136"/>
      <c r="AX190" s="136"/>
      <c r="AY190" s="136"/>
      <c r="AZ190" s="136"/>
      <c r="BA190" s="136"/>
      <c r="BB190" s="136"/>
      <c r="BC190" s="136"/>
      <c r="BD190" s="136"/>
      <c r="BE190" s="136"/>
      <c r="BF190" s="136"/>
      <c r="BG190" s="136"/>
      <c r="BH190" s="136"/>
      <c r="BI190" s="136"/>
      <c r="BJ190" s="136"/>
      <c r="BK190" s="136"/>
      <c r="BL190" s="136"/>
      <c r="BM190" s="136"/>
      <c r="BN190" s="136"/>
      <c r="BO190" s="136"/>
      <c r="BP190" s="136"/>
      <c r="BQ190" s="136"/>
      <c r="BR190" s="136"/>
      <c r="BS190" s="136"/>
      <c r="BT190" s="136"/>
      <c r="BU190" s="136"/>
      <c r="BV190" s="136"/>
      <c r="BW190" s="136"/>
      <c r="BX190" s="136"/>
      <c r="BY190" s="136"/>
      <c r="BZ190" s="136"/>
      <c r="CA190" s="136"/>
      <c r="CB190" s="136"/>
      <c r="CC190" s="136"/>
      <c r="CD190" s="136"/>
      <c r="CE190" s="136"/>
      <c r="CF190" s="136"/>
      <c r="CG190" s="136"/>
      <c r="CH190" s="136"/>
      <c r="CI190" s="136"/>
      <c r="CJ190" s="136"/>
      <c r="CK190" s="136"/>
      <c r="CL190" s="136"/>
      <c r="CM190" s="136"/>
      <c r="CN190" s="136"/>
      <c r="CO190" s="136"/>
      <c r="CP190" s="136"/>
      <c r="CQ190" s="136"/>
      <c r="CR190" s="136"/>
      <c r="CS190" s="136"/>
      <c r="CT190" s="136"/>
      <c r="CU190" s="136"/>
      <c r="CV190" s="136"/>
      <c r="CW190" s="136"/>
      <c r="CX190" s="136"/>
      <c r="CY190" s="136"/>
      <c r="CZ190" s="136"/>
      <c r="DA190" s="136"/>
      <c r="DB190" s="136"/>
      <c r="DC190" s="136"/>
      <c r="DD190" s="136"/>
      <c r="DE190" s="136"/>
      <c r="DF190" s="136"/>
      <c r="DG190" s="136"/>
      <c r="DH190" s="136"/>
      <c r="DI190" s="136"/>
      <c r="DJ190" s="136"/>
      <c r="DK190" s="136"/>
      <c r="DL190" s="136"/>
      <c r="DM190" s="136"/>
      <c r="DN190" s="136"/>
      <c r="DO190" s="136"/>
      <c r="DP190" s="136"/>
      <c r="DQ190" s="136"/>
      <c r="DR190" s="136"/>
      <c r="DS190" s="136"/>
      <c r="DT190" s="136"/>
      <c r="DU190" s="136"/>
      <c r="DV190" s="136"/>
      <c r="DW190" s="136"/>
      <c r="DX190" s="136"/>
      <c r="DY190" s="136"/>
      <c r="DZ190" s="136"/>
      <c r="EA190" s="136"/>
      <c r="EB190" s="136"/>
      <c r="EC190" s="136"/>
      <c r="ED190" s="136"/>
      <c r="EE190" s="136"/>
      <c r="EF190" s="136"/>
      <c r="EG190" s="136"/>
      <c r="EH190" s="136"/>
      <c r="EI190" s="136"/>
      <c r="EJ190" s="136"/>
      <c r="EK190" s="136"/>
      <c r="EL190" s="136"/>
      <c r="EM190" s="136"/>
      <c r="EN190" s="136"/>
      <c r="EO190" s="136"/>
      <c r="EP190" s="136"/>
      <c r="EQ190" s="136"/>
      <c r="ER190" s="136"/>
      <c r="ES190" s="136"/>
      <c r="ET190" s="136"/>
      <c r="EU190" s="136"/>
      <c r="EV190" s="136"/>
      <c r="EW190" s="136"/>
      <c r="EX190" s="136"/>
      <c r="EY190" s="136"/>
      <c r="EZ190" s="136"/>
      <c r="FA190" s="136"/>
      <c r="FB190" s="136"/>
      <c r="FC190" s="136"/>
      <c r="FD190" s="136"/>
      <c r="FE190" s="136"/>
      <c r="FF190" s="136"/>
      <c r="FG190" s="136"/>
      <c r="FH190" s="136"/>
      <c r="FI190" s="136"/>
      <c r="FJ190" s="136"/>
      <c r="FK190" s="136"/>
      <c r="FL190" s="136"/>
      <c r="FM190" s="136"/>
      <c r="FN190" s="136"/>
      <c r="FO190" s="136"/>
      <c r="FP190" s="136"/>
      <c r="FQ190" s="136"/>
      <c r="FR190" s="136"/>
      <c r="FS190" s="136"/>
      <c r="FT190" s="136"/>
      <c r="FU190" s="136"/>
      <c r="FV190" s="136"/>
      <c r="FW190" s="136"/>
      <c r="FX190" s="136"/>
      <c r="FY190" s="136"/>
      <c r="FZ190" s="136"/>
      <c r="GA190" s="136"/>
      <c r="GB190" s="136"/>
      <c r="GC190" s="136"/>
      <c r="GD190" s="136"/>
      <c r="GE190" s="136"/>
      <c r="GF190" s="136"/>
      <c r="GG190" s="136"/>
      <c r="GH190" s="136"/>
      <c r="GI190" s="136"/>
      <c r="GJ190" s="136"/>
      <c r="GK190" s="136"/>
      <c r="GL190" s="136"/>
      <c r="GM190" s="136"/>
      <c r="GN190" s="136"/>
      <c r="GO190" s="136"/>
      <c r="GP190" s="136"/>
      <c r="GQ190" s="136"/>
      <c r="GR190" s="136"/>
      <c r="GS190" s="136"/>
      <c r="GT190" s="136"/>
      <c r="GU190" s="136"/>
      <c r="GV190" s="136"/>
      <c r="GW190" s="136"/>
      <c r="GX190" s="136"/>
      <c r="GY190" s="136"/>
      <c r="GZ190" s="136"/>
      <c r="HA190" s="136"/>
      <c r="HB190" s="136"/>
      <c r="HC190" s="136"/>
      <c r="HD190" s="136"/>
      <c r="HE190" s="136"/>
      <c r="HF190" s="136"/>
      <c r="HG190" s="136"/>
      <c r="HH190" s="136"/>
      <c r="HI190" s="136"/>
      <c r="HJ190" s="136"/>
      <c r="HK190" s="136"/>
      <c r="HL190" s="136"/>
      <c r="HM190" s="136"/>
      <c r="HN190" s="136"/>
      <c r="HO190" s="136"/>
      <c r="HP190" s="136"/>
      <c r="HQ190" s="136"/>
      <c r="HR190" s="136"/>
      <c r="HS190" s="136"/>
      <c r="HT190" s="136"/>
      <c r="HU190" s="136"/>
      <c r="HV190" s="136"/>
      <c r="HW190" s="136"/>
      <c r="HX190" s="136"/>
      <c r="HY190" s="136"/>
      <c r="HZ190" s="136"/>
      <c r="IA190" s="136"/>
      <c r="IB190" s="136"/>
      <c r="IC190" s="136"/>
      <c r="ID190" s="136"/>
      <c r="IE190" s="136"/>
      <c r="IF190" s="136"/>
      <c r="IG190" s="136"/>
      <c r="IH190" s="136"/>
      <c r="II190" s="136"/>
      <c r="IJ190" s="136"/>
      <c r="IK190" s="136"/>
      <c r="IL190" s="136"/>
      <c r="IM190" s="136"/>
      <c r="IN190" s="136"/>
      <c r="IO190" s="136"/>
      <c r="IP190" s="136"/>
      <c r="IQ190" s="136"/>
      <c r="IR190" s="136"/>
      <c r="IS190" s="136"/>
      <c r="IT190" s="136"/>
      <c r="IU190" s="136"/>
    </row>
    <row r="191" spans="1:255" ht="82.5" customHeight="1" x14ac:dyDescent="0.2">
      <c r="A191" s="242" t="str">
        <f>'HECVAT - Full'!A191</f>
        <v>DRPL-13</v>
      </c>
      <c r="B191" s="242" t="str">
        <f>VLOOKUP(A191,'HECVAT - Full'!A$24:B$312,2,FALSE)</f>
        <v>Do you carry cyber-risk insurance to protect against unforeseen service outages, data that is lost or stolen, and security incidents?</v>
      </c>
      <c r="C191" s="243" t="s">
        <v>2888</v>
      </c>
      <c r="D191" s="253" t="s">
        <v>2889</v>
      </c>
      <c r="E191" s="136"/>
      <c r="F191" s="136"/>
      <c r="G191" s="136"/>
      <c r="H191" s="136"/>
      <c r="I191" s="136"/>
      <c r="J191" s="136"/>
      <c r="K191" s="136"/>
      <c r="L191" s="136"/>
      <c r="M191" s="136"/>
      <c r="N191" s="136"/>
      <c r="O191" s="136"/>
      <c r="P191" s="136"/>
      <c r="Q191" s="136"/>
      <c r="R191" s="136"/>
      <c r="S191" s="136"/>
      <c r="T191" s="136"/>
      <c r="U191" s="136"/>
      <c r="V191" s="136"/>
      <c r="W191" s="136"/>
      <c r="X191" s="136"/>
      <c r="Y191" s="136"/>
      <c r="Z191" s="136"/>
      <c r="AA191" s="136"/>
      <c r="AB191" s="136"/>
      <c r="AC191" s="136"/>
      <c r="AD191" s="136"/>
      <c r="AE191" s="136"/>
      <c r="AF191" s="136"/>
      <c r="AG191" s="136"/>
      <c r="AH191" s="136"/>
      <c r="AI191" s="136"/>
      <c r="AJ191" s="136"/>
      <c r="AK191" s="136"/>
      <c r="AL191" s="136"/>
      <c r="AM191" s="136"/>
      <c r="AN191" s="136"/>
      <c r="AO191" s="136"/>
      <c r="AP191" s="136"/>
      <c r="AQ191" s="136"/>
      <c r="AR191" s="136"/>
      <c r="AS191" s="136"/>
      <c r="AT191" s="136"/>
      <c r="AU191" s="136"/>
      <c r="AV191" s="136"/>
      <c r="AW191" s="136"/>
      <c r="AX191" s="136"/>
      <c r="AY191" s="136"/>
      <c r="AZ191" s="136"/>
      <c r="BA191" s="136"/>
      <c r="BB191" s="136"/>
      <c r="BC191" s="136"/>
      <c r="BD191" s="136"/>
      <c r="BE191" s="136"/>
      <c r="BF191" s="136"/>
      <c r="BG191" s="136"/>
      <c r="BH191" s="136"/>
      <c r="BI191" s="136"/>
      <c r="BJ191" s="136"/>
      <c r="BK191" s="136"/>
      <c r="BL191" s="136"/>
      <c r="BM191" s="136"/>
      <c r="BN191" s="136"/>
      <c r="BO191" s="136"/>
      <c r="BP191" s="136"/>
      <c r="BQ191" s="136"/>
      <c r="BR191" s="136"/>
      <c r="BS191" s="136"/>
      <c r="BT191" s="136"/>
      <c r="BU191" s="136"/>
      <c r="BV191" s="136"/>
      <c r="BW191" s="136"/>
      <c r="BX191" s="136"/>
      <c r="BY191" s="136"/>
      <c r="BZ191" s="136"/>
      <c r="CA191" s="136"/>
      <c r="CB191" s="136"/>
      <c r="CC191" s="136"/>
      <c r="CD191" s="136"/>
      <c r="CE191" s="136"/>
      <c r="CF191" s="136"/>
      <c r="CG191" s="136"/>
      <c r="CH191" s="136"/>
      <c r="CI191" s="136"/>
      <c r="CJ191" s="136"/>
      <c r="CK191" s="136"/>
      <c r="CL191" s="136"/>
      <c r="CM191" s="136"/>
      <c r="CN191" s="136"/>
      <c r="CO191" s="136"/>
      <c r="CP191" s="136"/>
      <c r="CQ191" s="136"/>
      <c r="CR191" s="136"/>
      <c r="CS191" s="136"/>
      <c r="CT191" s="136"/>
      <c r="CU191" s="136"/>
      <c r="CV191" s="136"/>
      <c r="CW191" s="136"/>
      <c r="CX191" s="136"/>
      <c r="CY191" s="136"/>
      <c r="CZ191" s="136"/>
      <c r="DA191" s="136"/>
      <c r="DB191" s="136"/>
      <c r="DC191" s="136"/>
      <c r="DD191" s="136"/>
      <c r="DE191" s="136"/>
      <c r="DF191" s="136"/>
      <c r="DG191" s="136"/>
      <c r="DH191" s="136"/>
      <c r="DI191" s="136"/>
      <c r="DJ191" s="136"/>
      <c r="DK191" s="136"/>
      <c r="DL191" s="136"/>
      <c r="DM191" s="136"/>
      <c r="DN191" s="136"/>
      <c r="DO191" s="136"/>
      <c r="DP191" s="136"/>
      <c r="DQ191" s="136"/>
      <c r="DR191" s="136"/>
      <c r="DS191" s="136"/>
      <c r="DT191" s="136"/>
      <c r="DU191" s="136"/>
      <c r="DV191" s="136"/>
      <c r="DW191" s="136"/>
      <c r="DX191" s="136"/>
      <c r="DY191" s="136"/>
      <c r="DZ191" s="136"/>
      <c r="EA191" s="136"/>
      <c r="EB191" s="136"/>
      <c r="EC191" s="136"/>
      <c r="ED191" s="136"/>
      <c r="EE191" s="136"/>
      <c r="EF191" s="136"/>
      <c r="EG191" s="136"/>
      <c r="EH191" s="136"/>
      <c r="EI191" s="136"/>
      <c r="EJ191" s="136"/>
      <c r="EK191" s="136"/>
      <c r="EL191" s="136"/>
      <c r="EM191" s="136"/>
      <c r="EN191" s="136"/>
      <c r="EO191" s="136"/>
      <c r="EP191" s="136"/>
      <c r="EQ191" s="136"/>
      <c r="ER191" s="136"/>
      <c r="ES191" s="136"/>
      <c r="ET191" s="136"/>
      <c r="EU191" s="136"/>
      <c r="EV191" s="136"/>
      <c r="EW191" s="136"/>
      <c r="EX191" s="136"/>
      <c r="EY191" s="136"/>
      <c r="EZ191" s="136"/>
      <c r="FA191" s="136"/>
      <c r="FB191" s="136"/>
      <c r="FC191" s="136"/>
      <c r="FD191" s="136"/>
      <c r="FE191" s="136"/>
      <c r="FF191" s="136"/>
      <c r="FG191" s="136"/>
      <c r="FH191" s="136"/>
      <c r="FI191" s="136"/>
      <c r="FJ191" s="136"/>
      <c r="FK191" s="136"/>
      <c r="FL191" s="136"/>
      <c r="FM191" s="136"/>
      <c r="FN191" s="136"/>
      <c r="FO191" s="136"/>
      <c r="FP191" s="136"/>
      <c r="FQ191" s="136"/>
      <c r="FR191" s="136"/>
      <c r="FS191" s="136"/>
      <c r="FT191" s="136"/>
      <c r="FU191" s="136"/>
      <c r="FV191" s="136"/>
      <c r="FW191" s="136"/>
      <c r="FX191" s="136"/>
      <c r="FY191" s="136"/>
      <c r="FZ191" s="136"/>
      <c r="GA191" s="136"/>
      <c r="GB191" s="136"/>
      <c r="GC191" s="136"/>
      <c r="GD191" s="136"/>
      <c r="GE191" s="136"/>
      <c r="GF191" s="136"/>
      <c r="GG191" s="136"/>
      <c r="GH191" s="136"/>
      <c r="GI191" s="136"/>
      <c r="GJ191" s="136"/>
      <c r="GK191" s="136"/>
      <c r="GL191" s="136"/>
      <c r="GM191" s="136"/>
      <c r="GN191" s="136"/>
      <c r="GO191" s="136"/>
      <c r="GP191" s="136"/>
      <c r="GQ191" s="136"/>
      <c r="GR191" s="136"/>
      <c r="GS191" s="136"/>
      <c r="GT191" s="136"/>
      <c r="GU191" s="136"/>
      <c r="GV191" s="136"/>
      <c r="GW191" s="136"/>
      <c r="GX191" s="136"/>
      <c r="GY191" s="136"/>
      <c r="GZ191" s="136"/>
      <c r="HA191" s="136"/>
      <c r="HB191" s="136"/>
      <c r="HC191" s="136"/>
      <c r="HD191" s="136"/>
      <c r="HE191" s="136"/>
      <c r="HF191" s="136"/>
      <c r="HG191" s="136"/>
      <c r="HH191" s="136"/>
      <c r="HI191" s="136"/>
      <c r="HJ191" s="136"/>
      <c r="HK191" s="136"/>
      <c r="HL191" s="136"/>
      <c r="HM191" s="136"/>
      <c r="HN191" s="136"/>
      <c r="HO191" s="136"/>
      <c r="HP191" s="136"/>
      <c r="HQ191" s="136"/>
      <c r="HR191" s="136"/>
      <c r="HS191" s="136"/>
      <c r="HT191" s="136"/>
      <c r="HU191" s="136"/>
      <c r="HV191" s="136"/>
      <c r="HW191" s="136"/>
      <c r="HX191" s="136"/>
      <c r="HY191" s="136"/>
      <c r="HZ191" s="136"/>
      <c r="IA191" s="136"/>
      <c r="IB191" s="136"/>
      <c r="IC191" s="136"/>
      <c r="ID191" s="136"/>
      <c r="IE191" s="136"/>
      <c r="IF191" s="136"/>
      <c r="IG191" s="136"/>
      <c r="IH191" s="136"/>
      <c r="II191" s="136"/>
      <c r="IJ191" s="136"/>
      <c r="IK191" s="136"/>
      <c r="IL191" s="136"/>
      <c r="IM191" s="136"/>
      <c r="IN191" s="136"/>
      <c r="IO191" s="136"/>
      <c r="IP191" s="136"/>
      <c r="IQ191" s="136"/>
      <c r="IR191" s="136"/>
      <c r="IS191" s="136"/>
      <c r="IT191" s="136"/>
      <c r="IU191" s="136"/>
    </row>
    <row r="192" spans="1:255" ht="36" customHeight="1" x14ac:dyDescent="0.2">
      <c r="A192" s="335" t="str">
        <f>IF($C$30="","Firewalls, IDS, IPS, and Networking",IF($C$30="Yes","FW/IDPS/Networks - Optional based on QUALIFIER response.","Firewalls, IDS, IPS, and Networking"))</f>
        <v>Firewalls, IDS, IPS, and Networking</v>
      </c>
      <c r="B192" s="335"/>
      <c r="C192" s="240" t="str">
        <f>$C$22</f>
        <v>Reason for Question</v>
      </c>
      <c r="D192" s="240" t="str">
        <f>$D$22</f>
        <v>Follow-up Inquiries/Responses</v>
      </c>
      <c r="E192" s="136"/>
      <c r="F192" s="136"/>
      <c r="G192" s="136"/>
      <c r="H192" s="136"/>
      <c r="I192" s="136"/>
      <c r="J192" s="136"/>
      <c r="K192" s="136"/>
      <c r="L192" s="136"/>
      <c r="M192" s="136"/>
      <c r="N192" s="136"/>
      <c r="O192" s="136"/>
      <c r="P192" s="136"/>
      <c r="Q192" s="136"/>
      <c r="R192" s="136"/>
      <c r="S192" s="136"/>
      <c r="T192" s="136"/>
      <c r="U192" s="136"/>
      <c r="V192" s="136"/>
      <c r="W192" s="136"/>
      <c r="X192" s="136"/>
      <c r="Y192" s="136"/>
      <c r="Z192" s="136"/>
      <c r="AA192" s="136"/>
      <c r="AB192" s="136"/>
      <c r="AC192" s="136"/>
      <c r="AD192" s="136"/>
      <c r="AE192" s="136"/>
      <c r="AF192" s="136"/>
      <c r="AG192" s="136"/>
      <c r="AH192" s="136"/>
      <c r="AI192" s="136"/>
      <c r="AJ192" s="136"/>
      <c r="AK192" s="136"/>
      <c r="AL192" s="136"/>
      <c r="AM192" s="136"/>
      <c r="AN192" s="136"/>
      <c r="AO192" s="136"/>
      <c r="AP192" s="136"/>
      <c r="AQ192" s="136"/>
      <c r="AR192" s="136"/>
      <c r="AS192" s="136"/>
      <c r="AT192" s="136"/>
      <c r="AU192" s="136"/>
      <c r="AV192" s="136"/>
      <c r="AW192" s="136"/>
      <c r="AX192" s="136"/>
      <c r="AY192" s="136"/>
      <c r="AZ192" s="136"/>
      <c r="BA192" s="136"/>
      <c r="BB192" s="136"/>
      <c r="BC192" s="136"/>
      <c r="BD192" s="136"/>
      <c r="BE192" s="136"/>
      <c r="BF192" s="136"/>
      <c r="BG192" s="136"/>
      <c r="BH192" s="136"/>
      <c r="BI192" s="136"/>
      <c r="BJ192" s="136"/>
      <c r="BK192" s="136"/>
      <c r="BL192" s="136"/>
      <c r="BM192" s="136"/>
      <c r="BN192" s="136"/>
      <c r="BO192" s="136"/>
      <c r="BP192" s="136"/>
      <c r="BQ192" s="136"/>
      <c r="BR192" s="136"/>
      <c r="BS192" s="136"/>
      <c r="BT192" s="136"/>
      <c r="BU192" s="136"/>
      <c r="BV192" s="136"/>
      <c r="BW192" s="136"/>
      <c r="BX192" s="136"/>
      <c r="BY192" s="136"/>
      <c r="BZ192" s="136"/>
      <c r="CA192" s="136"/>
      <c r="CB192" s="136"/>
      <c r="CC192" s="136"/>
      <c r="CD192" s="136"/>
      <c r="CE192" s="136"/>
      <c r="CF192" s="136"/>
      <c r="CG192" s="136"/>
      <c r="CH192" s="136"/>
      <c r="CI192" s="136"/>
      <c r="CJ192" s="136"/>
      <c r="CK192" s="136"/>
      <c r="CL192" s="136"/>
      <c r="CM192" s="136"/>
      <c r="CN192" s="136"/>
      <c r="CO192" s="136"/>
      <c r="CP192" s="136"/>
      <c r="CQ192" s="136"/>
      <c r="CR192" s="136"/>
      <c r="CS192" s="136"/>
      <c r="CT192" s="136"/>
      <c r="CU192" s="136"/>
      <c r="CV192" s="136"/>
      <c r="CW192" s="136"/>
      <c r="CX192" s="136"/>
      <c r="CY192" s="136"/>
      <c r="CZ192" s="136"/>
      <c r="DA192" s="136"/>
      <c r="DB192" s="136"/>
      <c r="DC192" s="136"/>
      <c r="DD192" s="136"/>
      <c r="DE192" s="136"/>
      <c r="DF192" s="136"/>
      <c r="DG192" s="136"/>
      <c r="DH192" s="136"/>
      <c r="DI192" s="136"/>
      <c r="DJ192" s="136"/>
      <c r="DK192" s="136"/>
      <c r="DL192" s="136"/>
      <c r="DM192" s="136"/>
      <c r="DN192" s="136"/>
      <c r="DO192" s="136"/>
      <c r="DP192" s="136"/>
      <c r="DQ192" s="136"/>
      <c r="DR192" s="136"/>
      <c r="DS192" s="136"/>
      <c r="DT192" s="136"/>
      <c r="DU192" s="136"/>
      <c r="DV192" s="136"/>
      <c r="DW192" s="136"/>
      <c r="DX192" s="136"/>
      <c r="DY192" s="136"/>
      <c r="DZ192" s="136"/>
      <c r="EA192" s="136"/>
      <c r="EB192" s="136"/>
      <c r="EC192" s="136"/>
      <c r="ED192" s="136"/>
      <c r="EE192" s="136"/>
      <c r="EF192" s="136"/>
      <c r="EG192" s="136"/>
      <c r="EH192" s="136"/>
      <c r="EI192" s="136"/>
      <c r="EJ192" s="136"/>
      <c r="EK192" s="136"/>
      <c r="EL192" s="136"/>
      <c r="EM192" s="136"/>
      <c r="EN192" s="136"/>
      <c r="EO192" s="136"/>
      <c r="EP192" s="136"/>
      <c r="EQ192" s="136"/>
      <c r="ER192" s="136"/>
      <c r="ES192" s="136"/>
      <c r="ET192" s="136"/>
      <c r="EU192" s="136"/>
      <c r="EV192" s="136"/>
      <c r="EW192" s="136"/>
      <c r="EX192" s="136"/>
      <c r="EY192" s="136"/>
      <c r="EZ192" s="136"/>
      <c r="FA192" s="136"/>
      <c r="FB192" s="136"/>
      <c r="FC192" s="136"/>
      <c r="FD192" s="136"/>
      <c r="FE192" s="136"/>
      <c r="FF192" s="136"/>
      <c r="FG192" s="136"/>
      <c r="FH192" s="136"/>
      <c r="FI192" s="136"/>
      <c r="FJ192" s="136"/>
      <c r="FK192" s="136"/>
      <c r="FL192" s="136"/>
      <c r="FM192" s="136"/>
      <c r="FN192" s="136"/>
      <c r="FO192" s="136"/>
      <c r="FP192" s="136"/>
      <c r="FQ192" s="136"/>
      <c r="FR192" s="136"/>
      <c r="FS192" s="136"/>
      <c r="FT192" s="136"/>
      <c r="FU192" s="136"/>
      <c r="FV192" s="136"/>
      <c r="FW192" s="136"/>
      <c r="FX192" s="136"/>
      <c r="FY192" s="136"/>
      <c r="FZ192" s="136"/>
      <c r="GA192" s="136"/>
      <c r="GB192" s="136"/>
      <c r="GC192" s="136"/>
      <c r="GD192" s="136"/>
      <c r="GE192" s="136"/>
      <c r="GF192" s="136"/>
      <c r="GG192" s="136"/>
      <c r="GH192" s="136"/>
      <c r="GI192" s="136"/>
      <c r="GJ192" s="136"/>
      <c r="GK192" s="136"/>
      <c r="GL192" s="136"/>
      <c r="GM192" s="136"/>
      <c r="GN192" s="136"/>
      <c r="GO192" s="136"/>
      <c r="GP192" s="136"/>
      <c r="GQ192" s="136"/>
      <c r="GR192" s="136"/>
      <c r="GS192" s="136"/>
      <c r="GT192" s="136"/>
      <c r="GU192" s="136"/>
      <c r="GV192" s="136"/>
      <c r="GW192" s="136"/>
      <c r="GX192" s="136"/>
      <c r="GY192" s="136"/>
      <c r="GZ192" s="136"/>
      <c r="HA192" s="136"/>
      <c r="HB192" s="136"/>
      <c r="HC192" s="136"/>
      <c r="HD192" s="136"/>
      <c r="HE192" s="136"/>
      <c r="HF192" s="136"/>
      <c r="HG192" s="136"/>
      <c r="HH192" s="136"/>
      <c r="HI192" s="136"/>
      <c r="HJ192" s="136"/>
      <c r="HK192" s="136"/>
      <c r="HL192" s="136"/>
      <c r="HM192" s="136"/>
      <c r="HN192" s="136"/>
      <c r="HO192" s="136"/>
      <c r="HP192" s="136"/>
      <c r="HQ192" s="136"/>
      <c r="HR192" s="136"/>
      <c r="HS192" s="136"/>
      <c r="HT192" s="136"/>
      <c r="HU192" s="136"/>
      <c r="HV192" s="136"/>
      <c r="HW192" s="136"/>
      <c r="HX192" s="136"/>
      <c r="HY192" s="136"/>
      <c r="HZ192" s="136"/>
      <c r="IA192" s="136"/>
      <c r="IB192" s="136"/>
      <c r="IC192" s="136"/>
      <c r="ID192" s="136"/>
      <c r="IE192" s="136"/>
      <c r="IF192" s="136"/>
      <c r="IG192" s="136"/>
      <c r="IH192" s="136"/>
      <c r="II192" s="136"/>
      <c r="IJ192" s="136"/>
      <c r="IK192" s="136"/>
      <c r="IL192" s="136"/>
      <c r="IM192" s="136"/>
      <c r="IN192" s="136"/>
      <c r="IO192" s="136"/>
      <c r="IP192" s="136"/>
      <c r="IQ192" s="136"/>
      <c r="IR192" s="136"/>
      <c r="IS192" s="136"/>
      <c r="IT192" s="136"/>
      <c r="IU192" s="136"/>
    </row>
    <row r="193" spans="1:255" ht="120" x14ac:dyDescent="0.2">
      <c r="A193" s="242" t="str">
        <f>'HECVAT - Full'!A193</f>
        <v>FIDP-01</v>
      </c>
      <c r="B193" s="242" t="str">
        <f>VLOOKUP(A193,'HECVAT - Full'!A$24:B$312,2,FALSE)</f>
        <v>Are you utilizing a web application firewall (WAF)?</v>
      </c>
      <c r="C193" s="245" t="s">
        <v>2890</v>
      </c>
      <c r="D193" s="250" t="s">
        <v>2891</v>
      </c>
      <c r="E193" s="136"/>
      <c r="F193" s="136"/>
      <c r="G193" s="136"/>
      <c r="H193" s="136"/>
      <c r="I193" s="136"/>
      <c r="J193" s="136"/>
      <c r="K193" s="136"/>
      <c r="L193" s="136"/>
      <c r="M193" s="136"/>
      <c r="N193" s="136"/>
      <c r="O193" s="136"/>
      <c r="P193" s="136"/>
      <c r="Q193" s="136"/>
      <c r="R193" s="136"/>
      <c r="S193" s="136"/>
      <c r="T193" s="136"/>
      <c r="U193" s="136"/>
      <c r="V193" s="136"/>
      <c r="W193" s="136"/>
      <c r="X193" s="136"/>
      <c r="Y193" s="136"/>
      <c r="Z193" s="136"/>
      <c r="AA193" s="136"/>
      <c r="AB193" s="136"/>
      <c r="AC193" s="136"/>
      <c r="AD193" s="136"/>
      <c r="AE193" s="136"/>
      <c r="AF193" s="136"/>
      <c r="AG193" s="136"/>
      <c r="AH193" s="136"/>
      <c r="AI193" s="136"/>
      <c r="AJ193" s="136"/>
      <c r="AK193" s="136"/>
      <c r="AL193" s="136"/>
      <c r="AM193" s="136"/>
      <c r="AN193" s="136"/>
      <c r="AO193" s="136"/>
      <c r="AP193" s="136"/>
      <c r="AQ193" s="136"/>
      <c r="AR193" s="136"/>
      <c r="AS193" s="136"/>
      <c r="AT193" s="136"/>
      <c r="AU193" s="136"/>
      <c r="AV193" s="136"/>
      <c r="AW193" s="136"/>
      <c r="AX193" s="136"/>
      <c r="AY193" s="136"/>
      <c r="AZ193" s="136"/>
      <c r="BA193" s="136"/>
      <c r="BB193" s="136"/>
      <c r="BC193" s="136"/>
      <c r="BD193" s="136"/>
      <c r="BE193" s="136"/>
      <c r="BF193" s="136"/>
      <c r="BG193" s="136"/>
      <c r="BH193" s="136"/>
      <c r="BI193" s="136"/>
      <c r="BJ193" s="136"/>
      <c r="BK193" s="136"/>
      <c r="BL193" s="136"/>
      <c r="BM193" s="136"/>
      <c r="BN193" s="136"/>
      <c r="BO193" s="136"/>
      <c r="BP193" s="136"/>
      <c r="BQ193" s="136"/>
      <c r="BR193" s="136"/>
      <c r="BS193" s="136"/>
      <c r="BT193" s="136"/>
      <c r="BU193" s="136"/>
      <c r="BV193" s="136"/>
      <c r="BW193" s="136"/>
      <c r="BX193" s="136"/>
      <c r="BY193" s="136"/>
      <c r="BZ193" s="136"/>
      <c r="CA193" s="136"/>
      <c r="CB193" s="136"/>
      <c r="CC193" s="136"/>
      <c r="CD193" s="136"/>
      <c r="CE193" s="136"/>
      <c r="CF193" s="136"/>
      <c r="CG193" s="136"/>
      <c r="CH193" s="136"/>
      <c r="CI193" s="136"/>
      <c r="CJ193" s="136"/>
      <c r="CK193" s="136"/>
      <c r="CL193" s="136"/>
      <c r="CM193" s="136"/>
      <c r="CN193" s="136"/>
      <c r="CO193" s="136"/>
      <c r="CP193" s="136"/>
      <c r="CQ193" s="136"/>
      <c r="CR193" s="136"/>
      <c r="CS193" s="136"/>
      <c r="CT193" s="136"/>
      <c r="CU193" s="136"/>
      <c r="CV193" s="136"/>
      <c r="CW193" s="136"/>
      <c r="CX193" s="136"/>
      <c r="CY193" s="136"/>
      <c r="CZ193" s="136"/>
      <c r="DA193" s="136"/>
      <c r="DB193" s="136"/>
      <c r="DC193" s="136"/>
      <c r="DD193" s="136"/>
      <c r="DE193" s="136"/>
      <c r="DF193" s="136"/>
      <c r="DG193" s="136"/>
      <c r="DH193" s="136"/>
      <c r="DI193" s="136"/>
      <c r="DJ193" s="136"/>
      <c r="DK193" s="136"/>
      <c r="DL193" s="136"/>
      <c r="DM193" s="136"/>
      <c r="DN193" s="136"/>
      <c r="DO193" s="136"/>
      <c r="DP193" s="136"/>
      <c r="DQ193" s="136"/>
      <c r="DR193" s="136"/>
      <c r="DS193" s="136"/>
      <c r="DT193" s="136"/>
      <c r="DU193" s="136"/>
      <c r="DV193" s="136"/>
      <c r="DW193" s="136"/>
      <c r="DX193" s="136"/>
      <c r="DY193" s="136"/>
      <c r="DZ193" s="136"/>
      <c r="EA193" s="136"/>
      <c r="EB193" s="136"/>
      <c r="EC193" s="136"/>
      <c r="ED193" s="136"/>
      <c r="EE193" s="136"/>
      <c r="EF193" s="136"/>
      <c r="EG193" s="136"/>
      <c r="EH193" s="136"/>
      <c r="EI193" s="136"/>
      <c r="EJ193" s="136"/>
      <c r="EK193" s="136"/>
      <c r="EL193" s="136"/>
      <c r="EM193" s="136"/>
      <c r="EN193" s="136"/>
      <c r="EO193" s="136"/>
      <c r="EP193" s="136"/>
      <c r="EQ193" s="136"/>
      <c r="ER193" s="136"/>
      <c r="ES193" s="136"/>
      <c r="ET193" s="136"/>
      <c r="EU193" s="136"/>
      <c r="EV193" s="136"/>
      <c r="EW193" s="136"/>
      <c r="EX193" s="136"/>
      <c r="EY193" s="136"/>
      <c r="EZ193" s="136"/>
      <c r="FA193" s="136"/>
      <c r="FB193" s="136"/>
      <c r="FC193" s="136"/>
      <c r="FD193" s="136"/>
      <c r="FE193" s="136"/>
      <c r="FF193" s="136"/>
      <c r="FG193" s="136"/>
      <c r="FH193" s="136"/>
      <c r="FI193" s="136"/>
      <c r="FJ193" s="136"/>
      <c r="FK193" s="136"/>
      <c r="FL193" s="136"/>
      <c r="FM193" s="136"/>
      <c r="FN193" s="136"/>
      <c r="FO193" s="136"/>
      <c r="FP193" s="136"/>
      <c r="FQ193" s="136"/>
      <c r="FR193" s="136"/>
      <c r="FS193" s="136"/>
      <c r="FT193" s="136"/>
      <c r="FU193" s="136"/>
      <c r="FV193" s="136"/>
      <c r="FW193" s="136"/>
      <c r="FX193" s="136"/>
      <c r="FY193" s="136"/>
      <c r="FZ193" s="136"/>
      <c r="GA193" s="136"/>
      <c r="GB193" s="136"/>
      <c r="GC193" s="136"/>
      <c r="GD193" s="136"/>
      <c r="GE193" s="136"/>
      <c r="GF193" s="136"/>
      <c r="GG193" s="136"/>
      <c r="GH193" s="136"/>
      <c r="GI193" s="136"/>
      <c r="GJ193" s="136"/>
      <c r="GK193" s="136"/>
      <c r="GL193" s="136"/>
      <c r="GM193" s="136"/>
      <c r="GN193" s="136"/>
      <c r="GO193" s="136"/>
      <c r="GP193" s="136"/>
      <c r="GQ193" s="136"/>
      <c r="GR193" s="136"/>
      <c r="GS193" s="136"/>
      <c r="GT193" s="136"/>
      <c r="GU193" s="136"/>
      <c r="GV193" s="136"/>
      <c r="GW193" s="136"/>
      <c r="GX193" s="136"/>
      <c r="GY193" s="136"/>
      <c r="GZ193" s="136"/>
      <c r="HA193" s="136"/>
      <c r="HB193" s="136"/>
      <c r="HC193" s="136"/>
      <c r="HD193" s="136"/>
      <c r="HE193" s="136"/>
      <c r="HF193" s="136"/>
      <c r="HG193" s="136"/>
      <c r="HH193" s="136"/>
      <c r="HI193" s="136"/>
      <c r="HJ193" s="136"/>
      <c r="HK193" s="136"/>
      <c r="HL193" s="136"/>
      <c r="HM193" s="136"/>
      <c r="HN193" s="136"/>
      <c r="HO193" s="136"/>
      <c r="HP193" s="136"/>
      <c r="HQ193" s="136"/>
      <c r="HR193" s="136"/>
      <c r="HS193" s="136"/>
      <c r="HT193" s="136"/>
      <c r="HU193" s="136"/>
      <c r="HV193" s="136"/>
      <c r="HW193" s="136"/>
      <c r="HX193" s="136"/>
      <c r="HY193" s="136"/>
      <c r="HZ193" s="136"/>
      <c r="IA193" s="136"/>
      <c r="IB193" s="136"/>
      <c r="IC193" s="136"/>
      <c r="ID193" s="136"/>
      <c r="IE193" s="136"/>
      <c r="IF193" s="136"/>
      <c r="IG193" s="136"/>
      <c r="IH193" s="136"/>
      <c r="II193" s="136"/>
      <c r="IJ193" s="136"/>
      <c r="IK193" s="136"/>
      <c r="IL193" s="136"/>
      <c r="IM193" s="136"/>
      <c r="IN193" s="136"/>
      <c r="IO193" s="136"/>
      <c r="IP193" s="136"/>
      <c r="IQ193" s="136"/>
      <c r="IR193" s="136"/>
      <c r="IS193" s="136"/>
      <c r="IT193" s="136"/>
      <c r="IU193" s="136"/>
    </row>
    <row r="194" spans="1:255" ht="120" x14ac:dyDescent="0.2">
      <c r="A194" s="242" t="str">
        <f>'HECVAT - Full'!A194</f>
        <v>FIDP-02</v>
      </c>
      <c r="B194" s="242" t="str">
        <f>VLOOKUP(A194,'HECVAT - Full'!A$24:B$312,2,FALSE)</f>
        <v>Are you utilizing a stateful packet inspection (SPI) firewall?</v>
      </c>
      <c r="C194" s="245" t="s">
        <v>2890</v>
      </c>
      <c r="D194" s="250" t="s">
        <v>2891</v>
      </c>
      <c r="E194" s="136"/>
      <c r="F194" s="136"/>
      <c r="G194" s="136"/>
      <c r="H194" s="136"/>
      <c r="I194" s="136"/>
      <c r="J194" s="136"/>
      <c r="K194" s="136"/>
      <c r="L194" s="136"/>
      <c r="M194" s="136"/>
      <c r="N194" s="136"/>
      <c r="O194" s="136"/>
      <c r="P194" s="136"/>
      <c r="Q194" s="136"/>
      <c r="R194" s="136"/>
      <c r="S194" s="136"/>
      <c r="T194" s="136"/>
      <c r="U194" s="136"/>
      <c r="V194" s="136"/>
      <c r="W194" s="136"/>
      <c r="X194" s="136"/>
      <c r="Y194" s="136"/>
      <c r="Z194" s="136"/>
      <c r="AA194" s="136"/>
      <c r="AB194" s="136"/>
      <c r="AC194" s="136"/>
      <c r="AD194" s="136"/>
      <c r="AE194" s="136"/>
      <c r="AF194" s="136"/>
      <c r="AG194" s="136"/>
      <c r="AH194" s="136"/>
      <c r="AI194" s="136"/>
      <c r="AJ194" s="136"/>
      <c r="AK194" s="136"/>
      <c r="AL194" s="136"/>
      <c r="AM194" s="136"/>
      <c r="AN194" s="136"/>
      <c r="AO194" s="136"/>
      <c r="AP194" s="136"/>
      <c r="AQ194" s="136"/>
      <c r="AR194" s="136"/>
      <c r="AS194" s="136"/>
      <c r="AT194" s="136"/>
      <c r="AU194" s="136"/>
      <c r="AV194" s="136"/>
      <c r="AW194" s="136"/>
      <c r="AX194" s="136"/>
      <c r="AY194" s="136"/>
      <c r="AZ194" s="136"/>
      <c r="BA194" s="136"/>
      <c r="BB194" s="136"/>
      <c r="BC194" s="136"/>
      <c r="BD194" s="136"/>
      <c r="BE194" s="136"/>
      <c r="BF194" s="136"/>
      <c r="BG194" s="136"/>
      <c r="BH194" s="136"/>
      <c r="BI194" s="136"/>
      <c r="BJ194" s="136"/>
      <c r="BK194" s="136"/>
      <c r="BL194" s="136"/>
      <c r="BM194" s="136"/>
      <c r="BN194" s="136"/>
      <c r="BO194" s="136"/>
      <c r="BP194" s="136"/>
      <c r="BQ194" s="136"/>
      <c r="BR194" s="136"/>
      <c r="BS194" s="136"/>
      <c r="BT194" s="136"/>
      <c r="BU194" s="136"/>
      <c r="BV194" s="136"/>
      <c r="BW194" s="136"/>
      <c r="BX194" s="136"/>
      <c r="BY194" s="136"/>
      <c r="BZ194" s="136"/>
      <c r="CA194" s="136"/>
      <c r="CB194" s="136"/>
      <c r="CC194" s="136"/>
      <c r="CD194" s="136"/>
      <c r="CE194" s="136"/>
      <c r="CF194" s="136"/>
      <c r="CG194" s="136"/>
      <c r="CH194" s="136"/>
      <c r="CI194" s="136"/>
      <c r="CJ194" s="136"/>
      <c r="CK194" s="136"/>
      <c r="CL194" s="136"/>
      <c r="CM194" s="136"/>
      <c r="CN194" s="136"/>
      <c r="CO194" s="136"/>
      <c r="CP194" s="136"/>
      <c r="CQ194" s="136"/>
      <c r="CR194" s="136"/>
      <c r="CS194" s="136"/>
      <c r="CT194" s="136"/>
      <c r="CU194" s="136"/>
      <c r="CV194" s="136"/>
      <c r="CW194" s="136"/>
      <c r="CX194" s="136"/>
      <c r="CY194" s="136"/>
      <c r="CZ194" s="136"/>
      <c r="DA194" s="136"/>
      <c r="DB194" s="136"/>
      <c r="DC194" s="136"/>
      <c r="DD194" s="136"/>
      <c r="DE194" s="136"/>
      <c r="DF194" s="136"/>
      <c r="DG194" s="136"/>
      <c r="DH194" s="136"/>
      <c r="DI194" s="136"/>
      <c r="DJ194" s="136"/>
      <c r="DK194" s="136"/>
      <c r="DL194" s="136"/>
      <c r="DM194" s="136"/>
      <c r="DN194" s="136"/>
      <c r="DO194" s="136"/>
      <c r="DP194" s="136"/>
      <c r="DQ194" s="136"/>
      <c r="DR194" s="136"/>
      <c r="DS194" s="136"/>
      <c r="DT194" s="136"/>
      <c r="DU194" s="136"/>
      <c r="DV194" s="136"/>
      <c r="DW194" s="136"/>
      <c r="DX194" s="136"/>
      <c r="DY194" s="136"/>
      <c r="DZ194" s="136"/>
      <c r="EA194" s="136"/>
      <c r="EB194" s="136"/>
      <c r="EC194" s="136"/>
      <c r="ED194" s="136"/>
      <c r="EE194" s="136"/>
      <c r="EF194" s="136"/>
      <c r="EG194" s="136"/>
      <c r="EH194" s="136"/>
      <c r="EI194" s="136"/>
      <c r="EJ194" s="136"/>
      <c r="EK194" s="136"/>
      <c r="EL194" s="136"/>
      <c r="EM194" s="136"/>
      <c r="EN194" s="136"/>
      <c r="EO194" s="136"/>
      <c r="EP194" s="136"/>
      <c r="EQ194" s="136"/>
      <c r="ER194" s="136"/>
      <c r="ES194" s="136"/>
      <c r="ET194" s="136"/>
      <c r="EU194" s="136"/>
      <c r="EV194" s="136"/>
      <c r="EW194" s="136"/>
      <c r="EX194" s="136"/>
      <c r="EY194" s="136"/>
      <c r="EZ194" s="136"/>
      <c r="FA194" s="136"/>
      <c r="FB194" s="136"/>
      <c r="FC194" s="136"/>
      <c r="FD194" s="136"/>
      <c r="FE194" s="136"/>
      <c r="FF194" s="136"/>
      <c r="FG194" s="136"/>
      <c r="FH194" s="136"/>
      <c r="FI194" s="136"/>
      <c r="FJ194" s="136"/>
      <c r="FK194" s="136"/>
      <c r="FL194" s="136"/>
      <c r="FM194" s="136"/>
      <c r="FN194" s="136"/>
      <c r="FO194" s="136"/>
      <c r="FP194" s="136"/>
      <c r="FQ194" s="136"/>
      <c r="FR194" s="136"/>
      <c r="FS194" s="136"/>
      <c r="FT194" s="136"/>
      <c r="FU194" s="136"/>
      <c r="FV194" s="136"/>
      <c r="FW194" s="136"/>
      <c r="FX194" s="136"/>
      <c r="FY194" s="136"/>
      <c r="FZ194" s="136"/>
      <c r="GA194" s="136"/>
      <c r="GB194" s="136"/>
      <c r="GC194" s="136"/>
      <c r="GD194" s="136"/>
      <c r="GE194" s="136"/>
      <c r="GF194" s="136"/>
      <c r="GG194" s="136"/>
      <c r="GH194" s="136"/>
      <c r="GI194" s="136"/>
      <c r="GJ194" s="136"/>
      <c r="GK194" s="136"/>
      <c r="GL194" s="136"/>
      <c r="GM194" s="136"/>
      <c r="GN194" s="136"/>
      <c r="GO194" s="136"/>
      <c r="GP194" s="136"/>
      <c r="GQ194" s="136"/>
      <c r="GR194" s="136"/>
      <c r="GS194" s="136"/>
      <c r="GT194" s="136"/>
      <c r="GU194" s="136"/>
      <c r="GV194" s="136"/>
      <c r="GW194" s="136"/>
      <c r="GX194" s="136"/>
      <c r="GY194" s="136"/>
      <c r="GZ194" s="136"/>
      <c r="HA194" s="136"/>
      <c r="HB194" s="136"/>
      <c r="HC194" s="136"/>
      <c r="HD194" s="136"/>
      <c r="HE194" s="136"/>
      <c r="HF194" s="136"/>
      <c r="HG194" s="136"/>
      <c r="HH194" s="136"/>
      <c r="HI194" s="136"/>
      <c r="HJ194" s="136"/>
      <c r="HK194" s="136"/>
      <c r="HL194" s="136"/>
      <c r="HM194" s="136"/>
      <c r="HN194" s="136"/>
      <c r="HO194" s="136"/>
      <c r="HP194" s="136"/>
      <c r="HQ194" s="136"/>
      <c r="HR194" s="136"/>
      <c r="HS194" s="136"/>
      <c r="HT194" s="136"/>
      <c r="HU194" s="136"/>
      <c r="HV194" s="136"/>
      <c r="HW194" s="136"/>
      <c r="HX194" s="136"/>
      <c r="HY194" s="136"/>
      <c r="HZ194" s="136"/>
      <c r="IA194" s="136"/>
      <c r="IB194" s="136"/>
      <c r="IC194" s="136"/>
      <c r="ID194" s="136"/>
      <c r="IE194" s="136"/>
      <c r="IF194" s="136"/>
      <c r="IG194" s="136"/>
      <c r="IH194" s="136"/>
      <c r="II194" s="136"/>
      <c r="IJ194" s="136"/>
      <c r="IK194" s="136"/>
      <c r="IL194" s="136"/>
      <c r="IM194" s="136"/>
      <c r="IN194" s="136"/>
      <c r="IO194" s="136"/>
      <c r="IP194" s="136"/>
      <c r="IQ194" s="136"/>
      <c r="IR194" s="136"/>
      <c r="IS194" s="136"/>
      <c r="IT194" s="136"/>
      <c r="IU194" s="136"/>
    </row>
    <row r="195" spans="1:255" ht="75" customHeight="1" x14ac:dyDescent="0.2">
      <c r="A195" s="242" t="str">
        <f>'HECVAT - Full'!A195</f>
        <v>FIDP-03</v>
      </c>
      <c r="B195" s="242" t="str">
        <f>VLOOKUP(A195,'HECVAT - Full'!A$24:B$312,2,FALSE)</f>
        <v>State and describe who has the authority to change firewall rules?</v>
      </c>
      <c r="C195" s="243" t="s">
        <v>2892</v>
      </c>
      <c r="D195" s="271" t="s">
        <v>3043</v>
      </c>
      <c r="E195" s="136"/>
      <c r="F195" s="136"/>
      <c r="G195" s="136"/>
      <c r="H195" s="136"/>
      <c r="I195" s="136"/>
      <c r="J195" s="136"/>
      <c r="K195" s="136"/>
      <c r="L195" s="136"/>
      <c r="M195" s="136"/>
      <c r="N195" s="136"/>
      <c r="O195" s="136"/>
      <c r="P195" s="136"/>
      <c r="Q195" s="136"/>
      <c r="R195" s="136"/>
      <c r="S195" s="136"/>
      <c r="T195" s="136"/>
      <c r="U195" s="136"/>
      <c r="V195" s="136"/>
      <c r="W195" s="136"/>
      <c r="X195" s="136"/>
      <c r="Y195" s="136"/>
      <c r="Z195" s="136"/>
      <c r="AA195" s="136"/>
      <c r="AB195" s="136"/>
      <c r="AC195" s="136"/>
      <c r="AD195" s="136"/>
      <c r="AE195" s="136"/>
      <c r="AF195" s="136"/>
      <c r="AG195" s="136"/>
      <c r="AH195" s="136"/>
      <c r="AI195" s="136"/>
      <c r="AJ195" s="136"/>
      <c r="AK195" s="136"/>
      <c r="AL195" s="136"/>
      <c r="AM195" s="136"/>
      <c r="AN195" s="136"/>
      <c r="AO195" s="136"/>
      <c r="AP195" s="136"/>
      <c r="AQ195" s="136"/>
      <c r="AR195" s="136"/>
      <c r="AS195" s="136"/>
      <c r="AT195" s="136"/>
      <c r="AU195" s="136"/>
      <c r="AV195" s="136"/>
      <c r="AW195" s="136"/>
      <c r="AX195" s="136"/>
      <c r="AY195" s="136"/>
      <c r="AZ195" s="136"/>
      <c r="BA195" s="136"/>
      <c r="BB195" s="136"/>
      <c r="BC195" s="136"/>
      <c r="BD195" s="136"/>
      <c r="BE195" s="136"/>
      <c r="BF195" s="136"/>
      <c r="BG195" s="136"/>
      <c r="BH195" s="136"/>
      <c r="BI195" s="136"/>
      <c r="BJ195" s="136"/>
      <c r="BK195" s="136"/>
      <c r="BL195" s="136"/>
      <c r="BM195" s="136"/>
      <c r="BN195" s="136"/>
      <c r="BO195" s="136"/>
      <c r="BP195" s="136"/>
      <c r="BQ195" s="136"/>
      <c r="BR195" s="136"/>
      <c r="BS195" s="136"/>
      <c r="BT195" s="136"/>
      <c r="BU195" s="136"/>
      <c r="BV195" s="136"/>
      <c r="BW195" s="136"/>
      <c r="BX195" s="136"/>
      <c r="BY195" s="136"/>
      <c r="BZ195" s="136"/>
      <c r="CA195" s="136"/>
      <c r="CB195" s="136"/>
      <c r="CC195" s="136"/>
      <c r="CD195" s="136"/>
      <c r="CE195" s="136"/>
      <c r="CF195" s="136"/>
      <c r="CG195" s="136"/>
      <c r="CH195" s="136"/>
      <c r="CI195" s="136"/>
      <c r="CJ195" s="136"/>
      <c r="CK195" s="136"/>
      <c r="CL195" s="136"/>
      <c r="CM195" s="136"/>
      <c r="CN195" s="136"/>
      <c r="CO195" s="136"/>
      <c r="CP195" s="136"/>
      <c r="CQ195" s="136"/>
      <c r="CR195" s="136"/>
      <c r="CS195" s="136"/>
      <c r="CT195" s="136"/>
      <c r="CU195" s="136"/>
      <c r="CV195" s="136"/>
      <c r="CW195" s="136"/>
      <c r="CX195" s="136"/>
      <c r="CY195" s="136"/>
      <c r="CZ195" s="136"/>
      <c r="DA195" s="136"/>
      <c r="DB195" s="136"/>
      <c r="DC195" s="136"/>
      <c r="DD195" s="136"/>
      <c r="DE195" s="136"/>
      <c r="DF195" s="136"/>
      <c r="DG195" s="136"/>
      <c r="DH195" s="136"/>
      <c r="DI195" s="136"/>
      <c r="DJ195" s="136"/>
      <c r="DK195" s="136"/>
      <c r="DL195" s="136"/>
      <c r="DM195" s="136"/>
      <c r="DN195" s="136"/>
      <c r="DO195" s="136"/>
      <c r="DP195" s="136"/>
      <c r="DQ195" s="136"/>
      <c r="DR195" s="136"/>
      <c r="DS195" s="136"/>
      <c r="DT195" s="136"/>
      <c r="DU195" s="136"/>
      <c r="DV195" s="136"/>
      <c r="DW195" s="136"/>
      <c r="DX195" s="136"/>
      <c r="DY195" s="136"/>
      <c r="DZ195" s="136"/>
      <c r="EA195" s="136"/>
      <c r="EB195" s="136"/>
      <c r="EC195" s="136"/>
      <c r="ED195" s="136"/>
      <c r="EE195" s="136"/>
      <c r="EF195" s="136"/>
      <c r="EG195" s="136"/>
      <c r="EH195" s="136"/>
      <c r="EI195" s="136"/>
      <c r="EJ195" s="136"/>
      <c r="EK195" s="136"/>
      <c r="EL195" s="136"/>
      <c r="EM195" s="136"/>
      <c r="EN195" s="136"/>
      <c r="EO195" s="136"/>
      <c r="EP195" s="136"/>
      <c r="EQ195" s="136"/>
      <c r="ER195" s="136"/>
      <c r="ES195" s="136"/>
      <c r="ET195" s="136"/>
      <c r="EU195" s="136"/>
      <c r="EV195" s="136"/>
      <c r="EW195" s="136"/>
      <c r="EX195" s="136"/>
      <c r="EY195" s="136"/>
      <c r="EZ195" s="136"/>
      <c r="FA195" s="136"/>
      <c r="FB195" s="136"/>
      <c r="FC195" s="136"/>
      <c r="FD195" s="136"/>
      <c r="FE195" s="136"/>
      <c r="FF195" s="136"/>
      <c r="FG195" s="136"/>
      <c r="FH195" s="136"/>
      <c r="FI195" s="136"/>
      <c r="FJ195" s="136"/>
      <c r="FK195" s="136"/>
      <c r="FL195" s="136"/>
      <c r="FM195" s="136"/>
      <c r="FN195" s="136"/>
      <c r="FO195" s="136"/>
      <c r="FP195" s="136"/>
      <c r="FQ195" s="136"/>
      <c r="FR195" s="136"/>
      <c r="FS195" s="136"/>
      <c r="FT195" s="136"/>
      <c r="FU195" s="136"/>
      <c r="FV195" s="136"/>
      <c r="FW195" s="136"/>
      <c r="FX195" s="136"/>
      <c r="FY195" s="136"/>
      <c r="FZ195" s="136"/>
      <c r="GA195" s="136"/>
      <c r="GB195" s="136"/>
      <c r="GC195" s="136"/>
      <c r="GD195" s="136"/>
      <c r="GE195" s="136"/>
      <c r="GF195" s="136"/>
      <c r="GG195" s="136"/>
      <c r="GH195" s="136"/>
      <c r="GI195" s="136"/>
      <c r="GJ195" s="136"/>
      <c r="GK195" s="136"/>
      <c r="GL195" s="136"/>
      <c r="GM195" s="136"/>
      <c r="GN195" s="136"/>
      <c r="GO195" s="136"/>
      <c r="GP195" s="136"/>
      <c r="GQ195" s="136"/>
      <c r="GR195" s="136"/>
      <c r="GS195" s="136"/>
      <c r="GT195" s="136"/>
      <c r="GU195" s="136"/>
      <c r="GV195" s="136"/>
      <c r="GW195" s="136"/>
      <c r="GX195" s="136"/>
      <c r="GY195" s="136"/>
      <c r="GZ195" s="136"/>
      <c r="HA195" s="136"/>
      <c r="HB195" s="136"/>
      <c r="HC195" s="136"/>
      <c r="HD195" s="136"/>
      <c r="HE195" s="136"/>
      <c r="HF195" s="136"/>
      <c r="HG195" s="136"/>
      <c r="HH195" s="136"/>
      <c r="HI195" s="136"/>
      <c r="HJ195" s="136"/>
      <c r="HK195" s="136"/>
      <c r="HL195" s="136"/>
      <c r="HM195" s="136"/>
      <c r="HN195" s="136"/>
      <c r="HO195" s="136"/>
      <c r="HP195" s="136"/>
      <c r="HQ195" s="136"/>
      <c r="HR195" s="136"/>
      <c r="HS195" s="136"/>
      <c r="HT195" s="136"/>
      <c r="HU195" s="136"/>
      <c r="HV195" s="136"/>
      <c r="HW195" s="136"/>
      <c r="HX195" s="136"/>
      <c r="HY195" s="136"/>
      <c r="HZ195" s="136"/>
      <c r="IA195" s="136"/>
      <c r="IB195" s="136"/>
      <c r="IC195" s="136"/>
      <c r="ID195" s="136"/>
      <c r="IE195" s="136"/>
      <c r="IF195" s="136"/>
      <c r="IG195" s="136"/>
      <c r="IH195" s="136"/>
      <c r="II195" s="136"/>
      <c r="IJ195" s="136"/>
      <c r="IK195" s="136"/>
      <c r="IL195" s="136"/>
      <c r="IM195" s="136"/>
      <c r="IN195" s="136"/>
      <c r="IO195" s="136"/>
      <c r="IP195" s="136"/>
      <c r="IQ195" s="136"/>
      <c r="IR195" s="136"/>
      <c r="IS195" s="136"/>
      <c r="IT195" s="136"/>
      <c r="IU195" s="136"/>
    </row>
    <row r="196" spans="1:255" ht="96" customHeight="1" x14ac:dyDescent="0.2">
      <c r="A196" s="242" t="str">
        <f>'HECVAT - Full'!A196</f>
        <v>FIDP-04</v>
      </c>
      <c r="B196" s="242" t="str">
        <f>VLOOKUP(A196,'HECVAT - Full'!A$24:B$312,2,FALSE)</f>
        <v>Do you have a documented policy for firewall change requests?</v>
      </c>
      <c r="C196" s="245" t="s">
        <v>2893</v>
      </c>
      <c r="D196" s="250" t="s">
        <v>2894</v>
      </c>
      <c r="E196" s="136"/>
      <c r="F196" s="136"/>
      <c r="G196" s="136"/>
      <c r="H196" s="136"/>
      <c r="I196" s="136"/>
      <c r="J196" s="136"/>
      <c r="K196" s="136"/>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c r="AU196" s="136"/>
      <c r="AV196" s="136"/>
      <c r="AW196" s="136"/>
      <c r="AX196" s="136"/>
      <c r="AY196" s="136"/>
      <c r="AZ196" s="136"/>
      <c r="BA196" s="136"/>
      <c r="BB196" s="136"/>
      <c r="BC196" s="136"/>
      <c r="BD196" s="136"/>
      <c r="BE196" s="136"/>
      <c r="BF196" s="136"/>
      <c r="BG196" s="136"/>
      <c r="BH196" s="136"/>
      <c r="BI196" s="136"/>
      <c r="BJ196" s="136"/>
      <c r="BK196" s="136"/>
      <c r="BL196" s="136"/>
      <c r="BM196" s="136"/>
      <c r="BN196" s="136"/>
      <c r="BO196" s="136"/>
      <c r="BP196" s="136"/>
      <c r="BQ196" s="136"/>
      <c r="BR196" s="136"/>
      <c r="BS196" s="136"/>
      <c r="BT196" s="136"/>
      <c r="BU196" s="136"/>
      <c r="BV196" s="136"/>
      <c r="BW196" s="136"/>
      <c r="BX196" s="136"/>
      <c r="BY196" s="136"/>
      <c r="BZ196" s="136"/>
      <c r="CA196" s="136"/>
      <c r="CB196" s="136"/>
      <c r="CC196" s="136"/>
      <c r="CD196" s="136"/>
      <c r="CE196" s="136"/>
      <c r="CF196" s="136"/>
      <c r="CG196" s="136"/>
      <c r="CH196" s="136"/>
      <c r="CI196" s="136"/>
      <c r="CJ196" s="136"/>
      <c r="CK196" s="136"/>
      <c r="CL196" s="136"/>
      <c r="CM196" s="136"/>
      <c r="CN196" s="136"/>
      <c r="CO196" s="136"/>
      <c r="CP196" s="136"/>
      <c r="CQ196" s="136"/>
      <c r="CR196" s="136"/>
      <c r="CS196" s="136"/>
      <c r="CT196" s="136"/>
      <c r="CU196" s="136"/>
      <c r="CV196" s="136"/>
      <c r="CW196" s="136"/>
      <c r="CX196" s="136"/>
      <c r="CY196" s="136"/>
      <c r="CZ196" s="136"/>
      <c r="DA196" s="136"/>
      <c r="DB196" s="136"/>
      <c r="DC196" s="136"/>
      <c r="DD196" s="136"/>
      <c r="DE196" s="136"/>
      <c r="DF196" s="136"/>
      <c r="DG196" s="136"/>
      <c r="DH196" s="136"/>
      <c r="DI196" s="136"/>
      <c r="DJ196" s="136"/>
      <c r="DK196" s="136"/>
      <c r="DL196" s="136"/>
      <c r="DM196" s="136"/>
      <c r="DN196" s="136"/>
      <c r="DO196" s="136"/>
      <c r="DP196" s="136"/>
      <c r="DQ196" s="136"/>
      <c r="DR196" s="136"/>
      <c r="DS196" s="136"/>
      <c r="DT196" s="136"/>
      <c r="DU196" s="136"/>
      <c r="DV196" s="136"/>
      <c r="DW196" s="136"/>
      <c r="DX196" s="136"/>
      <c r="DY196" s="136"/>
      <c r="DZ196" s="136"/>
      <c r="EA196" s="136"/>
      <c r="EB196" s="136"/>
      <c r="EC196" s="136"/>
      <c r="ED196" s="136"/>
      <c r="EE196" s="136"/>
      <c r="EF196" s="136"/>
      <c r="EG196" s="136"/>
      <c r="EH196" s="136"/>
      <c r="EI196" s="136"/>
      <c r="EJ196" s="136"/>
      <c r="EK196" s="136"/>
      <c r="EL196" s="136"/>
      <c r="EM196" s="136"/>
      <c r="EN196" s="136"/>
      <c r="EO196" s="136"/>
      <c r="EP196" s="136"/>
      <c r="EQ196" s="136"/>
      <c r="ER196" s="136"/>
      <c r="ES196" s="136"/>
      <c r="ET196" s="136"/>
      <c r="EU196" s="136"/>
      <c r="EV196" s="136"/>
      <c r="EW196" s="136"/>
      <c r="EX196" s="136"/>
      <c r="EY196" s="136"/>
      <c r="EZ196" s="136"/>
      <c r="FA196" s="136"/>
      <c r="FB196" s="136"/>
      <c r="FC196" s="136"/>
      <c r="FD196" s="136"/>
      <c r="FE196" s="136"/>
      <c r="FF196" s="136"/>
      <c r="FG196" s="136"/>
      <c r="FH196" s="136"/>
      <c r="FI196" s="136"/>
      <c r="FJ196" s="136"/>
      <c r="FK196" s="136"/>
      <c r="FL196" s="136"/>
      <c r="FM196" s="136"/>
      <c r="FN196" s="136"/>
      <c r="FO196" s="136"/>
      <c r="FP196" s="136"/>
      <c r="FQ196" s="136"/>
      <c r="FR196" s="136"/>
      <c r="FS196" s="136"/>
      <c r="FT196" s="136"/>
      <c r="FU196" s="136"/>
      <c r="FV196" s="136"/>
      <c r="FW196" s="136"/>
      <c r="FX196" s="136"/>
      <c r="FY196" s="136"/>
      <c r="FZ196" s="136"/>
      <c r="GA196" s="136"/>
      <c r="GB196" s="136"/>
      <c r="GC196" s="136"/>
      <c r="GD196" s="136"/>
      <c r="GE196" s="136"/>
      <c r="GF196" s="136"/>
      <c r="GG196" s="136"/>
      <c r="GH196" s="136"/>
      <c r="GI196" s="136"/>
      <c r="GJ196" s="136"/>
      <c r="GK196" s="136"/>
      <c r="GL196" s="136"/>
      <c r="GM196" s="136"/>
      <c r="GN196" s="136"/>
      <c r="GO196" s="136"/>
      <c r="GP196" s="136"/>
      <c r="GQ196" s="136"/>
      <c r="GR196" s="136"/>
      <c r="GS196" s="136"/>
      <c r="GT196" s="136"/>
      <c r="GU196" s="136"/>
      <c r="GV196" s="136"/>
      <c r="GW196" s="136"/>
      <c r="GX196" s="136"/>
      <c r="GY196" s="136"/>
      <c r="GZ196" s="136"/>
      <c r="HA196" s="136"/>
      <c r="HB196" s="136"/>
      <c r="HC196" s="136"/>
      <c r="HD196" s="136"/>
      <c r="HE196" s="136"/>
      <c r="HF196" s="136"/>
      <c r="HG196" s="136"/>
      <c r="HH196" s="136"/>
      <c r="HI196" s="136"/>
      <c r="HJ196" s="136"/>
      <c r="HK196" s="136"/>
      <c r="HL196" s="136"/>
      <c r="HM196" s="136"/>
      <c r="HN196" s="136"/>
      <c r="HO196" s="136"/>
      <c r="HP196" s="136"/>
      <c r="HQ196" s="136"/>
      <c r="HR196" s="136"/>
      <c r="HS196" s="136"/>
      <c r="HT196" s="136"/>
      <c r="HU196" s="136"/>
      <c r="HV196" s="136"/>
      <c r="HW196" s="136"/>
      <c r="HX196" s="136"/>
      <c r="HY196" s="136"/>
      <c r="HZ196" s="136"/>
      <c r="IA196" s="136"/>
      <c r="IB196" s="136"/>
      <c r="IC196" s="136"/>
      <c r="ID196" s="136"/>
      <c r="IE196" s="136"/>
      <c r="IF196" s="136"/>
      <c r="IG196" s="136"/>
      <c r="IH196" s="136"/>
      <c r="II196" s="136"/>
      <c r="IJ196" s="136"/>
      <c r="IK196" s="136"/>
      <c r="IL196" s="136"/>
      <c r="IM196" s="136"/>
      <c r="IN196" s="136"/>
      <c r="IO196" s="136"/>
      <c r="IP196" s="136"/>
      <c r="IQ196" s="136"/>
      <c r="IR196" s="136"/>
      <c r="IS196" s="136"/>
      <c r="IT196" s="136"/>
      <c r="IU196" s="136"/>
    </row>
    <row r="197" spans="1:255" ht="86.25" customHeight="1" x14ac:dyDescent="0.2">
      <c r="A197" s="242" t="str">
        <f>'HECVAT - Full'!A197</f>
        <v>FIDP-05</v>
      </c>
      <c r="B197" s="242" t="str">
        <f>VLOOKUP(A197,'HECVAT - Full'!A$24:B$312,2,FALSE)</f>
        <v>Have you implemented an Intrusion Detection System (network-based)?</v>
      </c>
      <c r="C197" s="243" t="s">
        <v>2895</v>
      </c>
      <c r="D197" s="253" t="s">
        <v>2896</v>
      </c>
      <c r="E197" s="136"/>
      <c r="F197" s="136"/>
      <c r="G197" s="136"/>
      <c r="H197" s="136"/>
      <c r="I197" s="136"/>
      <c r="J197" s="136"/>
      <c r="K197" s="136"/>
      <c r="L197" s="136"/>
      <c r="M197" s="136"/>
      <c r="N197" s="136"/>
      <c r="O197" s="136"/>
      <c r="P197" s="136"/>
      <c r="Q197" s="136"/>
      <c r="R197" s="136"/>
      <c r="S197" s="136"/>
      <c r="T197" s="136"/>
      <c r="U197" s="136"/>
      <c r="V197" s="136"/>
      <c r="W197" s="136"/>
      <c r="X197" s="136"/>
      <c r="Y197" s="136"/>
      <c r="Z197" s="136"/>
      <c r="AA197" s="136"/>
      <c r="AB197" s="136"/>
      <c r="AC197" s="136"/>
      <c r="AD197" s="136"/>
      <c r="AE197" s="136"/>
      <c r="AF197" s="136"/>
      <c r="AG197" s="136"/>
      <c r="AH197" s="136"/>
      <c r="AI197" s="136"/>
      <c r="AJ197" s="136"/>
      <c r="AK197" s="136"/>
      <c r="AL197" s="136"/>
      <c r="AM197" s="136"/>
      <c r="AN197" s="136"/>
      <c r="AO197" s="136"/>
      <c r="AP197" s="136"/>
      <c r="AQ197" s="136"/>
      <c r="AR197" s="136"/>
      <c r="AS197" s="136"/>
      <c r="AT197" s="136"/>
      <c r="AU197" s="136"/>
      <c r="AV197" s="136"/>
      <c r="AW197" s="136"/>
      <c r="AX197" s="136"/>
      <c r="AY197" s="136"/>
      <c r="AZ197" s="136"/>
      <c r="BA197" s="136"/>
      <c r="BB197" s="136"/>
      <c r="BC197" s="136"/>
      <c r="BD197" s="136"/>
      <c r="BE197" s="136"/>
      <c r="BF197" s="136"/>
      <c r="BG197" s="136"/>
      <c r="BH197" s="136"/>
      <c r="BI197" s="136"/>
      <c r="BJ197" s="136"/>
      <c r="BK197" s="136"/>
      <c r="BL197" s="136"/>
      <c r="BM197" s="136"/>
      <c r="BN197" s="136"/>
      <c r="BO197" s="136"/>
      <c r="BP197" s="136"/>
      <c r="BQ197" s="136"/>
      <c r="BR197" s="136"/>
      <c r="BS197" s="136"/>
      <c r="BT197" s="136"/>
      <c r="BU197" s="136"/>
      <c r="BV197" s="136"/>
      <c r="BW197" s="136"/>
      <c r="BX197" s="136"/>
      <c r="BY197" s="136"/>
      <c r="BZ197" s="136"/>
      <c r="CA197" s="136"/>
      <c r="CB197" s="136"/>
      <c r="CC197" s="136"/>
      <c r="CD197" s="136"/>
      <c r="CE197" s="136"/>
      <c r="CF197" s="136"/>
      <c r="CG197" s="136"/>
      <c r="CH197" s="136"/>
      <c r="CI197" s="136"/>
      <c r="CJ197" s="136"/>
      <c r="CK197" s="136"/>
      <c r="CL197" s="136"/>
      <c r="CM197" s="136"/>
      <c r="CN197" s="136"/>
      <c r="CO197" s="136"/>
      <c r="CP197" s="136"/>
      <c r="CQ197" s="136"/>
      <c r="CR197" s="136"/>
      <c r="CS197" s="136"/>
      <c r="CT197" s="136"/>
      <c r="CU197" s="136"/>
      <c r="CV197" s="136"/>
      <c r="CW197" s="136"/>
      <c r="CX197" s="136"/>
      <c r="CY197" s="136"/>
      <c r="CZ197" s="136"/>
      <c r="DA197" s="136"/>
      <c r="DB197" s="136"/>
      <c r="DC197" s="136"/>
      <c r="DD197" s="136"/>
      <c r="DE197" s="136"/>
      <c r="DF197" s="136"/>
      <c r="DG197" s="136"/>
      <c r="DH197" s="136"/>
      <c r="DI197" s="136"/>
      <c r="DJ197" s="136"/>
      <c r="DK197" s="136"/>
      <c r="DL197" s="136"/>
      <c r="DM197" s="136"/>
      <c r="DN197" s="136"/>
      <c r="DO197" s="136"/>
      <c r="DP197" s="136"/>
      <c r="DQ197" s="136"/>
      <c r="DR197" s="136"/>
      <c r="DS197" s="136"/>
      <c r="DT197" s="136"/>
      <c r="DU197" s="136"/>
      <c r="DV197" s="136"/>
      <c r="DW197" s="136"/>
      <c r="DX197" s="136"/>
      <c r="DY197" s="136"/>
      <c r="DZ197" s="136"/>
      <c r="EA197" s="136"/>
      <c r="EB197" s="136"/>
      <c r="EC197" s="136"/>
      <c r="ED197" s="136"/>
      <c r="EE197" s="136"/>
      <c r="EF197" s="136"/>
      <c r="EG197" s="136"/>
      <c r="EH197" s="136"/>
      <c r="EI197" s="136"/>
      <c r="EJ197" s="136"/>
      <c r="EK197" s="136"/>
      <c r="EL197" s="136"/>
      <c r="EM197" s="136"/>
      <c r="EN197" s="136"/>
      <c r="EO197" s="136"/>
      <c r="EP197" s="136"/>
      <c r="EQ197" s="136"/>
      <c r="ER197" s="136"/>
      <c r="ES197" s="136"/>
      <c r="ET197" s="136"/>
      <c r="EU197" s="136"/>
      <c r="EV197" s="136"/>
      <c r="EW197" s="136"/>
      <c r="EX197" s="136"/>
      <c r="EY197" s="136"/>
      <c r="EZ197" s="136"/>
      <c r="FA197" s="136"/>
      <c r="FB197" s="136"/>
      <c r="FC197" s="136"/>
      <c r="FD197" s="136"/>
      <c r="FE197" s="136"/>
      <c r="FF197" s="136"/>
      <c r="FG197" s="136"/>
      <c r="FH197" s="136"/>
      <c r="FI197" s="136"/>
      <c r="FJ197" s="136"/>
      <c r="FK197" s="136"/>
      <c r="FL197" s="136"/>
      <c r="FM197" s="136"/>
      <c r="FN197" s="136"/>
      <c r="FO197" s="136"/>
      <c r="FP197" s="136"/>
      <c r="FQ197" s="136"/>
      <c r="FR197" s="136"/>
      <c r="FS197" s="136"/>
      <c r="FT197" s="136"/>
      <c r="FU197" s="136"/>
      <c r="FV197" s="136"/>
      <c r="FW197" s="136"/>
      <c r="FX197" s="136"/>
      <c r="FY197" s="136"/>
      <c r="FZ197" s="136"/>
      <c r="GA197" s="136"/>
      <c r="GB197" s="136"/>
      <c r="GC197" s="136"/>
      <c r="GD197" s="136"/>
      <c r="GE197" s="136"/>
      <c r="GF197" s="136"/>
      <c r="GG197" s="136"/>
      <c r="GH197" s="136"/>
      <c r="GI197" s="136"/>
      <c r="GJ197" s="136"/>
      <c r="GK197" s="136"/>
      <c r="GL197" s="136"/>
      <c r="GM197" s="136"/>
      <c r="GN197" s="136"/>
      <c r="GO197" s="136"/>
      <c r="GP197" s="136"/>
      <c r="GQ197" s="136"/>
      <c r="GR197" s="136"/>
      <c r="GS197" s="136"/>
      <c r="GT197" s="136"/>
      <c r="GU197" s="136"/>
      <c r="GV197" s="136"/>
      <c r="GW197" s="136"/>
      <c r="GX197" s="136"/>
      <c r="GY197" s="136"/>
      <c r="GZ197" s="136"/>
      <c r="HA197" s="136"/>
      <c r="HB197" s="136"/>
      <c r="HC197" s="136"/>
      <c r="HD197" s="136"/>
      <c r="HE197" s="136"/>
      <c r="HF197" s="136"/>
      <c r="HG197" s="136"/>
      <c r="HH197" s="136"/>
      <c r="HI197" s="136"/>
      <c r="HJ197" s="136"/>
      <c r="HK197" s="136"/>
      <c r="HL197" s="136"/>
      <c r="HM197" s="136"/>
      <c r="HN197" s="136"/>
      <c r="HO197" s="136"/>
      <c r="HP197" s="136"/>
      <c r="HQ197" s="136"/>
      <c r="HR197" s="136"/>
      <c r="HS197" s="136"/>
      <c r="HT197" s="136"/>
      <c r="HU197" s="136"/>
      <c r="HV197" s="136"/>
      <c r="HW197" s="136"/>
      <c r="HX197" s="136"/>
      <c r="HY197" s="136"/>
      <c r="HZ197" s="136"/>
      <c r="IA197" s="136"/>
      <c r="IB197" s="136"/>
      <c r="IC197" s="136"/>
      <c r="ID197" s="136"/>
      <c r="IE197" s="136"/>
      <c r="IF197" s="136"/>
      <c r="IG197" s="136"/>
      <c r="IH197" s="136"/>
      <c r="II197" s="136"/>
      <c r="IJ197" s="136"/>
      <c r="IK197" s="136"/>
      <c r="IL197" s="136"/>
      <c r="IM197" s="136"/>
      <c r="IN197" s="136"/>
      <c r="IO197" s="136"/>
      <c r="IP197" s="136"/>
      <c r="IQ197" s="136"/>
      <c r="IR197" s="136"/>
      <c r="IS197" s="136"/>
      <c r="IT197" s="136"/>
      <c r="IU197" s="136"/>
    </row>
    <row r="198" spans="1:255" ht="90" x14ac:dyDescent="0.2">
      <c r="A198" s="242" t="str">
        <f>'HECVAT - Full'!A198</f>
        <v>FIDP-06</v>
      </c>
      <c r="B198" s="242" t="str">
        <f>VLOOKUP(A198,'HECVAT - Full'!A$24:B$312,2,FALSE)</f>
        <v>Have you implemented an Intrusion Prevention System (network-based)?</v>
      </c>
      <c r="C198" s="243" t="s">
        <v>2897</v>
      </c>
      <c r="D198" s="253" t="s">
        <v>2898</v>
      </c>
      <c r="E198" s="136"/>
      <c r="F198" s="136"/>
      <c r="G198" s="136"/>
      <c r="H198" s="136"/>
      <c r="I198" s="136"/>
      <c r="J198" s="136"/>
      <c r="K198" s="136"/>
      <c r="L198" s="136"/>
      <c r="M198" s="136"/>
      <c r="N198" s="136"/>
      <c r="O198" s="136"/>
      <c r="P198" s="136"/>
      <c r="Q198" s="136"/>
      <c r="R198" s="136"/>
      <c r="S198" s="136"/>
      <c r="T198" s="136"/>
      <c r="U198" s="136"/>
      <c r="V198" s="136"/>
      <c r="W198" s="136"/>
      <c r="X198" s="136"/>
      <c r="Y198" s="136"/>
      <c r="Z198" s="136"/>
      <c r="AA198" s="136"/>
      <c r="AB198" s="136"/>
      <c r="AC198" s="136"/>
      <c r="AD198" s="136"/>
      <c r="AE198" s="136"/>
      <c r="AF198" s="136"/>
      <c r="AG198" s="136"/>
      <c r="AH198" s="136"/>
      <c r="AI198" s="136"/>
      <c r="AJ198" s="136"/>
      <c r="AK198" s="136"/>
      <c r="AL198" s="136"/>
      <c r="AM198" s="136"/>
      <c r="AN198" s="136"/>
      <c r="AO198" s="136"/>
      <c r="AP198" s="136"/>
      <c r="AQ198" s="136"/>
      <c r="AR198" s="136"/>
      <c r="AS198" s="136"/>
      <c r="AT198" s="136"/>
      <c r="AU198" s="136"/>
      <c r="AV198" s="136"/>
      <c r="AW198" s="136"/>
      <c r="AX198" s="136"/>
      <c r="AY198" s="136"/>
      <c r="AZ198" s="136"/>
      <c r="BA198" s="136"/>
      <c r="BB198" s="136"/>
      <c r="BC198" s="136"/>
      <c r="BD198" s="136"/>
      <c r="BE198" s="136"/>
      <c r="BF198" s="136"/>
      <c r="BG198" s="136"/>
      <c r="BH198" s="136"/>
      <c r="BI198" s="136"/>
      <c r="BJ198" s="136"/>
      <c r="BK198" s="136"/>
      <c r="BL198" s="136"/>
      <c r="BM198" s="136"/>
      <c r="BN198" s="136"/>
      <c r="BO198" s="136"/>
      <c r="BP198" s="136"/>
      <c r="BQ198" s="136"/>
      <c r="BR198" s="136"/>
      <c r="BS198" s="136"/>
      <c r="BT198" s="136"/>
      <c r="BU198" s="136"/>
      <c r="BV198" s="136"/>
      <c r="BW198" s="136"/>
      <c r="BX198" s="136"/>
      <c r="BY198" s="136"/>
      <c r="BZ198" s="136"/>
      <c r="CA198" s="136"/>
      <c r="CB198" s="136"/>
      <c r="CC198" s="136"/>
      <c r="CD198" s="136"/>
      <c r="CE198" s="136"/>
      <c r="CF198" s="136"/>
      <c r="CG198" s="136"/>
      <c r="CH198" s="136"/>
      <c r="CI198" s="136"/>
      <c r="CJ198" s="136"/>
      <c r="CK198" s="136"/>
      <c r="CL198" s="136"/>
      <c r="CM198" s="136"/>
      <c r="CN198" s="136"/>
      <c r="CO198" s="136"/>
      <c r="CP198" s="136"/>
      <c r="CQ198" s="136"/>
      <c r="CR198" s="136"/>
      <c r="CS198" s="136"/>
      <c r="CT198" s="136"/>
      <c r="CU198" s="136"/>
      <c r="CV198" s="136"/>
      <c r="CW198" s="136"/>
      <c r="CX198" s="136"/>
      <c r="CY198" s="136"/>
      <c r="CZ198" s="136"/>
      <c r="DA198" s="136"/>
      <c r="DB198" s="136"/>
      <c r="DC198" s="136"/>
      <c r="DD198" s="136"/>
      <c r="DE198" s="136"/>
      <c r="DF198" s="136"/>
      <c r="DG198" s="136"/>
      <c r="DH198" s="136"/>
      <c r="DI198" s="136"/>
      <c r="DJ198" s="136"/>
      <c r="DK198" s="136"/>
      <c r="DL198" s="136"/>
      <c r="DM198" s="136"/>
      <c r="DN198" s="136"/>
      <c r="DO198" s="136"/>
      <c r="DP198" s="136"/>
      <c r="DQ198" s="136"/>
      <c r="DR198" s="136"/>
      <c r="DS198" s="136"/>
      <c r="DT198" s="136"/>
      <c r="DU198" s="136"/>
      <c r="DV198" s="136"/>
      <c r="DW198" s="136"/>
      <c r="DX198" s="136"/>
      <c r="DY198" s="136"/>
      <c r="DZ198" s="136"/>
      <c r="EA198" s="136"/>
      <c r="EB198" s="136"/>
      <c r="EC198" s="136"/>
      <c r="ED198" s="136"/>
      <c r="EE198" s="136"/>
      <c r="EF198" s="136"/>
      <c r="EG198" s="136"/>
      <c r="EH198" s="136"/>
      <c r="EI198" s="136"/>
      <c r="EJ198" s="136"/>
      <c r="EK198" s="136"/>
      <c r="EL198" s="136"/>
      <c r="EM198" s="136"/>
      <c r="EN198" s="136"/>
      <c r="EO198" s="136"/>
      <c r="EP198" s="136"/>
      <c r="EQ198" s="136"/>
      <c r="ER198" s="136"/>
      <c r="ES198" s="136"/>
      <c r="ET198" s="136"/>
      <c r="EU198" s="136"/>
      <c r="EV198" s="136"/>
      <c r="EW198" s="136"/>
      <c r="EX198" s="136"/>
      <c r="EY198" s="136"/>
      <c r="EZ198" s="136"/>
      <c r="FA198" s="136"/>
      <c r="FB198" s="136"/>
      <c r="FC198" s="136"/>
      <c r="FD198" s="136"/>
      <c r="FE198" s="136"/>
      <c r="FF198" s="136"/>
      <c r="FG198" s="136"/>
      <c r="FH198" s="136"/>
      <c r="FI198" s="136"/>
      <c r="FJ198" s="136"/>
      <c r="FK198" s="136"/>
      <c r="FL198" s="136"/>
      <c r="FM198" s="136"/>
      <c r="FN198" s="136"/>
      <c r="FO198" s="136"/>
      <c r="FP198" s="136"/>
      <c r="FQ198" s="136"/>
      <c r="FR198" s="136"/>
      <c r="FS198" s="136"/>
      <c r="FT198" s="136"/>
      <c r="FU198" s="136"/>
      <c r="FV198" s="136"/>
      <c r="FW198" s="136"/>
      <c r="FX198" s="136"/>
      <c r="FY198" s="136"/>
      <c r="FZ198" s="136"/>
      <c r="GA198" s="136"/>
      <c r="GB198" s="136"/>
      <c r="GC198" s="136"/>
      <c r="GD198" s="136"/>
      <c r="GE198" s="136"/>
      <c r="GF198" s="136"/>
      <c r="GG198" s="136"/>
      <c r="GH198" s="136"/>
      <c r="GI198" s="136"/>
      <c r="GJ198" s="136"/>
      <c r="GK198" s="136"/>
      <c r="GL198" s="136"/>
      <c r="GM198" s="136"/>
      <c r="GN198" s="136"/>
      <c r="GO198" s="136"/>
      <c r="GP198" s="136"/>
      <c r="GQ198" s="136"/>
      <c r="GR198" s="136"/>
      <c r="GS198" s="136"/>
      <c r="GT198" s="136"/>
      <c r="GU198" s="136"/>
      <c r="GV198" s="136"/>
      <c r="GW198" s="136"/>
      <c r="GX198" s="136"/>
      <c r="GY198" s="136"/>
      <c r="GZ198" s="136"/>
      <c r="HA198" s="136"/>
      <c r="HB198" s="136"/>
      <c r="HC198" s="136"/>
      <c r="HD198" s="136"/>
      <c r="HE198" s="136"/>
      <c r="HF198" s="136"/>
      <c r="HG198" s="136"/>
      <c r="HH198" s="136"/>
      <c r="HI198" s="136"/>
      <c r="HJ198" s="136"/>
      <c r="HK198" s="136"/>
      <c r="HL198" s="136"/>
      <c r="HM198" s="136"/>
      <c r="HN198" s="136"/>
      <c r="HO198" s="136"/>
      <c r="HP198" s="136"/>
      <c r="HQ198" s="136"/>
      <c r="HR198" s="136"/>
      <c r="HS198" s="136"/>
      <c r="HT198" s="136"/>
      <c r="HU198" s="136"/>
      <c r="HV198" s="136"/>
      <c r="HW198" s="136"/>
      <c r="HX198" s="136"/>
      <c r="HY198" s="136"/>
      <c r="HZ198" s="136"/>
      <c r="IA198" s="136"/>
      <c r="IB198" s="136"/>
      <c r="IC198" s="136"/>
      <c r="ID198" s="136"/>
      <c r="IE198" s="136"/>
      <c r="IF198" s="136"/>
      <c r="IG198" s="136"/>
      <c r="IH198" s="136"/>
      <c r="II198" s="136"/>
      <c r="IJ198" s="136"/>
      <c r="IK198" s="136"/>
      <c r="IL198" s="136"/>
      <c r="IM198" s="136"/>
      <c r="IN198" s="136"/>
      <c r="IO198" s="136"/>
      <c r="IP198" s="136"/>
      <c r="IQ198" s="136"/>
      <c r="IR198" s="136"/>
      <c r="IS198" s="136"/>
      <c r="IT198" s="136"/>
      <c r="IU198" s="136"/>
    </row>
    <row r="199" spans="1:255" ht="84.75" customHeight="1" x14ac:dyDescent="0.2">
      <c r="A199" s="242" t="str">
        <f>'HECVAT - Full'!A199</f>
        <v>FIDP-07</v>
      </c>
      <c r="B199" s="242" t="str">
        <f>VLOOKUP(A199,'HECVAT - Full'!A$24:B$312,2,FALSE)</f>
        <v>Do you employ host-based intrusion detection?</v>
      </c>
      <c r="C199" s="243" t="s">
        <v>2895</v>
      </c>
      <c r="D199" s="253" t="s">
        <v>2899</v>
      </c>
      <c r="E199" s="136"/>
      <c r="F199" s="136"/>
      <c r="G199" s="136"/>
      <c r="H199" s="136"/>
      <c r="I199" s="136"/>
      <c r="J199" s="136"/>
      <c r="K199" s="136"/>
      <c r="L199" s="136"/>
      <c r="M199" s="136"/>
      <c r="N199" s="136"/>
      <c r="O199" s="136"/>
      <c r="P199" s="136"/>
      <c r="Q199" s="136"/>
      <c r="R199" s="136"/>
      <c r="S199" s="136"/>
      <c r="T199" s="136"/>
      <c r="U199" s="136"/>
      <c r="V199" s="136"/>
      <c r="W199" s="136"/>
      <c r="X199" s="136"/>
      <c r="Y199" s="136"/>
      <c r="Z199" s="136"/>
      <c r="AA199" s="136"/>
      <c r="AB199" s="136"/>
      <c r="AC199" s="136"/>
      <c r="AD199" s="136"/>
      <c r="AE199" s="136"/>
      <c r="AF199" s="136"/>
      <c r="AG199" s="136"/>
      <c r="AH199" s="136"/>
      <c r="AI199" s="136"/>
      <c r="AJ199" s="136"/>
      <c r="AK199" s="136"/>
      <c r="AL199" s="136"/>
      <c r="AM199" s="136"/>
      <c r="AN199" s="136"/>
      <c r="AO199" s="136"/>
      <c r="AP199" s="136"/>
      <c r="AQ199" s="136"/>
      <c r="AR199" s="136"/>
      <c r="AS199" s="136"/>
      <c r="AT199" s="136"/>
      <c r="AU199" s="136"/>
      <c r="AV199" s="136"/>
      <c r="AW199" s="136"/>
      <c r="AX199" s="136"/>
      <c r="AY199" s="136"/>
      <c r="AZ199" s="136"/>
      <c r="BA199" s="136"/>
      <c r="BB199" s="136"/>
      <c r="BC199" s="136"/>
      <c r="BD199" s="136"/>
      <c r="BE199" s="136"/>
      <c r="BF199" s="136"/>
      <c r="BG199" s="136"/>
      <c r="BH199" s="136"/>
      <c r="BI199" s="136"/>
      <c r="BJ199" s="136"/>
      <c r="BK199" s="136"/>
      <c r="BL199" s="136"/>
      <c r="BM199" s="136"/>
      <c r="BN199" s="136"/>
      <c r="BO199" s="136"/>
      <c r="BP199" s="136"/>
      <c r="BQ199" s="136"/>
      <c r="BR199" s="136"/>
      <c r="BS199" s="136"/>
      <c r="BT199" s="136"/>
      <c r="BU199" s="136"/>
      <c r="BV199" s="136"/>
      <c r="BW199" s="136"/>
      <c r="BX199" s="136"/>
      <c r="BY199" s="136"/>
      <c r="BZ199" s="136"/>
      <c r="CA199" s="136"/>
      <c r="CB199" s="136"/>
      <c r="CC199" s="136"/>
      <c r="CD199" s="136"/>
      <c r="CE199" s="136"/>
      <c r="CF199" s="136"/>
      <c r="CG199" s="136"/>
      <c r="CH199" s="136"/>
      <c r="CI199" s="136"/>
      <c r="CJ199" s="136"/>
      <c r="CK199" s="136"/>
      <c r="CL199" s="136"/>
      <c r="CM199" s="136"/>
      <c r="CN199" s="136"/>
      <c r="CO199" s="136"/>
      <c r="CP199" s="136"/>
      <c r="CQ199" s="136"/>
      <c r="CR199" s="136"/>
      <c r="CS199" s="136"/>
      <c r="CT199" s="136"/>
      <c r="CU199" s="136"/>
      <c r="CV199" s="136"/>
      <c r="CW199" s="136"/>
      <c r="CX199" s="136"/>
      <c r="CY199" s="136"/>
      <c r="CZ199" s="136"/>
      <c r="DA199" s="136"/>
      <c r="DB199" s="136"/>
      <c r="DC199" s="136"/>
      <c r="DD199" s="136"/>
      <c r="DE199" s="136"/>
      <c r="DF199" s="136"/>
      <c r="DG199" s="136"/>
      <c r="DH199" s="136"/>
      <c r="DI199" s="136"/>
      <c r="DJ199" s="136"/>
      <c r="DK199" s="136"/>
      <c r="DL199" s="136"/>
      <c r="DM199" s="136"/>
      <c r="DN199" s="136"/>
      <c r="DO199" s="136"/>
      <c r="DP199" s="136"/>
      <c r="DQ199" s="136"/>
      <c r="DR199" s="136"/>
      <c r="DS199" s="136"/>
      <c r="DT199" s="136"/>
      <c r="DU199" s="136"/>
      <c r="DV199" s="136"/>
      <c r="DW199" s="136"/>
      <c r="DX199" s="136"/>
      <c r="DY199" s="136"/>
      <c r="DZ199" s="136"/>
      <c r="EA199" s="136"/>
      <c r="EB199" s="136"/>
      <c r="EC199" s="136"/>
      <c r="ED199" s="136"/>
      <c r="EE199" s="136"/>
      <c r="EF199" s="136"/>
      <c r="EG199" s="136"/>
      <c r="EH199" s="136"/>
      <c r="EI199" s="136"/>
      <c r="EJ199" s="136"/>
      <c r="EK199" s="136"/>
      <c r="EL199" s="136"/>
      <c r="EM199" s="136"/>
      <c r="EN199" s="136"/>
      <c r="EO199" s="136"/>
      <c r="EP199" s="136"/>
      <c r="EQ199" s="136"/>
      <c r="ER199" s="136"/>
      <c r="ES199" s="136"/>
      <c r="ET199" s="136"/>
      <c r="EU199" s="136"/>
      <c r="EV199" s="136"/>
      <c r="EW199" s="136"/>
      <c r="EX199" s="136"/>
      <c r="EY199" s="136"/>
      <c r="EZ199" s="136"/>
      <c r="FA199" s="136"/>
      <c r="FB199" s="136"/>
      <c r="FC199" s="136"/>
      <c r="FD199" s="136"/>
      <c r="FE199" s="136"/>
      <c r="FF199" s="136"/>
      <c r="FG199" s="136"/>
      <c r="FH199" s="136"/>
      <c r="FI199" s="136"/>
      <c r="FJ199" s="136"/>
      <c r="FK199" s="136"/>
      <c r="FL199" s="136"/>
      <c r="FM199" s="136"/>
      <c r="FN199" s="136"/>
      <c r="FO199" s="136"/>
      <c r="FP199" s="136"/>
      <c r="FQ199" s="136"/>
      <c r="FR199" s="136"/>
      <c r="FS199" s="136"/>
      <c r="FT199" s="136"/>
      <c r="FU199" s="136"/>
      <c r="FV199" s="136"/>
      <c r="FW199" s="136"/>
      <c r="FX199" s="136"/>
      <c r="FY199" s="136"/>
      <c r="FZ199" s="136"/>
      <c r="GA199" s="136"/>
      <c r="GB199" s="136"/>
      <c r="GC199" s="136"/>
      <c r="GD199" s="136"/>
      <c r="GE199" s="136"/>
      <c r="GF199" s="136"/>
      <c r="GG199" s="136"/>
      <c r="GH199" s="136"/>
      <c r="GI199" s="136"/>
      <c r="GJ199" s="136"/>
      <c r="GK199" s="136"/>
      <c r="GL199" s="136"/>
      <c r="GM199" s="136"/>
      <c r="GN199" s="136"/>
      <c r="GO199" s="136"/>
      <c r="GP199" s="136"/>
      <c r="GQ199" s="136"/>
      <c r="GR199" s="136"/>
      <c r="GS199" s="136"/>
      <c r="GT199" s="136"/>
      <c r="GU199" s="136"/>
      <c r="GV199" s="136"/>
      <c r="GW199" s="136"/>
      <c r="GX199" s="136"/>
      <c r="GY199" s="136"/>
      <c r="GZ199" s="136"/>
      <c r="HA199" s="136"/>
      <c r="HB199" s="136"/>
      <c r="HC199" s="136"/>
      <c r="HD199" s="136"/>
      <c r="HE199" s="136"/>
      <c r="HF199" s="136"/>
      <c r="HG199" s="136"/>
      <c r="HH199" s="136"/>
      <c r="HI199" s="136"/>
      <c r="HJ199" s="136"/>
      <c r="HK199" s="136"/>
      <c r="HL199" s="136"/>
      <c r="HM199" s="136"/>
      <c r="HN199" s="136"/>
      <c r="HO199" s="136"/>
      <c r="HP199" s="136"/>
      <c r="HQ199" s="136"/>
      <c r="HR199" s="136"/>
      <c r="HS199" s="136"/>
      <c r="HT199" s="136"/>
      <c r="HU199" s="136"/>
      <c r="HV199" s="136"/>
      <c r="HW199" s="136"/>
      <c r="HX199" s="136"/>
      <c r="HY199" s="136"/>
      <c r="HZ199" s="136"/>
      <c r="IA199" s="136"/>
      <c r="IB199" s="136"/>
      <c r="IC199" s="136"/>
      <c r="ID199" s="136"/>
      <c r="IE199" s="136"/>
      <c r="IF199" s="136"/>
      <c r="IG199" s="136"/>
      <c r="IH199" s="136"/>
      <c r="II199" s="136"/>
      <c r="IJ199" s="136"/>
      <c r="IK199" s="136"/>
      <c r="IL199" s="136"/>
      <c r="IM199" s="136"/>
      <c r="IN199" s="136"/>
      <c r="IO199" s="136"/>
      <c r="IP199" s="136"/>
      <c r="IQ199" s="136"/>
      <c r="IR199" s="136"/>
      <c r="IS199" s="136"/>
      <c r="IT199" s="136"/>
      <c r="IU199" s="136"/>
    </row>
    <row r="200" spans="1:255" ht="84.75" customHeight="1" x14ac:dyDescent="0.2">
      <c r="A200" s="242" t="str">
        <f>'HECVAT - Full'!A200</f>
        <v>FIDP-08</v>
      </c>
      <c r="B200" s="242" t="str">
        <f>VLOOKUP(A200,'HECVAT - Full'!A$24:B$312,2,FALSE)</f>
        <v>Do you employ host-based intrusion prevention?</v>
      </c>
      <c r="C200" s="243" t="s">
        <v>2897</v>
      </c>
      <c r="D200" s="253" t="s">
        <v>2900</v>
      </c>
      <c r="E200" s="136"/>
      <c r="F200" s="136"/>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c r="AC200" s="136"/>
      <c r="AD200" s="136"/>
      <c r="AE200" s="136"/>
      <c r="AF200" s="136"/>
      <c r="AG200" s="136"/>
      <c r="AH200" s="136"/>
      <c r="AI200" s="136"/>
      <c r="AJ200" s="136"/>
      <c r="AK200" s="136"/>
      <c r="AL200" s="136"/>
      <c r="AM200" s="136"/>
      <c r="AN200" s="136"/>
      <c r="AO200" s="136"/>
      <c r="AP200" s="136"/>
      <c r="AQ200" s="136"/>
      <c r="AR200" s="136"/>
      <c r="AS200" s="136"/>
      <c r="AT200" s="136"/>
      <c r="AU200" s="136"/>
      <c r="AV200" s="136"/>
      <c r="AW200" s="136"/>
      <c r="AX200" s="136"/>
      <c r="AY200" s="136"/>
      <c r="AZ200" s="136"/>
      <c r="BA200" s="136"/>
      <c r="BB200" s="136"/>
      <c r="BC200" s="136"/>
      <c r="BD200" s="136"/>
      <c r="BE200" s="136"/>
      <c r="BF200" s="136"/>
      <c r="BG200" s="136"/>
      <c r="BH200" s="136"/>
      <c r="BI200" s="136"/>
      <c r="BJ200" s="136"/>
      <c r="BK200" s="136"/>
      <c r="BL200" s="136"/>
      <c r="BM200" s="136"/>
      <c r="BN200" s="136"/>
      <c r="BO200" s="136"/>
      <c r="BP200" s="136"/>
      <c r="BQ200" s="136"/>
      <c r="BR200" s="136"/>
      <c r="BS200" s="136"/>
      <c r="BT200" s="136"/>
      <c r="BU200" s="136"/>
      <c r="BV200" s="136"/>
      <c r="BW200" s="136"/>
      <c r="BX200" s="136"/>
      <c r="BY200" s="136"/>
      <c r="BZ200" s="136"/>
      <c r="CA200" s="136"/>
      <c r="CB200" s="136"/>
      <c r="CC200" s="136"/>
      <c r="CD200" s="136"/>
      <c r="CE200" s="136"/>
      <c r="CF200" s="136"/>
      <c r="CG200" s="136"/>
      <c r="CH200" s="136"/>
      <c r="CI200" s="136"/>
      <c r="CJ200" s="136"/>
      <c r="CK200" s="136"/>
      <c r="CL200" s="136"/>
      <c r="CM200" s="136"/>
      <c r="CN200" s="136"/>
      <c r="CO200" s="136"/>
      <c r="CP200" s="136"/>
      <c r="CQ200" s="136"/>
      <c r="CR200" s="136"/>
      <c r="CS200" s="136"/>
      <c r="CT200" s="136"/>
      <c r="CU200" s="136"/>
      <c r="CV200" s="136"/>
      <c r="CW200" s="136"/>
      <c r="CX200" s="136"/>
      <c r="CY200" s="136"/>
      <c r="CZ200" s="136"/>
      <c r="DA200" s="136"/>
      <c r="DB200" s="136"/>
      <c r="DC200" s="136"/>
      <c r="DD200" s="136"/>
      <c r="DE200" s="136"/>
      <c r="DF200" s="136"/>
      <c r="DG200" s="136"/>
      <c r="DH200" s="136"/>
      <c r="DI200" s="136"/>
      <c r="DJ200" s="136"/>
      <c r="DK200" s="136"/>
      <c r="DL200" s="136"/>
      <c r="DM200" s="136"/>
      <c r="DN200" s="136"/>
      <c r="DO200" s="136"/>
      <c r="DP200" s="136"/>
      <c r="DQ200" s="136"/>
      <c r="DR200" s="136"/>
      <c r="DS200" s="136"/>
      <c r="DT200" s="136"/>
      <c r="DU200" s="136"/>
      <c r="DV200" s="136"/>
      <c r="DW200" s="136"/>
      <c r="DX200" s="136"/>
      <c r="DY200" s="136"/>
      <c r="DZ200" s="136"/>
      <c r="EA200" s="136"/>
      <c r="EB200" s="136"/>
      <c r="EC200" s="136"/>
      <c r="ED200" s="136"/>
      <c r="EE200" s="136"/>
      <c r="EF200" s="136"/>
      <c r="EG200" s="136"/>
      <c r="EH200" s="136"/>
      <c r="EI200" s="136"/>
      <c r="EJ200" s="136"/>
      <c r="EK200" s="136"/>
      <c r="EL200" s="136"/>
      <c r="EM200" s="136"/>
      <c r="EN200" s="136"/>
      <c r="EO200" s="136"/>
      <c r="EP200" s="136"/>
      <c r="EQ200" s="136"/>
      <c r="ER200" s="136"/>
      <c r="ES200" s="136"/>
      <c r="ET200" s="136"/>
      <c r="EU200" s="136"/>
      <c r="EV200" s="136"/>
      <c r="EW200" s="136"/>
      <c r="EX200" s="136"/>
      <c r="EY200" s="136"/>
      <c r="EZ200" s="136"/>
      <c r="FA200" s="136"/>
      <c r="FB200" s="136"/>
      <c r="FC200" s="136"/>
      <c r="FD200" s="136"/>
      <c r="FE200" s="136"/>
      <c r="FF200" s="136"/>
      <c r="FG200" s="136"/>
      <c r="FH200" s="136"/>
      <c r="FI200" s="136"/>
      <c r="FJ200" s="136"/>
      <c r="FK200" s="136"/>
      <c r="FL200" s="136"/>
      <c r="FM200" s="136"/>
      <c r="FN200" s="136"/>
      <c r="FO200" s="136"/>
      <c r="FP200" s="136"/>
      <c r="FQ200" s="136"/>
      <c r="FR200" s="136"/>
      <c r="FS200" s="136"/>
      <c r="FT200" s="136"/>
      <c r="FU200" s="136"/>
      <c r="FV200" s="136"/>
      <c r="FW200" s="136"/>
      <c r="FX200" s="136"/>
      <c r="FY200" s="136"/>
      <c r="FZ200" s="136"/>
      <c r="GA200" s="136"/>
      <c r="GB200" s="136"/>
      <c r="GC200" s="136"/>
      <c r="GD200" s="136"/>
      <c r="GE200" s="136"/>
      <c r="GF200" s="136"/>
      <c r="GG200" s="136"/>
      <c r="GH200" s="136"/>
      <c r="GI200" s="136"/>
      <c r="GJ200" s="136"/>
      <c r="GK200" s="136"/>
      <c r="GL200" s="136"/>
      <c r="GM200" s="136"/>
      <c r="GN200" s="136"/>
      <c r="GO200" s="136"/>
      <c r="GP200" s="136"/>
      <c r="GQ200" s="136"/>
      <c r="GR200" s="136"/>
      <c r="GS200" s="136"/>
      <c r="GT200" s="136"/>
      <c r="GU200" s="136"/>
      <c r="GV200" s="136"/>
      <c r="GW200" s="136"/>
      <c r="GX200" s="136"/>
      <c r="GY200" s="136"/>
      <c r="GZ200" s="136"/>
      <c r="HA200" s="136"/>
      <c r="HB200" s="136"/>
      <c r="HC200" s="136"/>
      <c r="HD200" s="136"/>
      <c r="HE200" s="136"/>
      <c r="HF200" s="136"/>
      <c r="HG200" s="136"/>
      <c r="HH200" s="136"/>
      <c r="HI200" s="136"/>
      <c r="HJ200" s="136"/>
      <c r="HK200" s="136"/>
      <c r="HL200" s="136"/>
      <c r="HM200" s="136"/>
      <c r="HN200" s="136"/>
      <c r="HO200" s="136"/>
      <c r="HP200" s="136"/>
      <c r="HQ200" s="136"/>
      <c r="HR200" s="136"/>
      <c r="HS200" s="136"/>
      <c r="HT200" s="136"/>
      <c r="HU200" s="136"/>
      <c r="HV200" s="136"/>
      <c r="HW200" s="136"/>
      <c r="HX200" s="136"/>
      <c r="HY200" s="136"/>
      <c r="HZ200" s="136"/>
      <c r="IA200" s="136"/>
      <c r="IB200" s="136"/>
      <c r="IC200" s="136"/>
      <c r="ID200" s="136"/>
      <c r="IE200" s="136"/>
      <c r="IF200" s="136"/>
      <c r="IG200" s="136"/>
      <c r="IH200" s="136"/>
      <c r="II200" s="136"/>
      <c r="IJ200" s="136"/>
      <c r="IK200" s="136"/>
      <c r="IL200" s="136"/>
      <c r="IM200" s="136"/>
      <c r="IN200" s="136"/>
      <c r="IO200" s="136"/>
      <c r="IP200" s="136"/>
      <c r="IQ200" s="136"/>
      <c r="IR200" s="136"/>
      <c r="IS200" s="136"/>
      <c r="IT200" s="136"/>
      <c r="IU200" s="136"/>
    </row>
    <row r="201" spans="1:255" ht="105" x14ac:dyDescent="0.2">
      <c r="A201" s="242" t="str">
        <f>'HECVAT - Full'!A201</f>
        <v>FIDP-09</v>
      </c>
      <c r="B201" s="242" t="str">
        <f>VLOOKUP(A201,'HECVAT - Full'!A$24:B$312,2,FALSE)</f>
        <v>Are you employing any next-generation persistent threat (NGPT) monitoring?</v>
      </c>
      <c r="C201" s="245" t="s">
        <v>2901</v>
      </c>
      <c r="D201" s="250" t="s">
        <v>2902</v>
      </c>
      <c r="E201" s="136"/>
      <c r="F201" s="136"/>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c r="AC201" s="136"/>
      <c r="AD201" s="136"/>
      <c r="AE201" s="136"/>
      <c r="AF201" s="136"/>
      <c r="AG201" s="136"/>
      <c r="AH201" s="136"/>
      <c r="AI201" s="136"/>
      <c r="AJ201" s="136"/>
      <c r="AK201" s="136"/>
      <c r="AL201" s="136"/>
      <c r="AM201" s="136"/>
      <c r="AN201" s="136"/>
      <c r="AO201" s="136"/>
      <c r="AP201" s="136"/>
      <c r="AQ201" s="136"/>
      <c r="AR201" s="136"/>
      <c r="AS201" s="136"/>
      <c r="AT201" s="136"/>
      <c r="AU201" s="136"/>
      <c r="AV201" s="136"/>
      <c r="AW201" s="136"/>
      <c r="AX201" s="136"/>
      <c r="AY201" s="136"/>
      <c r="AZ201" s="136"/>
      <c r="BA201" s="136"/>
      <c r="BB201" s="136"/>
      <c r="BC201" s="136"/>
      <c r="BD201" s="136"/>
      <c r="BE201" s="136"/>
      <c r="BF201" s="136"/>
      <c r="BG201" s="136"/>
      <c r="BH201" s="136"/>
      <c r="BI201" s="136"/>
      <c r="BJ201" s="136"/>
      <c r="BK201" s="136"/>
      <c r="BL201" s="136"/>
      <c r="BM201" s="136"/>
      <c r="BN201" s="136"/>
      <c r="BO201" s="136"/>
      <c r="BP201" s="136"/>
      <c r="BQ201" s="136"/>
      <c r="BR201" s="136"/>
      <c r="BS201" s="136"/>
      <c r="BT201" s="136"/>
      <c r="BU201" s="136"/>
      <c r="BV201" s="136"/>
      <c r="BW201" s="136"/>
      <c r="BX201" s="136"/>
      <c r="BY201" s="136"/>
      <c r="BZ201" s="136"/>
      <c r="CA201" s="136"/>
      <c r="CB201" s="136"/>
      <c r="CC201" s="136"/>
      <c r="CD201" s="136"/>
      <c r="CE201" s="136"/>
      <c r="CF201" s="136"/>
      <c r="CG201" s="136"/>
      <c r="CH201" s="136"/>
      <c r="CI201" s="136"/>
      <c r="CJ201" s="136"/>
      <c r="CK201" s="136"/>
      <c r="CL201" s="136"/>
      <c r="CM201" s="136"/>
      <c r="CN201" s="136"/>
      <c r="CO201" s="136"/>
      <c r="CP201" s="136"/>
      <c r="CQ201" s="136"/>
      <c r="CR201" s="136"/>
      <c r="CS201" s="136"/>
      <c r="CT201" s="136"/>
      <c r="CU201" s="136"/>
      <c r="CV201" s="136"/>
      <c r="CW201" s="136"/>
      <c r="CX201" s="136"/>
      <c r="CY201" s="136"/>
      <c r="CZ201" s="136"/>
      <c r="DA201" s="136"/>
      <c r="DB201" s="136"/>
      <c r="DC201" s="136"/>
      <c r="DD201" s="136"/>
      <c r="DE201" s="136"/>
      <c r="DF201" s="136"/>
      <c r="DG201" s="136"/>
      <c r="DH201" s="136"/>
      <c r="DI201" s="136"/>
      <c r="DJ201" s="136"/>
      <c r="DK201" s="136"/>
      <c r="DL201" s="136"/>
      <c r="DM201" s="136"/>
      <c r="DN201" s="136"/>
      <c r="DO201" s="136"/>
      <c r="DP201" s="136"/>
      <c r="DQ201" s="136"/>
      <c r="DR201" s="136"/>
      <c r="DS201" s="136"/>
      <c r="DT201" s="136"/>
      <c r="DU201" s="136"/>
      <c r="DV201" s="136"/>
      <c r="DW201" s="136"/>
      <c r="DX201" s="136"/>
      <c r="DY201" s="136"/>
      <c r="DZ201" s="136"/>
      <c r="EA201" s="136"/>
      <c r="EB201" s="136"/>
      <c r="EC201" s="136"/>
      <c r="ED201" s="136"/>
      <c r="EE201" s="136"/>
      <c r="EF201" s="136"/>
      <c r="EG201" s="136"/>
      <c r="EH201" s="136"/>
      <c r="EI201" s="136"/>
      <c r="EJ201" s="136"/>
      <c r="EK201" s="136"/>
      <c r="EL201" s="136"/>
      <c r="EM201" s="136"/>
      <c r="EN201" s="136"/>
      <c r="EO201" s="136"/>
      <c r="EP201" s="136"/>
      <c r="EQ201" s="136"/>
      <c r="ER201" s="136"/>
      <c r="ES201" s="136"/>
      <c r="ET201" s="136"/>
      <c r="EU201" s="136"/>
      <c r="EV201" s="136"/>
      <c r="EW201" s="136"/>
      <c r="EX201" s="136"/>
      <c r="EY201" s="136"/>
      <c r="EZ201" s="136"/>
      <c r="FA201" s="136"/>
      <c r="FB201" s="136"/>
      <c r="FC201" s="136"/>
      <c r="FD201" s="136"/>
      <c r="FE201" s="136"/>
      <c r="FF201" s="136"/>
      <c r="FG201" s="136"/>
      <c r="FH201" s="136"/>
      <c r="FI201" s="136"/>
      <c r="FJ201" s="136"/>
      <c r="FK201" s="136"/>
      <c r="FL201" s="136"/>
      <c r="FM201" s="136"/>
      <c r="FN201" s="136"/>
      <c r="FO201" s="136"/>
      <c r="FP201" s="136"/>
      <c r="FQ201" s="136"/>
      <c r="FR201" s="136"/>
      <c r="FS201" s="136"/>
      <c r="FT201" s="136"/>
      <c r="FU201" s="136"/>
      <c r="FV201" s="136"/>
      <c r="FW201" s="136"/>
      <c r="FX201" s="136"/>
      <c r="FY201" s="136"/>
      <c r="FZ201" s="136"/>
      <c r="GA201" s="136"/>
      <c r="GB201" s="136"/>
      <c r="GC201" s="136"/>
      <c r="GD201" s="136"/>
      <c r="GE201" s="136"/>
      <c r="GF201" s="136"/>
      <c r="GG201" s="136"/>
      <c r="GH201" s="136"/>
      <c r="GI201" s="136"/>
      <c r="GJ201" s="136"/>
      <c r="GK201" s="136"/>
      <c r="GL201" s="136"/>
      <c r="GM201" s="136"/>
      <c r="GN201" s="136"/>
      <c r="GO201" s="136"/>
      <c r="GP201" s="136"/>
      <c r="GQ201" s="136"/>
      <c r="GR201" s="136"/>
      <c r="GS201" s="136"/>
      <c r="GT201" s="136"/>
      <c r="GU201" s="136"/>
      <c r="GV201" s="136"/>
      <c r="GW201" s="136"/>
      <c r="GX201" s="136"/>
      <c r="GY201" s="136"/>
      <c r="GZ201" s="136"/>
      <c r="HA201" s="136"/>
      <c r="HB201" s="136"/>
      <c r="HC201" s="136"/>
      <c r="HD201" s="136"/>
      <c r="HE201" s="136"/>
      <c r="HF201" s="136"/>
      <c r="HG201" s="136"/>
      <c r="HH201" s="136"/>
      <c r="HI201" s="136"/>
      <c r="HJ201" s="136"/>
      <c r="HK201" s="136"/>
      <c r="HL201" s="136"/>
      <c r="HM201" s="136"/>
      <c r="HN201" s="136"/>
      <c r="HO201" s="136"/>
      <c r="HP201" s="136"/>
      <c r="HQ201" s="136"/>
      <c r="HR201" s="136"/>
      <c r="HS201" s="136"/>
      <c r="HT201" s="136"/>
      <c r="HU201" s="136"/>
      <c r="HV201" s="136"/>
      <c r="HW201" s="136"/>
      <c r="HX201" s="136"/>
      <c r="HY201" s="136"/>
      <c r="HZ201" s="136"/>
      <c r="IA201" s="136"/>
      <c r="IB201" s="136"/>
      <c r="IC201" s="136"/>
      <c r="ID201" s="136"/>
      <c r="IE201" s="136"/>
      <c r="IF201" s="136"/>
      <c r="IG201" s="136"/>
      <c r="IH201" s="136"/>
      <c r="II201" s="136"/>
      <c r="IJ201" s="136"/>
      <c r="IK201" s="136"/>
      <c r="IL201" s="136"/>
      <c r="IM201" s="136"/>
      <c r="IN201" s="136"/>
      <c r="IO201" s="136"/>
      <c r="IP201" s="136"/>
      <c r="IQ201" s="136"/>
      <c r="IR201" s="136"/>
      <c r="IS201" s="136"/>
      <c r="IT201" s="136"/>
      <c r="IU201" s="136"/>
    </row>
    <row r="202" spans="1:255" ht="96" customHeight="1" x14ac:dyDescent="0.2">
      <c r="A202" s="242" t="str">
        <f>'HECVAT - Full'!A202</f>
        <v>FIDP-10</v>
      </c>
      <c r="B202" s="242" t="str">
        <f>VLOOKUP(A202,'HECVAT - Full'!A$24:B$312,2,FALSE)</f>
        <v>Do you monitor for intrusions on a 24x7x365 basis?</v>
      </c>
      <c r="C202" s="245" t="s">
        <v>2903</v>
      </c>
      <c r="D202" s="250" t="s">
        <v>2904</v>
      </c>
      <c r="E202" s="136"/>
      <c r="F202" s="136"/>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c r="AC202" s="136"/>
      <c r="AD202" s="136"/>
      <c r="AE202" s="136"/>
      <c r="AF202" s="136"/>
      <c r="AG202" s="136"/>
      <c r="AH202" s="136"/>
      <c r="AI202" s="136"/>
      <c r="AJ202" s="136"/>
      <c r="AK202" s="136"/>
      <c r="AL202" s="136"/>
      <c r="AM202" s="136"/>
      <c r="AN202" s="136"/>
      <c r="AO202" s="136"/>
      <c r="AP202" s="136"/>
      <c r="AQ202" s="136"/>
      <c r="AR202" s="136"/>
      <c r="AS202" s="136"/>
      <c r="AT202" s="136"/>
      <c r="AU202" s="136"/>
      <c r="AV202" s="136"/>
      <c r="AW202" s="136"/>
      <c r="AX202" s="136"/>
      <c r="AY202" s="136"/>
      <c r="AZ202" s="136"/>
      <c r="BA202" s="136"/>
      <c r="BB202" s="136"/>
      <c r="BC202" s="136"/>
      <c r="BD202" s="136"/>
      <c r="BE202" s="136"/>
      <c r="BF202" s="136"/>
      <c r="BG202" s="136"/>
      <c r="BH202" s="136"/>
      <c r="BI202" s="136"/>
      <c r="BJ202" s="136"/>
      <c r="BK202" s="136"/>
      <c r="BL202" s="136"/>
      <c r="BM202" s="136"/>
      <c r="BN202" s="136"/>
      <c r="BO202" s="136"/>
      <c r="BP202" s="136"/>
      <c r="BQ202" s="136"/>
      <c r="BR202" s="136"/>
      <c r="BS202" s="136"/>
      <c r="BT202" s="136"/>
      <c r="BU202" s="136"/>
      <c r="BV202" s="136"/>
      <c r="BW202" s="136"/>
      <c r="BX202" s="136"/>
      <c r="BY202" s="136"/>
      <c r="BZ202" s="136"/>
      <c r="CA202" s="136"/>
      <c r="CB202" s="136"/>
      <c r="CC202" s="136"/>
      <c r="CD202" s="136"/>
      <c r="CE202" s="136"/>
      <c r="CF202" s="136"/>
      <c r="CG202" s="136"/>
      <c r="CH202" s="136"/>
      <c r="CI202" s="136"/>
      <c r="CJ202" s="136"/>
      <c r="CK202" s="136"/>
      <c r="CL202" s="136"/>
      <c r="CM202" s="136"/>
      <c r="CN202" s="136"/>
      <c r="CO202" s="136"/>
      <c r="CP202" s="136"/>
      <c r="CQ202" s="136"/>
      <c r="CR202" s="136"/>
      <c r="CS202" s="136"/>
      <c r="CT202" s="136"/>
      <c r="CU202" s="136"/>
      <c r="CV202" s="136"/>
      <c r="CW202" s="136"/>
      <c r="CX202" s="136"/>
      <c r="CY202" s="136"/>
      <c r="CZ202" s="136"/>
      <c r="DA202" s="136"/>
      <c r="DB202" s="136"/>
      <c r="DC202" s="136"/>
      <c r="DD202" s="136"/>
      <c r="DE202" s="136"/>
      <c r="DF202" s="136"/>
      <c r="DG202" s="136"/>
      <c r="DH202" s="136"/>
      <c r="DI202" s="136"/>
      <c r="DJ202" s="136"/>
      <c r="DK202" s="136"/>
      <c r="DL202" s="136"/>
      <c r="DM202" s="136"/>
      <c r="DN202" s="136"/>
      <c r="DO202" s="136"/>
      <c r="DP202" s="136"/>
      <c r="DQ202" s="136"/>
      <c r="DR202" s="136"/>
      <c r="DS202" s="136"/>
      <c r="DT202" s="136"/>
      <c r="DU202" s="136"/>
      <c r="DV202" s="136"/>
      <c r="DW202" s="136"/>
      <c r="DX202" s="136"/>
      <c r="DY202" s="136"/>
      <c r="DZ202" s="136"/>
      <c r="EA202" s="136"/>
      <c r="EB202" s="136"/>
      <c r="EC202" s="136"/>
      <c r="ED202" s="136"/>
      <c r="EE202" s="136"/>
      <c r="EF202" s="136"/>
      <c r="EG202" s="136"/>
      <c r="EH202" s="136"/>
      <c r="EI202" s="136"/>
      <c r="EJ202" s="136"/>
      <c r="EK202" s="136"/>
      <c r="EL202" s="136"/>
      <c r="EM202" s="136"/>
      <c r="EN202" s="136"/>
      <c r="EO202" s="136"/>
      <c r="EP202" s="136"/>
      <c r="EQ202" s="136"/>
      <c r="ER202" s="136"/>
      <c r="ES202" s="136"/>
      <c r="ET202" s="136"/>
      <c r="EU202" s="136"/>
      <c r="EV202" s="136"/>
      <c r="EW202" s="136"/>
      <c r="EX202" s="136"/>
      <c r="EY202" s="136"/>
      <c r="EZ202" s="136"/>
      <c r="FA202" s="136"/>
      <c r="FB202" s="136"/>
      <c r="FC202" s="136"/>
      <c r="FD202" s="136"/>
      <c r="FE202" s="136"/>
      <c r="FF202" s="136"/>
      <c r="FG202" s="136"/>
      <c r="FH202" s="136"/>
      <c r="FI202" s="136"/>
      <c r="FJ202" s="136"/>
      <c r="FK202" s="136"/>
      <c r="FL202" s="136"/>
      <c r="FM202" s="136"/>
      <c r="FN202" s="136"/>
      <c r="FO202" s="136"/>
      <c r="FP202" s="136"/>
      <c r="FQ202" s="136"/>
      <c r="FR202" s="136"/>
      <c r="FS202" s="136"/>
      <c r="FT202" s="136"/>
      <c r="FU202" s="136"/>
      <c r="FV202" s="136"/>
      <c r="FW202" s="136"/>
      <c r="FX202" s="136"/>
      <c r="FY202" s="136"/>
      <c r="FZ202" s="136"/>
      <c r="GA202" s="136"/>
      <c r="GB202" s="136"/>
      <c r="GC202" s="136"/>
      <c r="GD202" s="136"/>
      <c r="GE202" s="136"/>
      <c r="GF202" s="136"/>
      <c r="GG202" s="136"/>
      <c r="GH202" s="136"/>
      <c r="GI202" s="136"/>
      <c r="GJ202" s="136"/>
      <c r="GK202" s="136"/>
      <c r="GL202" s="136"/>
      <c r="GM202" s="136"/>
      <c r="GN202" s="136"/>
      <c r="GO202" s="136"/>
      <c r="GP202" s="136"/>
      <c r="GQ202" s="136"/>
      <c r="GR202" s="136"/>
      <c r="GS202" s="136"/>
      <c r="GT202" s="136"/>
      <c r="GU202" s="136"/>
      <c r="GV202" s="136"/>
      <c r="GW202" s="136"/>
      <c r="GX202" s="136"/>
      <c r="GY202" s="136"/>
      <c r="GZ202" s="136"/>
      <c r="HA202" s="136"/>
      <c r="HB202" s="136"/>
      <c r="HC202" s="136"/>
      <c r="HD202" s="136"/>
      <c r="HE202" s="136"/>
      <c r="HF202" s="136"/>
      <c r="HG202" s="136"/>
      <c r="HH202" s="136"/>
      <c r="HI202" s="136"/>
      <c r="HJ202" s="136"/>
      <c r="HK202" s="136"/>
      <c r="HL202" s="136"/>
      <c r="HM202" s="136"/>
      <c r="HN202" s="136"/>
      <c r="HO202" s="136"/>
      <c r="HP202" s="136"/>
      <c r="HQ202" s="136"/>
      <c r="HR202" s="136"/>
      <c r="HS202" s="136"/>
      <c r="HT202" s="136"/>
      <c r="HU202" s="136"/>
      <c r="HV202" s="136"/>
      <c r="HW202" s="136"/>
      <c r="HX202" s="136"/>
      <c r="HY202" s="136"/>
      <c r="HZ202" s="136"/>
      <c r="IA202" s="136"/>
      <c r="IB202" s="136"/>
      <c r="IC202" s="136"/>
      <c r="ID202" s="136"/>
      <c r="IE202" s="136"/>
      <c r="IF202" s="136"/>
      <c r="IG202" s="136"/>
      <c r="IH202" s="136"/>
      <c r="II202" s="136"/>
      <c r="IJ202" s="136"/>
      <c r="IK202" s="136"/>
      <c r="IL202" s="136"/>
      <c r="IM202" s="136"/>
      <c r="IN202" s="136"/>
      <c r="IO202" s="136"/>
      <c r="IP202" s="136"/>
      <c r="IQ202" s="136"/>
      <c r="IR202" s="136"/>
      <c r="IS202" s="136"/>
      <c r="IT202" s="136"/>
      <c r="IU202" s="136"/>
    </row>
    <row r="203" spans="1:255" ht="84" customHeight="1" x14ac:dyDescent="0.2">
      <c r="A203" s="242" t="str">
        <f>'HECVAT - Full'!A203</f>
        <v>FIDP-11</v>
      </c>
      <c r="B203" s="242" t="str">
        <f>VLOOKUP(A203,'HECVAT - Full'!A$24:B$312,2,FALSE)</f>
        <v>Is intrusion monitoring performed internally or by a third-party service?</v>
      </c>
      <c r="C203" s="243" t="s">
        <v>2905</v>
      </c>
      <c r="D203" s="243" t="s">
        <v>2906</v>
      </c>
      <c r="E203" s="136"/>
      <c r="F203" s="136"/>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c r="AC203" s="136"/>
      <c r="AD203" s="136"/>
      <c r="AE203" s="136"/>
      <c r="AF203" s="136"/>
      <c r="AG203" s="136"/>
      <c r="AH203" s="136"/>
      <c r="AI203" s="136"/>
      <c r="AJ203" s="136"/>
      <c r="AK203" s="136"/>
      <c r="AL203" s="136"/>
      <c r="AM203" s="136"/>
      <c r="AN203" s="136"/>
      <c r="AO203" s="136"/>
      <c r="AP203" s="136"/>
      <c r="AQ203" s="136"/>
      <c r="AR203" s="136"/>
      <c r="AS203" s="136"/>
      <c r="AT203" s="136"/>
      <c r="AU203" s="136"/>
      <c r="AV203" s="136"/>
      <c r="AW203" s="136"/>
      <c r="AX203" s="136"/>
      <c r="AY203" s="136"/>
      <c r="AZ203" s="136"/>
      <c r="BA203" s="136"/>
      <c r="BB203" s="136"/>
      <c r="BC203" s="136"/>
      <c r="BD203" s="136"/>
      <c r="BE203" s="136"/>
      <c r="BF203" s="136"/>
      <c r="BG203" s="136"/>
      <c r="BH203" s="136"/>
      <c r="BI203" s="136"/>
      <c r="BJ203" s="136"/>
      <c r="BK203" s="136"/>
      <c r="BL203" s="136"/>
      <c r="BM203" s="136"/>
      <c r="BN203" s="136"/>
      <c r="BO203" s="136"/>
      <c r="BP203" s="136"/>
      <c r="BQ203" s="136"/>
      <c r="BR203" s="136"/>
      <c r="BS203" s="136"/>
      <c r="BT203" s="136"/>
      <c r="BU203" s="136"/>
      <c r="BV203" s="136"/>
      <c r="BW203" s="136"/>
      <c r="BX203" s="136"/>
      <c r="BY203" s="136"/>
      <c r="BZ203" s="136"/>
      <c r="CA203" s="136"/>
      <c r="CB203" s="136"/>
      <c r="CC203" s="136"/>
      <c r="CD203" s="136"/>
      <c r="CE203" s="136"/>
      <c r="CF203" s="136"/>
      <c r="CG203" s="136"/>
      <c r="CH203" s="136"/>
      <c r="CI203" s="136"/>
      <c r="CJ203" s="136"/>
      <c r="CK203" s="136"/>
      <c r="CL203" s="136"/>
      <c r="CM203" s="136"/>
      <c r="CN203" s="136"/>
      <c r="CO203" s="136"/>
      <c r="CP203" s="136"/>
      <c r="CQ203" s="136"/>
      <c r="CR203" s="136"/>
      <c r="CS203" s="136"/>
      <c r="CT203" s="136"/>
      <c r="CU203" s="136"/>
      <c r="CV203" s="136"/>
      <c r="CW203" s="136"/>
      <c r="CX203" s="136"/>
      <c r="CY203" s="136"/>
      <c r="CZ203" s="136"/>
      <c r="DA203" s="136"/>
      <c r="DB203" s="136"/>
      <c r="DC203" s="136"/>
      <c r="DD203" s="136"/>
      <c r="DE203" s="136"/>
      <c r="DF203" s="136"/>
      <c r="DG203" s="136"/>
      <c r="DH203" s="136"/>
      <c r="DI203" s="136"/>
      <c r="DJ203" s="136"/>
      <c r="DK203" s="136"/>
      <c r="DL203" s="136"/>
      <c r="DM203" s="136"/>
      <c r="DN203" s="136"/>
      <c r="DO203" s="136"/>
      <c r="DP203" s="136"/>
      <c r="DQ203" s="136"/>
      <c r="DR203" s="136"/>
      <c r="DS203" s="136"/>
      <c r="DT203" s="136"/>
      <c r="DU203" s="136"/>
      <c r="DV203" s="136"/>
      <c r="DW203" s="136"/>
      <c r="DX203" s="136"/>
      <c r="DY203" s="136"/>
      <c r="DZ203" s="136"/>
      <c r="EA203" s="136"/>
      <c r="EB203" s="136"/>
      <c r="EC203" s="136"/>
      <c r="ED203" s="136"/>
      <c r="EE203" s="136"/>
      <c r="EF203" s="136"/>
      <c r="EG203" s="136"/>
      <c r="EH203" s="136"/>
      <c r="EI203" s="136"/>
      <c r="EJ203" s="136"/>
      <c r="EK203" s="136"/>
      <c r="EL203" s="136"/>
      <c r="EM203" s="136"/>
      <c r="EN203" s="136"/>
      <c r="EO203" s="136"/>
      <c r="EP203" s="136"/>
      <c r="EQ203" s="136"/>
      <c r="ER203" s="136"/>
      <c r="ES203" s="136"/>
      <c r="ET203" s="136"/>
      <c r="EU203" s="136"/>
      <c r="EV203" s="136"/>
      <c r="EW203" s="136"/>
      <c r="EX203" s="136"/>
      <c r="EY203" s="136"/>
      <c r="EZ203" s="136"/>
      <c r="FA203" s="136"/>
      <c r="FB203" s="136"/>
      <c r="FC203" s="136"/>
      <c r="FD203" s="136"/>
      <c r="FE203" s="136"/>
      <c r="FF203" s="136"/>
      <c r="FG203" s="136"/>
      <c r="FH203" s="136"/>
      <c r="FI203" s="136"/>
      <c r="FJ203" s="136"/>
      <c r="FK203" s="136"/>
      <c r="FL203" s="136"/>
      <c r="FM203" s="136"/>
      <c r="FN203" s="136"/>
      <c r="FO203" s="136"/>
      <c r="FP203" s="136"/>
      <c r="FQ203" s="136"/>
      <c r="FR203" s="136"/>
      <c r="FS203" s="136"/>
      <c r="FT203" s="136"/>
      <c r="FU203" s="136"/>
      <c r="FV203" s="136"/>
      <c r="FW203" s="136"/>
      <c r="FX203" s="136"/>
      <c r="FY203" s="136"/>
      <c r="FZ203" s="136"/>
      <c r="GA203" s="136"/>
      <c r="GB203" s="136"/>
      <c r="GC203" s="136"/>
      <c r="GD203" s="136"/>
      <c r="GE203" s="136"/>
      <c r="GF203" s="136"/>
      <c r="GG203" s="136"/>
      <c r="GH203" s="136"/>
      <c r="GI203" s="136"/>
      <c r="GJ203" s="136"/>
      <c r="GK203" s="136"/>
      <c r="GL203" s="136"/>
      <c r="GM203" s="136"/>
      <c r="GN203" s="136"/>
      <c r="GO203" s="136"/>
      <c r="GP203" s="136"/>
      <c r="GQ203" s="136"/>
      <c r="GR203" s="136"/>
      <c r="GS203" s="136"/>
      <c r="GT203" s="136"/>
      <c r="GU203" s="136"/>
      <c r="GV203" s="136"/>
      <c r="GW203" s="136"/>
      <c r="GX203" s="136"/>
      <c r="GY203" s="136"/>
      <c r="GZ203" s="136"/>
      <c r="HA203" s="136"/>
      <c r="HB203" s="136"/>
      <c r="HC203" s="136"/>
      <c r="HD203" s="136"/>
      <c r="HE203" s="136"/>
      <c r="HF203" s="136"/>
      <c r="HG203" s="136"/>
      <c r="HH203" s="136"/>
      <c r="HI203" s="136"/>
      <c r="HJ203" s="136"/>
      <c r="HK203" s="136"/>
      <c r="HL203" s="136"/>
      <c r="HM203" s="136"/>
      <c r="HN203" s="136"/>
      <c r="HO203" s="136"/>
      <c r="HP203" s="136"/>
      <c r="HQ203" s="136"/>
      <c r="HR203" s="136"/>
      <c r="HS203" s="136"/>
      <c r="HT203" s="136"/>
      <c r="HU203" s="136"/>
      <c r="HV203" s="136"/>
      <c r="HW203" s="136"/>
      <c r="HX203" s="136"/>
      <c r="HY203" s="136"/>
      <c r="HZ203" s="136"/>
      <c r="IA203" s="136"/>
      <c r="IB203" s="136"/>
      <c r="IC203" s="136"/>
      <c r="ID203" s="136"/>
      <c r="IE203" s="136"/>
      <c r="IF203" s="136"/>
      <c r="IG203" s="136"/>
      <c r="IH203" s="136"/>
      <c r="II203" s="136"/>
      <c r="IJ203" s="136"/>
      <c r="IK203" s="136"/>
      <c r="IL203" s="136"/>
      <c r="IM203" s="136"/>
      <c r="IN203" s="136"/>
      <c r="IO203" s="136"/>
      <c r="IP203" s="136"/>
      <c r="IQ203" s="136"/>
      <c r="IR203" s="136"/>
      <c r="IS203" s="136"/>
      <c r="IT203" s="136"/>
      <c r="IU203" s="136"/>
    </row>
    <row r="204" spans="1:255" ht="102.75" customHeight="1" x14ac:dyDescent="0.2">
      <c r="A204" s="242" t="str">
        <f>'HECVAT - Full'!A204</f>
        <v>FIDP-12</v>
      </c>
      <c r="B204" s="242" t="str">
        <f>VLOOKUP(A204,'HECVAT - Full'!A$24:B$312,2,FALSE)</f>
        <v>Are audit logs available for all changes to the network, firewall, IDS, and IPS systems?</v>
      </c>
      <c r="C204" s="245" t="s">
        <v>2907</v>
      </c>
      <c r="D204" s="249" t="s">
        <v>2908</v>
      </c>
      <c r="E204" s="136"/>
      <c r="F204" s="136"/>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c r="AC204" s="136"/>
      <c r="AD204" s="136"/>
      <c r="AE204" s="136"/>
      <c r="AF204" s="136"/>
      <c r="AG204" s="136"/>
      <c r="AH204" s="136"/>
      <c r="AI204" s="136"/>
      <c r="AJ204" s="136"/>
      <c r="AK204" s="136"/>
      <c r="AL204" s="136"/>
      <c r="AM204" s="136"/>
      <c r="AN204" s="136"/>
      <c r="AO204" s="136"/>
      <c r="AP204" s="136"/>
      <c r="AQ204" s="136"/>
      <c r="AR204" s="136"/>
      <c r="AS204" s="136"/>
      <c r="AT204" s="136"/>
      <c r="AU204" s="136"/>
      <c r="AV204" s="136"/>
      <c r="AW204" s="136"/>
      <c r="AX204" s="136"/>
      <c r="AY204" s="136"/>
      <c r="AZ204" s="136"/>
      <c r="BA204" s="136"/>
      <c r="BB204" s="136"/>
      <c r="BC204" s="136"/>
      <c r="BD204" s="136"/>
      <c r="BE204" s="136"/>
      <c r="BF204" s="136"/>
      <c r="BG204" s="136"/>
      <c r="BH204" s="136"/>
      <c r="BI204" s="136"/>
      <c r="BJ204" s="136"/>
      <c r="BK204" s="136"/>
      <c r="BL204" s="136"/>
      <c r="BM204" s="136"/>
      <c r="BN204" s="136"/>
      <c r="BO204" s="136"/>
      <c r="BP204" s="136"/>
      <c r="BQ204" s="136"/>
      <c r="BR204" s="136"/>
      <c r="BS204" s="136"/>
      <c r="BT204" s="136"/>
      <c r="BU204" s="136"/>
      <c r="BV204" s="136"/>
      <c r="BW204" s="136"/>
      <c r="BX204" s="136"/>
      <c r="BY204" s="136"/>
      <c r="BZ204" s="136"/>
      <c r="CA204" s="136"/>
      <c r="CB204" s="136"/>
      <c r="CC204" s="136"/>
      <c r="CD204" s="136"/>
      <c r="CE204" s="136"/>
      <c r="CF204" s="136"/>
      <c r="CG204" s="136"/>
      <c r="CH204" s="136"/>
      <c r="CI204" s="136"/>
      <c r="CJ204" s="136"/>
      <c r="CK204" s="136"/>
      <c r="CL204" s="136"/>
      <c r="CM204" s="136"/>
      <c r="CN204" s="136"/>
      <c r="CO204" s="136"/>
      <c r="CP204" s="136"/>
      <c r="CQ204" s="136"/>
      <c r="CR204" s="136"/>
      <c r="CS204" s="136"/>
      <c r="CT204" s="136"/>
      <c r="CU204" s="136"/>
      <c r="CV204" s="136"/>
      <c r="CW204" s="136"/>
      <c r="CX204" s="136"/>
      <c r="CY204" s="136"/>
      <c r="CZ204" s="136"/>
      <c r="DA204" s="136"/>
      <c r="DB204" s="136"/>
      <c r="DC204" s="136"/>
      <c r="DD204" s="136"/>
      <c r="DE204" s="136"/>
      <c r="DF204" s="136"/>
      <c r="DG204" s="136"/>
      <c r="DH204" s="136"/>
      <c r="DI204" s="136"/>
      <c r="DJ204" s="136"/>
      <c r="DK204" s="136"/>
      <c r="DL204" s="136"/>
      <c r="DM204" s="136"/>
      <c r="DN204" s="136"/>
      <c r="DO204" s="136"/>
      <c r="DP204" s="136"/>
      <c r="DQ204" s="136"/>
      <c r="DR204" s="136"/>
      <c r="DS204" s="136"/>
      <c r="DT204" s="136"/>
      <c r="DU204" s="136"/>
      <c r="DV204" s="136"/>
      <c r="DW204" s="136"/>
      <c r="DX204" s="136"/>
      <c r="DY204" s="136"/>
      <c r="DZ204" s="136"/>
      <c r="EA204" s="136"/>
      <c r="EB204" s="136"/>
      <c r="EC204" s="136"/>
      <c r="ED204" s="136"/>
      <c r="EE204" s="136"/>
      <c r="EF204" s="136"/>
      <c r="EG204" s="136"/>
      <c r="EH204" s="136"/>
      <c r="EI204" s="136"/>
      <c r="EJ204" s="136"/>
      <c r="EK204" s="136"/>
      <c r="EL204" s="136"/>
      <c r="EM204" s="136"/>
      <c r="EN204" s="136"/>
      <c r="EO204" s="136"/>
      <c r="EP204" s="136"/>
      <c r="EQ204" s="136"/>
      <c r="ER204" s="136"/>
      <c r="ES204" s="136"/>
      <c r="ET204" s="136"/>
      <c r="EU204" s="136"/>
      <c r="EV204" s="136"/>
      <c r="EW204" s="136"/>
      <c r="EX204" s="136"/>
      <c r="EY204" s="136"/>
      <c r="EZ204" s="136"/>
      <c r="FA204" s="136"/>
      <c r="FB204" s="136"/>
      <c r="FC204" s="136"/>
      <c r="FD204" s="136"/>
      <c r="FE204" s="136"/>
      <c r="FF204" s="136"/>
      <c r="FG204" s="136"/>
      <c r="FH204" s="136"/>
      <c r="FI204" s="136"/>
      <c r="FJ204" s="136"/>
      <c r="FK204" s="136"/>
      <c r="FL204" s="136"/>
      <c r="FM204" s="136"/>
      <c r="FN204" s="136"/>
      <c r="FO204" s="136"/>
      <c r="FP204" s="136"/>
      <c r="FQ204" s="136"/>
      <c r="FR204" s="136"/>
      <c r="FS204" s="136"/>
      <c r="FT204" s="136"/>
      <c r="FU204" s="136"/>
      <c r="FV204" s="136"/>
      <c r="FW204" s="136"/>
      <c r="FX204" s="136"/>
      <c r="FY204" s="136"/>
      <c r="FZ204" s="136"/>
      <c r="GA204" s="136"/>
      <c r="GB204" s="136"/>
      <c r="GC204" s="136"/>
      <c r="GD204" s="136"/>
      <c r="GE204" s="136"/>
      <c r="GF204" s="136"/>
      <c r="GG204" s="136"/>
      <c r="GH204" s="136"/>
      <c r="GI204" s="136"/>
      <c r="GJ204" s="136"/>
      <c r="GK204" s="136"/>
      <c r="GL204" s="136"/>
      <c r="GM204" s="136"/>
      <c r="GN204" s="136"/>
      <c r="GO204" s="136"/>
      <c r="GP204" s="136"/>
      <c r="GQ204" s="136"/>
      <c r="GR204" s="136"/>
      <c r="GS204" s="136"/>
      <c r="GT204" s="136"/>
      <c r="GU204" s="136"/>
      <c r="GV204" s="136"/>
      <c r="GW204" s="136"/>
      <c r="GX204" s="136"/>
      <c r="GY204" s="136"/>
      <c r="GZ204" s="136"/>
      <c r="HA204" s="136"/>
      <c r="HB204" s="136"/>
      <c r="HC204" s="136"/>
      <c r="HD204" s="136"/>
      <c r="HE204" s="136"/>
      <c r="HF204" s="136"/>
      <c r="HG204" s="136"/>
      <c r="HH204" s="136"/>
      <c r="HI204" s="136"/>
      <c r="HJ204" s="136"/>
      <c r="HK204" s="136"/>
      <c r="HL204" s="136"/>
      <c r="HM204" s="136"/>
      <c r="HN204" s="136"/>
      <c r="HO204" s="136"/>
      <c r="HP204" s="136"/>
      <c r="HQ204" s="136"/>
      <c r="HR204" s="136"/>
      <c r="HS204" s="136"/>
      <c r="HT204" s="136"/>
      <c r="HU204" s="136"/>
      <c r="HV204" s="136"/>
      <c r="HW204" s="136"/>
      <c r="HX204" s="136"/>
      <c r="HY204" s="136"/>
      <c r="HZ204" s="136"/>
      <c r="IA204" s="136"/>
      <c r="IB204" s="136"/>
      <c r="IC204" s="136"/>
      <c r="ID204" s="136"/>
      <c r="IE204" s="136"/>
      <c r="IF204" s="136"/>
      <c r="IG204" s="136"/>
      <c r="IH204" s="136"/>
      <c r="II204" s="136"/>
      <c r="IJ204" s="136"/>
      <c r="IK204" s="136"/>
      <c r="IL204" s="136"/>
      <c r="IM204" s="136"/>
      <c r="IN204" s="136"/>
      <c r="IO204" s="136"/>
      <c r="IP204" s="136"/>
      <c r="IQ204" s="136"/>
      <c r="IR204" s="136"/>
      <c r="IS204" s="136"/>
      <c r="IT204" s="136"/>
      <c r="IU204" s="136"/>
    </row>
    <row r="205" spans="1:255" ht="36" customHeight="1" x14ac:dyDescent="0.2">
      <c r="A205" s="335" t="str">
        <f>IF(OR($C$25="No",$C$30="Yes"),"Mobile Applications - Optional based on QUALIFIER response.","Mobile Applications")</f>
        <v>Mobile Applications</v>
      </c>
      <c r="B205" s="335"/>
      <c r="C205" s="240" t="str">
        <f>$C$22</f>
        <v>Reason for Question</v>
      </c>
      <c r="D205" s="240" t="str">
        <f>$D$22</f>
        <v>Follow-up Inquiries/Responses</v>
      </c>
      <c r="E205" s="136"/>
      <c r="F205" s="136"/>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c r="AC205" s="136"/>
      <c r="AD205" s="136"/>
      <c r="AE205" s="136"/>
      <c r="AF205" s="136"/>
      <c r="AG205" s="136"/>
      <c r="AH205" s="136"/>
      <c r="AI205" s="136"/>
      <c r="AJ205" s="136"/>
      <c r="AK205" s="136"/>
      <c r="AL205" s="136"/>
      <c r="AM205" s="136"/>
      <c r="AN205" s="136"/>
      <c r="AO205" s="136"/>
      <c r="AP205" s="136"/>
      <c r="AQ205" s="136"/>
      <c r="AR205" s="136"/>
      <c r="AS205" s="136"/>
      <c r="AT205" s="136"/>
      <c r="AU205" s="136"/>
      <c r="AV205" s="136"/>
      <c r="AW205" s="136"/>
      <c r="AX205" s="136"/>
      <c r="AY205" s="136"/>
      <c r="AZ205" s="136"/>
      <c r="BA205" s="136"/>
      <c r="BB205" s="136"/>
      <c r="BC205" s="136"/>
      <c r="BD205" s="136"/>
      <c r="BE205" s="136"/>
      <c r="BF205" s="136"/>
      <c r="BG205" s="136"/>
      <c r="BH205" s="136"/>
      <c r="BI205" s="136"/>
      <c r="BJ205" s="136"/>
      <c r="BK205" s="136"/>
      <c r="BL205" s="136"/>
      <c r="BM205" s="136"/>
      <c r="BN205" s="136"/>
      <c r="BO205" s="136"/>
      <c r="BP205" s="136"/>
      <c r="BQ205" s="136"/>
      <c r="BR205" s="136"/>
      <c r="BS205" s="136"/>
      <c r="BT205" s="136"/>
      <c r="BU205" s="136"/>
      <c r="BV205" s="136"/>
      <c r="BW205" s="136"/>
      <c r="BX205" s="136"/>
      <c r="BY205" s="136"/>
      <c r="BZ205" s="136"/>
      <c r="CA205" s="136"/>
      <c r="CB205" s="136"/>
      <c r="CC205" s="136"/>
      <c r="CD205" s="136"/>
      <c r="CE205" s="136"/>
      <c r="CF205" s="136"/>
      <c r="CG205" s="136"/>
      <c r="CH205" s="136"/>
      <c r="CI205" s="136"/>
      <c r="CJ205" s="136"/>
      <c r="CK205" s="136"/>
      <c r="CL205" s="136"/>
      <c r="CM205" s="136"/>
      <c r="CN205" s="136"/>
      <c r="CO205" s="136"/>
      <c r="CP205" s="136"/>
      <c r="CQ205" s="136"/>
      <c r="CR205" s="136"/>
      <c r="CS205" s="136"/>
      <c r="CT205" s="136"/>
      <c r="CU205" s="136"/>
      <c r="CV205" s="136"/>
      <c r="CW205" s="136"/>
      <c r="CX205" s="136"/>
      <c r="CY205" s="136"/>
      <c r="CZ205" s="136"/>
      <c r="DA205" s="136"/>
      <c r="DB205" s="136"/>
      <c r="DC205" s="136"/>
      <c r="DD205" s="136"/>
      <c r="DE205" s="136"/>
      <c r="DF205" s="136"/>
      <c r="DG205" s="136"/>
      <c r="DH205" s="136"/>
      <c r="DI205" s="136"/>
      <c r="DJ205" s="136"/>
      <c r="DK205" s="136"/>
      <c r="DL205" s="136"/>
      <c r="DM205" s="136"/>
      <c r="DN205" s="136"/>
      <c r="DO205" s="136"/>
      <c r="DP205" s="136"/>
      <c r="DQ205" s="136"/>
      <c r="DR205" s="136"/>
      <c r="DS205" s="136"/>
      <c r="DT205" s="136"/>
      <c r="DU205" s="136"/>
      <c r="DV205" s="136"/>
      <c r="DW205" s="136"/>
      <c r="DX205" s="136"/>
      <c r="DY205" s="136"/>
      <c r="DZ205" s="136"/>
      <c r="EA205" s="136"/>
      <c r="EB205" s="136"/>
      <c r="EC205" s="136"/>
      <c r="ED205" s="136"/>
      <c r="EE205" s="136"/>
      <c r="EF205" s="136"/>
      <c r="EG205" s="136"/>
      <c r="EH205" s="136"/>
      <c r="EI205" s="136"/>
      <c r="EJ205" s="136"/>
      <c r="EK205" s="136"/>
      <c r="EL205" s="136"/>
      <c r="EM205" s="136"/>
      <c r="EN205" s="136"/>
      <c r="EO205" s="136"/>
      <c r="EP205" s="136"/>
      <c r="EQ205" s="136"/>
      <c r="ER205" s="136"/>
      <c r="ES205" s="136"/>
      <c r="ET205" s="136"/>
      <c r="EU205" s="136"/>
      <c r="EV205" s="136"/>
      <c r="EW205" s="136"/>
      <c r="EX205" s="136"/>
      <c r="EY205" s="136"/>
      <c r="EZ205" s="136"/>
      <c r="FA205" s="136"/>
      <c r="FB205" s="136"/>
      <c r="FC205" s="136"/>
      <c r="FD205" s="136"/>
      <c r="FE205" s="136"/>
      <c r="FF205" s="136"/>
      <c r="FG205" s="136"/>
      <c r="FH205" s="136"/>
      <c r="FI205" s="136"/>
      <c r="FJ205" s="136"/>
      <c r="FK205" s="136"/>
      <c r="FL205" s="136"/>
      <c r="FM205" s="136"/>
      <c r="FN205" s="136"/>
      <c r="FO205" s="136"/>
      <c r="FP205" s="136"/>
      <c r="FQ205" s="136"/>
      <c r="FR205" s="136"/>
      <c r="FS205" s="136"/>
      <c r="FT205" s="136"/>
      <c r="FU205" s="136"/>
      <c r="FV205" s="136"/>
      <c r="FW205" s="136"/>
      <c r="FX205" s="136"/>
      <c r="FY205" s="136"/>
      <c r="FZ205" s="136"/>
      <c r="GA205" s="136"/>
      <c r="GB205" s="136"/>
      <c r="GC205" s="136"/>
      <c r="GD205" s="136"/>
      <c r="GE205" s="136"/>
      <c r="GF205" s="136"/>
      <c r="GG205" s="136"/>
      <c r="GH205" s="136"/>
      <c r="GI205" s="136"/>
      <c r="GJ205" s="136"/>
      <c r="GK205" s="136"/>
      <c r="GL205" s="136"/>
      <c r="GM205" s="136"/>
      <c r="GN205" s="136"/>
      <c r="GO205" s="136"/>
      <c r="GP205" s="136"/>
      <c r="GQ205" s="136"/>
      <c r="GR205" s="136"/>
      <c r="GS205" s="136"/>
      <c r="GT205" s="136"/>
      <c r="GU205" s="136"/>
      <c r="GV205" s="136"/>
      <c r="GW205" s="136"/>
      <c r="GX205" s="136"/>
      <c r="GY205" s="136"/>
      <c r="GZ205" s="136"/>
      <c r="HA205" s="136"/>
      <c r="HB205" s="136"/>
      <c r="HC205" s="136"/>
      <c r="HD205" s="136"/>
      <c r="HE205" s="136"/>
      <c r="HF205" s="136"/>
      <c r="HG205" s="136"/>
      <c r="HH205" s="136"/>
      <c r="HI205" s="136"/>
      <c r="HJ205" s="136"/>
      <c r="HK205" s="136"/>
      <c r="HL205" s="136"/>
      <c r="HM205" s="136"/>
      <c r="HN205" s="136"/>
      <c r="HO205" s="136"/>
      <c r="HP205" s="136"/>
      <c r="HQ205" s="136"/>
      <c r="HR205" s="136"/>
      <c r="HS205" s="136"/>
      <c r="HT205" s="136"/>
      <c r="HU205" s="136"/>
      <c r="HV205" s="136"/>
      <c r="HW205" s="136"/>
      <c r="HX205" s="136"/>
      <c r="HY205" s="136"/>
      <c r="HZ205" s="136"/>
      <c r="IA205" s="136"/>
      <c r="IB205" s="136"/>
      <c r="IC205" s="136"/>
      <c r="ID205" s="136"/>
      <c r="IE205" s="136"/>
      <c r="IF205" s="136"/>
      <c r="IG205" s="136"/>
      <c r="IH205" s="136"/>
      <c r="II205" s="136"/>
      <c r="IJ205" s="136"/>
      <c r="IK205" s="136"/>
      <c r="IL205" s="136"/>
      <c r="IM205" s="136"/>
      <c r="IN205" s="136"/>
      <c r="IO205" s="136"/>
      <c r="IP205" s="136"/>
      <c r="IQ205" s="136"/>
      <c r="IR205" s="136"/>
      <c r="IS205" s="136"/>
      <c r="IT205" s="136"/>
      <c r="IU205" s="136"/>
    </row>
    <row r="206" spans="1:255" ht="64.5" customHeight="1" x14ac:dyDescent="0.2">
      <c r="A206" s="242" t="str">
        <f>'HECVAT - Full'!A206</f>
        <v>MAPP-01</v>
      </c>
      <c r="B206" s="242" t="str">
        <f>VLOOKUP(A206,'HECVAT - Full'!A$24:B$312,2,FALSE)</f>
        <v>On which mobile operating systems is your software or service supported?</v>
      </c>
      <c r="C206" s="243" t="s">
        <v>2909</v>
      </c>
      <c r="D206" s="243" t="s">
        <v>2910</v>
      </c>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c r="BA206" s="136"/>
      <c r="BB206" s="136"/>
      <c r="BC206" s="136"/>
      <c r="BD206" s="136"/>
      <c r="BE206" s="136"/>
      <c r="BF206" s="136"/>
      <c r="BG206" s="136"/>
      <c r="BH206" s="136"/>
      <c r="BI206" s="136"/>
      <c r="BJ206" s="136"/>
      <c r="BK206" s="136"/>
      <c r="BL206" s="136"/>
      <c r="BM206" s="136"/>
      <c r="BN206" s="136"/>
      <c r="BO206" s="136"/>
      <c r="BP206" s="136"/>
      <c r="BQ206" s="136"/>
      <c r="BR206" s="136"/>
      <c r="BS206" s="136"/>
      <c r="BT206" s="136"/>
      <c r="BU206" s="136"/>
      <c r="BV206" s="136"/>
      <c r="BW206" s="136"/>
      <c r="BX206" s="136"/>
      <c r="BY206" s="136"/>
      <c r="BZ206" s="136"/>
      <c r="CA206" s="136"/>
      <c r="CB206" s="136"/>
      <c r="CC206" s="136"/>
      <c r="CD206" s="136"/>
      <c r="CE206" s="136"/>
      <c r="CF206" s="136"/>
      <c r="CG206" s="136"/>
      <c r="CH206" s="136"/>
      <c r="CI206" s="136"/>
      <c r="CJ206" s="136"/>
      <c r="CK206" s="136"/>
      <c r="CL206" s="136"/>
      <c r="CM206" s="136"/>
      <c r="CN206" s="136"/>
      <c r="CO206" s="136"/>
      <c r="CP206" s="136"/>
      <c r="CQ206" s="136"/>
      <c r="CR206" s="136"/>
      <c r="CS206" s="136"/>
      <c r="CT206" s="136"/>
      <c r="CU206" s="136"/>
      <c r="CV206" s="136"/>
      <c r="CW206" s="136"/>
      <c r="CX206" s="136"/>
      <c r="CY206" s="136"/>
      <c r="CZ206" s="136"/>
      <c r="DA206" s="136"/>
      <c r="DB206" s="136"/>
      <c r="DC206" s="136"/>
      <c r="DD206" s="136"/>
      <c r="DE206" s="136"/>
      <c r="DF206" s="136"/>
      <c r="DG206" s="136"/>
      <c r="DH206" s="136"/>
      <c r="DI206" s="136"/>
      <c r="DJ206" s="136"/>
      <c r="DK206" s="136"/>
      <c r="DL206" s="136"/>
      <c r="DM206" s="136"/>
      <c r="DN206" s="136"/>
      <c r="DO206" s="136"/>
      <c r="DP206" s="136"/>
      <c r="DQ206" s="136"/>
      <c r="DR206" s="136"/>
      <c r="DS206" s="136"/>
      <c r="DT206" s="136"/>
      <c r="DU206" s="136"/>
      <c r="DV206" s="136"/>
      <c r="DW206" s="136"/>
      <c r="DX206" s="136"/>
      <c r="DY206" s="136"/>
      <c r="DZ206" s="136"/>
      <c r="EA206" s="136"/>
      <c r="EB206" s="136"/>
      <c r="EC206" s="136"/>
      <c r="ED206" s="136"/>
      <c r="EE206" s="136"/>
      <c r="EF206" s="136"/>
      <c r="EG206" s="136"/>
      <c r="EH206" s="136"/>
      <c r="EI206" s="136"/>
      <c r="EJ206" s="136"/>
      <c r="EK206" s="136"/>
      <c r="EL206" s="136"/>
      <c r="EM206" s="136"/>
      <c r="EN206" s="136"/>
      <c r="EO206" s="136"/>
      <c r="EP206" s="136"/>
      <c r="EQ206" s="136"/>
      <c r="ER206" s="136"/>
      <c r="ES206" s="136"/>
      <c r="ET206" s="136"/>
      <c r="EU206" s="136"/>
      <c r="EV206" s="136"/>
      <c r="EW206" s="136"/>
      <c r="EX206" s="136"/>
      <c r="EY206" s="136"/>
      <c r="EZ206" s="136"/>
      <c r="FA206" s="136"/>
      <c r="FB206" s="136"/>
      <c r="FC206" s="136"/>
      <c r="FD206" s="136"/>
      <c r="FE206" s="136"/>
      <c r="FF206" s="136"/>
      <c r="FG206" s="136"/>
      <c r="FH206" s="136"/>
      <c r="FI206" s="136"/>
      <c r="FJ206" s="136"/>
      <c r="FK206" s="136"/>
      <c r="FL206" s="136"/>
      <c r="FM206" s="136"/>
      <c r="FN206" s="136"/>
      <c r="FO206" s="136"/>
      <c r="FP206" s="136"/>
      <c r="FQ206" s="136"/>
      <c r="FR206" s="136"/>
      <c r="FS206" s="136"/>
      <c r="FT206" s="136"/>
      <c r="FU206" s="136"/>
      <c r="FV206" s="136"/>
      <c r="FW206" s="136"/>
      <c r="FX206" s="136"/>
      <c r="FY206" s="136"/>
      <c r="FZ206" s="136"/>
      <c r="GA206" s="136"/>
      <c r="GB206" s="136"/>
      <c r="GC206" s="136"/>
      <c r="GD206" s="136"/>
      <c r="GE206" s="136"/>
      <c r="GF206" s="136"/>
      <c r="GG206" s="136"/>
      <c r="GH206" s="136"/>
      <c r="GI206" s="136"/>
      <c r="GJ206" s="136"/>
      <c r="GK206" s="136"/>
      <c r="GL206" s="136"/>
      <c r="GM206" s="136"/>
      <c r="GN206" s="136"/>
      <c r="GO206" s="136"/>
      <c r="GP206" s="136"/>
      <c r="GQ206" s="136"/>
      <c r="GR206" s="136"/>
      <c r="GS206" s="136"/>
      <c r="GT206" s="136"/>
      <c r="GU206" s="136"/>
      <c r="GV206" s="136"/>
      <c r="GW206" s="136"/>
      <c r="GX206" s="136"/>
      <c r="GY206" s="136"/>
      <c r="GZ206" s="136"/>
      <c r="HA206" s="136"/>
      <c r="HB206" s="136"/>
      <c r="HC206" s="136"/>
      <c r="HD206" s="136"/>
      <c r="HE206" s="136"/>
      <c r="HF206" s="136"/>
      <c r="HG206" s="136"/>
      <c r="HH206" s="136"/>
      <c r="HI206" s="136"/>
      <c r="HJ206" s="136"/>
      <c r="HK206" s="136"/>
      <c r="HL206" s="136"/>
      <c r="HM206" s="136"/>
      <c r="HN206" s="136"/>
      <c r="HO206" s="136"/>
      <c r="HP206" s="136"/>
      <c r="HQ206" s="136"/>
      <c r="HR206" s="136"/>
      <c r="HS206" s="136"/>
      <c r="HT206" s="136"/>
      <c r="HU206" s="136"/>
      <c r="HV206" s="136"/>
      <c r="HW206" s="136"/>
      <c r="HX206" s="136"/>
      <c r="HY206" s="136"/>
      <c r="HZ206" s="136"/>
      <c r="IA206" s="136"/>
      <c r="IB206" s="136"/>
      <c r="IC206" s="136"/>
      <c r="ID206" s="136"/>
      <c r="IE206" s="136"/>
      <c r="IF206" s="136"/>
      <c r="IG206" s="136"/>
      <c r="IH206" s="136"/>
      <c r="II206" s="136"/>
      <c r="IJ206" s="136"/>
      <c r="IK206" s="136"/>
      <c r="IL206" s="136"/>
      <c r="IM206" s="136"/>
      <c r="IN206" s="136"/>
      <c r="IO206" s="136"/>
      <c r="IP206" s="136"/>
      <c r="IQ206" s="136"/>
      <c r="IR206" s="136"/>
      <c r="IS206" s="136"/>
      <c r="IT206" s="136"/>
      <c r="IU206" s="136"/>
    </row>
    <row r="207" spans="1:255" ht="82.5" customHeight="1" x14ac:dyDescent="0.2">
      <c r="A207" s="242" t="str">
        <f>'HECVAT - Full'!A207</f>
        <v>MAPP-02</v>
      </c>
      <c r="B207" s="242" t="str">
        <f>VLOOKUP(A207,'HECVAT - Full'!A$24:B$312,2,FALSE)</f>
        <v>Describe or provide a reference to the application's architecture and functionality.</v>
      </c>
      <c r="C207" s="243" t="s">
        <v>2911</v>
      </c>
      <c r="D207" s="243" t="s">
        <v>2912</v>
      </c>
      <c r="E207" s="136"/>
      <c r="F207" s="136"/>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c r="AC207" s="136"/>
      <c r="AD207" s="136"/>
      <c r="AE207" s="136"/>
      <c r="AF207" s="136"/>
      <c r="AG207" s="136"/>
      <c r="AH207" s="136"/>
      <c r="AI207" s="136"/>
      <c r="AJ207" s="136"/>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36"/>
      <c r="BJ207" s="136"/>
      <c r="BK207" s="136"/>
      <c r="BL207" s="136"/>
      <c r="BM207" s="136"/>
      <c r="BN207" s="136"/>
      <c r="BO207" s="136"/>
      <c r="BP207" s="136"/>
      <c r="BQ207" s="136"/>
      <c r="BR207" s="136"/>
      <c r="BS207" s="136"/>
      <c r="BT207" s="136"/>
      <c r="BU207" s="136"/>
      <c r="BV207" s="136"/>
      <c r="BW207" s="136"/>
      <c r="BX207" s="136"/>
      <c r="BY207" s="136"/>
      <c r="BZ207" s="136"/>
      <c r="CA207" s="136"/>
      <c r="CB207" s="136"/>
      <c r="CC207" s="136"/>
      <c r="CD207" s="136"/>
      <c r="CE207" s="136"/>
      <c r="CF207" s="136"/>
      <c r="CG207" s="136"/>
      <c r="CH207" s="136"/>
      <c r="CI207" s="136"/>
      <c r="CJ207" s="136"/>
      <c r="CK207" s="136"/>
      <c r="CL207" s="136"/>
      <c r="CM207" s="136"/>
      <c r="CN207" s="136"/>
      <c r="CO207" s="136"/>
      <c r="CP207" s="136"/>
      <c r="CQ207" s="136"/>
      <c r="CR207" s="136"/>
      <c r="CS207" s="136"/>
      <c r="CT207" s="136"/>
      <c r="CU207" s="136"/>
      <c r="CV207" s="136"/>
      <c r="CW207" s="136"/>
      <c r="CX207" s="136"/>
      <c r="CY207" s="136"/>
      <c r="CZ207" s="136"/>
      <c r="DA207" s="136"/>
      <c r="DB207" s="136"/>
      <c r="DC207" s="136"/>
      <c r="DD207" s="136"/>
      <c r="DE207" s="136"/>
      <c r="DF207" s="136"/>
      <c r="DG207" s="136"/>
      <c r="DH207" s="136"/>
      <c r="DI207" s="136"/>
      <c r="DJ207" s="136"/>
      <c r="DK207" s="136"/>
      <c r="DL207" s="136"/>
      <c r="DM207" s="136"/>
      <c r="DN207" s="136"/>
      <c r="DO207" s="136"/>
      <c r="DP207" s="136"/>
      <c r="DQ207" s="136"/>
      <c r="DR207" s="136"/>
      <c r="DS207" s="136"/>
      <c r="DT207" s="136"/>
      <c r="DU207" s="136"/>
      <c r="DV207" s="136"/>
      <c r="DW207" s="136"/>
      <c r="DX207" s="136"/>
      <c r="DY207" s="136"/>
      <c r="DZ207" s="136"/>
      <c r="EA207" s="136"/>
      <c r="EB207" s="136"/>
      <c r="EC207" s="136"/>
      <c r="ED207" s="136"/>
      <c r="EE207" s="136"/>
      <c r="EF207" s="136"/>
      <c r="EG207" s="136"/>
      <c r="EH207" s="136"/>
      <c r="EI207" s="136"/>
      <c r="EJ207" s="136"/>
      <c r="EK207" s="136"/>
      <c r="EL207" s="136"/>
      <c r="EM207" s="136"/>
      <c r="EN207" s="136"/>
      <c r="EO207" s="136"/>
      <c r="EP207" s="136"/>
      <c r="EQ207" s="136"/>
      <c r="ER207" s="136"/>
      <c r="ES207" s="136"/>
      <c r="ET207" s="136"/>
      <c r="EU207" s="136"/>
      <c r="EV207" s="136"/>
      <c r="EW207" s="136"/>
      <c r="EX207" s="136"/>
      <c r="EY207" s="136"/>
      <c r="EZ207" s="136"/>
      <c r="FA207" s="136"/>
      <c r="FB207" s="136"/>
      <c r="FC207" s="136"/>
      <c r="FD207" s="136"/>
      <c r="FE207" s="136"/>
      <c r="FF207" s="136"/>
      <c r="FG207" s="136"/>
      <c r="FH207" s="136"/>
      <c r="FI207" s="136"/>
      <c r="FJ207" s="136"/>
      <c r="FK207" s="136"/>
      <c r="FL207" s="136"/>
      <c r="FM207" s="136"/>
      <c r="FN207" s="136"/>
      <c r="FO207" s="136"/>
      <c r="FP207" s="136"/>
      <c r="FQ207" s="136"/>
      <c r="FR207" s="136"/>
      <c r="FS207" s="136"/>
      <c r="FT207" s="136"/>
      <c r="FU207" s="136"/>
      <c r="FV207" s="136"/>
      <c r="FW207" s="136"/>
      <c r="FX207" s="136"/>
      <c r="FY207" s="136"/>
      <c r="FZ207" s="136"/>
      <c r="GA207" s="136"/>
      <c r="GB207" s="136"/>
      <c r="GC207" s="136"/>
      <c r="GD207" s="136"/>
      <c r="GE207" s="136"/>
      <c r="GF207" s="136"/>
      <c r="GG207" s="136"/>
      <c r="GH207" s="136"/>
      <c r="GI207" s="136"/>
      <c r="GJ207" s="136"/>
      <c r="GK207" s="136"/>
      <c r="GL207" s="136"/>
      <c r="GM207" s="136"/>
      <c r="GN207" s="136"/>
      <c r="GO207" s="136"/>
      <c r="GP207" s="136"/>
      <c r="GQ207" s="136"/>
      <c r="GR207" s="136"/>
      <c r="GS207" s="136"/>
      <c r="GT207" s="136"/>
      <c r="GU207" s="136"/>
      <c r="GV207" s="136"/>
      <c r="GW207" s="136"/>
      <c r="GX207" s="136"/>
      <c r="GY207" s="136"/>
      <c r="GZ207" s="136"/>
      <c r="HA207" s="136"/>
      <c r="HB207" s="136"/>
      <c r="HC207" s="136"/>
      <c r="HD207" s="136"/>
      <c r="HE207" s="136"/>
      <c r="HF207" s="136"/>
      <c r="HG207" s="136"/>
      <c r="HH207" s="136"/>
      <c r="HI207" s="136"/>
      <c r="HJ207" s="136"/>
      <c r="HK207" s="136"/>
      <c r="HL207" s="136"/>
      <c r="HM207" s="136"/>
      <c r="HN207" s="136"/>
      <c r="HO207" s="136"/>
      <c r="HP207" s="136"/>
      <c r="HQ207" s="136"/>
      <c r="HR207" s="136"/>
      <c r="HS207" s="136"/>
      <c r="HT207" s="136"/>
      <c r="HU207" s="136"/>
      <c r="HV207" s="136"/>
      <c r="HW207" s="136"/>
      <c r="HX207" s="136"/>
      <c r="HY207" s="136"/>
      <c r="HZ207" s="136"/>
      <c r="IA207" s="136"/>
      <c r="IB207" s="136"/>
      <c r="IC207" s="136"/>
      <c r="ID207" s="136"/>
      <c r="IE207" s="136"/>
      <c r="IF207" s="136"/>
      <c r="IG207" s="136"/>
      <c r="IH207" s="136"/>
      <c r="II207" s="136"/>
      <c r="IJ207" s="136"/>
      <c r="IK207" s="136"/>
      <c r="IL207" s="136"/>
      <c r="IM207" s="136"/>
      <c r="IN207" s="136"/>
      <c r="IO207" s="136"/>
      <c r="IP207" s="136"/>
      <c r="IQ207" s="136"/>
      <c r="IR207" s="136"/>
      <c r="IS207" s="136"/>
      <c r="IT207" s="136"/>
      <c r="IU207" s="136"/>
    </row>
    <row r="208" spans="1:255" ht="72.75" customHeight="1" x14ac:dyDescent="0.2">
      <c r="A208" s="242" t="str">
        <f>'HECVAT - Full'!A208</f>
        <v>MAPP-03</v>
      </c>
      <c r="B208" s="242" t="str">
        <f>VLOOKUP(A208,'HECVAT - Full'!A$24:B$312,2,FALSE)</f>
        <v>Is the application available from a trusted source (e.g., iTunes App Store, Android Market, BB World)?</v>
      </c>
      <c r="C208" s="243" t="s">
        <v>2913</v>
      </c>
      <c r="D208" s="253" t="s">
        <v>2914</v>
      </c>
      <c r="E208" s="136"/>
      <c r="F208" s="136"/>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c r="AC208" s="136"/>
      <c r="AD208" s="136"/>
      <c r="AE208" s="136"/>
      <c r="AF208" s="136"/>
      <c r="AG208" s="136"/>
      <c r="AH208" s="136"/>
      <c r="AI208" s="136"/>
      <c r="AJ208" s="136"/>
      <c r="AK208" s="136"/>
      <c r="AL208" s="136"/>
      <c r="AM208" s="136"/>
      <c r="AN208" s="136"/>
      <c r="AO208" s="136"/>
      <c r="AP208" s="136"/>
      <c r="AQ208" s="136"/>
      <c r="AR208" s="136"/>
      <c r="AS208" s="136"/>
      <c r="AT208" s="136"/>
      <c r="AU208" s="136"/>
      <c r="AV208" s="136"/>
      <c r="AW208" s="136"/>
      <c r="AX208" s="136"/>
      <c r="AY208" s="136"/>
      <c r="AZ208" s="136"/>
      <c r="BA208" s="136"/>
      <c r="BB208" s="136"/>
      <c r="BC208" s="136"/>
      <c r="BD208" s="136"/>
      <c r="BE208" s="136"/>
      <c r="BF208" s="136"/>
      <c r="BG208" s="136"/>
      <c r="BH208" s="136"/>
      <c r="BI208" s="136"/>
      <c r="BJ208" s="136"/>
      <c r="BK208" s="136"/>
      <c r="BL208" s="136"/>
      <c r="BM208" s="136"/>
      <c r="BN208" s="136"/>
      <c r="BO208" s="136"/>
      <c r="BP208" s="136"/>
      <c r="BQ208" s="136"/>
      <c r="BR208" s="136"/>
      <c r="BS208" s="136"/>
      <c r="BT208" s="136"/>
      <c r="BU208" s="136"/>
      <c r="BV208" s="136"/>
      <c r="BW208" s="136"/>
      <c r="BX208" s="136"/>
      <c r="BY208" s="136"/>
      <c r="BZ208" s="136"/>
      <c r="CA208" s="136"/>
      <c r="CB208" s="136"/>
      <c r="CC208" s="136"/>
      <c r="CD208" s="136"/>
      <c r="CE208" s="136"/>
      <c r="CF208" s="136"/>
      <c r="CG208" s="136"/>
      <c r="CH208" s="136"/>
      <c r="CI208" s="136"/>
      <c r="CJ208" s="136"/>
      <c r="CK208" s="136"/>
      <c r="CL208" s="136"/>
      <c r="CM208" s="136"/>
      <c r="CN208" s="136"/>
      <c r="CO208" s="136"/>
      <c r="CP208" s="136"/>
      <c r="CQ208" s="136"/>
      <c r="CR208" s="136"/>
      <c r="CS208" s="136"/>
      <c r="CT208" s="136"/>
      <c r="CU208" s="136"/>
      <c r="CV208" s="136"/>
      <c r="CW208" s="136"/>
      <c r="CX208" s="136"/>
      <c r="CY208" s="136"/>
      <c r="CZ208" s="136"/>
      <c r="DA208" s="136"/>
      <c r="DB208" s="136"/>
      <c r="DC208" s="136"/>
      <c r="DD208" s="136"/>
      <c r="DE208" s="136"/>
      <c r="DF208" s="136"/>
      <c r="DG208" s="136"/>
      <c r="DH208" s="136"/>
      <c r="DI208" s="136"/>
      <c r="DJ208" s="136"/>
      <c r="DK208" s="136"/>
      <c r="DL208" s="136"/>
      <c r="DM208" s="136"/>
      <c r="DN208" s="136"/>
      <c r="DO208" s="136"/>
      <c r="DP208" s="136"/>
      <c r="DQ208" s="136"/>
      <c r="DR208" s="136"/>
      <c r="DS208" s="136"/>
      <c r="DT208" s="136"/>
      <c r="DU208" s="136"/>
      <c r="DV208" s="136"/>
      <c r="DW208" s="136"/>
      <c r="DX208" s="136"/>
      <c r="DY208" s="136"/>
      <c r="DZ208" s="136"/>
      <c r="EA208" s="136"/>
      <c r="EB208" s="136"/>
      <c r="EC208" s="136"/>
      <c r="ED208" s="136"/>
      <c r="EE208" s="136"/>
      <c r="EF208" s="136"/>
      <c r="EG208" s="136"/>
      <c r="EH208" s="136"/>
      <c r="EI208" s="136"/>
      <c r="EJ208" s="136"/>
      <c r="EK208" s="136"/>
      <c r="EL208" s="136"/>
      <c r="EM208" s="136"/>
      <c r="EN208" s="136"/>
      <c r="EO208" s="136"/>
      <c r="EP208" s="136"/>
      <c r="EQ208" s="136"/>
      <c r="ER208" s="136"/>
      <c r="ES208" s="136"/>
      <c r="ET208" s="136"/>
      <c r="EU208" s="136"/>
      <c r="EV208" s="136"/>
      <c r="EW208" s="136"/>
      <c r="EX208" s="136"/>
      <c r="EY208" s="136"/>
      <c r="EZ208" s="136"/>
      <c r="FA208" s="136"/>
      <c r="FB208" s="136"/>
      <c r="FC208" s="136"/>
      <c r="FD208" s="136"/>
      <c r="FE208" s="136"/>
      <c r="FF208" s="136"/>
      <c r="FG208" s="136"/>
      <c r="FH208" s="136"/>
      <c r="FI208" s="136"/>
      <c r="FJ208" s="136"/>
      <c r="FK208" s="136"/>
      <c r="FL208" s="136"/>
      <c r="FM208" s="136"/>
      <c r="FN208" s="136"/>
      <c r="FO208" s="136"/>
      <c r="FP208" s="136"/>
      <c r="FQ208" s="136"/>
      <c r="FR208" s="136"/>
      <c r="FS208" s="136"/>
      <c r="FT208" s="136"/>
      <c r="FU208" s="136"/>
      <c r="FV208" s="136"/>
      <c r="FW208" s="136"/>
      <c r="FX208" s="136"/>
      <c r="FY208" s="136"/>
      <c r="FZ208" s="136"/>
      <c r="GA208" s="136"/>
      <c r="GB208" s="136"/>
      <c r="GC208" s="136"/>
      <c r="GD208" s="136"/>
      <c r="GE208" s="136"/>
      <c r="GF208" s="136"/>
      <c r="GG208" s="136"/>
      <c r="GH208" s="136"/>
      <c r="GI208" s="136"/>
      <c r="GJ208" s="136"/>
      <c r="GK208" s="136"/>
      <c r="GL208" s="136"/>
      <c r="GM208" s="136"/>
      <c r="GN208" s="136"/>
      <c r="GO208" s="136"/>
      <c r="GP208" s="136"/>
      <c r="GQ208" s="136"/>
      <c r="GR208" s="136"/>
      <c r="GS208" s="136"/>
      <c r="GT208" s="136"/>
      <c r="GU208" s="136"/>
      <c r="GV208" s="136"/>
      <c r="GW208" s="136"/>
      <c r="GX208" s="136"/>
      <c r="GY208" s="136"/>
      <c r="GZ208" s="136"/>
      <c r="HA208" s="136"/>
      <c r="HB208" s="136"/>
      <c r="HC208" s="136"/>
      <c r="HD208" s="136"/>
      <c r="HE208" s="136"/>
      <c r="HF208" s="136"/>
      <c r="HG208" s="136"/>
      <c r="HH208" s="136"/>
      <c r="HI208" s="136"/>
      <c r="HJ208" s="136"/>
      <c r="HK208" s="136"/>
      <c r="HL208" s="136"/>
      <c r="HM208" s="136"/>
      <c r="HN208" s="136"/>
      <c r="HO208" s="136"/>
      <c r="HP208" s="136"/>
      <c r="HQ208" s="136"/>
      <c r="HR208" s="136"/>
      <c r="HS208" s="136"/>
      <c r="HT208" s="136"/>
      <c r="HU208" s="136"/>
      <c r="HV208" s="136"/>
      <c r="HW208" s="136"/>
      <c r="HX208" s="136"/>
      <c r="HY208" s="136"/>
      <c r="HZ208" s="136"/>
      <c r="IA208" s="136"/>
      <c r="IB208" s="136"/>
      <c r="IC208" s="136"/>
      <c r="ID208" s="136"/>
      <c r="IE208" s="136"/>
      <c r="IF208" s="136"/>
      <c r="IG208" s="136"/>
      <c r="IH208" s="136"/>
      <c r="II208" s="136"/>
      <c r="IJ208" s="136"/>
      <c r="IK208" s="136"/>
      <c r="IL208" s="136"/>
      <c r="IM208" s="136"/>
      <c r="IN208" s="136"/>
      <c r="IO208" s="136"/>
      <c r="IP208" s="136"/>
      <c r="IQ208" s="136"/>
      <c r="IR208" s="136"/>
      <c r="IS208" s="136"/>
      <c r="IT208" s="136"/>
      <c r="IU208" s="136"/>
    </row>
    <row r="209" spans="1:255" ht="60" x14ac:dyDescent="0.2">
      <c r="A209" s="242" t="str">
        <f>'HECVAT - Full'!A209</f>
        <v>MAPP-04</v>
      </c>
      <c r="B209" s="242" t="str">
        <f>VLOOKUP(A209,'HECVAT - Full'!A$24:B$312,2,FALSE)</f>
        <v>Does the application store, process, or transmit critical data?</v>
      </c>
      <c r="C209" s="243" t="s">
        <v>2915</v>
      </c>
      <c r="D209" s="253" t="s">
        <v>2916</v>
      </c>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c r="AC209" s="136"/>
      <c r="AD209" s="136"/>
      <c r="AE209" s="136"/>
      <c r="AF209" s="136"/>
      <c r="AG209" s="136"/>
      <c r="AH209" s="136"/>
      <c r="AI209" s="136"/>
      <c r="AJ209" s="136"/>
      <c r="AK209" s="136"/>
      <c r="AL209" s="136"/>
      <c r="AM209" s="136"/>
      <c r="AN209" s="136"/>
      <c r="AO209" s="136"/>
      <c r="AP209" s="136"/>
      <c r="AQ209" s="136"/>
      <c r="AR209" s="136"/>
      <c r="AS209" s="136"/>
      <c r="AT209" s="136"/>
      <c r="AU209" s="136"/>
      <c r="AV209" s="136"/>
      <c r="AW209" s="136"/>
      <c r="AX209" s="136"/>
      <c r="AY209" s="136"/>
      <c r="AZ209" s="136"/>
      <c r="BA209" s="136"/>
      <c r="BB209" s="136"/>
      <c r="BC209" s="136"/>
      <c r="BD209" s="136"/>
      <c r="BE209" s="136"/>
      <c r="BF209" s="136"/>
      <c r="BG209" s="136"/>
      <c r="BH209" s="136"/>
      <c r="BI209" s="136"/>
      <c r="BJ209" s="136"/>
      <c r="BK209" s="136"/>
      <c r="BL209" s="136"/>
      <c r="BM209" s="136"/>
      <c r="BN209" s="136"/>
      <c r="BO209" s="136"/>
      <c r="BP209" s="136"/>
      <c r="BQ209" s="136"/>
      <c r="BR209" s="136"/>
      <c r="BS209" s="136"/>
      <c r="BT209" s="136"/>
      <c r="BU209" s="136"/>
      <c r="BV209" s="136"/>
      <c r="BW209" s="136"/>
      <c r="BX209" s="136"/>
      <c r="BY209" s="136"/>
      <c r="BZ209" s="136"/>
      <c r="CA209" s="136"/>
      <c r="CB209" s="136"/>
      <c r="CC209" s="136"/>
      <c r="CD209" s="136"/>
      <c r="CE209" s="136"/>
      <c r="CF209" s="136"/>
      <c r="CG209" s="136"/>
      <c r="CH209" s="136"/>
      <c r="CI209" s="136"/>
      <c r="CJ209" s="136"/>
      <c r="CK209" s="136"/>
      <c r="CL209" s="136"/>
      <c r="CM209" s="136"/>
      <c r="CN209" s="136"/>
      <c r="CO209" s="136"/>
      <c r="CP209" s="136"/>
      <c r="CQ209" s="136"/>
      <c r="CR209" s="136"/>
      <c r="CS209" s="136"/>
      <c r="CT209" s="136"/>
      <c r="CU209" s="136"/>
      <c r="CV209" s="136"/>
      <c r="CW209" s="136"/>
      <c r="CX209" s="136"/>
      <c r="CY209" s="136"/>
      <c r="CZ209" s="136"/>
      <c r="DA209" s="136"/>
      <c r="DB209" s="136"/>
      <c r="DC209" s="136"/>
      <c r="DD209" s="136"/>
      <c r="DE209" s="136"/>
      <c r="DF209" s="136"/>
      <c r="DG209" s="136"/>
      <c r="DH209" s="136"/>
      <c r="DI209" s="136"/>
      <c r="DJ209" s="136"/>
      <c r="DK209" s="136"/>
      <c r="DL209" s="136"/>
      <c r="DM209" s="136"/>
      <c r="DN209" s="136"/>
      <c r="DO209" s="136"/>
      <c r="DP209" s="136"/>
      <c r="DQ209" s="136"/>
      <c r="DR209" s="136"/>
      <c r="DS209" s="136"/>
      <c r="DT209" s="136"/>
      <c r="DU209" s="136"/>
      <c r="DV209" s="136"/>
      <c r="DW209" s="136"/>
      <c r="DX209" s="136"/>
      <c r="DY209" s="136"/>
      <c r="DZ209" s="136"/>
      <c r="EA209" s="136"/>
      <c r="EB209" s="136"/>
      <c r="EC209" s="136"/>
      <c r="ED209" s="136"/>
      <c r="EE209" s="136"/>
      <c r="EF209" s="136"/>
      <c r="EG209" s="136"/>
      <c r="EH209" s="136"/>
      <c r="EI209" s="136"/>
      <c r="EJ209" s="136"/>
      <c r="EK209" s="136"/>
      <c r="EL209" s="136"/>
      <c r="EM209" s="136"/>
      <c r="EN209" s="136"/>
      <c r="EO209" s="136"/>
      <c r="EP209" s="136"/>
      <c r="EQ209" s="136"/>
      <c r="ER209" s="136"/>
      <c r="ES209" s="136"/>
      <c r="ET209" s="136"/>
      <c r="EU209" s="136"/>
      <c r="EV209" s="136"/>
      <c r="EW209" s="136"/>
      <c r="EX209" s="136"/>
      <c r="EY209" s="136"/>
      <c r="EZ209" s="136"/>
      <c r="FA209" s="136"/>
      <c r="FB209" s="136"/>
      <c r="FC209" s="136"/>
      <c r="FD209" s="136"/>
      <c r="FE209" s="136"/>
      <c r="FF209" s="136"/>
      <c r="FG209" s="136"/>
      <c r="FH209" s="136"/>
      <c r="FI209" s="136"/>
      <c r="FJ209" s="136"/>
      <c r="FK209" s="136"/>
      <c r="FL209" s="136"/>
      <c r="FM209" s="136"/>
      <c r="FN209" s="136"/>
      <c r="FO209" s="136"/>
      <c r="FP209" s="136"/>
      <c r="FQ209" s="136"/>
      <c r="FR209" s="136"/>
      <c r="FS209" s="136"/>
      <c r="FT209" s="136"/>
      <c r="FU209" s="136"/>
      <c r="FV209" s="136"/>
      <c r="FW209" s="136"/>
      <c r="FX209" s="136"/>
      <c r="FY209" s="136"/>
      <c r="FZ209" s="136"/>
      <c r="GA209" s="136"/>
      <c r="GB209" s="136"/>
      <c r="GC209" s="136"/>
      <c r="GD209" s="136"/>
      <c r="GE209" s="136"/>
      <c r="GF209" s="136"/>
      <c r="GG209" s="136"/>
      <c r="GH209" s="136"/>
      <c r="GI209" s="136"/>
      <c r="GJ209" s="136"/>
      <c r="GK209" s="136"/>
      <c r="GL209" s="136"/>
      <c r="GM209" s="136"/>
      <c r="GN209" s="136"/>
      <c r="GO209" s="136"/>
      <c r="GP209" s="136"/>
      <c r="GQ209" s="136"/>
      <c r="GR209" s="136"/>
      <c r="GS209" s="136"/>
      <c r="GT209" s="136"/>
      <c r="GU209" s="136"/>
      <c r="GV209" s="136"/>
      <c r="GW209" s="136"/>
      <c r="GX209" s="136"/>
      <c r="GY209" s="136"/>
      <c r="GZ209" s="136"/>
      <c r="HA209" s="136"/>
      <c r="HB209" s="136"/>
      <c r="HC209" s="136"/>
      <c r="HD209" s="136"/>
      <c r="HE209" s="136"/>
      <c r="HF209" s="136"/>
      <c r="HG209" s="136"/>
      <c r="HH209" s="136"/>
      <c r="HI209" s="136"/>
      <c r="HJ209" s="136"/>
      <c r="HK209" s="136"/>
      <c r="HL209" s="136"/>
      <c r="HM209" s="136"/>
      <c r="HN209" s="136"/>
      <c r="HO209" s="136"/>
      <c r="HP209" s="136"/>
      <c r="HQ209" s="136"/>
      <c r="HR209" s="136"/>
      <c r="HS209" s="136"/>
      <c r="HT209" s="136"/>
      <c r="HU209" s="136"/>
      <c r="HV209" s="136"/>
      <c r="HW209" s="136"/>
      <c r="HX209" s="136"/>
      <c r="HY209" s="136"/>
      <c r="HZ209" s="136"/>
      <c r="IA209" s="136"/>
      <c r="IB209" s="136"/>
      <c r="IC209" s="136"/>
      <c r="ID209" s="136"/>
      <c r="IE209" s="136"/>
      <c r="IF209" s="136"/>
      <c r="IG209" s="136"/>
      <c r="IH209" s="136"/>
      <c r="II209" s="136"/>
      <c r="IJ209" s="136"/>
      <c r="IK209" s="136"/>
      <c r="IL209" s="136"/>
      <c r="IM209" s="136"/>
      <c r="IN209" s="136"/>
      <c r="IO209" s="136"/>
      <c r="IP209" s="136"/>
      <c r="IQ209" s="136"/>
      <c r="IR209" s="136"/>
      <c r="IS209" s="136"/>
      <c r="IT209" s="136"/>
      <c r="IU209" s="136"/>
    </row>
    <row r="210" spans="1:255" ht="64.5" customHeight="1" x14ac:dyDescent="0.2">
      <c r="A210" s="242" t="str">
        <f>'HECVAT - Full'!A210</f>
        <v>MAPP-05</v>
      </c>
      <c r="B210" s="242" t="str">
        <f>VLOOKUP(A210,'HECVAT - Full'!A$24:B$312,2,FALSE)</f>
        <v>Is Institution's data encrypted in transport?</v>
      </c>
      <c r="C210" s="245" t="s">
        <v>2917</v>
      </c>
      <c r="D210" s="250" t="s">
        <v>2918</v>
      </c>
      <c r="E210" s="136"/>
      <c r="F210" s="136"/>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c r="AC210" s="136"/>
      <c r="AD210" s="136"/>
      <c r="AE210" s="136"/>
      <c r="AF210" s="136"/>
      <c r="AG210" s="136"/>
      <c r="AH210" s="136"/>
      <c r="AI210" s="136"/>
      <c r="AJ210" s="136"/>
      <c r="AK210" s="136"/>
      <c r="AL210" s="136"/>
      <c r="AM210" s="136"/>
      <c r="AN210" s="136"/>
      <c r="AO210" s="136"/>
      <c r="AP210" s="136"/>
      <c r="AQ210" s="136"/>
      <c r="AR210" s="136"/>
      <c r="AS210" s="136"/>
      <c r="AT210" s="136"/>
      <c r="AU210" s="136"/>
      <c r="AV210" s="136"/>
      <c r="AW210" s="136"/>
      <c r="AX210" s="136"/>
      <c r="AY210" s="136"/>
      <c r="AZ210" s="136"/>
      <c r="BA210" s="136"/>
      <c r="BB210" s="136"/>
      <c r="BC210" s="136"/>
      <c r="BD210" s="136"/>
      <c r="BE210" s="136"/>
      <c r="BF210" s="136"/>
      <c r="BG210" s="136"/>
      <c r="BH210" s="136"/>
      <c r="BI210" s="136"/>
      <c r="BJ210" s="136"/>
      <c r="BK210" s="136"/>
      <c r="BL210" s="136"/>
      <c r="BM210" s="136"/>
      <c r="BN210" s="136"/>
      <c r="BO210" s="136"/>
      <c r="BP210" s="136"/>
      <c r="BQ210" s="136"/>
      <c r="BR210" s="136"/>
      <c r="BS210" s="136"/>
      <c r="BT210" s="136"/>
      <c r="BU210" s="136"/>
      <c r="BV210" s="136"/>
      <c r="BW210" s="136"/>
      <c r="BX210" s="136"/>
      <c r="BY210" s="136"/>
      <c r="BZ210" s="136"/>
      <c r="CA210" s="136"/>
      <c r="CB210" s="136"/>
      <c r="CC210" s="136"/>
      <c r="CD210" s="136"/>
      <c r="CE210" s="136"/>
      <c r="CF210" s="136"/>
      <c r="CG210" s="136"/>
      <c r="CH210" s="136"/>
      <c r="CI210" s="136"/>
      <c r="CJ210" s="136"/>
      <c r="CK210" s="136"/>
      <c r="CL210" s="136"/>
      <c r="CM210" s="136"/>
      <c r="CN210" s="136"/>
      <c r="CO210" s="136"/>
      <c r="CP210" s="136"/>
      <c r="CQ210" s="136"/>
      <c r="CR210" s="136"/>
      <c r="CS210" s="136"/>
      <c r="CT210" s="136"/>
      <c r="CU210" s="136"/>
      <c r="CV210" s="136"/>
      <c r="CW210" s="136"/>
      <c r="CX210" s="136"/>
      <c r="CY210" s="136"/>
      <c r="CZ210" s="136"/>
      <c r="DA210" s="136"/>
      <c r="DB210" s="136"/>
      <c r="DC210" s="136"/>
      <c r="DD210" s="136"/>
      <c r="DE210" s="136"/>
      <c r="DF210" s="136"/>
      <c r="DG210" s="136"/>
      <c r="DH210" s="136"/>
      <c r="DI210" s="136"/>
      <c r="DJ210" s="136"/>
      <c r="DK210" s="136"/>
      <c r="DL210" s="136"/>
      <c r="DM210" s="136"/>
      <c r="DN210" s="136"/>
      <c r="DO210" s="136"/>
      <c r="DP210" s="136"/>
      <c r="DQ210" s="136"/>
      <c r="DR210" s="136"/>
      <c r="DS210" s="136"/>
      <c r="DT210" s="136"/>
      <c r="DU210" s="136"/>
      <c r="DV210" s="136"/>
      <c r="DW210" s="136"/>
      <c r="DX210" s="136"/>
      <c r="DY210" s="136"/>
      <c r="DZ210" s="136"/>
      <c r="EA210" s="136"/>
      <c r="EB210" s="136"/>
      <c r="EC210" s="136"/>
      <c r="ED210" s="136"/>
      <c r="EE210" s="136"/>
      <c r="EF210" s="136"/>
      <c r="EG210" s="136"/>
      <c r="EH210" s="136"/>
      <c r="EI210" s="136"/>
      <c r="EJ210" s="136"/>
      <c r="EK210" s="136"/>
      <c r="EL210" s="136"/>
      <c r="EM210" s="136"/>
      <c r="EN210" s="136"/>
      <c r="EO210" s="136"/>
      <c r="EP210" s="136"/>
      <c r="EQ210" s="136"/>
      <c r="ER210" s="136"/>
      <c r="ES210" s="136"/>
      <c r="ET210" s="136"/>
      <c r="EU210" s="136"/>
      <c r="EV210" s="136"/>
      <c r="EW210" s="136"/>
      <c r="EX210" s="136"/>
      <c r="EY210" s="136"/>
      <c r="EZ210" s="136"/>
      <c r="FA210" s="136"/>
      <c r="FB210" s="136"/>
      <c r="FC210" s="136"/>
      <c r="FD210" s="136"/>
      <c r="FE210" s="136"/>
      <c r="FF210" s="136"/>
      <c r="FG210" s="136"/>
      <c r="FH210" s="136"/>
      <c r="FI210" s="136"/>
      <c r="FJ210" s="136"/>
      <c r="FK210" s="136"/>
      <c r="FL210" s="136"/>
      <c r="FM210" s="136"/>
      <c r="FN210" s="136"/>
      <c r="FO210" s="136"/>
      <c r="FP210" s="136"/>
      <c r="FQ210" s="136"/>
      <c r="FR210" s="136"/>
      <c r="FS210" s="136"/>
      <c r="FT210" s="136"/>
      <c r="FU210" s="136"/>
      <c r="FV210" s="136"/>
      <c r="FW210" s="136"/>
      <c r="FX210" s="136"/>
      <c r="FY210" s="136"/>
      <c r="FZ210" s="136"/>
      <c r="GA210" s="136"/>
      <c r="GB210" s="136"/>
      <c r="GC210" s="136"/>
      <c r="GD210" s="136"/>
      <c r="GE210" s="136"/>
      <c r="GF210" s="136"/>
      <c r="GG210" s="136"/>
      <c r="GH210" s="136"/>
      <c r="GI210" s="136"/>
      <c r="GJ210" s="136"/>
      <c r="GK210" s="136"/>
      <c r="GL210" s="136"/>
      <c r="GM210" s="136"/>
      <c r="GN210" s="136"/>
      <c r="GO210" s="136"/>
      <c r="GP210" s="136"/>
      <c r="GQ210" s="136"/>
      <c r="GR210" s="136"/>
      <c r="GS210" s="136"/>
      <c r="GT210" s="136"/>
      <c r="GU210" s="136"/>
      <c r="GV210" s="136"/>
      <c r="GW210" s="136"/>
      <c r="GX210" s="136"/>
      <c r="GY210" s="136"/>
      <c r="GZ210" s="136"/>
      <c r="HA210" s="136"/>
      <c r="HB210" s="136"/>
      <c r="HC210" s="136"/>
      <c r="HD210" s="136"/>
      <c r="HE210" s="136"/>
      <c r="HF210" s="136"/>
      <c r="HG210" s="136"/>
      <c r="HH210" s="136"/>
      <c r="HI210" s="136"/>
      <c r="HJ210" s="136"/>
      <c r="HK210" s="136"/>
      <c r="HL210" s="136"/>
      <c r="HM210" s="136"/>
      <c r="HN210" s="136"/>
      <c r="HO210" s="136"/>
      <c r="HP210" s="136"/>
      <c r="HQ210" s="136"/>
      <c r="HR210" s="136"/>
      <c r="HS210" s="136"/>
      <c r="HT210" s="136"/>
      <c r="HU210" s="136"/>
      <c r="HV210" s="136"/>
      <c r="HW210" s="136"/>
      <c r="HX210" s="136"/>
      <c r="HY210" s="136"/>
      <c r="HZ210" s="136"/>
      <c r="IA210" s="136"/>
      <c r="IB210" s="136"/>
      <c r="IC210" s="136"/>
      <c r="ID210" s="136"/>
      <c r="IE210" s="136"/>
      <c r="IF210" s="136"/>
      <c r="IG210" s="136"/>
      <c r="IH210" s="136"/>
      <c r="II210" s="136"/>
      <c r="IJ210" s="136"/>
      <c r="IK210" s="136"/>
      <c r="IL210" s="136"/>
      <c r="IM210" s="136"/>
      <c r="IN210" s="136"/>
      <c r="IO210" s="136"/>
      <c r="IP210" s="136"/>
      <c r="IQ210" s="136"/>
      <c r="IR210" s="136"/>
      <c r="IS210" s="136"/>
      <c r="IT210" s="136"/>
      <c r="IU210" s="136"/>
    </row>
    <row r="211" spans="1:255" ht="64.5" customHeight="1" x14ac:dyDescent="0.2">
      <c r="A211" s="242" t="str">
        <f>'HECVAT - Full'!A211</f>
        <v>MAPP-06</v>
      </c>
      <c r="B211" s="242" t="str">
        <f>VLOOKUP(A211,'HECVAT - Full'!A$24:B$312,2,FALSE)</f>
        <v>Is Institution's data encrypted in storage? (e.g. disk encryption, at-rest)</v>
      </c>
      <c r="C211" s="245" t="s">
        <v>2728</v>
      </c>
      <c r="D211" s="250" t="s">
        <v>2820</v>
      </c>
      <c r="E211" s="136"/>
      <c r="F211" s="136"/>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c r="AC211" s="136"/>
      <c r="AD211" s="136"/>
      <c r="AE211" s="136"/>
      <c r="AF211" s="136"/>
      <c r="AG211" s="136"/>
      <c r="AH211" s="136"/>
      <c r="AI211" s="136"/>
      <c r="AJ211" s="136"/>
      <c r="AK211" s="136"/>
      <c r="AL211" s="136"/>
      <c r="AM211" s="136"/>
      <c r="AN211" s="136"/>
      <c r="AO211" s="136"/>
      <c r="AP211" s="136"/>
      <c r="AQ211" s="136"/>
      <c r="AR211" s="136"/>
      <c r="AS211" s="136"/>
      <c r="AT211" s="136"/>
      <c r="AU211" s="136"/>
      <c r="AV211" s="136"/>
      <c r="AW211" s="136"/>
      <c r="AX211" s="136"/>
      <c r="AY211" s="136"/>
      <c r="AZ211" s="136"/>
      <c r="BA211" s="136"/>
      <c r="BB211" s="136"/>
      <c r="BC211" s="136"/>
      <c r="BD211" s="136"/>
      <c r="BE211" s="136"/>
      <c r="BF211" s="136"/>
      <c r="BG211" s="136"/>
      <c r="BH211" s="136"/>
      <c r="BI211" s="136"/>
      <c r="BJ211" s="136"/>
      <c r="BK211" s="136"/>
      <c r="BL211" s="136"/>
      <c r="BM211" s="136"/>
      <c r="BN211" s="136"/>
      <c r="BO211" s="136"/>
      <c r="BP211" s="136"/>
      <c r="BQ211" s="136"/>
      <c r="BR211" s="136"/>
      <c r="BS211" s="136"/>
      <c r="BT211" s="136"/>
      <c r="BU211" s="136"/>
      <c r="BV211" s="136"/>
      <c r="BW211" s="136"/>
      <c r="BX211" s="136"/>
      <c r="BY211" s="136"/>
      <c r="BZ211" s="136"/>
      <c r="CA211" s="136"/>
      <c r="CB211" s="136"/>
      <c r="CC211" s="136"/>
      <c r="CD211" s="136"/>
      <c r="CE211" s="136"/>
      <c r="CF211" s="136"/>
      <c r="CG211" s="136"/>
      <c r="CH211" s="136"/>
      <c r="CI211" s="136"/>
      <c r="CJ211" s="136"/>
      <c r="CK211" s="136"/>
      <c r="CL211" s="136"/>
      <c r="CM211" s="136"/>
      <c r="CN211" s="136"/>
      <c r="CO211" s="136"/>
      <c r="CP211" s="136"/>
      <c r="CQ211" s="136"/>
      <c r="CR211" s="136"/>
      <c r="CS211" s="136"/>
      <c r="CT211" s="136"/>
      <c r="CU211" s="136"/>
      <c r="CV211" s="136"/>
      <c r="CW211" s="136"/>
      <c r="CX211" s="136"/>
      <c r="CY211" s="136"/>
      <c r="CZ211" s="136"/>
      <c r="DA211" s="136"/>
      <c r="DB211" s="136"/>
      <c r="DC211" s="136"/>
      <c r="DD211" s="136"/>
      <c r="DE211" s="136"/>
      <c r="DF211" s="136"/>
      <c r="DG211" s="136"/>
      <c r="DH211" s="136"/>
      <c r="DI211" s="136"/>
      <c r="DJ211" s="136"/>
      <c r="DK211" s="136"/>
      <c r="DL211" s="136"/>
      <c r="DM211" s="136"/>
      <c r="DN211" s="136"/>
      <c r="DO211" s="136"/>
      <c r="DP211" s="136"/>
      <c r="DQ211" s="136"/>
      <c r="DR211" s="136"/>
      <c r="DS211" s="136"/>
      <c r="DT211" s="136"/>
      <c r="DU211" s="136"/>
      <c r="DV211" s="136"/>
      <c r="DW211" s="136"/>
      <c r="DX211" s="136"/>
      <c r="DY211" s="136"/>
      <c r="DZ211" s="136"/>
      <c r="EA211" s="136"/>
      <c r="EB211" s="136"/>
      <c r="EC211" s="136"/>
      <c r="ED211" s="136"/>
      <c r="EE211" s="136"/>
      <c r="EF211" s="136"/>
      <c r="EG211" s="136"/>
      <c r="EH211" s="136"/>
      <c r="EI211" s="136"/>
      <c r="EJ211" s="136"/>
      <c r="EK211" s="136"/>
      <c r="EL211" s="136"/>
      <c r="EM211" s="136"/>
      <c r="EN211" s="136"/>
      <c r="EO211" s="136"/>
      <c r="EP211" s="136"/>
      <c r="EQ211" s="136"/>
      <c r="ER211" s="136"/>
      <c r="ES211" s="136"/>
      <c r="ET211" s="136"/>
      <c r="EU211" s="136"/>
      <c r="EV211" s="136"/>
      <c r="EW211" s="136"/>
      <c r="EX211" s="136"/>
      <c r="EY211" s="136"/>
      <c r="EZ211" s="136"/>
      <c r="FA211" s="136"/>
      <c r="FB211" s="136"/>
      <c r="FC211" s="136"/>
      <c r="FD211" s="136"/>
      <c r="FE211" s="136"/>
      <c r="FF211" s="136"/>
      <c r="FG211" s="136"/>
      <c r="FH211" s="136"/>
      <c r="FI211" s="136"/>
      <c r="FJ211" s="136"/>
      <c r="FK211" s="136"/>
      <c r="FL211" s="136"/>
      <c r="FM211" s="136"/>
      <c r="FN211" s="136"/>
      <c r="FO211" s="136"/>
      <c r="FP211" s="136"/>
      <c r="FQ211" s="136"/>
      <c r="FR211" s="136"/>
      <c r="FS211" s="136"/>
      <c r="FT211" s="136"/>
      <c r="FU211" s="136"/>
      <c r="FV211" s="136"/>
      <c r="FW211" s="136"/>
      <c r="FX211" s="136"/>
      <c r="FY211" s="136"/>
      <c r="FZ211" s="136"/>
      <c r="GA211" s="136"/>
      <c r="GB211" s="136"/>
      <c r="GC211" s="136"/>
      <c r="GD211" s="136"/>
      <c r="GE211" s="136"/>
      <c r="GF211" s="136"/>
      <c r="GG211" s="136"/>
      <c r="GH211" s="136"/>
      <c r="GI211" s="136"/>
      <c r="GJ211" s="136"/>
      <c r="GK211" s="136"/>
      <c r="GL211" s="136"/>
      <c r="GM211" s="136"/>
      <c r="GN211" s="136"/>
      <c r="GO211" s="136"/>
      <c r="GP211" s="136"/>
      <c r="GQ211" s="136"/>
      <c r="GR211" s="136"/>
      <c r="GS211" s="136"/>
      <c r="GT211" s="136"/>
      <c r="GU211" s="136"/>
      <c r="GV211" s="136"/>
      <c r="GW211" s="136"/>
      <c r="GX211" s="136"/>
      <c r="GY211" s="136"/>
      <c r="GZ211" s="136"/>
      <c r="HA211" s="136"/>
      <c r="HB211" s="136"/>
      <c r="HC211" s="136"/>
      <c r="HD211" s="136"/>
      <c r="HE211" s="136"/>
      <c r="HF211" s="136"/>
      <c r="HG211" s="136"/>
      <c r="HH211" s="136"/>
      <c r="HI211" s="136"/>
      <c r="HJ211" s="136"/>
      <c r="HK211" s="136"/>
      <c r="HL211" s="136"/>
      <c r="HM211" s="136"/>
      <c r="HN211" s="136"/>
      <c r="HO211" s="136"/>
      <c r="HP211" s="136"/>
      <c r="HQ211" s="136"/>
      <c r="HR211" s="136"/>
      <c r="HS211" s="136"/>
      <c r="HT211" s="136"/>
      <c r="HU211" s="136"/>
      <c r="HV211" s="136"/>
      <c r="HW211" s="136"/>
      <c r="HX211" s="136"/>
      <c r="HY211" s="136"/>
      <c r="HZ211" s="136"/>
      <c r="IA211" s="136"/>
      <c r="IB211" s="136"/>
      <c r="IC211" s="136"/>
      <c r="ID211" s="136"/>
      <c r="IE211" s="136"/>
      <c r="IF211" s="136"/>
      <c r="IG211" s="136"/>
      <c r="IH211" s="136"/>
      <c r="II211" s="136"/>
      <c r="IJ211" s="136"/>
      <c r="IK211" s="136"/>
      <c r="IL211" s="136"/>
      <c r="IM211" s="136"/>
      <c r="IN211" s="136"/>
      <c r="IO211" s="136"/>
      <c r="IP211" s="136"/>
      <c r="IQ211" s="136"/>
      <c r="IR211" s="136"/>
      <c r="IS211" s="136"/>
      <c r="IT211" s="136"/>
      <c r="IU211" s="136"/>
    </row>
    <row r="212" spans="1:255" ht="105" x14ac:dyDescent="0.2">
      <c r="A212" s="242" t="str">
        <f>'HECVAT - Full'!A212</f>
        <v>MAPP-07</v>
      </c>
      <c r="B212" s="242" t="str">
        <f>VLOOKUP(A212,'HECVAT - Full'!A$24:B$312,2,FALSE)</f>
        <v>Does the mobile application support Kerberos, CAS, or Active Directory authentication?</v>
      </c>
      <c r="C212" s="275" t="s">
        <v>3020</v>
      </c>
      <c r="D212" s="245" t="s">
        <v>2761</v>
      </c>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c r="AC212" s="136"/>
      <c r="AD212" s="136"/>
      <c r="AE212" s="136"/>
      <c r="AF212" s="136"/>
      <c r="AG212" s="136"/>
      <c r="AH212" s="136"/>
      <c r="AI212" s="136"/>
      <c r="AJ212" s="136"/>
      <c r="AK212" s="136"/>
      <c r="AL212" s="136"/>
      <c r="AM212" s="136"/>
      <c r="AN212" s="136"/>
      <c r="AO212" s="136"/>
      <c r="AP212" s="136"/>
      <c r="AQ212" s="136"/>
      <c r="AR212" s="136"/>
      <c r="AS212" s="136"/>
      <c r="AT212" s="136"/>
      <c r="AU212" s="136"/>
      <c r="AV212" s="136"/>
      <c r="AW212" s="136"/>
      <c r="AX212" s="136"/>
      <c r="AY212" s="136"/>
      <c r="AZ212" s="136"/>
      <c r="BA212" s="136"/>
      <c r="BB212" s="136"/>
      <c r="BC212" s="136"/>
      <c r="BD212" s="136"/>
      <c r="BE212" s="136"/>
      <c r="BF212" s="136"/>
      <c r="BG212" s="136"/>
      <c r="BH212" s="136"/>
      <c r="BI212" s="136"/>
      <c r="BJ212" s="136"/>
      <c r="BK212" s="136"/>
      <c r="BL212" s="136"/>
      <c r="BM212" s="136"/>
      <c r="BN212" s="136"/>
      <c r="BO212" s="136"/>
      <c r="BP212" s="136"/>
      <c r="BQ212" s="136"/>
      <c r="BR212" s="136"/>
      <c r="BS212" s="136"/>
      <c r="BT212" s="136"/>
      <c r="BU212" s="136"/>
      <c r="BV212" s="136"/>
      <c r="BW212" s="136"/>
      <c r="BX212" s="136"/>
      <c r="BY212" s="136"/>
      <c r="BZ212" s="136"/>
      <c r="CA212" s="136"/>
      <c r="CB212" s="136"/>
      <c r="CC212" s="136"/>
      <c r="CD212" s="136"/>
      <c r="CE212" s="136"/>
      <c r="CF212" s="136"/>
      <c r="CG212" s="136"/>
      <c r="CH212" s="136"/>
      <c r="CI212" s="136"/>
      <c r="CJ212" s="136"/>
      <c r="CK212" s="136"/>
      <c r="CL212" s="136"/>
      <c r="CM212" s="136"/>
      <c r="CN212" s="136"/>
      <c r="CO212" s="136"/>
      <c r="CP212" s="136"/>
      <c r="CQ212" s="136"/>
      <c r="CR212" s="136"/>
      <c r="CS212" s="136"/>
      <c r="CT212" s="136"/>
      <c r="CU212" s="136"/>
      <c r="CV212" s="136"/>
      <c r="CW212" s="136"/>
      <c r="CX212" s="136"/>
      <c r="CY212" s="136"/>
      <c r="CZ212" s="136"/>
      <c r="DA212" s="136"/>
      <c r="DB212" s="136"/>
      <c r="DC212" s="136"/>
      <c r="DD212" s="136"/>
      <c r="DE212" s="136"/>
      <c r="DF212" s="136"/>
      <c r="DG212" s="136"/>
      <c r="DH212" s="136"/>
      <c r="DI212" s="136"/>
      <c r="DJ212" s="136"/>
      <c r="DK212" s="136"/>
      <c r="DL212" s="136"/>
      <c r="DM212" s="136"/>
      <c r="DN212" s="136"/>
      <c r="DO212" s="136"/>
      <c r="DP212" s="136"/>
      <c r="DQ212" s="136"/>
      <c r="DR212" s="136"/>
      <c r="DS212" s="136"/>
      <c r="DT212" s="136"/>
      <c r="DU212" s="136"/>
      <c r="DV212" s="136"/>
      <c r="DW212" s="136"/>
      <c r="DX212" s="136"/>
      <c r="DY212" s="136"/>
      <c r="DZ212" s="136"/>
      <c r="EA212" s="136"/>
      <c r="EB212" s="136"/>
      <c r="EC212" s="136"/>
      <c r="ED212" s="136"/>
      <c r="EE212" s="136"/>
      <c r="EF212" s="136"/>
      <c r="EG212" s="136"/>
      <c r="EH212" s="136"/>
      <c r="EI212" s="136"/>
      <c r="EJ212" s="136"/>
      <c r="EK212" s="136"/>
      <c r="EL212" s="136"/>
      <c r="EM212" s="136"/>
      <c r="EN212" s="136"/>
      <c r="EO212" s="136"/>
      <c r="EP212" s="136"/>
      <c r="EQ212" s="136"/>
      <c r="ER212" s="136"/>
      <c r="ES212" s="136"/>
      <c r="ET212" s="136"/>
      <c r="EU212" s="136"/>
      <c r="EV212" s="136"/>
      <c r="EW212" s="136"/>
      <c r="EX212" s="136"/>
      <c r="EY212" s="136"/>
      <c r="EZ212" s="136"/>
      <c r="FA212" s="136"/>
      <c r="FB212" s="136"/>
      <c r="FC212" s="136"/>
      <c r="FD212" s="136"/>
      <c r="FE212" s="136"/>
      <c r="FF212" s="136"/>
      <c r="FG212" s="136"/>
      <c r="FH212" s="136"/>
      <c r="FI212" s="136"/>
      <c r="FJ212" s="136"/>
      <c r="FK212" s="136"/>
      <c r="FL212" s="136"/>
      <c r="FM212" s="136"/>
      <c r="FN212" s="136"/>
      <c r="FO212" s="136"/>
      <c r="FP212" s="136"/>
      <c r="FQ212" s="136"/>
      <c r="FR212" s="136"/>
      <c r="FS212" s="136"/>
      <c r="FT212" s="136"/>
      <c r="FU212" s="136"/>
      <c r="FV212" s="136"/>
      <c r="FW212" s="136"/>
      <c r="FX212" s="136"/>
      <c r="FY212" s="136"/>
      <c r="FZ212" s="136"/>
      <c r="GA212" s="136"/>
      <c r="GB212" s="136"/>
      <c r="GC212" s="136"/>
      <c r="GD212" s="136"/>
      <c r="GE212" s="136"/>
      <c r="GF212" s="136"/>
      <c r="GG212" s="136"/>
      <c r="GH212" s="136"/>
      <c r="GI212" s="136"/>
      <c r="GJ212" s="136"/>
      <c r="GK212" s="136"/>
      <c r="GL212" s="136"/>
      <c r="GM212" s="136"/>
      <c r="GN212" s="136"/>
      <c r="GO212" s="136"/>
      <c r="GP212" s="136"/>
      <c r="GQ212" s="136"/>
      <c r="GR212" s="136"/>
      <c r="GS212" s="136"/>
      <c r="GT212" s="136"/>
      <c r="GU212" s="136"/>
      <c r="GV212" s="136"/>
      <c r="GW212" s="136"/>
      <c r="GX212" s="136"/>
      <c r="GY212" s="136"/>
      <c r="GZ212" s="136"/>
      <c r="HA212" s="136"/>
      <c r="HB212" s="136"/>
      <c r="HC212" s="136"/>
      <c r="HD212" s="136"/>
      <c r="HE212" s="136"/>
      <c r="HF212" s="136"/>
      <c r="HG212" s="136"/>
      <c r="HH212" s="136"/>
      <c r="HI212" s="136"/>
      <c r="HJ212" s="136"/>
      <c r="HK212" s="136"/>
      <c r="HL212" s="136"/>
      <c r="HM212" s="136"/>
      <c r="HN212" s="136"/>
      <c r="HO212" s="136"/>
      <c r="HP212" s="136"/>
      <c r="HQ212" s="136"/>
      <c r="HR212" s="136"/>
      <c r="HS212" s="136"/>
      <c r="HT212" s="136"/>
      <c r="HU212" s="136"/>
      <c r="HV212" s="136"/>
      <c r="HW212" s="136"/>
      <c r="HX212" s="136"/>
      <c r="HY212" s="136"/>
      <c r="HZ212" s="136"/>
      <c r="IA212" s="136"/>
      <c r="IB212" s="136"/>
      <c r="IC212" s="136"/>
      <c r="ID212" s="136"/>
      <c r="IE212" s="136"/>
      <c r="IF212" s="136"/>
      <c r="IG212" s="136"/>
      <c r="IH212" s="136"/>
      <c r="II212" s="136"/>
      <c r="IJ212" s="136"/>
      <c r="IK212" s="136"/>
      <c r="IL212" s="136"/>
      <c r="IM212" s="136"/>
      <c r="IN212" s="136"/>
      <c r="IO212" s="136"/>
      <c r="IP212" s="136"/>
      <c r="IQ212" s="136"/>
      <c r="IR212" s="136"/>
      <c r="IS212" s="136"/>
      <c r="IT212" s="136"/>
      <c r="IU212" s="136"/>
    </row>
    <row r="213" spans="1:255" ht="75" x14ac:dyDescent="0.2">
      <c r="A213" s="242" t="str">
        <f>'HECVAT - Full'!A213</f>
        <v>MAPP-08</v>
      </c>
      <c r="B213" s="242" t="str">
        <f>VLOOKUP(A213,'HECVAT - Full'!A$24:B$312,2,FALSE)</f>
        <v>Will any of these systems be implemented on systems hosting the Institution's data?</v>
      </c>
      <c r="C213" s="253" t="s">
        <v>2770</v>
      </c>
      <c r="D213" s="253" t="s">
        <v>2771</v>
      </c>
      <c r="E213" s="136"/>
      <c r="F213" s="136"/>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c r="AC213" s="136"/>
      <c r="AD213" s="136"/>
      <c r="AE213" s="136"/>
      <c r="AF213" s="136"/>
      <c r="AG213" s="136"/>
      <c r="AH213" s="136"/>
      <c r="AI213" s="136"/>
      <c r="AJ213" s="136"/>
      <c r="AK213" s="136"/>
      <c r="AL213" s="136"/>
      <c r="AM213" s="136"/>
      <c r="AN213" s="136"/>
      <c r="AO213" s="136"/>
      <c r="AP213" s="136"/>
      <c r="AQ213" s="136"/>
      <c r="AR213" s="136"/>
      <c r="AS213" s="136"/>
      <c r="AT213" s="136"/>
      <c r="AU213" s="136"/>
      <c r="AV213" s="136"/>
      <c r="AW213" s="136"/>
      <c r="AX213" s="136"/>
      <c r="AY213" s="136"/>
      <c r="AZ213" s="136"/>
      <c r="BA213" s="136"/>
      <c r="BB213" s="136"/>
      <c r="BC213" s="136"/>
      <c r="BD213" s="136"/>
      <c r="BE213" s="136"/>
      <c r="BF213" s="136"/>
      <c r="BG213" s="136"/>
      <c r="BH213" s="136"/>
      <c r="BI213" s="136"/>
      <c r="BJ213" s="136"/>
      <c r="BK213" s="136"/>
      <c r="BL213" s="136"/>
      <c r="BM213" s="136"/>
      <c r="BN213" s="136"/>
      <c r="BO213" s="136"/>
      <c r="BP213" s="136"/>
      <c r="BQ213" s="136"/>
      <c r="BR213" s="136"/>
      <c r="BS213" s="136"/>
      <c r="BT213" s="136"/>
      <c r="BU213" s="136"/>
      <c r="BV213" s="136"/>
      <c r="BW213" s="136"/>
      <c r="BX213" s="136"/>
      <c r="BY213" s="136"/>
      <c r="BZ213" s="136"/>
      <c r="CA213" s="136"/>
      <c r="CB213" s="136"/>
      <c r="CC213" s="136"/>
      <c r="CD213" s="136"/>
      <c r="CE213" s="136"/>
      <c r="CF213" s="136"/>
      <c r="CG213" s="136"/>
      <c r="CH213" s="136"/>
      <c r="CI213" s="136"/>
      <c r="CJ213" s="136"/>
      <c r="CK213" s="136"/>
      <c r="CL213" s="136"/>
      <c r="CM213" s="136"/>
      <c r="CN213" s="136"/>
      <c r="CO213" s="136"/>
      <c r="CP213" s="136"/>
      <c r="CQ213" s="136"/>
      <c r="CR213" s="136"/>
      <c r="CS213" s="136"/>
      <c r="CT213" s="136"/>
      <c r="CU213" s="136"/>
      <c r="CV213" s="136"/>
      <c r="CW213" s="136"/>
      <c r="CX213" s="136"/>
      <c r="CY213" s="136"/>
      <c r="CZ213" s="136"/>
      <c r="DA213" s="136"/>
      <c r="DB213" s="136"/>
      <c r="DC213" s="136"/>
      <c r="DD213" s="136"/>
      <c r="DE213" s="136"/>
      <c r="DF213" s="136"/>
      <c r="DG213" s="136"/>
      <c r="DH213" s="136"/>
      <c r="DI213" s="136"/>
      <c r="DJ213" s="136"/>
      <c r="DK213" s="136"/>
      <c r="DL213" s="136"/>
      <c r="DM213" s="136"/>
      <c r="DN213" s="136"/>
      <c r="DO213" s="136"/>
      <c r="DP213" s="136"/>
      <c r="DQ213" s="136"/>
      <c r="DR213" s="136"/>
      <c r="DS213" s="136"/>
      <c r="DT213" s="136"/>
      <c r="DU213" s="136"/>
      <c r="DV213" s="136"/>
      <c r="DW213" s="136"/>
      <c r="DX213" s="136"/>
      <c r="DY213" s="136"/>
      <c r="DZ213" s="136"/>
      <c r="EA213" s="136"/>
      <c r="EB213" s="136"/>
      <c r="EC213" s="136"/>
      <c r="ED213" s="136"/>
      <c r="EE213" s="136"/>
      <c r="EF213" s="136"/>
      <c r="EG213" s="136"/>
      <c r="EH213" s="136"/>
      <c r="EI213" s="136"/>
      <c r="EJ213" s="136"/>
      <c r="EK213" s="136"/>
      <c r="EL213" s="136"/>
      <c r="EM213" s="136"/>
      <c r="EN213" s="136"/>
      <c r="EO213" s="136"/>
      <c r="EP213" s="136"/>
      <c r="EQ213" s="136"/>
      <c r="ER213" s="136"/>
      <c r="ES213" s="136"/>
      <c r="ET213" s="136"/>
      <c r="EU213" s="136"/>
      <c r="EV213" s="136"/>
      <c r="EW213" s="136"/>
      <c r="EX213" s="136"/>
      <c r="EY213" s="136"/>
      <c r="EZ213" s="136"/>
      <c r="FA213" s="136"/>
      <c r="FB213" s="136"/>
      <c r="FC213" s="136"/>
      <c r="FD213" s="136"/>
      <c r="FE213" s="136"/>
      <c r="FF213" s="136"/>
      <c r="FG213" s="136"/>
      <c r="FH213" s="136"/>
      <c r="FI213" s="136"/>
      <c r="FJ213" s="136"/>
      <c r="FK213" s="136"/>
      <c r="FL213" s="136"/>
      <c r="FM213" s="136"/>
      <c r="FN213" s="136"/>
      <c r="FO213" s="136"/>
      <c r="FP213" s="136"/>
      <c r="FQ213" s="136"/>
      <c r="FR213" s="136"/>
      <c r="FS213" s="136"/>
      <c r="FT213" s="136"/>
      <c r="FU213" s="136"/>
      <c r="FV213" s="136"/>
      <c r="FW213" s="136"/>
      <c r="FX213" s="136"/>
      <c r="FY213" s="136"/>
      <c r="FZ213" s="136"/>
      <c r="GA213" s="136"/>
      <c r="GB213" s="136"/>
      <c r="GC213" s="136"/>
      <c r="GD213" s="136"/>
      <c r="GE213" s="136"/>
      <c r="GF213" s="136"/>
      <c r="GG213" s="136"/>
      <c r="GH213" s="136"/>
      <c r="GI213" s="136"/>
      <c r="GJ213" s="136"/>
      <c r="GK213" s="136"/>
      <c r="GL213" s="136"/>
      <c r="GM213" s="136"/>
      <c r="GN213" s="136"/>
      <c r="GO213" s="136"/>
      <c r="GP213" s="136"/>
      <c r="GQ213" s="136"/>
      <c r="GR213" s="136"/>
      <c r="GS213" s="136"/>
      <c r="GT213" s="136"/>
      <c r="GU213" s="136"/>
      <c r="GV213" s="136"/>
      <c r="GW213" s="136"/>
      <c r="GX213" s="136"/>
      <c r="GY213" s="136"/>
      <c r="GZ213" s="136"/>
      <c r="HA213" s="136"/>
      <c r="HB213" s="136"/>
      <c r="HC213" s="136"/>
      <c r="HD213" s="136"/>
      <c r="HE213" s="136"/>
      <c r="HF213" s="136"/>
      <c r="HG213" s="136"/>
      <c r="HH213" s="136"/>
      <c r="HI213" s="136"/>
      <c r="HJ213" s="136"/>
      <c r="HK213" s="136"/>
      <c r="HL213" s="136"/>
      <c r="HM213" s="136"/>
      <c r="HN213" s="136"/>
      <c r="HO213" s="136"/>
      <c r="HP213" s="136"/>
      <c r="HQ213" s="136"/>
      <c r="HR213" s="136"/>
      <c r="HS213" s="136"/>
      <c r="HT213" s="136"/>
      <c r="HU213" s="136"/>
      <c r="HV213" s="136"/>
      <c r="HW213" s="136"/>
      <c r="HX213" s="136"/>
      <c r="HY213" s="136"/>
      <c r="HZ213" s="136"/>
      <c r="IA213" s="136"/>
      <c r="IB213" s="136"/>
      <c r="IC213" s="136"/>
      <c r="ID213" s="136"/>
      <c r="IE213" s="136"/>
      <c r="IF213" s="136"/>
      <c r="IG213" s="136"/>
      <c r="IH213" s="136"/>
      <c r="II213" s="136"/>
      <c r="IJ213" s="136"/>
      <c r="IK213" s="136"/>
      <c r="IL213" s="136"/>
      <c r="IM213" s="136"/>
      <c r="IN213" s="136"/>
      <c r="IO213" s="136"/>
      <c r="IP213" s="136"/>
      <c r="IQ213" s="136"/>
      <c r="IR213" s="136"/>
      <c r="IS213" s="136"/>
      <c r="IT213" s="136"/>
      <c r="IU213" s="136"/>
    </row>
    <row r="214" spans="1:255" ht="84.75" customHeight="1" x14ac:dyDescent="0.2">
      <c r="A214" s="242" t="str">
        <f>'HECVAT - Full'!A214</f>
        <v>MAPP-09</v>
      </c>
      <c r="B214" s="242" t="str">
        <f>VLOOKUP(A214,'HECVAT - Full'!A$24:B$312,2,FALSE)</f>
        <v>Does the application adhere to secure coding practices (e.g. OWASP, etc.)?</v>
      </c>
      <c r="C214" s="275" t="s">
        <v>3044</v>
      </c>
      <c r="D214" s="248" t="s">
        <v>2919</v>
      </c>
      <c r="E214" s="136"/>
      <c r="F214" s="13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c r="AC214" s="136"/>
      <c r="AD214" s="136"/>
      <c r="AE214" s="136"/>
      <c r="AF214" s="136"/>
      <c r="AG214" s="136"/>
      <c r="AH214" s="136"/>
      <c r="AI214" s="136"/>
      <c r="AJ214" s="136"/>
      <c r="AK214" s="136"/>
      <c r="AL214" s="136"/>
      <c r="AM214" s="136"/>
      <c r="AN214" s="136"/>
      <c r="AO214" s="136"/>
      <c r="AP214" s="136"/>
      <c r="AQ214" s="136"/>
      <c r="AR214" s="136"/>
      <c r="AS214" s="136"/>
      <c r="AT214" s="136"/>
      <c r="AU214" s="136"/>
      <c r="AV214" s="136"/>
      <c r="AW214" s="136"/>
      <c r="AX214" s="136"/>
      <c r="AY214" s="136"/>
      <c r="AZ214" s="136"/>
      <c r="BA214" s="136"/>
      <c r="BB214" s="136"/>
      <c r="BC214" s="136"/>
      <c r="BD214" s="136"/>
      <c r="BE214" s="136"/>
      <c r="BF214" s="136"/>
      <c r="BG214" s="136"/>
      <c r="BH214" s="136"/>
      <c r="BI214" s="136"/>
      <c r="BJ214" s="136"/>
      <c r="BK214" s="136"/>
      <c r="BL214" s="136"/>
      <c r="BM214" s="136"/>
      <c r="BN214" s="136"/>
      <c r="BO214" s="136"/>
      <c r="BP214" s="136"/>
      <c r="BQ214" s="136"/>
      <c r="BR214" s="136"/>
      <c r="BS214" s="136"/>
      <c r="BT214" s="136"/>
      <c r="BU214" s="136"/>
      <c r="BV214" s="136"/>
      <c r="BW214" s="136"/>
      <c r="BX214" s="136"/>
      <c r="BY214" s="136"/>
      <c r="BZ214" s="136"/>
      <c r="CA214" s="136"/>
      <c r="CB214" s="136"/>
      <c r="CC214" s="136"/>
      <c r="CD214" s="136"/>
      <c r="CE214" s="136"/>
      <c r="CF214" s="136"/>
      <c r="CG214" s="136"/>
      <c r="CH214" s="136"/>
      <c r="CI214" s="136"/>
      <c r="CJ214" s="136"/>
      <c r="CK214" s="136"/>
      <c r="CL214" s="136"/>
      <c r="CM214" s="136"/>
      <c r="CN214" s="136"/>
      <c r="CO214" s="136"/>
      <c r="CP214" s="136"/>
      <c r="CQ214" s="136"/>
      <c r="CR214" s="136"/>
      <c r="CS214" s="136"/>
      <c r="CT214" s="136"/>
      <c r="CU214" s="136"/>
      <c r="CV214" s="136"/>
      <c r="CW214" s="136"/>
      <c r="CX214" s="136"/>
      <c r="CY214" s="136"/>
      <c r="CZ214" s="136"/>
      <c r="DA214" s="136"/>
      <c r="DB214" s="136"/>
      <c r="DC214" s="136"/>
      <c r="DD214" s="136"/>
      <c r="DE214" s="136"/>
      <c r="DF214" s="136"/>
      <c r="DG214" s="136"/>
      <c r="DH214" s="136"/>
      <c r="DI214" s="136"/>
      <c r="DJ214" s="136"/>
      <c r="DK214" s="136"/>
      <c r="DL214" s="136"/>
      <c r="DM214" s="136"/>
      <c r="DN214" s="136"/>
      <c r="DO214" s="136"/>
      <c r="DP214" s="136"/>
      <c r="DQ214" s="136"/>
      <c r="DR214" s="136"/>
      <c r="DS214" s="136"/>
      <c r="DT214" s="136"/>
      <c r="DU214" s="136"/>
      <c r="DV214" s="136"/>
      <c r="DW214" s="136"/>
      <c r="DX214" s="136"/>
      <c r="DY214" s="136"/>
      <c r="DZ214" s="136"/>
      <c r="EA214" s="136"/>
      <c r="EB214" s="136"/>
      <c r="EC214" s="136"/>
      <c r="ED214" s="136"/>
      <c r="EE214" s="136"/>
      <c r="EF214" s="136"/>
      <c r="EG214" s="136"/>
      <c r="EH214" s="136"/>
      <c r="EI214" s="136"/>
      <c r="EJ214" s="136"/>
      <c r="EK214" s="136"/>
      <c r="EL214" s="136"/>
      <c r="EM214" s="136"/>
      <c r="EN214" s="136"/>
      <c r="EO214" s="136"/>
      <c r="EP214" s="136"/>
      <c r="EQ214" s="136"/>
      <c r="ER214" s="136"/>
      <c r="ES214" s="136"/>
      <c r="ET214" s="136"/>
      <c r="EU214" s="136"/>
      <c r="EV214" s="136"/>
      <c r="EW214" s="136"/>
      <c r="EX214" s="136"/>
      <c r="EY214" s="136"/>
      <c r="EZ214" s="136"/>
      <c r="FA214" s="136"/>
      <c r="FB214" s="136"/>
      <c r="FC214" s="136"/>
      <c r="FD214" s="136"/>
      <c r="FE214" s="136"/>
      <c r="FF214" s="136"/>
      <c r="FG214" s="136"/>
      <c r="FH214" s="136"/>
      <c r="FI214" s="136"/>
      <c r="FJ214" s="136"/>
      <c r="FK214" s="136"/>
      <c r="FL214" s="136"/>
      <c r="FM214" s="136"/>
      <c r="FN214" s="136"/>
      <c r="FO214" s="136"/>
      <c r="FP214" s="136"/>
      <c r="FQ214" s="136"/>
      <c r="FR214" s="136"/>
      <c r="FS214" s="136"/>
      <c r="FT214" s="136"/>
      <c r="FU214" s="136"/>
      <c r="FV214" s="136"/>
      <c r="FW214" s="136"/>
      <c r="FX214" s="136"/>
      <c r="FY214" s="136"/>
      <c r="FZ214" s="136"/>
      <c r="GA214" s="136"/>
      <c r="GB214" s="136"/>
      <c r="GC214" s="136"/>
      <c r="GD214" s="136"/>
      <c r="GE214" s="136"/>
      <c r="GF214" s="136"/>
      <c r="GG214" s="136"/>
      <c r="GH214" s="136"/>
      <c r="GI214" s="136"/>
      <c r="GJ214" s="136"/>
      <c r="GK214" s="136"/>
      <c r="GL214" s="136"/>
      <c r="GM214" s="136"/>
      <c r="GN214" s="136"/>
      <c r="GO214" s="136"/>
      <c r="GP214" s="136"/>
      <c r="GQ214" s="136"/>
      <c r="GR214" s="136"/>
      <c r="GS214" s="136"/>
      <c r="GT214" s="136"/>
      <c r="GU214" s="136"/>
      <c r="GV214" s="136"/>
      <c r="GW214" s="136"/>
      <c r="GX214" s="136"/>
      <c r="GY214" s="136"/>
      <c r="GZ214" s="136"/>
      <c r="HA214" s="136"/>
      <c r="HB214" s="136"/>
      <c r="HC214" s="136"/>
      <c r="HD214" s="136"/>
      <c r="HE214" s="136"/>
      <c r="HF214" s="136"/>
      <c r="HG214" s="136"/>
      <c r="HH214" s="136"/>
      <c r="HI214" s="136"/>
      <c r="HJ214" s="136"/>
      <c r="HK214" s="136"/>
      <c r="HL214" s="136"/>
      <c r="HM214" s="136"/>
      <c r="HN214" s="136"/>
      <c r="HO214" s="136"/>
      <c r="HP214" s="136"/>
      <c r="HQ214" s="136"/>
      <c r="HR214" s="136"/>
      <c r="HS214" s="136"/>
      <c r="HT214" s="136"/>
      <c r="HU214" s="136"/>
      <c r="HV214" s="136"/>
      <c r="HW214" s="136"/>
      <c r="HX214" s="136"/>
      <c r="HY214" s="136"/>
      <c r="HZ214" s="136"/>
      <c r="IA214" s="136"/>
      <c r="IB214" s="136"/>
      <c r="IC214" s="136"/>
      <c r="ID214" s="136"/>
      <c r="IE214" s="136"/>
      <c r="IF214" s="136"/>
      <c r="IG214" s="136"/>
      <c r="IH214" s="136"/>
      <c r="II214" s="136"/>
      <c r="IJ214" s="136"/>
      <c r="IK214" s="136"/>
      <c r="IL214" s="136"/>
      <c r="IM214" s="136"/>
      <c r="IN214" s="136"/>
      <c r="IO214" s="136"/>
      <c r="IP214" s="136"/>
      <c r="IQ214" s="136"/>
      <c r="IR214" s="136"/>
      <c r="IS214" s="136"/>
      <c r="IT214" s="136"/>
      <c r="IU214" s="136"/>
    </row>
    <row r="215" spans="1:255" ht="120" x14ac:dyDescent="0.2">
      <c r="A215" s="242" t="str">
        <f>'HECVAT - Full'!A215</f>
        <v>MAPP-10</v>
      </c>
      <c r="B215" s="242" t="str">
        <f>VLOOKUP(A215,'HECVAT - Full'!A$24:B$312,2,FALSE)</f>
        <v>Has the application been tested for vulnerabilities by a third party?</v>
      </c>
      <c r="C215" s="275" t="s">
        <v>3045</v>
      </c>
      <c r="D215" s="278" t="s">
        <v>3046</v>
      </c>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c r="AC215" s="136"/>
      <c r="AD215" s="136"/>
      <c r="AE215" s="136"/>
      <c r="AF215" s="136"/>
      <c r="AG215" s="136"/>
      <c r="AH215" s="136"/>
      <c r="AI215" s="136"/>
      <c r="AJ215" s="136"/>
      <c r="AK215" s="136"/>
      <c r="AL215" s="136"/>
      <c r="AM215" s="136"/>
      <c r="AN215" s="136"/>
      <c r="AO215" s="136"/>
      <c r="AP215" s="136"/>
      <c r="AQ215" s="136"/>
      <c r="AR215" s="136"/>
      <c r="AS215" s="136"/>
      <c r="AT215" s="136"/>
      <c r="AU215" s="136"/>
      <c r="AV215" s="136"/>
      <c r="AW215" s="136"/>
      <c r="AX215" s="136"/>
      <c r="AY215" s="136"/>
      <c r="AZ215" s="136"/>
      <c r="BA215" s="136"/>
      <c r="BB215" s="136"/>
      <c r="BC215" s="136"/>
      <c r="BD215" s="136"/>
      <c r="BE215" s="136"/>
      <c r="BF215" s="136"/>
      <c r="BG215" s="136"/>
      <c r="BH215" s="136"/>
      <c r="BI215" s="136"/>
      <c r="BJ215" s="136"/>
      <c r="BK215" s="136"/>
      <c r="BL215" s="136"/>
      <c r="BM215" s="136"/>
      <c r="BN215" s="136"/>
      <c r="BO215" s="136"/>
      <c r="BP215" s="136"/>
      <c r="BQ215" s="136"/>
      <c r="BR215" s="136"/>
      <c r="BS215" s="136"/>
      <c r="BT215" s="136"/>
      <c r="BU215" s="136"/>
      <c r="BV215" s="136"/>
      <c r="BW215" s="136"/>
      <c r="BX215" s="136"/>
      <c r="BY215" s="136"/>
      <c r="BZ215" s="136"/>
      <c r="CA215" s="136"/>
      <c r="CB215" s="136"/>
      <c r="CC215" s="136"/>
      <c r="CD215" s="136"/>
      <c r="CE215" s="136"/>
      <c r="CF215" s="136"/>
      <c r="CG215" s="136"/>
      <c r="CH215" s="136"/>
      <c r="CI215" s="136"/>
      <c r="CJ215" s="136"/>
      <c r="CK215" s="136"/>
      <c r="CL215" s="136"/>
      <c r="CM215" s="136"/>
      <c r="CN215" s="136"/>
      <c r="CO215" s="136"/>
      <c r="CP215" s="136"/>
      <c r="CQ215" s="136"/>
      <c r="CR215" s="136"/>
      <c r="CS215" s="136"/>
      <c r="CT215" s="136"/>
      <c r="CU215" s="136"/>
      <c r="CV215" s="136"/>
      <c r="CW215" s="136"/>
      <c r="CX215" s="136"/>
      <c r="CY215" s="136"/>
      <c r="CZ215" s="136"/>
      <c r="DA215" s="136"/>
      <c r="DB215" s="136"/>
      <c r="DC215" s="136"/>
      <c r="DD215" s="136"/>
      <c r="DE215" s="136"/>
      <c r="DF215" s="136"/>
      <c r="DG215" s="136"/>
      <c r="DH215" s="136"/>
      <c r="DI215" s="136"/>
      <c r="DJ215" s="136"/>
      <c r="DK215" s="136"/>
      <c r="DL215" s="136"/>
      <c r="DM215" s="136"/>
      <c r="DN215" s="136"/>
      <c r="DO215" s="136"/>
      <c r="DP215" s="136"/>
      <c r="DQ215" s="136"/>
      <c r="DR215" s="136"/>
      <c r="DS215" s="136"/>
      <c r="DT215" s="136"/>
      <c r="DU215" s="136"/>
      <c r="DV215" s="136"/>
      <c r="DW215" s="136"/>
      <c r="DX215" s="136"/>
      <c r="DY215" s="136"/>
      <c r="DZ215" s="136"/>
      <c r="EA215" s="136"/>
      <c r="EB215" s="136"/>
      <c r="EC215" s="136"/>
      <c r="ED215" s="136"/>
      <c r="EE215" s="136"/>
      <c r="EF215" s="136"/>
      <c r="EG215" s="136"/>
      <c r="EH215" s="136"/>
      <c r="EI215" s="136"/>
      <c r="EJ215" s="136"/>
      <c r="EK215" s="136"/>
      <c r="EL215" s="136"/>
      <c r="EM215" s="136"/>
      <c r="EN215" s="136"/>
      <c r="EO215" s="136"/>
      <c r="EP215" s="136"/>
      <c r="EQ215" s="136"/>
      <c r="ER215" s="136"/>
      <c r="ES215" s="136"/>
      <c r="ET215" s="136"/>
      <c r="EU215" s="136"/>
      <c r="EV215" s="136"/>
      <c r="EW215" s="136"/>
      <c r="EX215" s="136"/>
      <c r="EY215" s="136"/>
      <c r="EZ215" s="136"/>
      <c r="FA215" s="136"/>
      <c r="FB215" s="136"/>
      <c r="FC215" s="136"/>
      <c r="FD215" s="136"/>
      <c r="FE215" s="136"/>
      <c r="FF215" s="136"/>
      <c r="FG215" s="136"/>
      <c r="FH215" s="136"/>
      <c r="FI215" s="136"/>
      <c r="FJ215" s="136"/>
      <c r="FK215" s="136"/>
      <c r="FL215" s="136"/>
      <c r="FM215" s="136"/>
      <c r="FN215" s="136"/>
      <c r="FO215" s="136"/>
      <c r="FP215" s="136"/>
      <c r="FQ215" s="136"/>
      <c r="FR215" s="136"/>
      <c r="FS215" s="136"/>
      <c r="FT215" s="136"/>
      <c r="FU215" s="136"/>
      <c r="FV215" s="136"/>
      <c r="FW215" s="136"/>
      <c r="FX215" s="136"/>
      <c r="FY215" s="136"/>
      <c r="FZ215" s="136"/>
      <c r="GA215" s="136"/>
      <c r="GB215" s="136"/>
      <c r="GC215" s="136"/>
      <c r="GD215" s="136"/>
      <c r="GE215" s="136"/>
      <c r="GF215" s="136"/>
      <c r="GG215" s="136"/>
      <c r="GH215" s="136"/>
      <c r="GI215" s="136"/>
      <c r="GJ215" s="136"/>
      <c r="GK215" s="136"/>
      <c r="GL215" s="136"/>
      <c r="GM215" s="136"/>
      <c r="GN215" s="136"/>
      <c r="GO215" s="136"/>
      <c r="GP215" s="136"/>
      <c r="GQ215" s="136"/>
      <c r="GR215" s="136"/>
      <c r="GS215" s="136"/>
      <c r="GT215" s="136"/>
      <c r="GU215" s="136"/>
      <c r="GV215" s="136"/>
      <c r="GW215" s="136"/>
      <c r="GX215" s="136"/>
      <c r="GY215" s="136"/>
      <c r="GZ215" s="136"/>
      <c r="HA215" s="136"/>
      <c r="HB215" s="136"/>
      <c r="HC215" s="136"/>
      <c r="HD215" s="136"/>
      <c r="HE215" s="136"/>
      <c r="HF215" s="136"/>
      <c r="HG215" s="136"/>
      <c r="HH215" s="136"/>
      <c r="HI215" s="136"/>
      <c r="HJ215" s="136"/>
      <c r="HK215" s="136"/>
      <c r="HL215" s="136"/>
      <c r="HM215" s="136"/>
      <c r="HN215" s="136"/>
      <c r="HO215" s="136"/>
      <c r="HP215" s="136"/>
      <c r="HQ215" s="136"/>
      <c r="HR215" s="136"/>
      <c r="HS215" s="136"/>
      <c r="HT215" s="136"/>
      <c r="HU215" s="136"/>
      <c r="HV215" s="136"/>
      <c r="HW215" s="136"/>
      <c r="HX215" s="136"/>
      <c r="HY215" s="136"/>
      <c r="HZ215" s="136"/>
      <c r="IA215" s="136"/>
      <c r="IB215" s="136"/>
      <c r="IC215" s="136"/>
      <c r="ID215" s="136"/>
      <c r="IE215" s="136"/>
      <c r="IF215" s="136"/>
      <c r="IG215" s="136"/>
      <c r="IH215" s="136"/>
      <c r="II215" s="136"/>
      <c r="IJ215" s="136"/>
      <c r="IK215" s="136"/>
      <c r="IL215" s="136"/>
      <c r="IM215" s="136"/>
      <c r="IN215" s="136"/>
      <c r="IO215" s="136"/>
      <c r="IP215" s="136"/>
      <c r="IQ215" s="136"/>
      <c r="IR215" s="136"/>
      <c r="IS215" s="136"/>
      <c r="IT215" s="136"/>
      <c r="IU215" s="136"/>
    </row>
    <row r="216" spans="1:255" ht="120" x14ac:dyDescent="0.2">
      <c r="A216" s="242" t="str">
        <f>'HECVAT - Full'!A216</f>
        <v>MAPP-11</v>
      </c>
      <c r="B216" s="242" t="str">
        <f>VLOOKUP(A216,'HECVAT - Full'!A$24:B$312,2,FALSE)</f>
        <v>State the party that performed the vulnerability test and the date it was conducted?</v>
      </c>
      <c r="C216" s="275" t="s">
        <v>3045</v>
      </c>
      <c r="D216" s="278" t="s">
        <v>3047</v>
      </c>
      <c r="E216" s="136"/>
      <c r="F216" s="13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c r="AC216" s="136"/>
      <c r="AD216" s="136"/>
      <c r="AE216" s="136"/>
      <c r="AF216" s="136"/>
      <c r="AG216" s="136"/>
      <c r="AH216" s="136"/>
      <c r="AI216" s="136"/>
      <c r="AJ216" s="136"/>
      <c r="AK216" s="136"/>
      <c r="AL216" s="136"/>
      <c r="AM216" s="136"/>
      <c r="AN216" s="136"/>
      <c r="AO216" s="136"/>
      <c r="AP216" s="136"/>
      <c r="AQ216" s="136"/>
      <c r="AR216" s="136"/>
      <c r="AS216" s="136"/>
      <c r="AT216" s="136"/>
      <c r="AU216" s="136"/>
      <c r="AV216" s="136"/>
      <c r="AW216" s="136"/>
      <c r="AX216" s="136"/>
      <c r="AY216" s="136"/>
      <c r="AZ216" s="136"/>
      <c r="BA216" s="136"/>
      <c r="BB216" s="136"/>
      <c r="BC216" s="136"/>
      <c r="BD216" s="136"/>
      <c r="BE216" s="136"/>
      <c r="BF216" s="136"/>
      <c r="BG216" s="136"/>
      <c r="BH216" s="136"/>
      <c r="BI216" s="136"/>
      <c r="BJ216" s="136"/>
      <c r="BK216" s="136"/>
      <c r="BL216" s="136"/>
      <c r="BM216" s="136"/>
      <c r="BN216" s="136"/>
      <c r="BO216" s="136"/>
      <c r="BP216" s="136"/>
      <c r="BQ216" s="136"/>
      <c r="BR216" s="136"/>
      <c r="BS216" s="136"/>
      <c r="BT216" s="136"/>
      <c r="BU216" s="136"/>
      <c r="BV216" s="136"/>
      <c r="BW216" s="136"/>
      <c r="BX216" s="136"/>
      <c r="BY216" s="136"/>
      <c r="BZ216" s="136"/>
      <c r="CA216" s="136"/>
      <c r="CB216" s="136"/>
      <c r="CC216" s="136"/>
      <c r="CD216" s="136"/>
      <c r="CE216" s="136"/>
      <c r="CF216" s="136"/>
      <c r="CG216" s="136"/>
      <c r="CH216" s="136"/>
      <c r="CI216" s="136"/>
      <c r="CJ216" s="136"/>
      <c r="CK216" s="136"/>
      <c r="CL216" s="136"/>
      <c r="CM216" s="136"/>
      <c r="CN216" s="136"/>
      <c r="CO216" s="136"/>
      <c r="CP216" s="136"/>
      <c r="CQ216" s="136"/>
      <c r="CR216" s="136"/>
      <c r="CS216" s="136"/>
      <c r="CT216" s="136"/>
      <c r="CU216" s="136"/>
      <c r="CV216" s="136"/>
      <c r="CW216" s="136"/>
      <c r="CX216" s="136"/>
      <c r="CY216" s="136"/>
      <c r="CZ216" s="136"/>
      <c r="DA216" s="136"/>
      <c r="DB216" s="136"/>
      <c r="DC216" s="136"/>
      <c r="DD216" s="136"/>
      <c r="DE216" s="136"/>
      <c r="DF216" s="136"/>
      <c r="DG216" s="136"/>
      <c r="DH216" s="136"/>
      <c r="DI216" s="136"/>
      <c r="DJ216" s="136"/>
      <c r="DK216" s="136"/>
      <c r="DL216" s="136"/>
      <c r="DM216" s="136"/>
      <c r="DN216" s="136"/>
      <c r="DO216" s="136"/>
      <c r="DP216" s="136"/>
      <c r="DQ216" s="136"/>
      <c r="DR216" s="136"/>
      <c r="DS216" s="136"/>
      <c r="DT216" s="136"/>
      <c r="DU216" s="136"/>
      <c r="DV216" s="136"/>
      <c r="DW216" s="136"/>
      <c r="DX216" s="136"/>
      <c r="DY216" s="136"/>
      <c r="DZ216" s="136"/>
      <c r="EA216" s="136"/>
      <c r="EB216" s="136"/>
      <c r="EC216" s="136"/>
      <c r="ED216" s="136"/>
      <c r="EE216" s="136"/>
      <c r="EF216" s="136"/>
      <c r="EG216" s="136"/>
      <c r="EH216" s="136"/>
      <c r="EI216" s="136"/>
      <c r="EJ216" s="136"/>
      <c r="EK216" s="136"/>
      <c r="EL216" s="136"/>
      <c r="EM216" s="136"/>
      <c r="EN216" s="136"/>
      <c r="EO216" s="136"/>
      <c r="EP216" s="136"/>
      <c r="EQ216" s="136"/>
      <c r="ER216" s="136"/>
      <c r="ES216" s="136"/>
      <c r="ET216" s="136"/>
      <c r="EU216" s="136"/>
      <c r="EV216" s="136"/>
      <c r="EW216" s="136"/>
      <c r="EX216" s="136"/>
      <c r="EY216" s="136"/>
      <c r="EZ216" s="136"/>
      <c r="FA216" s="136"/>
      <c r="FB216" s="136"/>
      <c r="FC216" s="136"/>
      <c r="FD216" s="136"/>
      <c r="FE216" s="136"/>
      <c r="FF216" s="136"/>
      <c r="FG216" s="136"/>
      <c r="FH216" s="136"/>
      <c r="FI216" s="136"/>
      <c r="FJ216" s="136"/>
      <c r="FK216" s="136"/>
      <c r="FL216" s="136"/>
      <c r="FM216" s="136"/>
      <c r="FN216" s="136"/>
      <c r="FO216" s="136"/>
      <c r="FP216" s="136"/>
      <c r="FQ216" s="136"/>
      <c r="FR216" s="136"/>
      <c r="FS216" s="136"/>
      <c r="FT216" s="136"/>
      <c r="FU216" s="136"/>
      <c r="FV216" s="136"/>
      <c r="FW216" s="136"/>
      <c r="FX216" s="136"/>
      <c r="FY216" s="136"/>
      <c r="FZ216" s="136"/>
      <c r="GA216" s="136"/>
      <c r="GB216" s="136"/>
      <c r="GC216" s="136"/>
      <c r="GD216" s="136"/>
      <c r="GE216" s="136"/>
      <c r="GF216" s="136"/>
      <c r="GG216" s="136"/>
      <c r="GH216" s="136"/>
      <c r="GI216" s="136"/>
      <c r="GJ216" s="136"/>
      <c r="GK216" s="136"/>
      <c r="GL216" s="136"/>
      <c r="GM216" s="136"/>
      <c r="GN216" s="136"/>
      <c r="GO216" s="136"/>
      <c r="GP216" s="136"/>
      <c r="GQ216" s="136"/>
      <c r="GR216" s="136"/>
      <c r="GS216" s="136"/>
      <c r="GT216" s="136"/>
      <c r="GU216" s="136"/>
      <c r="GV216" s="136"/>
      <c r="GW216" s="136"/>
      <c r="GX216" s="136"/>
      <c r="GY216" s="136"/>
      <c r="GZ216" s="136"/>
      <c r="HA216" s="136"/>
      <c r="HB216" s="136"/>
      <c r="HC216" s="136"/>
      <c r="HD216" s="136"/>
      <c r="HE216" s="136"/>
      <c r="HF216" s="136"/>
      <c r="HG216" s="136"/>
      <c r="HH216" s="136"/>
      <c r="HI216" s="136"/>
      <c r="HJ216" s="136"/>
      <c r="HK216" s="136"/>
      <c r="HL216" s="136"/>
      <c r="HM216" s="136"/>
      <c r="HN216" s="136"/>
      <c r="HO216" s="136"/>
      <c r="HP216" s="136"/>
      <c r="HQ216" s="136"/>
      <c r="HR216" s="136"/>
      <c r="HS216" s="136"/>
      <c r="HT216" s="136"/>
      <c r="HU216" s="136"/>
      <c r="HV216" s="136"/>
      <c r="HW216" s="136"/>
      <c r="HX216" s="136"/>
      <c r="HY216" s="136"/>
      <c r="HZ216" s="136"/>
      <c r="IA216" s="136"/>
      <c r="IB216" s="136"/>
      <c r="IC216" s="136"/>
      <c r="ID216" s="136"/>
      <c r="IE216" s="136"/>
      <c r="IF216" s="136"/>
      <c r="IG216" s="136"/>
      <c r="IH216" s="136"/>
      <c r="II216" s="136"/>
      <c r="IJ216" s="136"/>
      <c r="IK216" s="136"/>
      <c r="IL216" s="136"/>
      <c r="IM216" s="136"/>
      <c r="IN216" s="136"/>
      <c r="IO216" s="136"/>
      <c r="IP216" s="136"/>
      <c r="IQ216" s="136"/>
      <c r="IR216" s="136"/>
      <c r="IS216" s="136"/>
      <c r="IT216" s="136"/>
      <c r="IU216" s="136"/>
    </row>
    <row r="217" spans="1:255" ht="36" customHeight="1" x14ac:dyDescent="0.2">
      <c r="A217" s="335" t="str">
        <f>IF($C$30="","Physical Security",IF($C$30="Yes","Physical Security - Optional based on QUALIFIER response.","Physical Security"))</f>
        <v>Physical Security</v>
      </c>
      <c r="B217" s="335"/>
      <c r="C217" s="240" t="str">
        <f>$C$22</f>
        <v>Reason for Question</v>
      </c>
      <c r="D217" s="240" t="str">
        <f>$D$22</f>
        <v>Follow-up Inquiries/Responses</v>
      </c>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36"/>
      <c r="BJ217" s="136"/>
      <c r="BK217" s="136"/>
      <c r="BL217" s="136"/>
      <c r="BM217" s="136"/>
      <c r="BN217" s="136"/>
      <c r="BO217" s="136"/>
      <c r="BP217" s="136"/>
      <c r="BQ217" s="136"/>
      <c r="BR217" s="136"/>
      <c r="BS217" s="136"/>
      <c r="BT217" s="136"/>
      <c r="BU217" s="136"/>
      <c r="BV217" s="136"/>
      <c r="BW217" s="136"/>
      <c r="BX217" s="136"/>
      <c r="BY217" s="136"/>
      <c r="BZ217" s="136"/>
      <c r="CA217" s="136"/>
      <c r="CB217" s="136"/>
      <c r="CC217" s="136"/>
      <c r="CD217" s="136"/>
      <c r="CE217" s="136"/>
      <c r="CF217" s="136"/>
      <c r="CG217" s="136"/>
      <c r="CH217" s="136"/>
      <c r="CI217" s="136"/>
      <c r="CJ217" s="136"/>
      <c r="CK217" s="136"/>
      <c r="CL217" s="136"/>
      <c r="CM217" s="136"/>
      <c r="CN217" s="136"/>
      <c r="CO217" s="136"/>
      <c r="CP217" s="136"/>
      <c r="CQ217" s="136"/>
      <c r="CR217" s="136"/>
      <c r="CS217" s="136"/>
      <c r="CT217" s="136"/>
      <c r="CU217" s="136"/>
      <c r="CV217" s="136"/>
      <c r="CW217" s="136"/>
      <c r="CX217" s="136"/>
      <c r="CY217" s="136"/>
      <c r="CZ217" s="136"/>
      <c r="DA217" s="136"/>
      <c r="DB217" s="136"/>
      <c r="DC217" s="136"/>
      <c r="DD217" s="136"/>
      <c r="DE217" s="136"/>
      <c r="DF217" s="136"/>
      <c r="DG217" s="136"/>
      <c r="DH217" s="136"/>
      <c r="DI217" s="136"/>
      <c r="DJ217" s="136"/>
      <c r="DK217" s="136"/>
      <c r="DL217" s="136"/>
      <c r="DM217" s="136"/>
      <c r="DN217" s="136"/>
      <c r="DO217" s="136"/>
      <c r="DP217" s="136"/>
      <c r="DQ217" s="136"/>
      <c r="DR217" s="136"/>
      <c r="DS217" s="136"/>
      <c r="DT217" s="136"/>
      <c r="DU217" s="136"/>
      <c r="DV217" s="136"/>
      <c r="DW217" s="136"/>
      <c r="DX217" s="136"/>
      <c r="DY217" s="136"/>
      <c r="DZ217" s="136"/>
      <c r="EA217" s="136"/>
      <c r="EB217" s="136"/>
      <c r="EC217" s="136"/>
      <c r="ED217" s="136"/>
      <c r="EE217" s="136"/>
      <c r="EF217" s="136"/>
      <c r="EG217" s="136"/>
      <c r="EH217" s="136"/>
      <c r="EI217" s="136"/>
      <c r="EJ217" s="136"/>
      <c r="EK217" s="136"/>
      <c r="EL217" s="136"/>
      <c r="EM217" s="136"/>
      <c r="EN217" s="136"/>
      <c r="EO217" s="136"/>
      <c r="EP217" s="136"/>
      <c r="EQ217" s="136"/>
      <c r="ER217" s="136"/>
      <c r="ES217" s="136"/>
      <c r="ET217" s="136"/>
      <c r="EU217" s="136"/>
      <c r="EV217" s="136"/>
      <c r="EW217" s="136"/>
      <c r="EX217" s="136"/>
      <c r="EY217" s="136"/>
      <c r="EZ217" s="136"/>
      <c r="FA217" s="136"/>
      <c r="FB217" s="136"/>
      <c r="FC217" s="136"/>
      <c r="FD217" s="136"/>
      <c r="FE217" s="136"/>
      <c r="FF217" s="136"/>
      <c r="FG217" s="136"/>
      <c r="FH217" s="136"/>
      <c r="FI217" s="136"/>
      <c r="FJ217" s="136"/>
      <c r="FK217" s="136"/>
      <c r="FL217" s="136"/>
      <c r="FM217" s="136"/>
      <c r="FN217" s="136"/>
      <c r="FO217" s="136"/>
      <c r="FP217" s="136"/>
      <c r="FQ217" s="136"/>
      <c r="FR217" s="136"/>
      <c r="FS217" s="136"/>
      <c r="FT217" s="136"/>
      <c r="FU217" s="136"/>
      <c r="FV217" s="136"/>
      <c r="FW217" s="136"/>
      <c r="FX217" s="136"/>
      <c r="FY217" s="136"/>
      <c r="FZ217" s="136"/>
      <c r="GA217" s="136"/>
      <c r="GB217" s="136"/>
      <c r="GC217" s="136"/>
      <c r="GD217" s="136"/>
      <c r="GE217" s="136"/>
      <c r="GF217" s="136"/>
      <c r="GG217" s="136"/>
      <c r="GH217" s="136"/>
      <c r="GI217" s="136"/>
      <c r="GJ217" s="136"/>
      <c r="GK217" s="136"/>
      <c r="GL217" s="136"/>
      <c r="GM217" s="136"/>
      <c r="GN217" s="136"/>
      <c r="GO217" s="136"/>
      <c r="GP217" s="136"/>
      <c r="GQ217" s="136"/>
      <c r="GR217" s="136"/>
      <c r="GS217" s="136"/>
      <c r="GT217" s="136"/>
      <c r="GU217" s="136"/>
      <c r="GV217" s="136"/>
      <c r="GW217" s="136"/>
      <c r="GX217" s="136"/>
      <c r="GY217" s="136"/>
      <c r="GZ217" s="136"/>
      <c r="HA217" s="136"/>
      <c r="HB217" s="136"/>
      <c r="HC217" s="136"/>
      <c r="HD217" s="136"/>
      <c r="HE217" s="136"/>
      <c r="HF217" s="136"/>
      <c r="HG217" s="136"/>
      <c r="HH217" s="136"/>
      <c r="HI217" s="136"/>
      <c r="HJ217" s="136"/>
      <c r="HK217" s="136"/>
      <c r="HL217" s="136"/>
      <c r="HM217" s="136"/>
      <c r="HN217" s="136"/>
      <c r="HO217" s="136"/>
      <c r="HP217" s="136"/>
      <c r="HQ217" s="136"/>
      <c r="HR217" s="136"/>
      <c r="HS217" s="136"/>
      <c r="HT217" s="136"/>
      <c r="HU217" s="136"/>
      <c r="HV217" s="136"/>
      <c r="HW217" s="136"/>
      <c r="HX217" s="136"/>
      <c r="HY217" s="136"/>
      <c r="HZ217" s="136"/>
      <c r="IA217" s="136"/>
      <c r="IB217" s="136"/>
      <c r="IC217" s="136"/>
      <c r="ID217" s="136"/>
      <c r="IE217" s="136"/>
      <c r="IF217" s="136"/>
      <c r="IG217" s="136"/>
      <c r="IH217" s="136"/>
      <c r="II217" s="136"/>
      <c r="IJ217" s="136"/>
      <c r="IK217" s="136"/>
      <c r="IL217" s="136"/>
      <c r="IM217" s="136"/>
      <c r="IN217" s="136"/>
      <c r="IO217" s="136"/>
      <c r="IP217" s="136"/>
      <c r="IQ217" s="136"/>
      <c r="IR217" s="136"/>
      <c r="IS217" s="136"/>
      <c r="IT217" s="136"/>
      <c r="IU217" s="136"/>
    </row>
    <row r="218" spans="1:255" s="16" customFormat="1" ht="96" customHeight="1" x14ac:dyDescent="0.2">
      <c r="A218" s="242" t="str">
        <f>'HECVAT - Full'!A218</f>
        <v>PHYS-01</v>
      </c>
      <c r="B218" s="242" t="str">
        <f>VLOOKUP(A218,'HECVAT - Full'!A$24:B$312,2,FALSE)</f>
        <v>Does your organization have physical security controls and policies in place?</v>
      </c>
      <c r="C218" s="275" t="s">
        <v>3048</v>
      </c>
      <c r="D218" s="248" t="s">
        <v>2920</v>
      </c>
    </row>
    <row r="219" spans="1:255" ht="105" x14ac:dyDescent="0.2">
      <c r="A219" s="242" t="str">
        <f>'HECVAT - Full'!A219</f>
        <v>PHYS-02</v>
      </c>
      <c r="B219" s="242" t="str">
        <f>VLOOKUP(A219,'HECVAT - Full'!A$24:B$312,2,FALSE)</f>
        <v>Are employees allowed to take home Institution's data in any form?</v>
      </c>
      <c r="C219" s="245" t="s">
        <v>2921</v>
      </c>
      <c r="D219" s="250" t="s">
        <v>2922</v>
      </c>
      <c r="E219" s="136"/>
      <c r="F219" s="13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c r="AC219" s="136"/>
      <c r="AD219" s="136"/>
      <c r="AE219" s="136"/>
      <c r="AF219" s="136"/>
      <c r="AG219" s="136"/>
      <c r="AH219" s="136"/>
      <c r="AI219" s="136"/>
      <c r="AJ219" s="136"/>
      <c r="AK219" s="136"/>
      <c r="AL219" s="136"/>
      <c r="AM219" s="136"/>
      <c r="AN219" s="136"/>
      <c r="AO219" s="136"/>
      <c r="AP219" s="136"/>
      <c r="AQ219" s="136"/>
      <c r="AR219" s="136"/>
      <c r="AS219" s="136"/>
      <c r="AT219" s="136"/>
      <c r="AU219" s="136"/>
      <c r="AV219" s="136"/>
      <c r="AW219" s="136"/>
      <c r="AX219" s="136"/>
      <c r="AY219" s="136"/>
      <c r="AZ219" s="136"/>
      <c r="BA219" s="136"/>
      <c r="BB219" s="136"/>
      <c r="BC219" s="136"/>
      <c r="BD219" s="136"/>
      <c r="BE219" s="136"/>
      <c r="BF219" s="136"/>
      <c r="BG219" s="136"/>
      <c r="BH219" s="136"/>
      <c r="BI219" s="136"/>
      <c r="BJ219" s="136"/>
      <c r="BK219" s="136"/>
      <c r="BL219" s="136"/>
      <c r="BM219" s="136"/>
      <c r="BN219" s="136"/>
      <c r="BO219" s="136"/>
      <c r="BP219" s="136"/>
      <c r="BQ219" s="136"/>
      <c r="BR219" s="136"/>
      <c r="BS219" s="136"/>
      <c r="BT219" s="136"/>
      <c r="BU219" s="136"/>
      <c r="BV219" s="136"/>
      <c r="BW219" s="136"/>
      <c r="BX219" s="136"/>
      <c r="BY219" s="136"/>
      <c r="BZ219" s="136"/>
      <c r="CA219" s="136"/>
      <c r="CB219" s="136"/>
      <c r="CC219" s="136"/>
      <c r="CD219" s="136"/>
      <c r="CE219" s="136"/>
      <c r="CF219" s="136"/>
      <c r="CG219" s="136"/>
      <c r="CH219" s="136"/>
      <c r="CI219" s="136"/>
      <c r="CJ219" s="136"/>
      <c r="CK219" s="136"/>
      <c r="CL219" s="136"/>
      <c r="CM219" s="136"/>
      <c r="CN219" s="136"/>
      <c r="CO219" s="136"/>
      <c r="CP219" s="136"/>
      <c r="CQ219" s="136"/>
      <c r="CR219" s="136"/>
      <c r="CS219" s="136"/>
      <c r="CT219" s="136"/>
      <c r="CU219" s="136"/>
      <c r="CV219" s="136"/>
      <c r="CW219" s="136"/>
      <c r="CX219" s="136"/>
      <c r="CY219" s="136"/>
      <c r="CZ219" s="136"/>
      <c r="DA219" s="136"/>
      <c r="DB219" s="136"/>
      <c r="DC219" s="136"/>
      <c r="DD219" s="136"/>
      <c r="DE219" s="136"/>
      <c r="DF219" s="136"/>
      <c r="DG219" s="136"/>
      <c r="DH219" s="136"/>
      <c r="DI219" s="136"/>
      <c r="DJ219" s="136"/>
      <c r="DK219" s="136"/>
      <c r="DL219" s="136"/>
      <c r="DM219" s="136"/>
      <c r="DN219" s="136"/>
      <c r="DO219" s="136"/>
      <c r="DP219" s="136"/>
      <c r="DQ219" s="136"/>
      <c r="DR219" s="136"/>
      <c r="DS219" s="136"/>
      <c r="DT219" s="136"/>
      <c r="DU219" s="136"/>
      <c r="DV219" s="136"/>
      <c r="DW219" s="136"/>
      <c r="DX219" s="136"/>
      <c r="DY219" s="136"/>
      <c r="DZ219" s="136"/>
      <c r="EA219" s="136"/>
      <c r="EB219" s="136"/>
      <c r="EC219" s="136"/>
      <c r="ED219" s="136"/>
      <c r="EE219" s="136"/>
      <c r="EF219" s="136"/>
      <c r="EG219" s="136"/>
      <c r="EH219" s="136"/>
      <c r="EI219" s="136"/>
      <c r="EJ219" s="136"/>
      <c r="EK219" s="136"/>
      <c r="EL219" s="136"/>
      <c r="EM219" s="136"/>
      <c r="EN219" s="136"/>
      <c r="EO219" s="136"/>
      <c r="EP219" s="136"/>
      <c r="EQ219" s="136"/>
      <c r="ER219" s="136"/>
      <c r="ES219" s="136"/>
      <c r="ET219" s="136"/>
      <c r="EU219" s="136"/>
      <c r="EV219" s="136"/>
      <c r="EW219" s="136"/>
      <c r="EX219" s="136"/>
      <c r="EY219" s="136"/>
      <c r="EZ219" s="136"/>
      <c r="FA219" s="136"/>
      <c r="FB219" s="136"/>
      <c r="FC219" s="136"/>
      <c r="FD219" s="136"/>
      <c r="FE219" s="136"/>
      <c r="FF219" s="136"/>
      <c r="FG219" s="136"/>
      <c r="FH219" s="136"/>
      <c r="FI219" s="136"/>
      <c r="FJ219" s="136"/>
      <c r="FK219" s="136"/>
      <c r="FL219" s="136"/>
      <c r="FM219" s="136"/>
      <c r="FN219" s="136"/>
      <c r="FO219" s="136"/>
      <c r="FP219" s="136"/>
      <c r="FQ219" s="136"/>
      <c r="FR219" s="136"/>
      <c r="FS219" s="136"/>
      <c r="FT219" s="136"/>
      <c r="FU219" s="136"/>
      <c r="FV219" s="136"/>
      <c r="FW219" s="136"/>
      <c r="FX219" s="136"/>
      <c r="FY219" s="136"/>
      <c r="FZ219" s="136"/>
      <c r="GA219" s="136"/>
      <c r="GB219" s="136"/>
      <c r="GC219" s="136"/>
      <c r="GD219" s="136"/>
      <c r="GE219" s="136"/>
      <c r="GF219" s="136"/>
      <c r="GG219" s="136"/>
      <c r="GH219" s="136"/>
      <c r="GI219" s="136"/>
      <c r="GJ219" s="136"/>
      <c r="GK219" s="136"/>
      <c r="GL219" s="136"/>
      <c r="GM219" s="136"/>
      <c r="GN219" s="136"/>
      <c r="GO219" s="136"/>
      <c r="GP219" s="136"/>
      <c r="GQ219" s="136"/>
      <c r="GR219" s="136"/>
      <c r="GS219" s="136"/>
      <c r="GT219" s="136"/>
      <c r="GU219" s="136"/>
      <c r="GV219" s="136"/>
      <c r="GW219" s="136"/>
      <c r="GX219" s="136"/>
      <c r="GY219" s="136"/>
      <c r="GZ219" s="136"/>
      <c r="HA219" s="136"/>
      <c r="HB219" s="136"/>
      <c r="HC219" s="136"/>
      <c r="HD219" s="136"/>
      <c r="HE219" s="136"/>
      <c r="HF219" s="136"/>
      <c r="HG219" s="136"/>
      <c r="HH219" s="136"/>
      <c r="HI219" s="136"/>
      <c r="HJ219" s="136"/>
      <c r="HK219" s="136"/>
      <c r="HL219" s="136"/>
      <c r="HM219" s="136"/>
      <c r="HN219" s="136"/>
      <c r="HO219" s="136"/>
      <c r="HP219" s="136"/>
      <c r="HQ219" s="136"/>
      <c r="HR219" s="136"/>
      <c r="HS219" s="136"/>
      <c r="HT219" s="136"/>
      <c r="HU219" s="136"/>
      <c r="HV219" s="136"/>
      <c r="HW219" s="136"/>
      <c r="HX219" s="136"/>
      <c r="HY219" s="136"/>
      <c r="HZ219" s="136"/>
      <c r="IA219" s="136"/>
      <c r="IB219" s="136"/>
      <c r="IC219" s="136"/>
      <c r="ID219" s="136"/>
      <c r="IE219" s="136"/>
      <c r="IF219" s="136"/>
      <c r="IG219" s="136"/>
      <c r="IH219" s="136"/>
      <c r="II219" s="136"/>
      <c r="IJ219" s="136"/>
      <c r="IK219" s="136"/>
      <c r="IL219" s="136"/>
      <c r="IM219" s="136"/>
      <c r="IN219" s="136"/>
      <c r="IO219" s="136"/>
      <c r="IP219" s="136"/>
      <c r="IQ219" s="136"/>
      <c r="IR219" s="136"/>
      <c r="IS219" s="136"/>
      <c r="IT219" s="136"/>
      <c r="IU219" s="136"/>
    </row>
    <row r="220" spans="1:255" ht="48" customHeight="1" x14ac:dyDescent="0.2">
      <c r="A220" s="242" t="str">
        <f>'HECVAT - Full'!A220</f>
        <v>PHYS-03</v>
      </c>
      <c r="B220" s="242" t="str">
        <f>VLOOKUP(A220,'HECVAT - Full'!A$24:B$312,2,FALSE)</f>
        <v>Are video monitoring feeds retained?</v>
      </c>
      <c r="C220" s="243" t="s">
        <v>2923</v>
      </c>
      <c r="D220" s="253" t="s">
        <v>2924</v>
      </c>
      <c r="E220" s="136"/>
      <c r="F220" s="136"/>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c r="AC220" s="136"/>
      <c r="AD220" s="136"/>
      <c r="AE220" s="136"/>
      <c r="AF220" s="136"/>
      <c r="AG220" s="136"/>
      <c r="AH220" s="136"/>
      <c r="AI220" s="136"/>
      <c r="AJ220" s="136"/>
      <c r="AK220" s="136"/>
      <c r="AL220" s="136"/>
      <c r="AM220" s="136"/>
      <c r="AN220" s="136"/>
      <c r="AO220" s="136"/>
      <c r="AP220" s="136"/>
      <c r="AQ220" s="136"/>
      <c r="AR220" s="136"/>
      <c r="AS220" s="136"/>
      <c r="AT220" s="136"/>
      <c r="AU220" s="136"/>
      <c r="AV220" s="136"/>
      <c r="AW220" s="136"/>
      <c r="AX220" s="136"/>
      <c r="AY220" s="136"/>
      <c r="AZ220" s="136"/>
      <c r="BA220" s="136"/>
      <c r="BB220" s="136"/>
      <c r="BC220" s="136"/>
      <c r="BD220" s="136"/>
      <c r="BE220" s="136"/>
      <c r="BF220" s="136"/>
      <c r="BG220" s="136"/>
      <c r="BH220" s="136"/>
      <c r="BI220" s="136"/>
      <c r="BJ220" s="136"/>
      <c r="BK220" s="136"/>
      <c r="BL220" s="136"/>
      <c r="BM220" s="136"/>
      <c r="BN220" s="136"/>
      <c r="BO220" s="136"/>
      <c r="BP220" s="136"/>
      <c r="BQ220" s="136"/>
      <c r="BR220" s="136"/>
      <c r="BS220" s="136"/>
      <c r="BT220" s="136"/>
      <c r="BU220" s="136"/>
      <c r="BV220" s="136"/>
      <c r="BW220" s="136"/>
      <c r="BX220" s="136"/>
      <c r="BY220" s="136"/>
      <c r="BZ220" s="136"/>
      <c r="CA220" s="136"/>
      <c r="CB220" s="136"/>
      <c r="CC220" s="136"/>
      <c r="CD220" s="136"/>
      <c r="CE220" s="136"/>
      <c r="CF220" s="136"/>
      <c r="CG220" s="136"/>
      <c r="CH220" s="136"/>
      <c r="CI220" s="136"/>
      <c r="CJ220" s="136"/>
      <c r="CK220" s="136"/>
      <c r="CL220" s="136"/>
      <c r="CM220" s="136"/>
      <c r="CN220" s="136"/>
      <c r="CO220" s="136"/>
      <c r="CP220" s="136"/>
      <c r="CQ220" s="136"/>
      <c r="CR220" s="136"/>
      <c r="CS220" s="136"/>
      <c r="CT220" s="136"/>
      <c r="CU220" s="136"/>
      <c r="CV220" s="136"/>
      <c r="CW220" s="136"/>
      <c r="CX220" s="136"/>
      <c r="CY220" s="136"/>
      <c r="CZ220" s="136"/>
      <c r="DA220" s="136"/>
      <c r="DB220" s="136"/>
      <c r="DC220" s="136"/>
      <c r="DD220" s="136"/>
      <c r="DE220" s="136"/>
      <c r="DF220" s="136"/>
      <c r="DG220" s="136"/>
      <c r="DH220" s="136"/>
      <c r="DI220" s="136"/>
      <c r="DJ220" s="136"/>
      <c r="DK220" s="136"/>
      <c r="DL220" s="136"/>
      <c r="DM220" s="136"/>
      <c r="DN220" s="136"/>
      <c r="DO220" s="136"/>
      <c r="DP220" s="136"/>
      <c r="DQ220" s="136"/>
      <c r="DR220" s="136"/>
      <c r="DS220" s="136"/>
      <c r="DT220" s="136"/>
      <c r="DU220" s="136"/>
      <c r="DV220" s="136"/>
      <c r="DW220" s="136"/>
      <c r="DX220" s="136"/>
      <c r="DY220" s="136"/>
      <c r="DZ220" s="136"/>
      <c r="EA220" s="136"/>
      <c r="EB220" s="136"/>
      <c r="EC220" s="136"/>
      <c r="ED220" s="136"/>
      <c r="EE220" s="136"/>
      <c r="EF220" s="136"/>
      <c r="EG220" s="136"/>
      <c r="EH220" s="136"/>
      <c r="EI220" s="136"/>
      <c r="EJ220" s="136"/>
      <c r="EK220" s="136"/>
      <c r="EL220" s="136"/>
      <c r="EM220" s="136"/>
      <c r="EN220" s="136"/>
      <c r="EO220" s="136"/>
      <c r="EP220" s="136"/>
      <c r="EQ220" s="136"/>
      <c r="ER220" s="136"/>
      <c r="ES220" s="136"/>
      <c r="ET220" s="136"/>
      <c r="EU220" s="136"/>
      <c r="EV220" s="136"/>
      <c r="EW220" s="136"/>
      <c r="EX220" s="136"/>
      <c r="EY220" s="136"/>
      <c r="EZ220" s="136"/>
      <c r="FA220" s="136"/>
      <c r="FB220" s="136"/>
      <c r="FC220" s="136"/>
      <c r="FD220" s="136"/>
      <c r="FE220" s="136"/>
      <c r="FF220" s="136"/>
      <c r="FG220" s="136"/>
      <c r="FH220" s="136"/>
      <c r="FI220" s="136"/>
      <c r="FJ220" s="136"/>
      <c r="FK220" s="136"/>
      <c r="FL220" s="136"/>
      <c r="FM220" s="136"/>
      <c r="FN220" s="136"/>
      <c r="FO220" s="136"/>
      <c r="FP220" s="136"/>
      <c r="FQ220" s="136"/>
      <c r="FR220" s="136"/>
      <c r="FS220" s="136"/>
      <c r="FT220" s="136"/>
      <c r="FU220" s="136"/>
      <c r="FV220" s="136"/>
      <c r="FW220" s="136"/>
      <c r="FX220" s="136"/>
      <c r="FY220" s="136"/>
      <c r="FZ220" s="136"/>
      <c r="GA220" s="136"/>
      <c r="GB220" s="136"/>
      <c r="GC220" s="136"/>
      <c r="GD220" s="136"/>
      <c r="GE220" s="136"/>
      <c r="GF220" s="136"/>
      <c r="GG220" s="136"/>
      <c r="GH220" s="136"/>
      <c r="GI220" s="136"/>
      <c r="GJ220" s="136"/>
      <c r="GK220" s="136"/>
      <c r="GL220" s="136"/>
      <c r="GM220" s="136"/>
      <c r="GN220" s="136"/>
      <c r="GO220" s="136"/>
      <c r="GP220" s="136"/>
      <c r="GQ220" s="136"/>
      <c r="GR220" s="136"/>
      <c r="GS220" s="136"/>
      <c r="GT220" s="136"/>
      <c r="GU220" s="136"/>
      <c r="GV220" s="136"/>
      <c r="GW220" s="136"/>
      <c r="GX220" s="136"/>
      <c r="GY220" s="136"/>
      <c r="GZ220" s="136"/>
      <c r="HA220" s="136"/>
      <c r="HB220" s="136"/>
      <c r="HC220" s="136"/>
      <c r="HD220" s="136"/>
      <c r="HE220" s="136"/>
      <c r="HF220" s="136"/>
      <c r="HG220" s="136"/>
      <c r="HH220" s="136"/>
      <c r="HI220" s="136"/>
      <c r="HJ220" s="136"/>
      <c r="HK220" s="136"/>
      <c r="HL220" s="136"/>
      <c r="HM220" s="136"/>
      <c r="HN220" s="136"/>
      <c r="HO220" s="136"/>
      <c r="HP220" s="136"/>
      <c r="HQ220" s="136"/>
      <c r="HR220" s="136"/>
      <c r="HS220" s="136"/>
      <c r="HT220" s="136"/>
      <c r="HU220" s="136"/>
      <c r="HV220" s="136"/>
      <c r="HW220" s="136"/>
      <c r="HX220" s="136"/>
      <c r="HY220" s="136"/>
      <c r="HZ220" s="136"/>
      <c r="IA220" s="136"/>
      <c r="IB220" s="136"/>
      <c r="IC220" s="136"/>
      <c r="ID220" s="136"/>
      <c r="IE220" s="136"/>
      <c r="IF220" s="136"/>
      <c r="IG220" s="136"/>
      <c r="IH220" s="136"/>
      <c r="II220" s="136"/>
      <c r="IJ220" s="136"/>
      <c r="IK220" s="136"/>
      <c r="IL220" s="136"/>
      <c r="IM220" s="136"/>
      <c r="IN220" s="136"/>
      <c r="IO220" s="136"/>
      <c r="IP220" s="136"/>
      <c r="IQ220" s="136"/>
      <c r="IR220" s="136"/>
      <c r="IS220" s="136"/>
      <c r="IT220" s="136"/>
      <c r="IU220" s="136"/>
    </row>
    <row r="221" spans="1:255" ht="48" customHeight="1" x14ac:dyDescent="0.2">
      <c r="A221" s="242" t="str">
        <f>'HECVAT - Full'!A221</f>
        <v>PHYS-04</v>
      </c>
      <c r="B221" s="242" t="str">
        <f>VLOOKUP(A221,'HECVAT - Full'!A$24:B$312,2,FALSE)</f>
        <v>Are video feeds monitored by datacenter staff?</v>
      </c>
      <c r="C221" s="243" t="s">
        <v>2923</v>
      </c>
      <c r="D221" s="253" t="s">
        <v>2925</v>
      </c>
      <c r="E221" s="136"/>
      <c r="F221" s="136"/>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c r="AC221" s="136"/>
      <c r="AD221" s="136"/>
      <c r="AE221" s="136"/>
      <c r="AF221" s="136"/>
      <c r="AG221" s="136"/>
      <c r="AH221" s="136"/>
      <c r="AI221" s="136"/>
      <c r="AJ221" s="136"/>
      <c r="AK221" s="136"/>
      <c r="AL221" s="136"/>
      <c r="AM221" s="136"/>
      <c r="AN221" s="136"/>
      <c r="AO221" s="136"/>
      <c r="AP221" s="136"/>
      <c r="AQ221" s="136"/>
      <c r="AR221" s="136"/>
      <c r="AS221" s="136"/>
      <c r="AT221" s="136"/>
      <c r="AU221" s="136"/>
      <c r="AV221" s="136"/>
      <c r="AW221" s="136"/>
      <c r="AX221" s="136"/>
      <c r="AY221" s="136"/>
      <c r="AZ221" s="136"/>
      <c r="BA221" s="136"/>
      <c r="BB221" s="136"/>
      <c r="BC221" s="136"/>
      <c r="BD221" s="136"/>
      <c r="BE221" s="136"/>
      <c r="BF221" s="136"/>
      <c r="BG221" s="136"/>
      <c r="BH221" s="136"/>
      <c r="BI221" s="136"/>
      <c r="BJ221" s="136"/>
      <c r="BK221" s="136"/>
      <c r="BL221" s="136"/>
      <c r="BM221" s="136"/>
      <c r="BN221" s="136"/>
      <c r="BO221" s="136"/>
      <c r="BP221" s="136"/>
      <c r="BQ221" s="136"/>
      <c r="BR221" s="136"/>
      <c r="BS221" s="136"/>
      <c r="BT221" s="136"/>
      <c r="BU221" s="136"/>
      <c r="BV221" s="136"/>
      <c r="BW221" s="136"/>
      <c r="BX221" s="136"/>
      <c r="BY221" s="136"/>
      <c r="BZ221" s="136"/>
      <c r="CA221" s="136"/>
      <c r="CB221" s="136"/>
      <c r="CC221" s="136"/>
      <c r="CD221" s="136"/>
      <c r="CE221" s="136"/>
      <c r="CF221" s="136"/>
      <c r="CG221" s="136"/>
      <c r="CH221" s="136"/>
      <c r="CI221" s="136"/>
      <c r="CJ221" s="136"/>
      <c r="CK221" s="136"/>
      <c r="CL221" s="136"/>
      <c r="CM221" s="136"/>
      <c r="CN221" s="136"/>
      <c r="CO221" s="136"/>
      <c r="CP221" s="136"/>
      <c r="CQ221" s="136"/>
      <c r="CR221" s="136"/>
      <c r="CS221" s="136"/>
      <c r="CT221" s="136"/>
      <c r="CU221" s="136"/>
      <c r="CV221" s="136"/>
      <c r="CW221" s="136"/>
      <c r="CX221" s="136"/>
      <c r="CY221" s="136"/>
      <c r="CZ221" s="136"/>
      <c r="DA221" s="136"/>
      <c r="DB221" s="136"/>
      <c r="DC221" s="136"/>
      <c r="DD221" s="136"/>
      <c r="DE221" s="136"/>
      <c r="DF221" s="136"/>
      <c r="DG221" s="136"/>
      <c r="DH221" s="136"/>
      <c r="DI221" s="136"/>
      <c r="DJ221" s="136"/>
      <c r="DK221" s="136"/>
      <c r="DL221" s="136"/>
      <c r="DM221" s="136"/>
      <c r="DN221" s="136"/>
      <c r="DO221" s="136"/>
      <c r="DP221" s="136"/>
      <c r="DQ221" s="136"/>
      <c r="DR221" s="136"/>
      <c r="DS221" s="136"/>
      <c r="DT221" s="136"/>
      <c r="DU221" s="136"/>
      <c r="DV221" s="136"/>
      <c r="DW221" s="136"/>
      <c r="DX221" s="136"/>
      <c r="DY221" s="136"/>
      <c r="DZ221" s="136"/>
      <c r="EA221" s="136"/>
      <c r="EB221" s="136"/>
      <c r="EC221" s="136"/>
      <c r="ED221" s="136"/>
      <c r="EE221" s="136"/>
      <c r="EF221" s="136"/>
      <c r="EG221" s="136"/>
      <c r="EH221" s="136"/>
      <c r="EI221" s="136"/>
      <c r="EJ221" s="136"/>
      <c r="EK221" s="136"/>
      <c r="EL221" s="136"/>
      <c r="EM221" s="136"/>
      <c r="EN221" s="136"/>
      <c r="EO221" s="136"/>
      <c r="EP221" s="136"/>
      <c r="EQ221" s="136"/>
      <c r="ER221" s="136"/>
      <c r="ES221" s="136"/>
      <c r="ET221" s="136"/>
      <c r="EU221" s="136"/>
      <c r="EV221" s="136"/>
      <c r="EW221" s="136"/>
      <c r="EX221" s="136"/>
      <c r="EY221" s="136"/>
      <c r="EZ221" s="136"/>
      <c r="FA221" s="136"/>
      <c r="FB221" s="136"/>
      <c r="FC221" s="136"/>
      <c r="FD221" s="136"/>
      <c r="FE221" s="136"/>
      <c r="FF221" s="136"/>
      <c r="FG221" s="136"/>
      <c r="FH221" s="136"/>
      <c r="FI221" s="136"/>
      <c r="FJ221" s="136"/>
      <c r="FK221" s="136"/>
      <c r="FL221" s="136"/>
      <c r="FM221" s="136"/>
      <c r="FN221" s="136"/>
      <c r="FO221" s="136"/>
      <c r="FP221" s="136"/>
      <c r="FQ221" s="136"/>
      <c r="FR221" s="136"/>
      <c r="FS221" s="136"/>
      <c r="FT221" s="136"/>
      <c r="FU221" s="136"/>
      <c r="FV221" s="136"/>
      <c r="FW221" s="136"/>
      <c r="FX221" s="136"/>
      <c r="FY221" s="136"/>
      <c r="FZ221" s="136"/>
      <c r="GA221" s="136"/>
      <c r="GB221" s="136"/>
      <c r="GC221" s="136"/>
      <c r="GD221" s="136"/>
      <c r="GE221" s="136"/>
      <c r="GF221" s="136"/>
      <c r="GG221" s="136"/>
      <c r="GH221" s="136"/>
      <c r="GI221" s="136"/>
      <c r="GJ221" s="136"/>
      <c r="GK221" s="136"/>
      <c r="GL221" s="136"/>
      <c r="GM221" s="136"/>
      <c r="GN221" s="136"/>
      <c r="GO221" s="136"/>
      <c r="GP221" s="136"/>
      <c r="GQ221" s="136"/>
      <c r="GR221" s="136"/>
      <c r="GS221" s="136"/>
      <c r="GT221" s="136"/>
      <c r="GU221" s="136"/>
      <c r="GV221" s="136"/>
      <c r="GW221" s="136"/>
      <c r="GX221" s="136"/>
      <c r="GY221" s="136"/>
      <c r="GZ221" s="136"/>
      <c r="HA221" s="136"/>
      <c r="HB221" s="136"/>
      <c r="HC221" s="136"/>
      <c r="HD221" s="136"/>
      <c r="HE221" s="136"/>
      <c r="HF221" s="136"/>
      <c r="HG221" s="136"/>
      <c r="HH221" s="136"/>
      <c r="HI221" s="136"/>
      <c r="HJ221" s="136"/>
      <c r="HK221" s="136"/>
      <c r="HL221" s="136"/>
      <c r="HM221" s="136"/>
      <c r="HN221" s="136"/>
      <c r="HO221" s="136"/>
      <c r="HP221" s="136"/>
      <c r="HQ221" s="136"/>
      <c r="HR221" s="136"/>
      <c r="HS221" s="136"/>
      <c r="HT221" s="136"/>
      <c r="HU221" s="136"/>
      <c r="HV221" s="136"/>
      <c r="HW221" s="136"/>
      <c r="HX221" s="136"/>
      <c r="HY221" s="136"/>
      <c r="HZ221" s="136"/>
      <c r="IA221" s="136"/>
      <c r="IB221" s="136"/>
      <c r="IC221" s="136"/>
      <c r="ID221" s="136"/>
      <c r="IE221" s="136"/>
      <c r="IF221" s="136"/>
      <c r="IG221" s="136"/>
      <c r="IH221" s="136"/>
      <c r="II221" s="136"/>
      <c r="IJ221" s="136"/>
      <c r="IK221" s="136"/>
      <c r="IL221" s="136"/>
      <c r="IM221" s="136"/>
      <c r="IN221" s="136"/>
      <c r="IO221" s="136"/>
      <c r="IP221" s="136"/>
      <c r="IQ221" s="136"/>
      <c r="IR221" s="136"/>
      <c r="IS221" s="136"/>
      <c r="IT221" s="136"/>
      <c r="IU221" s="136"/>
    </row>
    <row r="222" spans="1:255" ht="84" customHeight="1" x14ac:dyDescent="0.2">
      <c r="A222" s="242" t="str">
        <f>'HECVAT - Full'!A222</f>
        <v>PHYS-05</v>
      </c>
      <c r="B222" s="242" t="str">
        <f>VLOOKUP(A222,'HECVAT - Full'!A$24:B$312,2,FALSE)</f>
        <v>Are individuals required to sign in/out for installation and removal of equipment?</v>
      </c>
      <c r="C222" s="245" t="s">
        <v>2926</v>
      </c>
      <c r="D222" s="249" t="s">
        <v>2848</v>
      </c>
      <c r="E222" s="136"/>
      <c r="F222" s="136"/>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c r="AC222" s="136"/>
      <c r="AD222" s="136"/>
      <c r="AE222" s="136"/>
      <c r="AF222" s="136"/>
      <c r="AG222" s="136"/>
      <c r="AH222" s="136"/>
      <c r="AI222" s="136"/>
      <c r="AJ222" s="136"/>
      <c r="AK222" s="136"/>
      <c r="AL222" s="136"/>
      <c r="AM222" s="136"/>
      <c r="AN222" s="136"/>
      <c r="AO222" s="136"/>
      <c r="AP222" s="136"/>
      <c r="AQ222" s="136"/>
      <c r="AR222" s="136"/>
      <c r="AS222" s="136"/>
      <c r="AT222" s="136"/>
      <c r="AU222" s="136"/>
      <c r="AV222" s="136"/>
      <c r="AW222" s="136"/>
      <c r="AX222" s="136"/>
      <c r="AY222" s="136"/>
      <c r="AZ222" s="136"/>
      <c r="BA222" s="136"/>
      <c r="BB222" s="136"/>
      <c r="BC222" s="136"/>
      <c r="BD222" s="136"/>
      <c r="BE222" s="136"/>
      <c r="BF222" s="136"/>
      <c r="BG222" s="136"/>
      <c r="BH222" s="136"/>
      <c r="BI222" s="136"/>
      <c r="BJ222" s="136"/>
      <c r="BK222" s="136"/>
      <c r="BL222" s="136"/>
      <c r="BM222" s="136"/>
      <c r="BN222" s="136"/>
      <c r="BO222" s="136"/>
      <c r="BP222" s="136"/>
      <c r="BQ222" s="136"/>
      <c r="BR222" s="136"/>
      <c r="BS222" s="136"/>
      <c r="BT222" s="136"/>
      <c r="BU222" s="136"/>
      <c r="BV222" s="136"/>
      <c r="BW222" s="136"/>
      <c r="BX222" s="136"/>
      <c r="BY222" s="136"/>
      <c r="BZ222" s="136"/>
      <c r="CA222" s="136"/>
      <c r="CB222" s="136"/>
      <c r="CC222" s="136"/>
      <c r="CD222" s="136"/>
      <c r="CE222" s="136"/>
      <c r="CF222" s="136"/>
      <c r="CG222" s="136"/>
      <c r="CH222" s="136"/>
      <c r="CI222" s="136"/>
      <c r="CJ222" s="136"/>
      <c r="CK222" s="136"/>
      <c r="CL222" s="136"/>
      <c r="CM222" s="136"/>
      <c r="CN222" s="136"/>
      <c r="CO222" s="136"/>
      <c r="CP222" s="136"/>
      <c r="CQ222" s="136"/>
      <c r="CR222" s="136"/>
      <c r="CS222" s="136"/>
      <c r="CT222" s="136"/>
      <c r="CU222" s="136"/>
      <c r="CV222" s="136"/>
      <c r="CW222" s="136"/>
      <c r="CX222" s="136"/>
      <c r="CY222" s="136"/>
      <c r="CZ222" s="136"/>
      <c r="DA222" s="136"/>
      <c r="DB222" s="136"/>
      <c r="DC222" s="136"/>
      <c r="DD222" s="136"/>
      <c r="DE222" s="136"/>
      <c r="DF222" s="136"/>
      <c r="DG222" s="136"/>
      <c r="DH222" s="136"/>
      <c r="DI222" s="136"/>
      <c r="DJ222" s="136"/>
      <c r="DK222" s="136"/>
      <c r="DL222" s="136"/>
      <c r="DM222" s="136"/>
      <c r="DN222" s="136"/>
      <c r="DO222" s="136"/>
      <c r="DP222" s="136"/>
      <c r="DQ222" s="136"/>
      <c r="DR222" s="136"/>
      <c r="DS222" s="136"/>
      <c r="DT222" s="136"/>
      <c r="DU222" s="136"/>
      <c r="DV222" s="136"/>
      <c r="DW222" s="136"/>
      <c r="DX222" s="136"/>
      <c r="DY222" s="136"/>
      <c r="DZ222" s="136"/>
      <c r="EA222" s="136"/>
      <c r="EB222" s="136"/>
      <c r="EC222" s="136"/>
      <c r="ED222" s="136"/>
      <c r="EE222" s="136"/>
      <c r="EF222" s="136"/>
      <c r="EG222" s="136"/>
      <c r="EH222" s="136"/>
      <c r="EI222" s="136"/>
      <c r="EJ222" s="136"/>
      <c r="EK222" s="136"/>
      <c r="EL222" s="136"/>
      <c r="EM222" s="136"/>
      <c r="EN222" s="136"/>
      <c r="EO222" s="136"/>
      <c r="EP222" s="136"/>
      <c r="EQ222" s="136"/>
      <c r="ER222" s="136"/>
      <c r="ES222" s="136"/>
      <c r="ET222" s="136"/>
      <c r="EU222" s="136"/>
      <c r="EV222" s="136"/>
      <c r="EW222" s="136"/>
      <c r="EX222" s="136"/>
      <c r="EY222" s="136"/>
      <c r="EZ222" s="136"/>
      <c r="FA222" s="136"/>
      <c r="FB222" s="136"/>
      <c r="FC222" s="136"/>
      <c r="FD222" s="136"/>
      <c r="FE222" s="136"/>
      <c r="FF222" s="136"/>
      <c r="FG222" s="136"/>
      <c r="FH222" s="136"/>
      <c r="FI222" s="136"/>
      <c r="FJ222" s="136"/>
      <c r="FK222" s="136"/>
      <c r="FL222" s="136"/>
      <c r="FM222" s="136"/>
      <c r="FN222" s="136"/>
      <c r="FO222" s="136"/>
      <c r="FP222" s="136"/>
      <c r="FQ222" s="136"/>
      <c r="FR222" s="136"/>
      <c r="FS222" s="136"/>
      <c r="FT222" s="136"/>
      <c r="FU222" s="136"/>
      <c r="FV222" s="136"/>
      <c r="FW222" s="136"/>
      <c r="FX222" s="136"/>
      <c r="FY222" s="136"/>
      <c r="FZ222" s="136"/>
      <c r="GA222" s="136"/>
      <c r="GB222" s="136"/>
      <c r="GC222" s="136"/>
      <c r="GD222" s="136"/>
      <c r="GE222" s="136"/>
      <c r="GF222" s="136"/>
      <c r="GG222" s="136"/>
      <c r="GH222" s="136"/>
      <c r="GI222" s="136"/>
      <c r="GJ222" s="136"/>
      <c r="GK222" s="136"/>
      <c r="GL222" s="136"/>
      <c r="GM222" s="136"/>
      <c r="GN222" s="136"/>
      <c r="GO222" s="136"/>
      <c r="GP222" s="136"/>
      <c r="GQ222" s="136"/>
      <c r="GR222" s="136"/>
      <c r="GS222" s="136"/>
      <c r="GT222" s="136"/>
      <c r="GU222" s="136"/>
      <c r="GV222" s="136"/>
      <c r="GW222" s="136"/>
      <c r="GX222" s="136"/>
      <c r="GY222" s="136"/>
      <c r="GZ222" s="136"/>
      <c r="HA222" s="136"/>
      <c r="HB222" s="136"/>
      <c r="HC222" s="136"/>
      <c r="HD222" s="136"/>
      <c r="HE222" s="136"/>
      <c r="HF222" s="136"/>
      <c r="HG222" s="136"/>
      <c r="HH222" s="136"/>
      <c r="HI222" s="136"/>
      <c r="HJ222" s="136"/>
      <c r="HK222" s="136"/>
      <c r="HL222" s="136"/>
      <c r="HM222" s="136"/>
      <c r="HN222" s="136"/>
      <c r="HO222" s="136"/>
      <c r="HP222" s="136"/>
      <c r="HQ222" s="136"/>
      <c r="HR222" s="136"/>
      <c r="HS222" s="136"/>
      <c r="HT222" s="136"/>
      <c r="HU222" s="136"/>
      <c r="HV222" s="136"/>
      <c r="HW222" s="136"/>
      <c r="HX222" s="136"/>
      <c r="HY222" s="136"/>
      <c r="HZ222" s="136"/>
      <c r="IA222" s="136"/>
      <c r="IB222" s="136"/>
      <c r="IC222" s="136"/>
      <c r="ID222" s="136"/>
      <c r="IE222" s="136"/>
      <c r="IF222" s="136"/>
      <c r="IG222" s="136"/>
      <c r="IH222" s="136"/>
      <c r="II222" s="136"/>
      <c r="IJ222" s="136"/>
      <c r="IK222" s="136"/>
      <c r="IL222" s="136"/>
      <c r="IM222" s="136"/>
      <c r="IN222" s="136"/>
      <c r="IO222" s="136"/>
      <c r="IP222" s="136"/>
      <c r="IQ222" s="136"/>
      <c r="IR222" s="136"/>
      <c r="IS222" s="136"/>
      <c r="IT222" s="136"/>
      <c r="IU222" s="136"/>
    </row>
    <row r="223" spans="1:255" ht="36" customHeight="1" x14ac:dyDescent="0.2">
      <c r="A223" s="335" t="str">
        <f>IF($C$30="","Policies, Procedures, and Processes",IF($C$30="Yes","Pol/Pro/Proc - Optional based on QUALIFIER response.","Policies, Procedures, and Processes"))</f>
        <v>Policies, Procedures, and Processes</v>
      </c>
      <c r="B223" s="335"/>
      <c r="C223" s="240" t="str">
        <f>$C$22</f>
        <v>Reason for Question</v>
      </c>
      <c r="D223" s="240" t="str">
        <f>$D$22</f>
        <v>Follow-up Inquiries/Responses</v>
      </c>
      <c r="E223" s="136"/>
      <c r="F223" s="13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c r="AC223" s="136"/>
      <c r="AD223" s="136"/>
      <c r="AE223" s="136"/>
      <c r="AF223" s="136"/>
      <c r="AG223" s="136"/>
      <c r="AH223" s="136"/>
      <c r="AI223" s="136"/>
      <c r="AJ223" s="136"/>
      <c r="AK223" s="136"/>
      <c r="AL223" s="136"/>
      <c r="AM223" s="136"/>
      <c r="AN223" s="136"/>
      <c r="AO223" s="136"/>
      <c r="AP223" s="136"/>
      <c r="AQ223" s="136"/>
      <c r="AR223" s="136"/>
      <c r="AS223" s="136"/>
      <c r="AT223" s="136"/>
      <c r="AU223" s="136"/>
      <c r="AV223" s="136"/>
      <c r="AW223" s="136"/>
      <c r="AX223" s="136"/>
      <c r="AY223" s="136"/>
      <c r="AZ223" s="136"/>
      <c r="BA223" s="136"/>
      <c r="BB223" s="136"/>
      <c r="BC223" s="136"/>
      <c r="BD223" s="136"/>
      <c r="BE223" s="136"/>
      <c r="BF223" s="136"/>
      <c r="BG223" s="136"/>
      <c r="BH223" s="136"/>
      <c r="BI223" s="136"/>
      <c r="BJ223" s="136"/>
      <c r="BK223" s="136"/>
      <c r="BL223" s="136"/>
      <c r="BM223" s="136"/>
      <c r="BN223" s="136"/>
      <c r="BO223" s="136"/>
      <c r="BP223" s="136"/>
      <c r="BQ223" s="136"/>
      <c r="BR223" s="136"/>
      <c r="BS223" s="136"/>
      <c r="BT223" s="136"/>
      <c r="BU223" s="136"/>
      <c r="BV223" s="136"/>
      <c r="BW223" s="136"/>
      <c r="BX223" s="136"/>
      <c r="BY223" s="136"/>
      <c r="BZ223" s="136"/>
      <c r="CA223" s="136"/>
      <c r="CB223" s="136"/>
      <c r="CC223" s="136"/>
      <c r="CD223" s="136"/>
      <c r="CE223" s="136"/>
      <c r="CF223" s="136"/>
      <c r="CG223" s="136"/>
      <c r="CH223" s="136"/>
      <c r="CI223" s="136"/>
      <c r="CJ223" s="136"/>
      <c r="CK223" s="136"/>
      <c r="CL223" s="136"/>
      <c r="CM223" s="136"/>
      <c r="CN223" s="136"/>
      <c r="CO223" s="136"/>
      <c r="CP223" s="136"/>
      <c r="CQ223" s="136"/>
      <c r="CR223" s="136"/>
      <c r="CS223" s="136"/>
      <c r="CT223" s="136"/>
      <c r="CU223" s="136"/>
      <c r="CV223" s="136"/>
      <c r="CW223" s="136"/>
      <c r="CX223" s="136"/>
      <c r="CY223" s="136"/>
      <c r="CZ223" s="136"/>
      <c r="DA223" s="136"/>
      <c r="DB223" s="136"/>
      <c r="DC223" s="136"/>
      <c r="DD223" s="136"/>
      <c r="DE223" s="136"/>
      <c r="DF223" s="136"/>
      <c r="DG223" s="136"/>
      <c r="DH223" s="136"/>
      <c r="DI223" s="136"/>
      <c r="DJ223" s="136"/>
      <c r="DK223" s="136"/>
      <c r="DL223" s="136"/>
      <c r="DM223" s="136"/>
      <c r="DN223" s="136"/>
      <c r="DO223" s="136"/>
      <c r="DP223" s="136"/>
      <c r="DQ223" s="136"/>
      <c r="DR223" s="136"/>
      <c r="DS223" s="136"/>
      <c r="DT223" s="136"/>
      <c r="DU223" s="136"/>
      <c r="DV223" s="136"/>
      <c r="DW223" s="136"/>
      <c r="DX223" s="136"/>
      <c r="DY223" s="136"/>
      <c r="DZ223" s="136"/>
      <c r="EA223" s="136"/>
      <c r="EB223" s="136"/>
      <c r="EC223" s="136"/>
      <c r="ED223" s="136"/>
      <c r="EE223" s="136"/>
      <c r="EF223" s="136"/>
      <c r="EG223" s="136"/>
      <c r="EH223" s="136"/>
      <c r="EI223" s="136"/>
      <c r="EJ223" s="136"/>
      <c r="EK223" s="136"/>
      <c r="EL223" s="136"/>
      <c r="EM223" s="136"/>
      <c r="EN223" s="136"/>
      <c r="EO223" s="136"/>
      <c r="EP223" s="136"/>
      <c r="EQ223" s="136"/>
      <c r="ER223" s="136"/>
      <c r="ES223" s="136"/>
      <c r="ET223" s="136"/>
      <c r="EU223" s="136"/>
      <c r="EV223" s="136"/>
      <c r="EW223" s="136"/>
      <c r="EX223" s="136"/>
      <c r="EY223" s="136"/>
      <c r="EZ223" s="136"/>
      <c r="FA223" s="136"/>
      <c r="FB223" s="136"/>
      <c r="FC223" s="136"/>
      <c r="FD223" s="136"/>
      <c r="FE223" s="136"/>
      <c r="FF223" s="136"/>
      <c r="FG223" s="136"/>
      <c r="FH223" s="136"/>
      <c r="FI223" s="136"/>
      <c r="FJ223" s="136"/>
      <c r="FK223" s="136"/>
      <c r="FL223" s="136"/>
      <c r="FM223" s="136"/>
      <c r="FN223" s="136"/>
      <c r="FO223" s="136"/>
      <c r="FP223" s="136"/>
      <c r="FQ223" s="136"/>
      <c r="FR223" s="136"/>
      <c r="FS223" s="136"/>
      <c r="FT223" s="136"/>
      <c r="FU223" s="136"/>
      <c r="FV223" s="136"/>
      <c r="FW223" s="136"/>
      <c r="FX223" s="136"/>
      <c r="FY223" s="136"/>
      <c r="FZ223" s="136"/>
      <c r="GA223" s="136"/>
      <c r="GB223" s="136"/>
      <c r="GC223" s="136"/>
      <c r="GD223" s="136"/>
      <c r="GE223" s="136"/>
      <c r="GF223" s="136"/>
      <c r="GG223" s="136"/>
      <c r="GH223" s="136"/>
      <c r="GI223" s="136"/>
      <c r="GJ223" s="136"/>
      <c r="GK223" s="136"/>
      <c r="GL223" s="136"/>
      <c r="GM223" s="136"/>
      <c r="GN223" s="136"/>
      <c r="GO223" s="136"/>
      <c r="GP223" s="136"/>
      <c r="GQ223" s="136"/>
      <c r="GR223" s="136"/>
      <c r="GS223" s="136"/>
      <c r="GT223" s="136"/>
      <c r="GU223" s="136"/>
      <c r="GV223" s="136"/>
      <c r="GW223" s="136"/>
      <c r="GX223" s="136"/>
      <c r="GY223" s="136"/>
      <c r="GZ223" s="136"/>
      <c r="HA223" s="136"/>
      <c r="HB223" s="136"/>
      <c r="HC223" s="136"/>
      <c r="HD223" s="136"/>
      <c r="HE223" s="136"/>
      <c r="HF223" s="136"/>
      <c r="HG223" s="136"/>
      <c r="HH223" s="136"/>
      <c r="HI223" s="136"/>
      <c r="HJ223" s="136"/>
      <c r="HK223" s="136"/>
      <c r="HL223" s="136"/>
      <c r="HM223" s="136"/>
      <c r="HN223" s="136"/>
      <c r="HO223" s="136"/>
      <c r="HP223" s="136"/>
      <c r="HQ223" s="136"/>
      <c r="HR223" s="136"/>
      <c r="HS223" s="136"/>
      <c r="HT223" s="136"/>
      <c r="HU223" s="136"/>
      <c r="HV223" s="136"/>
      <c r="HW223" s="136"/>
      <c r="HX223" s="136"/>
      <c r="HY223" s="136"/>
      <c r="HZ223" s="136"/>
      <c r="IA223" s="136"/>
      <c r="IB223" s="136"/>
      <c r="IC223" s="136"/>
      <c r="ID223" s="136"/>
      <c r="IE223" s="136"/>
      <c r="IF223" s="136"/>
      <c r="IG223" s="136"/>
      <c r="IH223" s="136"/>
      <c r="II223" s="136"/>
      <c r="IJ223" s="136"/>
      <c r="IK223" s="136"/>
      <c r="IL223" s="136"/>
      <c r="IM223" s="136"/>
      <c r="IN223" s="136"/>
      <c r="IO223" s="136"/>
      <c r="IP223" s="136"/>
      <c r="IQ223" s="136"/>
      <c r="IR223" s="136"/>
      <c r="IS223" s="136"/>
      <c r="IT223" s="136"/>
      <c r="IU223" s="136"/>
    </row>
    <row r="224" spans="1:255" ht="120" x14ac:dyDescent="0.2">
      <c r="A224" s="242" t="str">
        <f>'HECVAT - Full'!A224</f>
        <v>PPPR-01</v>
      </c>
      <c r="B224" s="242" t="str">
        <f>VLOOKUP(A224,'HECVAT - Full'!A$24:B$312,2,FALSE)</f>
        <v>Can you share the organization chart, mission statement, and policies for your information security unit?</v>
      </c>
      <c r="C224" s="245" t="s">
        <v>2927</v>
      </c>
      <c r="D224" s="249" t="s">
        <v>2928</v>
      </c>
      <c r="E224" s="136"/>
      <c r="F224" s="13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c r="AC224" s="136"/>
      <c r="AD224" s="136"/>
      <c r="AE224" s="136"/>
      <c r="AF224" s="136"/>
      <c r="AG224" s="136"/>
      <c r="AH224" s="136"/>
      <c r="AI224" s="136"/>
      <c r="AJ224" s="136"/>
      <c r="AK224" s="136"/>
      <c r="AL224" s="136"/>
      <c r="AM224" s="136"/>
      <c r="AN224" s="136"/>
      <c r="AO224" s="136"/>
      <c r="AP224" s="136"/>
      <c r="AQ224" s="136"/>
      <c r="AR224" s="136"/>
      <c r="AS224" s="136"/>
      <c r="AT224" s="136"/>
      <c r="AU224" s="136"/>
      <c r="AV224" s="136"/>
      <c r="AW224" s="136"/>
      <c r="AX224" s="136"/>
      <c r="AY224" s="136"/>
      <c r="AZ224" s="136"/>
      <c r="BA224" s="136"/>
      <c r="BB224" s="136"/>
      <c r="BC224" s="136"/>
      <c r="BD224" s="136"/>
      <c r="BE224" s="136"/>
      <c r="BF224" s="136"/>
      <c r="BG224" s="136"/>
      <c r="BH224" s="136"/>
      <c r="BI224" s="136"/>
      <c r="BJ224" s="136"/>
      <c r="BK224" s="136"/>
      <c r="BL224" s="136"/>
      <c r="BM224" s="136"/>
      <c r="BN224" s="136"/>
      <c r="BO224" s="136"/>
      <c r="BP224" s="136"/>
      <c r="BQ224" s="136"/>
      <c r="BR224" s="136"/>
      <c r="BS224" s="136"/>
      <c r="BT224" s="136"/>
      <c r="BU224" s="136"/>
      <c r="BV224" s="136"/>
      <c r="BW224" s="136"/>
      <c r="BX224" s="136"/>
      <c r="BY224" s="136"/>
      <c r="BZ224" s="136"/>
      <c r="CA224" s="136"/>
      <c r="CB224" s="136"/>
      <c r="CC224" s="136"/>
      <c r="CD224" s="136"/>
      <c r="CE224" s="136"/>
      <c r="CF224" s="136"/>
      <c r="CG224" s="136"/>
      <c r="CH224" s="136"/>
      <c r="CI224" s="136"/>
      <c r="CJ224" s="136"/>
      <c r="CK224" s="136"/>
      <c r="CL224" s="136"/>
      <c r="CM224" s="136"/>
      <c r="CN224" s="136"/>
      <c r="CO224" s="136"/>
      <c r="CP224" s="136"/>
      <c r="CQ224" s="136"/>
      <c r="CR224" s="136"/>
      <c r="CS224" s="136"/>
      <c r="CT224" s="136"/>
      <c r="CU224" s="136"/>
      <c r="CV224" s="136"/>
      <c r="CW224" s="136"/>
      <c r="CX224" s="136"/>
      <c r="CY224" s="136"/>
      <c r="CZ224" s="136"/>
      <c r="DA224" s="136"/>
      <c r="DB224" s="136"/>
      <c r="DC224" s="136"/>
      <c r="DD224" s="136"/>
      <c r="DE224" s="136"/>
      <c r="DF224" s="136"/>
      <c r="DG224" s="136"/>
      <c r="DH224" s="136"/>
      <c r="DI224" s="136"/>
      <c r="DJ224" s="136"/>
      <c r="DK224" s="136"/>
      <c r="DL224" s="136"/>
      <c r="DM224" s="136"/>
      <c r="DN224" s="136"/>
      <c r="DO224" s="136"/>
      <c r="DP224" s="136"/>
      <c r="DQ224" s="136"/>
      <c r="DR224" s="136"/>
      <c r="DS224" s="136"/>
      <c r="DT224" s="136"/>
      <c r="DU224" s="136"/>
      <c r="DV224" s="136"/>
      <c r="DW224" s="136"/>
      <c r="DX224" s="136"/>
      <c r="DY224" s="136"/>
      <c r="DZ224" s="136"/>
      <c r="EA224" s="136"/>
      <c r="EB224" s="136"/>
      <c r="EC224" s="136"/>
      <c r="ED224" s="136"/>
      <c r="EE224" s="136"/>
      <c r="EF224" s="136"/>
      <c r="EG224" s="136"/>
      <c r="EH224" s="136"/>
      <c r="EI224" s="136"/>
      <c r="EJ224" s="136"/>
      <c r="EK224" s="136"/>
      <c r="EL224" s="136"/>
      <c r="EM224" s="136"/>
      <c r="EN224" s="136"/>
      <c r="EO224" s="136"/>
      <c r="EP224" s="136"/>
      <c r="EQ224" s="136"/>
      <c r="ER224" s="136"/>
      <c r="ES224" s="136"/>
      <c r="ET224" s="136"/>
      <c r="EU224" s="136"/>
      <c r="EV224" s="136"/>
      <c r="EW224" s="136"/>
      <c r="EX224" s="136"/>
      <c r="EY224" s="136"/>
      <c r="EZ224" s="136"/>
      <c r="FA224" s="136"/>
      <c r="FB224" s="136"/>
      <c r="FC224" s="136"/>
      <c r="FD224" s="136"/>
      <c r="FE224" s="136"/>
      <c r="FF224" s="136"/>
      <c r="FG224" s="136"/>
      <c r="FH224" s="136"/>
      <c r="FI224" s="136"/>
      <c r="FJ224" s="136"/>
      <c r="FK224" s="136"/>
      <c r="FL224" s="136"/>
      <c r="FM224" s="136"/>
      <c r="FN224" s="136"/>
      <c r="FO224" s="136"/>
      <c r="FP224" s="136"/>
      <c r="FQ224" s="136"/>
      <c r="FR224" s="136"/>
      <c r="FS224" s="136"/>
      <c r="FT224" s="136"/>
      <c r="FU224" s="136"/>
      <c r="FV224" s="136"/>
      <c r="FW224" s="136"/>
      <c r="FX224" s="136"/>
      <c r="FY224" s="136"/>
      <c r="FZ224" s="136"/>
      <c r="GA224" s="136"/>
      <c r="GB224" s="136"/>
      <c r="GC224" s="136"/>
      <c r="GD224" s="136"/>
      <c r="GE224" s="136"/>
      <c r="GF224" s="136"/>
      <c r="GG224" s="136"/>
      <c r="GH224" s="136"/>
      <c r="GI224" s="136"/>
      <c r="GJ224" s="136"/>
      <c r="GK224" s="136"/>
      <c r="GL224" s="136"/>
      <c r="GM224" s="136"/>
      <c r="GN224" s="136"/>
      <c r="GO224" s="136"/>
      <c r="GP224" s="136"/>
      <c r="GQ224" s="136"/>
      <c r="GR224" s="136"/>
      <c r="GS224" s="136"/>
      <c r="GT224" s="136"/>
      <c r="GU224" s="136"/>
      <c r="GV224" s="136"/>
      <c r="GW224" s="136"/>
      <c r="GX224" s="136"/>
      <c r="GY224" s="136"/>
      <c r="GZ224" s="136"/>
      <c r="HA224" s="136"/>
      <c r="HB224" s="136"/>
      <c r="HC224" s="136"/>
      <c r="HD224" s="136"/>
      <c r="HE224" s="136"/>
      <c r="HF224" s="136"/>
      <c r="HG224" s="136"/>
      <c r="HH224" s="136"/>
      <c r="HI224" s="136"/>
      <c r="HJ224" s="136"/>
      <c r="HK224" s="136"/>
      <c r="HL224" s="136"/>
      <c r="HM224" s="136"/>
      <c r="HN224" s="136"/>
      <c r="HO224" s="136"/>
      <c r="HP224" s="136"/>
      <c r="HQ224" s="136"/>
      <c r="HR224" s="136"/>
      <c r="HS224" s="136"/>
      <c r="HT224" s="136"/>
      <c r="HU224" s="136"/>
      <c r="HV224" s="136"/>
      <c r="HW224" s="136"/>
      <c r="HX224" s="136"/>
      <c r="HY224" s="136"/>
      <c r="HZ224" s="136"/>
      <c r="IA224" s="136"/>
      <c r="IB224" s="136"/>
      <c r="IC224" s="136"/>
      <c r="ID224" s="136"/>
      <c r="IE224" s="136"/>
      <c r="IF224" s="136"/>
      <c r="IG224" s="136"/>
      <c r="IH224" s="136"/>
      <c r="II224" s="136"/>
      <c r="IJ224" s="136"/>
      <c r="IK224" s="136"/>
      <c r="IL224" s="136"/>
      <c r="IM224" s="136"/>
      <c r="IN224" s="136"/>
      <c r="IO224" s="136"/>
      <c r="IP224" s="136"/>
      <c r="IQ224" s="136"/>
      <c r="IR224" s="136"/>
      <c r="IS224" s="136"/>
      <c r="IT224" s="136"/>
      <c r="IU224" s="136"/>
    </row>
    <row r="225" spans="1:255" ht="75" x14ac:dyDescent="0.2">
      <c r="A225" s="242" t="str">
        <f>'HECVAT - Full'!A225</f>
        <v>PPPR-02</v>
      </c>
      <c r="B225" s="242" t="str">
        <f>VLOOKUP(A225,'HECVAT - Full'!A$24:B$312,2,FALSE)</f>
        <v>Do you have a documented patch management process?</v>
      </c>
      <c r="C225" s="245" t="s">
        <v>2929</v>
      </c>
      <c r="D225" s="245" t="s">
        <v>2930</v>
      </c>
      <c r="E225" s="136"/>
      <c r="F225" s="13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c r="AC225" s="136"/>
      <c r="AD225" s="136"/>
      <c r="AE225" s="136"/>
      <c r="AF225" s="136"/>
      <c r="AG225" s="136"/>
      <c r="AH225" s="136"/>
      <c r="AI225" s="136"/>
      <c r="AJ225" s="136"/>
      <c r="AK225" s="136"/>
      <c r="AL225" s="136"/>
      <c r="AM225" s="136"/>
      <c r="AN225" s="136"/>
      <c r="AO225" s="136"/>
      <c r="AP225" s="136"/>
      <c r="AQ225" s="136"/>
      <c r="AR225" s="136"/>
      <c r="AS225" s="136"/>
      <c r="AT225" s="136"/>
      <c r="AU225" s="136"/>
      <c r="AV225" s="136"/>
      <c r="AW225" s="136"/>
      <c r="AX225" s="136"/>
      <c r="AY225" s="136"/>
      <c r="AZ225" s="136"/>
      <c r="BA225" s="136"/>
      <c r="BB225" s="136"/>
      <c r="BC225" s="136"/>
      <c r="BD225" s="136"/>
      <c r="BE225" s="136"/>
      <c r="BF225" s="136"/>
      <c r="BG225" s="136"/>
      <c r="BH225" s="136"/>
      <c r="BI225" s="136"/>
      <c r="BJ225" s="136"/>
      <c r="BK225" s="136"/>
      <c r="BL225" s="136"/>
      <c r="BM225" s="136"/>
      <c r="BN225" s="136"/>
      <c r="BO225" s="136"/>
      <c r="BP225" s="136"/>
      <c r="BQ225" s="136"/>
      <c r="BR225" s="136"/>
      <c r="BS225" s="136"/>
      <c r="BT225" s="136"/>
      <c r="BU225" s="136"/>
      <c r="BV225" s="136"/>
      <c r="BW225" s="136"/>
      <c r="BX225" s="136"/>
      <c r="BY225" s="136"/>
      <c r="BZ225" s="136"/>
      <c r="CA225" s="136"/>
      <c r="CB225" s="136"/>
      <c r="CC225" s="136"/>
      <c r="CD225" s="136"/>
      <c r="CE225" s="136"/>
      <c r="CF225" s="136"/>
      <c r="CG225" s="136"/>
      <c r="CH225" s="136"/>
      <c r="CI225" s="136"/>
      <c r="CJ225" s="136"/>
      <c r="CK225" s="136"/>
      <c r="CL225" s="136"/>
      <c r="CM225" s="136"/>
      <c r="CN225" s="136"/>
      <c r="CO225" s="136"/>
      <c r="CP225" s="136"/>
      <c r="CQ225" s="136"/>
      <c r="CR225" s="136"/>
      <c r="CS225" s="136"/>
      <c r="CT225" s="136"/>
      <c r="CU225" s="136"/>
      <c r="CV225" s="136"/>
      <c r="CW225" s="136"/>
      <c r="CX225" s="136"/>
      <c r="CY225" s="136"/>
      <c r="CZ225" s="136"/>
      <c r="DA225" s="136"/>
      <c r="DB225" s="136"/>
      <c r="DC225" s="136"/>
      <c r="DD225" s="136"/>
      <c r="DE225" s="136"/>
      <c r="DF225" s="136"/>
      <c r="DG225" s="136"/>
      <c r="DH225" s="136"/>
      <c r="DI225" s="136"/>
      <c r="DJ225" s="136"/>
      <c r="DK225" s="136"/>
      <c r="DL225" s="136"/>
      <c r="DM225" s="136"/>
      <c r="DN225" s="136"/>
      <c r="DO225" s="136"/>
      <c r="DP225" s="136"/>
      <c r="DQ225" s="136"/>
      <c r="DR225" s="136"/>
      <c r="DS225" s="136"/>
      <c r="DT225" s="136"/>
      <c r="DU225" s="136"/>
      <c r="DV225" s="136"/>
      <c r="DW225" s="136"/>
      <c r="DX225" s="136"/>
      <c r="DY225" s="136"/>
      <c r="DZ225" s="136"/>
      <c r="EA225" s="136"/>
      <c r="EB225" s="136"/>
      <c r="EC225" s="136"/>
      <c r="ED225" s="136"/>
      <c r="EE225" s="136"/>
      <c r="EF225" s="136"/>
      <c r="EG225" s="136"/>
      <c r="EH225" s="136"/>
      <c r="EI225" s="136"/>
      <c r="EJ225" s="136"/>
      <c r="EK225" s="136"/>
      <c r="EL225" s="136"/>
      <c r="EM225" s="136"/>
      <c r="EN225" s="136"/>
      <c r="EO225" s="136"/>
      <c r="EP225" s="136"/>
      <c r="EQ225" s="136"/>
      <c r="ER225" s="136"/>
      <c r="ES225" s="136"/>
      <c r="ET225" s="136"/>
      <c r="EU225" s="136"/>
      <c r="EV225" s="136"/>
      <c r="EW225" s="136"/>
      <c r="EX225" s="136"/>
      <c r="EY225" s="136"/>
      <c r="EZ225" s="136"/>
      <c r="FA225" s="136"/>
      <c r="FB225" s="136"/>
      <c r="FC225" s="136"/>
      <c r="FD225" s="136"/>
      <c r="FE225" s="136"/>
      <c r="FF225" s="136"/>
      <c r="FG225" s="136"/>
      <c r="FH225" s="136"/>
      <c r="FI225" s="136"/>
      <c r="FJ225" s="136"/>
      <c r="FK225" s="136"/>
      <c r="FL225" s="136"/>
      <c r="FM225" s="136"/>
      <c r="FN225" s="136"/>
      <c r="FO225" s="136"/>
      <c r="FP225" s="136"/>
      <c r="FQ225" s="136"/>
      <c r="FR225" s="136"/>
      <c r="FS225" s="136"/>
      <c r="FT225" s="136"/>
      <c r="FU225" s="136"/>
      <c r="FV225" s="136"/>
      <c r="FW225" s="136"/>
      <c r="FX225" s="136"/>
      <c r="FY225" s="136"/>
      <c r="FZ225" s="136"/>
      <c r="GA225" s="136"/>
      <c r="GB225" s="136"/>
      <c r="GC225" s="136"/>
      <c r="GD225" s="136"/>
      <c r="GE225" s="136"/>
      <c r="GF225" s="136"/>
      <c r="GG225" s="136"/>
      <c r="GH225" s="136"/>
      <c r="GI225" s="136"/>
      <c r="GJ225" s="136"/>
      <c r="GK225" s="136"/>
      <c r="GL225" s="136"/>
      <c r="GM225" s="136"/>
      <c r="GN225" s="136"/>
      <c r="GO225" s="136"/>
      <c r="GP225" s="136"/>
      <c r="GQ225" s="136"/>
      <c r="GR225" s="136"/>
      <c r="GS225" s="136"/>
      <c r="GT225" s="136"/>
      <c r="GU225" s="136"/>
      <c r="GV225" s="136"/>
      <c r="GW225" s="136"/>
      <c r="GX225" s="136"/>
      <c r="GY225" s="136"/>
      <c r="GZ225" s="136"/>
      <c r="HA225" s="136"/>
      <c r="HB225" s="136"/>
      <c r="HC225" s="136"/>
      <c r="HD225" s="136"/>
      <c r="HE225" s="136"/>
      <c r="HF225" s="136"/>
      <c r="HG225" s="136"/>
      <c r="HH225" s="136"/>
      <c r="HI225" s="136"/>
      <c r="HJ225" s="136"/>
      <c r="HK225" s="136"/>
      <c r="HL225" s="136"/>
      <c r="HM225" s="136"/>
      <c r="HN225" s="136"/>
      <c r="HO225" s="136"/>
      <c r="HP225" s="136"/>
      <c r="HQ225" s="136"/>
      <c r="HR225" s="136"/>
      <c r="HS225" s="136"/>
      <c r="HT225" s="136"/>
      <c r="HU225" s="136"/>
      <c r="HV225" s="136"/>
      <c r="HW225" s="136"/>
      <c r="HX225" s="136"/>
      <c r="HY225" s="136"/>
      <c r="HZ225" s="136"/>
      <c r="IA225" s="136"/>
      <c r="IB225" s="136"/>
      <c r="IC225" s="136"/>
      <c r="ID225" s="136"/>
      <c r="IE225" s="136"/>
      <c r="IF225" s="136"/>
      <c r="IG225" s="136"/>
      <c r="IH225" s="136"/>
      <c r="II225" s="136"/>
      <c r="IJ225" s="136"/>
      <c r="IK225" s="136"/>
      <c r="IL225" s="136"/>
      <c r="IM225" s="136"/>
      <c r="IN225" s="136"/>
      <c r="IO225" s="136"/>
      <c r="IP225" s="136"/>
      <c r="IQ225" s="136"/>
      <c r="IR225" s="136"/>
      <c r="IS225" s="136"/>
      <c r="IT225" s="136"/>
      <c r="IU225" s="136"/>
    </row>
    <row r="226" spans="1:255" ht="90" x14ac:dyDescent="0.2">
      <c r="A226" s="242" t="str">
        <f>'HECVAT - Full'!A226</f>
        <v>PPPR-03</v>
      </c>
      <c r="B226" s="242" t="str">
        <f>VLOOKUP(A226,'HECVAT - Full'!A$24:B$312,2,FALSE)</f>
        <v>Can you accommodate encryption requirements using open standards?</v>
      </c>
      <c r="C226" s="243" t="s">
        <v>2821</v>
      </c>
      <c r="D226" s="253" t="s">
        <v>2822</v>
      </c>
      <c r="E226" s="136"/>
      <c r="F226" s="136"/>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c r="AC226" s="136"/>
      <c r="AD226" s="136"/>
      <c r="AE226" s="136"/>
      <c r="AF226" s="136"/>
      <c r="AG226" s="136"/>
      <c r="AH226" s="136"/>
      <c r="AI226" s="136"/>
      <c r="AJ226" s="136"/>
      <c r="AK226" s="136"/>
      <c r="AL226" s="136"/>
      <c r="AM226" s="136"/>
      <c r="AN226" s="136"/>
      <c r="AO226" s="136"/>
      <c r="AP226" s="136"/>
      <c r="AQ226" s="136"/>
      <c r="AR226" s="136"/>
      <c r="AS226" s="136"/>
      <c r="AT226" s="136"/>
      <c r="AU226" s="136"/>
      <c r="AV226" s="136"/>
      <c r="AW226" s="136"/>
      <c r="AX226" s="136"/>
      <c r="AY226" s="136"/>
      <c r="AZ226" s="136"/>
      <c r="BA226" s="136"/>
      <c r="BB226" s="136"/>
      <c r="BC226" s="136"/>
      <c r="BD226" s="136"/>
      <c r="BE226" s="136"/>
      <c r="BF226" s="136"/>
      <c r="BG226" s="136"/>
      <c r="BH226" s="136"/>
      <c r="BI226" s="136"/>
      <c r="BJ226" s="136"/>
      <c r="BK226" s="136"/>
      <c r="BL226" s="136"/>
      <c r="BM226" s="136"/>
      <c r="BN226" s="136"/>
      <c r="BO226" s="136"/>
      <c r="BP226" s="136"/>
      <c r="BQ226" s="136"/>
      <c r="BR226" s="136"/>
      <c r="BS226" s="136"/>
      <c r="BT226" s="136"/>
      <c r="BU226" s="136"/>
      <c r="BV226" s="136"/>
      <c r="BW226" s="136"/>
      <c r="BX226" s="136"/>
      <c r="BY226" s="136"/>
      <c r="BZ226" s="136"/>
      <c r="CA226" s="136"/>
      <c r="CB226" s="136"/>
      <c r="CC226" s="136"/>
      <c r="CD226" s="136"/>
      <c r="CE226" s="136"/>
      <c r="CF226" s="136"/>
      <c r="CG226" s="136"/>
      <c r="CH226" s="136"/>
      <c r="CI226" s="136"/>
      <c r="CJ226" s="136"/>
      <c r="CK226" s="136"/>
      <c r="CL226" s="136"/>
      <c r="CM226" s="136"/>
      <c r="CN226" s="136"/>
      <c r="CO226" s="136"/>
      <c r="CP226" s="136"/>
      <c r="CQ226" s="136"/>
      <c r="CR226" s="136"/>
      <c r="CS226" s="136"/>
      <c r="CT226" s="136"/>
      <c r="CU226" s="136"/>
      <c r="CV226" s="136"/>
      <c r="CW226" s="136"/>
      <c r="CX226" s="136"/>
      <c r="CY226" s="136"/>
      <c r="CZ226" s="136"/>
      <c r="DA226" s="136"/>
      <c r="DB226" s="136"/>
      <c r="DC226" s="136"/>
      <c r="DD226" s="136"/>
      <c r="DE226" s="136"/>
      <c r="DF226" s="136"/>
      <c r="DG226" s="136"/>
      <c r="DH226" s="136"/>
      <c r="DI226" s="136"/>
      <c r="DJ226" s="136"/>
      <c r="DK226" s="136"/>
      <c r="DL226" s="136"/>
      <c r="DM226" s="136"/>
      <c r="DN226" s="136"/>
      <c r="DO226" s="136"/>
      <c r="DP226" s="136"/>
      <c r="DQ226" s="136"/>
      <c r="DR226" s="136"/>
      <c r="DS226" s="136"/>
      <c r="DT226" s="136"/>
      <c r="DU226" s="136"/>
      <c r="DV226" s="136"/>
      <c r="DW226" s="136"/>
      <c r="DX226" s="136"/>
      <c r="DY226" s="136"/>
      <c r="DZ226" s="136"/>
      <c r="EA226" s="136"/>
      <c r="EB226" s="136"/>
      <c r="EC226" s="136"/>
      <c r="ED226" s="136"/>
      <c r="EE226" s="136"/>
      <c r="EF226" s="136"/>
      <c r="EG226" s="136"/>
      <c r="EH226" s="136"/>
      <c r="EI226" s="136"/>
      <c r="EJ226" s="136"/>
      <c r="EK226" s="136"/>
      <c r="EL226" s="136"/>
      <c r="EM226" s="136"/>
      <c r="EN226" s="136"/>
      <c r="EO226" s="136"/>
      <c r="EP226" s="136"/>
      <c r="EQ226" s="136"/>
      <c r="ER226" s="136"/>
      <c r="ES226" s="136"/>
      <c r="ET226" s="136"/>
      <c r="EU226" s="136"/>
      <c r="EV226" s="136"/>
      <c r="EW226" s="136"/>
      <c r="EX226" s="136"/>
      <c r="EY226" s="136"/>
      <c r="EZ226" s="136"/>
      <c r="FA226" s="136"/>
      <c r="FB226" s="136"/>
      <c r="FC226" s="136"/>
      <c r="FD226" s="136"/>
      <c r="FE226" s="136"/>
      <c r="FF226" s="136"/>
      <c r="FG226" s="136"/>
      <c r="FH226" s="136"/>
      <c r="FI226" s="136"/>
      <c r="FJ226" s="136"/>
      <c r="FK226" s="136"/>
      <c r="FL226" s="136"/>
      <c r="FM226" s="136"/>
      <c r="FN226" s="136"/>
      <c r="FO226" s="136"/>
      <c r="FP226" s="136"/>
      <c r="FQ226" s="136"/>
      <c r="FR226" s="136"/>
      <c r="FS226" s="136"/>
      <c r="FT226" s="136"/>
      <c r="FU226" s="136"/>
      <c r="FV226" s="136"/>
      <c r="FW226" s="136"/>
      <c r="FX226" s="136"/>
      <c r="FY226" s="136"/>
      <c r="FZ226" s="136"/>
      <c r="GA226" s="136"/>
      <c r="GB226" s="136"/>
      <c r="GC226" s="136"/>
      <c r="GD226" s="136"/>
      <c r="GE226" s="136"/>
      <c r="GF226" s="136"/>
      <c r="GG226" s="136"/>
      <c r="GH226" s="136"/>
      <c r="GI226" s="136"/>
      <c r="GJ226" s="136"/>
      <c r="GK226" s="136"/>
      <c r="GL226" s="136"/>
      <c r="GM226" s="136"/>
      <c r="GN226" s="136"/>
      <c r="GO226" s="136"/>
      <c r="GP226" s="136"/>
      <c r="GQ226" s="136"/>
      <c r="GR226" s="136"/>
      <c r="GS226" s="136"/>
      <c r="GT226" s="136"/>
      <c r="GU226" s="136"/>
      <c r="GV226" s="136"/>
      <c r="GW226" s="136"/>
      <c r="GX226" s="136"/>
      <c r="GY226" s="136"/>
      <c r="GZ226" s="136"/>
      <c r="HA226" s="136"/>
      <c r="HB226" s="136"/>
      <c r="HC226" s="136"/>
      <c r="HD226" s="136"/>
      <c r="HE226" s="136"/>
      <c r="HF226" s="136"/>
      <c r="HG226" s="136"/>
      <c r="HH226" s="136"/>
      <c r="HI226" s="136"/>
      <c r="HJ226" s="136"/>
      <c r="HK226" s="136"/>
      <c r="HL226" s="136"/>
      <c r="HM226" s="136"/>
      <c r="HN226" s="136"/>
      <c r="HO226" s="136"/>
      <c r="HP226" s="136"/>
      <c r="HQ226" s="136"/>
      <c r="HR226" s="136"/>
      <c r="HS226" s="136"/>
      <c r="HT226" s="136"/>
      <c r="HU226" s="136"/>
      <c r="HV226" s="136"/>
      <c r="HW226" s="136"/>
      <c r="HX226" s="136"/>
      <c r="HY226" s="136"/>
      <c r="HZ226" s="136"/>
      <c r="IA226" s="136"/>
      <c r="IB226" s="136"/>
      <c r="IC226" s="136"/>
      <c r="ID226" s="136"/>
      <c r="IE226" s="136"/>
      <c r="IF226" s="136"/>
      <c r="IG226" s="136"/>
      <c r="IH226" s="136"/>
      <c r="II226" s="136"/>
      <c r="IJ226" s="136"/>
      <c r="IK226" s="136"/>
      <c r="IL226" s="136"/>
      <c r="IM226" s="136"/>
      <c r="IN226" s="136"/>
      <c r="IO226" s="136"/>
      <c r="IP226" s="136"/>
      <c r="IQ226" s="136"/>
      <c r="IR226" s="136"/>
      <c r="IS226" s="136"/>
      <c r="IT226" s="136"/>
      <c r="IU226" s="136"/>
    </row>
    <row r="227" spans="1:255" ht="84.75" customHeight="1" x14ac:dyDescent="0.2">
      <c r="A227" s="242" t="str">
        <f>'HECVAT - Full'!A227</f>
        <v>PPPR-04</v>
      </c>
      <c r="B227" s="242" t="str">
        <f>VLOOKUP(A227,'HECVAT - Full'!A$24:B$312,2,FALSE)</f>
        <v>Have your developers been trained in secure coding techniques?</v>
      </c>
      <c r="C227" s="275" t="s">
        <v>3044</v>
      </c>
      <c r="D227" s="248" t="s">
        <v>2919</v>
      </c>
      <c r="E227" s="136"/>
      <c r="F227" s="136"/>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c r="AC227" s="136"/>
      <c r="AD227" s="136"/>
      <c r="AE227" s="136"/>
      <c r="AF227" s="136"/>
      <c r="AG227" s="136"/>
      <c r="AH227" s="136"/>
      <c r="AI227" s="136"/>
      <c r="AJ227" s="136"/>
      <c r="AK227" s="136"/>
      <c r="AL227" s="136"/>
      <c r="AM227" s="136"/>
      <c r="AN227" s="136"/>
      <c r="AO227" s="136"/>
      <c r="AP227" s="136"/>
      <c r="AQ227" s="136"/>
      <c r="AR227" s="136"/>
      <c r="AS227" s="136"/>
      <c r="AT227" s="136"/>
      <c r="AU227" s="136"/>
      <c r="AV227" s="136"/>
      <c r="AW227" s="136"/>
      <c r="AX227" s="136"/>
      <c r="AY227" s="136"/>
      <c r="AZ227" s="136"/>
      <c r="BA227" s="136"/>
      <c r="BB227" s="136"/>
      <c r="BC227" s="136"/>
      <c r="BD227" s="136"/>
      <c r="BE227" s="136"/>
      <c r="BF227" s="136"/>
      <c r="BG227" s="136"/>
      <c r="BH227" s="136"/>
      <c r="BI227" s="136"/>
      <c r="BJ227" s="136"/>
      <c r="BK227" s="136"/>
      <c r="BL227" s="136"/>
      <c r="BM227" s="136"/>
      <c r="BN227" s="136"/>
      <c r="BO227" s="136"/>
      <c r="BP227" s="136"/>
      <c r="BQ227" s="136"/>
      <c r="BR227" s="136"/>
      <c r="BS227" s="136"/>
      <c r="BT227" s="136"/>
      <c r="BU227" s="136"/>
      <c r="BV227" s="136"/>
      <c r="BW227" s="136"/>
      <c r="BX227" s="136"/>
      <c r="BY227" s="136"/>
      <c r="BZ227" s="136"/>
      <c r="CA227" s="136"/>
      <c r="CB227" s="136"/>
      <c r="CC227" s="136"/>
      <c r="CD227" s="136"/>
      <c r="CE227" s="136"/>
      <c r="CF227" s="136"/>
      <c r="CG227" s="136"/>
      <c r="CH227" s="136"/>
      <c r="CI227" s="136"/>
      <c r="CJ227" s="136"/>
      <c r="CK227" s="136"/>
      <c r="CL227" s="136"/>
      <c r="CM227" s="136"/>
      <c r="CN227" s="136"/>
      <c r="CO227" s="136"/>
      <c r="CP227" s="136"/>
      <c r="CQ227" s="136"/>
      <c r="CR227" s="136"/>
      <c r="CS227" s="136"/>
      <c r="CT227" s="136"/>
      <c r="CU227" s="136"/>
      <c r="CV227" s="136"/>
      <c r="CW227" s="136"/>
      <c r="CX227" s="136"/>
      <c r="CY227" s="136"/>
      <c r="CZ227" s="136"/>
      <c r="DA227" s="136"/>
      <c r="DB227" s="136"/>
      <c r="DC227" s="136"/>
      <c r="DD227" s="136"/>
      <c r="DE227" s="136"/>
      <c r="DF227" s="136"/>
      <c r="DG227" s="136"/>
      <c r="DH227" s="136"/>
      <c r="DI227" s="136"/>
      <c r="DJ227" s="136"/>
      <c r="DK227" s="136"/>
      <c r="DL227" s="136"/>
      <c r="DM227" s="136"/>
      <c r="DN227" s="136"/>
      <c r="DO227" s="136"/>
      <c r="DP227" s="136"/>
      <c r="DQ227" s="136"/>
      <c r="DR227" s="136"/>
      <c r="DS227" s="136"/>
      <c r="DT227" s="136"/>
      <c r="DU227" s="136"/>
      <c r="DV227" s="136"/>
      <c r="DW227" s="136"/>
      <c r="DX227" s="136"/>
      <c r="DY227" s="136"/>
      <c r="DZ227" s="136"/>
      <c r="EA227" s="136"/>
      <c r="EB227" s="136"/>
      <c r="EC227" s="136"/>
      <c r="ED227" s="136"/>
      <c r="EE227" s="136"/>
      <c r="EF227" s="136"/>
      <c r="EG227" s="136"/>
      <c r="EH227" s="136"/>
      <c r="EI227" s="136"/>
      <c r="EJ227" s="136"/>
      <c r="EK227" s="136"/>
      <c r="EL227" s="136"/>
      <c r="EM227" s="136"/>
      <c r="EN227" s="136"/>
      <c r="EO227" s="136"/>
      <c r="EP227" s="136"/>
      <c r="EQ227" s="136"/>
      <c r="ER227" s="136"/>
      <c r="ES227" s="136"/>
      <c r="ET227" s="136"/>
      <c r="EU227" s="136"/>
      <c r="EV227" s="136"/>
      <c r="EW227" s="136"/>
      <c r="EX227" s="136"/>
      <c r="EY227" s="136"/>
      <c r="EZ227" s="136"/>
      <c r="FA227" s="136"/>
      <c r="FB227" s="136"/>
      <c r="FC227" s="136"/>
      <c r="FD227" s="136"/>
      <c r="FE227" s="136"/>
      <c r="FF227" s="136"/>
      <c r="FG227" s="136"/>
      <c r="FH227" s="136"/>
      <c r="FI227" s="136"/>
      <c r="FJ227" s="136"/>
      <c r="FK227" s="136"/>
      <c r="FL227" s="136"/>
      <c r="FM227" s="136"/>
      <c r="FN227" s="136"/>
      <c r="FO227" s="136"/>
      <c r="FP227" s="136"/>
      <c r="FQ227" s="136"/>
      <c r="FR227" s="136"/>
      <c r="FS227" s="136"/>
      <c r="FT227" s="136"/>
      <c r="FU227" s="136"/>
      <c r="FV227" s="136"/>
      <c r="FW227" s="136"/>
      <c r="FX227" s="136"/>
      <c r="FY227" s="136"/>
      <c r="FZ227" s="136"/>
      <c r="GA227" s="136"/>
      <c r="GB227" s="136"/>
      <c r="GC227" s="136"/>
      <c r="GD227" s="136"/>
      <c r="GE227" s="136"/>
      <c r="GF227" s="136"/>
      <c r="GG227" s="136"/>
      <c r="GH227" s="136"/>
      <c r="GI227" s="136"/>
      <c r="GJ227" s="136"/>
      <c r="GK227" s="136"/>
      <c r="GL227" s="136"/>
      <c r="GM227" s="136"/>
      <c r="GN227" s="136"/>
      <c r="GO227" s="136"/>
      <c r="GP227" s="136"/>
      <c r="GQ227" s="136"/>
      <c r="GR227" s="136"/>
      <c r="GS227" s="136"/>
      <c r="GT227" s="136"/>
      <c r="GU227" s="136"/>
      <c r="GV227" s="136"/>
      <c r="GW227" s="136"/>
      <c r="GX227" s="136"/>
      <c r="GY227" s="136"/>
      <c r="GZ227" s="136"/>
      <c r="HA227" s="136"/>
      <c r="HB227" s="136"/>
      <c r="HC227" s="136"/>
      <c r="HD227" s="136"/>
      <c r="HE227" s="136"/>
      <c r="HF227" s="136"/>
      <c r="HG227" s="136"/>
      <c r="HH227" s="136"/>
      <c r="HI227" s="136"/>
      <c r="HJ227" s="136"/>
      <c r="HK227" s="136"/>
      <c r="HL227" s="136"/>
      <c r="HM227" s="136"/>
      <c r="HN227" s="136"/>
      <c r="HO227" s="136"/>
      <c r="HP227" s="136"/>
      <c r="HQ227" s="136"/>
      <c r="HR227" s="136"/>
      <c r="HS227" s="136"/>
      <c r="HT227" s="136"/>
      <c r="HU227" s="136"/>
      <c r="HV227" s="136"/>
      <c r="HW227" s="136"/>
      <c r="HX227" s="136"/>
      <c r="HY227" s="136"/>
      <c r="HZ227" s="136"/>
      <c r="IA227" s="136"/>
      <c r="IB227" s="136"/>
      <c r="IC227" s="136"/>
      <c r="ID227" s="136"/>
      <c r="IE227" s="136"/>
      <c r="IF227" s="136"/>
      <c r="IG227" s="136"/>
      <c r="IH227" s="136"/>
      <c r="II227" s="136"/>
      <c r="IJ227" s="136"/>
      <c r="IK227" s="136"/>
      <c r="IL227" s="136"/>
      <c r="IM227" s="136"/>
      <c r="IN227" s="136"/>
      <c r="IO227" s="136"/>
      <c r="IP227" s="136"/>
      <c r="IQ227" s="136"/>
      <c r="IR227" s="136"/>
      <c r="IS227" s="136"/>
      <c r="IT227" s="136"/>
      <c r="IU227" s="136"/>
    </row>
    <row r="228" spans="1:255" ht="84.75" customHeight="1" x14ac:dyDescent="0.2">
      <c r="A228" s="242" t="str">
        <f>'HECVAT - Full'!A228</f>
        <v>PPPR-05</v>
      </c>
      <c r="B228" s="242" t="str">
        <f>VLOOKUP(A228,'HECVAT - Full'!A$24:B$312,2,FALSE)</f>
        <v>Was your application developed using secure coding techniques?</v>
      </c>
      <c r="C228" s="275" t="s">
        <v>3044</v>
      </c>
      <c r="D228" s="248" t="s">
        <v>2919</v>
      </c>
      <c r="E228" s="136"/>
      <c r="F228" s="136"/>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c r="AC228" s="136"/>
      <c r="AD228" s="136"/>
      <c r="AE228" s="136"/>
      <c r="AF228" s="136"/>
      <c r="AG228" s="136"/>
      <c r="AH228" s="136"/>
      <c r="AI228" s="136"/>
      <c r="AJ228" s="136"/>
      <c r="AK228" s="136"/>
      <c r="AL228" s="136"/>
      <c r="AM228" s="136"/>
      <c r="AN228" s="136"/>
      <c r="AO228" s="136"/>
      <c r="AP228" s="136"/>
      <c r="AQ228" s="136"/>
      <c r="AR228" s="136"/>
      <c r="AS228" s="136"/>
      <c r="AT228" s="136"/>
      <c r="AU228" s="136"/>
      <c r="AV228" s="136"/>
      <c r="AW228" s="136"/>
      <c r="AX228" s="136"/>
      <c r="AY228" s="136"/>
      <c r="AZ228" s="136"/>
      <c r="BA228" s="136"/>
      <c r="BB228" s="136"/>
      <c r="BC228" s="136"/>
      <c r="BD228" s="136"/>
      <c r="BE228" s="136"/>
      <c r="BF228" s="136"/>
      <c r="BG228" s="136"/>
      <c r="BH228" s="136"/>
      <c r="BI228" s="136"/>
      <c r="BJ228" s="136"/>
      <c r="BK228" s="136"/>
      <c r="BL228" s="136"/>
      <c r="BM228" s="136"/>
      <c r="BN228" s="136"/>
      <c r="BO228" s="136"/>
      <c r="BP228" s="136"/>
      <c r="BQ228" s="136"/>
      <c r="BR228" s="136"/>
      <c r="BS228" s="136"/>
      <c r="BT228" s="136"/>
      <c r="BU228" s="136"/>
      <c r="BV228" s="136"/>
      <c r="BW228" s="136"/>
      <c r="BX228" s="136"/>
      <c r="BY228" s="136"/>
      <c r="BZ228" s="136"/>
      <c r="CA228" s="136"/>
      <c r="CB228" s="136"/>
      <c r="CC228" s="136"/>
      <c r="CD228" s="136"/>
      <c r="CE228" s="136"/>
      <c r="CF228" s="136"/>
      <c r="CG228" s="136"/>
      <c r="CH228" s="136"/>
      <c r="CI228" s="136"/>
      <c r="CJ228" s="136"/>
      <c r="CK228" s="136"/>
      <c r="CL228" s="136"/>
      <c r="CM228" s="136"/>
      <c r="CN228" s="136"/>
      <c r="CO228" s="136"/>
      <c r="CP228" s="136"/>
      <c r="CQ228" s="136"/>
      <c r="CR228" s="136"/>
      <c r="CS228" s="136"/>
      <c r="CT228" s="136"/>
      <c r="CU228" s="136"/>
      <c r="CV228" s="136"/>
      <c r="CW228" s="136"/>
      <c r="CX228" s="136"/>
      <c r="CY228" s="136"/>
      <c r="CZ228" s="136"/>
      <c r="DA228" s="136"/>
      <c r="DB228" s="136"/>
      <c r="DC228" s="136"/>
      <c r="DD228" s="136"/>
      <c r="DE228" s="136"/>
      <c r="DF228" s="136"/>
      <c r="DG228" s="136"/>
      <c r="DH228" s="136"/>
      <c r="DI228" s="136"/>
      <c r="DJ228" s="136"/>
      <c r="DK228" s="136"/>
      <c r="DL228" s="136"/>
      <c r="DM228" s="136"/>
      <c r="DN228" s="136"/>
      <c r="DO228" s="136"/>
      <c r="DP228" s="136"/>
      <c r="DQ228" s="136"/>
      <c r="DR228" s="136"/>
      <c r="DS228" s="136"/>
      <c r="DT228" s="136"/>
      <c r="DU228" s="136"/>
      <c r="DV228" s="136"/>
      <c r="DW228" s="136"/>
      <c r="DX228" s="136"/>
      <c r="DY228" s="136"/>
      <c r="DZ228" s="136"/>
      <c r="EA228" s="136"/>
      <c r="EB228" s="136"/>
      <c r="EC228" s="136"/>
      <c r="ED228" s="136"/>
      <c r="EE228" s="136"/>
      <c r="EF228" s="136"/>
      <c r="EG228" s="136"/>
      <c r="EH228" s="136"/>
      <c r="EI228" s="136"/>
      <c r="EJ228" s="136"/>
      <c r="EK228" s="136"/>
      <c r="EL228" s="136"/>
      <c r="EM228" s="136"/>
      <c r="EN228" s="136"/>
      <c r="EO228" s="136"/>
      <c r="EP228" s="136"/>
      <c r="EQ228" s="136"/>
      <c r="ER228" s="136"/>
      <c r="ES228" s="136"/>
      <c r="ET228" s="136"/>
      <c r="EU228" s="136"/>
      <c r="EV228" s="136"/>
      <c r="EW228" s="136"/>
      <c r="EX228" s="136"/>
      <c r="EY228" s="136"/>
      <c r="EZ228" s="136"/>
      <c r="FA228" s="136"/>
      <c r="FB228" s="136"/>
      <c r="FC228" s="136"/>
      <c r="FD228" s="136"/>
      <c r="FE228" s="136"/>
      <c r="FF228" s="136"/>
      <c r="FG228" s="136"/>
      <c r="FH228" s="136"/>
      <c r="FI228" s="136"/>
      <c r="FJ228" s="136"/>
      <c r="FK228" s="136"/>
      <c r="FL228" s="136"/>
      <c r="FM228" s="136"/>
      <c r="FN228" s="136"/>
      <c r="FO228" s="136"/>
      <c r="FP228" s="136"/>
      <c r="FQ228" s="136"/>
      <c r="FR228" s="136"/>
      <c r="FS228" s="136"/>
      <c r="FT228" s="136"/>
      <c r="FU228" s="136"/>
      <c r="FV228" s="136"/>
      <c r="FW228" s="136"/>
      <c r="FX228" s="136"/>
      <c r="FY228" s="136"/>
      <c r="FZ228" s="136"/>
      <c r="GA228" s="136"/>
      <c r="GB228" s="136"/>
      <c r="GC228" s="136"/>
      <c r="GD228" s="136"/>
      <c r="GE228" s="136"/>
      <c r="GF228" s="136"/>
      <c r="GG228" s="136"/>
      <c r="GH228" s="136"/>
      <c r="GI228" s="136"/>
      <c r="GJ228" s="136"/>
      <c r="GK228" s="136"/>
      <c r="GL228" s="136"/>
      <c r="GM228" s="136"/>
      <c r="GN228" s="136"/>
      <c r="GO228" s="136"/>
      <c r="GP228" s="136"/>
      <c r="GQ228" s="136"/>
      <c r="GR228" s="136"/>
      <c r="GS228" s="136"/>
      <c r="GT228" s="136"/>
      <c r="GU228" s="136"/>
      <c r="GV228" s="136"/>
      <c r="GW228" s="136"/>
      <c r="GX228" s="136"/>
      <c r="GY228" s="136"/>
      <c r="GZ228" s="136"/>
      <c r="HA228" s="136"/>
      <c r="HB228" s="136"/>
      <c r="HC228" s="136"/>
      <c r="HD228" s="136"/>
      <c r="HE228" s="136"/>
      <c r="HF228" s="136"/>
      <c r="HG228" s="136"/>
      <c r="HH228" s="136"/>
      <c r="HI228" s="136"/>
      <c r="HJ228" s="136"/>
      <c r="HK228" s="136"/>
      <c r="HL228" s="136"/>
      <c r="HM228" s="136"/>
      <c r="HN228" s="136"/>
      <c r="HO228" s="136"/>
      <c r="HP228" s="136"/>
      <c r="HQ228" s="136"/>
      <c r="HR228" s="136"/>
      <c r="HS228" s="136"/>
      <c r="HT228" s="136"/>
      <c r="HU228" s="136"/>
      <c r="HV228" s="136"/>
      <c r="HW228" s="136"/>
      <c r="HX228" s="136"/>
      <c r="HY228" s="136"/>
      <c r="HZ228" s="136"/>
      <c r="IA228" s="136"/>
      <c r="IB228" s="136"/>
      <c r="IC228" s="136"/>
      <c r="ID228" s="136"/>
      <c r="IE228" s="136"/>
      <c r="IF228" s="136"/>
      <c r="IG228" s="136"/>
      <c r="IH228" s="136"/>
      <c r="II228" s="136"/>
      <c r="IJ228" s="136"/>
      <c r="IK228" s="136"/>
      <c r="IL228" s="136"/>
      <c r="IM228" s="136"/>
      <c r="IN228" s="136"/>
      <c r="IO228" s="136"/>
      <c r="IP228" s="136"/>
      <c r="IQ228" s="136"/>
      <c r="IR228" s="136"/>
      <c r="IS228" s="136"/>
      <c r="IT228" s="136"/>
      <c r="IU228" s="136"/>
    </row>
    <row r="229" spans="1:255" ht="120.75" customHeight="1" x14ac:dyDescent="0.2">
      <c r="A229" s="242" t="str">
        <f>'HECVAT - Full'!A229</f>
        <v>PPPR-06</v>
      </c>
      <c r="B229" s="242" t="str">
        <f>VLOOKUP(A229,'HECVAT - Full'!A$24:B$312,2,FALSE)</f>
        <v>Do you subject your code to static code analysis and/or static application security testing prior to release?</v>
      </c>
      <c r="C229" s="243" t="s">
        <v>2931</v>
      </c>
      <c r="D229" s="248" t="s">
        <v>2932</v>
      </c>
      <c r="E229" s="136"/>
      <c r="F229" s="136"/>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c r="AC229" s="136"/>
      <c r="AD229" s="136"/>
      <c r="AE229" s="136"/>
      <c r="AF229" s="136"/>
      <c r="AG229" s="136"/>
      <c r="AH229" s="136"/>
      <c r="AI229" s="136"/>
      <c r="AJ229" s="136"/>
      <c r="AK229" s="136"/>
      <c r="AL229" s="136"/>
      <c r="AM229" s="136"/>
      <c r="AN229" s="136"/>
      <c r="AO229" s="136"/>
      <c r="AP229" s="136"/>
      <c r="AQ229" s="136"/>
      <c r="AR229" s="136"/>
      <c r="AS229" s="136"/>
      <c r="AT229" s="136"/>
      <c r="AU229" s="136"/>
      <c r="AV229" s="136"/>
      <c r="AW229" s="136"/>
      <c r="AX229" s="136"/>
      <c r="AY229" s="136"/>
      <c r="AZ229" s="136"/>
      <c r="BA229" s="136"/>
      <c r="BB229" s="136"/>
      <c r="BC229" s="136"/>
      <c r="BD229" s="136"/>
      <c r="BE229" s="136"/>
      <c r="BF229" s="136"/>
      <c r="BG229" s="136"/>
      <c r="BH229" s="136"/>
      <c r="BI229" s="136"/>
      <c r="BJ229" s="136"/>
      <c r="BK229" s="136"/>
      <c r="BL229" s="136"/>
      <c r="BM229" s="136"/>
      <c r="BN229" s="136"/>
      <c r="BO229" s="136"/>
      <c r="BP229" s="136"/>
      <c r="BQ229" s="136"/>
      <c r="BR229" s="136"/>
      <c r="BS229" s="136"/>
      <c r="BT229" s="136"/>
      <c r="BU229" s="136"/>
      <c r="BV229" s="136"/>
      <c r="BW229" s="136"/>
      <c r="BX229" s="136"/>
      <c r="BY229" s="136"/>
      <c r="BZ229" s="136"/>
      <c r="CA229" s="136"/>
      <c r="CB229" s="136"/>
      <c r="CC229" s="136"/>
      <c r="CD229" s="136"/>
      <c r="CE229" s="136"/>
      <c r="CF229" s="136"/>
      <c r="CG229" s="136"/>
      <c r="CH229" s="136"/>
      <c r="CI229" s="136"/>
      <c r="CJ229" s="136"/>
      <c r="CK229" s="136"/>
      <c r="CL229" s="136"/>
      <c r="CM229" s="136"/>
      <c r="CN229" s="136"/>
      <c r="CO229" s="136"/>
      <c r="CP229" s="136"/>
      <c r="CQ229" s="136"/>
      <c r="CR229" s="136"/>
      <c r="CS229" s="136"/>
      <c r="CT229" s="136"/>
      <c r="CU229" s="136"/>
      <c r="CV229" s="136"/>
      <c r="CW229" s="136"/>
      <c r="CX229" s="136"/>
      <c r="CY229" s="136"/>
      <c r="CZ229" s="136"/>
      <c r="DA229" s="136"/>
      <c r="DB229" s="136"/>
      <c r="DC229" s="136"/>
      <c r="DD229" s="136"/>
      <c r="DE229" s="136"/>
      <c r="DF229" s="136"/>
      <c r="DG229" s="136"/>
      <c r="DH229" s="136"/>
      <c r="DI229" s="136"/>
      <c r="DJ229" s="136"/>
      <c r="DK229" s="136"/>
      <c r="DL229" s="136"/>
      <c r="DM229" s="136"/>
      <c r="DN229" s="136"/>
      <c r="DO229" s="136"/>
      <c r="DP229" s="136"/>
      <c r="DQ229" s="136"/>
      <c r="DR229" s="136"/>
      <c r="DS229" s="136"/>
      <c r="DT229" s="136"/>
      <c r="DU229" s="136"/>
      <c r="DV229" s="136"/>
      <c r="DW229" s="136"/>
      <c r="DX229" s="136"/>
      <c r="DY229" s="136"/>
      <c r="DZ229" s="136"/>
      <c r="EA229" s="136"/>
      <c r="EB229" s="136"/>
      <c r="EC229" s="136"/>
      <c r="ED229" s="136"/>
      <c r="EE229" s="136"/>
      <c r="EF229" s="136"/>
      <c r="EG229" s="136"/>
      <c r="EH229" s="136"/>
      <c r="EI229" s="136"/>
      <c r="EJ229" s="136"/>
      <c r="EK229" s="136"/>
      <c r="EL229" s="136"/>
      <c r="EM229" s="136"/>
      <c r="EN229" s="136"/>
      <c r="EO229" s="136"/>
      <c r="EP229" s="136"/>
      <c r="EQ229" s="136"/>
      <c r="ER229" s="136"/>
      <c r="ES229" s="136"/>
      <c r="ET229" s="136"/>
      <c r="EU229" s="136"/>
      <c r="EV229" s="136"/>
      <c r="EW229" s="136"/>
      <c r="EX229" s="136"/>
      <c r="EY229" s="136"/>
      <c r="EZ229" s="136"/>
      <c r="FA229" s="136"/>
      <c r="FB229" s="136"/>
      <c r="FC229" s="136"/>
      <c r="FD229" s="136"/>
      <c r="FE229" s="136"/>
      <c r="FF229" s="136"/>
      <c r="FG229" s="136"/>
      <c r="FH229" s="136"/>
      <c r="FI229" s="136"/>
      <c r="FJ229" s="136"/>
      <c r="FK229" s="136"/>
      <c r="FL229" s="136"/>
      <c r="FM229" s="136"/>
      <c r="FN229" s="136"/>
      <c r="FO229" s="136"/>
      <c r="FP229" s="136"/>
      <c r="FQ229" s="136"/>
      <c r="FR229" s="136"/>
      <c r="FS229" s="136"/>
      <c r="FT229" s="136"/>
      <c r="FU229" s="136"/>
      <c r="FV229" s="136"/>
      <c r="FW229" s="136"/>
      <c r="FX229" s="136"/>
      <c r="FY229" s="136"/>
      <c r="FZ229" s="136"/>
      <c r="GA229" s="136"/>
      <c r="GB229" s="136"/>
      <c r="GC229" s="136"/>
      <c r="GD229" s="136"/>
      <c r="GE229" s="136"/>
      <c r="GF229" s="136"/>
      <c r="GG229" s="136"/>
      <c r="GH229" s="136"/>
      <c r="GI229" s="136"/>
      <c r="GJ229" s="136"/>
      <c r="GK229" s="136"/>
      <c r="GL229" s="136"/>
      <c r="GM229" s="136"/>
      <c r="GN229" s="136"/>
      <c r="GO229" s="136"/>
      <c r="GP229" s="136"/>
      <c r="GQ229" s="136"/>
      <c r="GR229" s="136"/>
      <c r="GS229" s="136"/>
      <c r="GT229" s="136"/>
      <c r="GU229" s="136"/>
      <c r="GV229" s="136"/>
      <c r="GW229" s="136"/>
      <c r="GX229" s="136"/>
      <c r="GY229" s="136"/>
      <c r="GZ229" s="136"/>
      <c r="HA229" s="136"/>
      <c r="HB229" s="136"/>
      <c r="HC229" s="136"/>
      <c r="HD229" s="136"/>
      <c r="HE229" s="136"/>
      <c r="HF229" s="136"/>
      <c r="HG229" s="136"/>
      <c r="HH229" s="136"/>
      <c r="HI229" s="136"/>
      <c r="HJ229" s="136"/>
      <c r="HK229" s="136"/>
      <c r="HL229" s="136"/>
      <c r="HM229" s="136"/>
      <c r="HN229" s="136"/>
      <c r="HO229" s="136"/>
      <c r="HP229" s="136"/>
      <c r="HQ229" s="136"/>
      <c r="HR229" s="136"/>
      <c r="HS229" s="136"/>
      <c r="HT229" s="136"/>
      <c r="HU229" s="136"/>
      <c r="HV229" s="136"/>
      <c r="HW229" s="136"/>
      <c r="HX229" s="136"/>
      <c r="HY229" s="136"/>
      <c r="HZ229" s="136"/>
      <c r="IA229" s="136"/>
      <c r="IB229" s="136"/>
      <c r="IC229" s="136"/>
      <c r="ID229" s="136"/>
      <c r="IE229" s="136"/>
      <c r="IF229" s="136"/>
      <c r="IG229" s="136"/>
      <c r="IH229" s="136"/>
      <c r="II229" s="136"/>
      <c r="IJ229" s="136"/>
      <c r="IK229" s="136"/>
      <c r="IL229" s="136"/>
      <c r="IM229" s="136"/>
      <c r="IN229" s="136"/>
      <c r="IO229" s="136"/>
      <c r="IP229" s="136"/>
      <c r="IQ229" s="136"/>
      <c r="IR229" s="136"/>
      <c r="IS229" s="136"/>
      <c r="IT229" s="136"/>
      <c r="IU229" s="136"/>
    </row>
    <row r="230" spans="1:255" ht="84" customHeight="1" x14ac:dyDescent="0.2">
      <c r="A230" s="242" t="str">
        <f>'HECVAT - Full'!A230</f>
        <v>PPPR-07</v>
      </c>
      <c r="B230" s="242" t="str">
        <f>VLOOKUP(A230,'HECVAT - Full'!A$24:B$312,2,FALSE)</f>
        <v>Do you have software testing processes (dynamic or static) that are established and followed?</v>
      </c>
      <c r="C230" s="243" t="s">
        <v>2933</v>
      </c>
      <c r="D230" s="248" t="s">
        <v>2934</v>
      </c>
      <c r="E230" s="136"/>
      <c r="F230" s="136"/>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c r="AC230" s="136"/>
      <c r="AD230" s="136"/>
      <c r="AE230" s="136"/>
      <c r="AF230" s="136"/>
      <c r="AG230" s="136"/>
      <c r="AH230" s="136"/>
      <c r="AI230" s="136"/>
      <c r="AJ230" s="136"/>
      <c r="AK230" s="136"/>
      <c r="AL230" s="136"/>
      <c r="AM230" s="136"/>
      <c r="AN230" s="136"/>
      <c r="AO230" s="136"/>
      <c r="AP230" s="136"/>
      <c r="AQ230" s="136"/>
      <c r="AR230" s="136"/>
      <c r="AS230" s="136"/>
      <c r="AT230" s="136"/>
      <c r="AU230" s="136"/>
      <c r="AV230" s="136"/>
      <c r="AW230" s="136"/>
      <c r="AX230" s="136"/>
      <c r="AY230" s="136"/>
      <c r="AZ230" s="136"/>
      <c r="BA230" s="136"/>
      <c r="BB230" s="136"/>
      <c r="BC230" s="136"/>
      <c r="BD230" s="136"/>
      <c r="BE230" s="136"/>
      <c r="BF230" s="136"/>
      <c r="BG230" s="136"/>
      <c r="BH230" s="136"/>
      <c r="BI230" s="136"/>
      <c r="BJ230" s="136"/>
      <c r="BK230" s="136"/>
      <c r="BL230" s="136"/>
      <c r="BM230" s="136"/>
      <c r="BN230" s="136"/>
      <c r="BO230" s="136"/>
      <c r="BP230" s="136"/>
      <c r="BQ230" s="136"/>
      <c r="BR230" s="136"/>
      <c r="BS230" s="136"/>
      <c r="BT230" s="136"/>
      <c r="BU230" s="136"/>
      <c r="BV230" s="136"/>
      <c r="BW230" s="136"/>
      <c r="BX230" s="136"/>
      <c r="BY230" s="136"/>
      <c r="BZ230" s="136"/>
      <c r="CA230" s="136"/>
      <c r="CB230" s="136"/>
      <c r="CC230" s="136"/>
      <c r="CD230" s="136"/>
      <c r="CE230" s="136"/>
      <c r="CF230" s="136"/>
      <c r="CG230" s="136"/>
      <c r="CH230" s="136"/>
      <c r="CI230" s="136"/>
      <c r="CJ230" s="136"/>
      <c r="CK230" s="136"/>
      <c r="CL230" s="136"/>
      <c r="CM230" s="136"/>
      <c r="CN230" s="136"/>
      <c r="CO230" s="136"/>
      <c r="CP230" s="136"/>
      <c r="CQ230" s="136"/>
      <c r="CR230" s="136"/>
      <c r="CS230" s="136"/>
      <c r="CT230" s="136"/>
      <c r="CU230" s="136"/>
      <c r="CV230" s="136"/>
      <c r="CW230" s="136"/>
      <c r="CX230" s="136"/>
      <c r="CY230" s="136"/>
      <c r="CZ230" s="136"/>
      <c r="DA230" s="136"/>
      <c r="DB230" s="136"/>
      <c r="DC230" s="136"/>
      <c r="DD230" s="136"/>
      <c r="DE230" s="136"/>
      <c r="DF230" s="136"/>
      <c r="DG230" s="136"/>
      <c r="DH230" s="136"/>
      <c r="DI230" s="136"/>
      <c r="DJ230" s="136"/>
      <c r="DK230" s="136"/>
      <c r="DL230" s="136"/>
      <c r="DM230" s="136"/>
      <c r="DN230" s="136"/>
      <c r="DO230" s="136"/>
      <c r="DP230" s="136"/>
      <c r="DQ230" s="136"/>
      <c r="DR230" s="136"/>
      <c r="DS230" s="136"/>
      <c r="DT230" s="136"/>
      <c r="DU230" s="136"/>
      <c r="DV230" s="136"/>
      <c r="DW230" s="136"/>
      <c r="DX230" s="136"/>
      <c r="DY230" s="136"/>
      <c r="DZ230" s="136"/>
      <c r="EA230" s="136"/>
      <c r="EB230" s="136"/>
      <c r="EC230" s="136"/>
      <c r="ED230" s="136"/>
      <c r="EE230" s="136"/>
      <c r="EF230" s="136"/>
      <c r="EG230" s="136"/>
      <c r="EH230" s="136"/>
      <c r="EI230" s="136"/>
      <c r="EJ230" s="136"/>
      <c r="EK230" s="136"/>
      <c r="EL230" s="136"/>
      <c r="EM230" s="136"/>
      <c r="EN230" s="136"/>
      <c r="EO230" s="136"/>
      <c r="EP230" s="136"/>
      <c r="EQ230" s="136"/>
      <c r="ER230" s="136"/>
      <c r="ES230" s="136"/>
      <c r="ET230" s="136"/>
      <c r="EU230" s="136"/>
      <c r="EV230" s="136"/>
      <c r="EW230" s="136"/>
      <c r="EX230" s="136"/>
      <c r="EY230" s="136"/>
      <c r="EZ230" s="136"/>
      <c r="FA230" s="136"/>
      <c r="FB230" s="136"/>
      <c r="FC230" s="136"/>
      <c r="FD230" s="136"/>
      <c r="FE230" s="136"/>
      <c r="FF230" s="136"/>
      <c r="FG230" s="136"/>
      <c r="FH230" s="136"/>
      <c r="FI230" s="136"/>
      <c r="FJ230" s="136"/>
      <c r="FK230" s="136"/>
      <c r="FL230" s="136"/>
      <c r="FM230" s="136"/>
      <c r="FN230" s="136"/>
      <c r="FO230" s="136"/>
      <c r="FP230" s="136"/>
      <c r="FQ230" s="136"/>
      <c r="FR230" s="136"/>
      <c r="FS230" s="136"/>
      <c r="FT230" s="136"/>
      <c r="FU230" s="136"/>
      <c r="FV230" s="136"/>
      <c r="FW230" s="136"/>
      <c r="FX230" s="136"/>
      <c r="FY230" s="136"/>
      <c r="FZ230" s="136"/>
      <c r="GA230" s="136"/>
      <c r="GB230" s="136"/>
      <c r="GC230" s="136"/>
      <c r="GD230" s="136"/>
      <c r="GE230" s="136"/>
      <c r="GF230" s="136"/>
      <c r="GG230" s="136"/>
      <c r="GH230" s="136"/>
      <c r="GI230" s="136"/>
      <c r="GJ230" s="136"/>
      <c r="GK230" s="136"/>
      <c r="GL230" s="136"/>
      <c r="GM230" s="136"/>
      <c r="GN230" s="136"/>
      <c r="GO230" s="136"/>
      <c r="GP230" s="136"/>
      <c r="GQ230" s="136"/>
      <c r="GR230" s="136"/>
      <c r="GS230" s="136"/>
      <c r="GT230" s="136"/>
      <c r="GU230" s="136"/>
      <c r="GV230" s="136"/>
      <c r="GW230" s="136"/>
      <c r="GX230" s="136"/>
      <c r="GY230" s="136"/>
      <c r="GZ230" s="136"/>
      <c r="HA230" s="136"/>
      <c r="HB230" s="136"/>
      <c r="HC230" s="136"/>
      <c r="HD230" s="136"/>
      <c r="HE230" s="136"/>
      <c r="HF230" s="136"/>
      <c r="HG230" s="136"/>
      <c r="HH230" s="136"/>
      <c r="HI230" s="136"/>
      <c r="HJ230" s="136"/>
      <c r="HK230" s="136"/>
      <c r="HL230" s="136"/>
      <c r="HM230" s="136"/>
      <c r="HN230" s="136"/>
      <c r="HO230" s="136"/>
      <c r="HP230" s="136"/>
      <c r="HQ230" s="136"/>
      <c r="HR230" s="136"/>
      <c r="HS230" s="136"/>
      <c r="HT230" s="136"/>
      <c r="HU230" s="136"/>
      <c r="HV230" s="136"/>
      <c r="HW230" s="136"/>
      <c r="HX230" s="136"/>
      <c r="HY230" s="136"/>
      <c r="HZ230" s="136"/>
      <c r="IA230" s="136"/>
      <c r="IB230" s="136"/>
      <c r="IC230" s="136"/>
      <c r="ID230" s="136"/>
      <c r="IE230" s="136"/>
      <c r="IF230" s="136"/>
      <c r="IG230" s="136"/>
      <c r="IH230" s="136"/>
      <c r="II230" s="136"/>
      <c r="IJ230" s="136"/>
      <c r="IK230" s="136"/>
      <c r="IL230" s="136"/>
      <c r="IM230" s="136"/>
      <c r="IN230" s="136"/>
      <c r="IO230" s="136"/>
      <c r="IP230" s="136"/>
      <c r="IQ230" s="136"/>
      <c r="IR230" s="136"/>
      <c r="IS230" s="136"/>
      <c r="IT230" s="136"/>
      <c r="IU230" s="136"/>
    </row>
    <row r="231" spans="1:255" ht="84" customHeight="1" x14ac:dyDescent="0.2">
      <c r="A231" s="242" t="str">
        <f>'HECVAT - Full'!A231</f>
        <v>PPPR-08</v>
      </c>
      <c r="B231" s="242" t="str">
        <f>VLOOKUP(A231,'HECVAT - Full'!A$24:B$312,2,FALSE)</f>
        <v>Are information security principles designed into the product lifecycle?</v>
      </c>
      <c r="C231" s="275" t="s">
        <v>3044</v>
      </c>
      <c r="D231" s="248" t="s">
        <v>2919</v>
      </c>
      <c r="E231" s="136"/>
      <c r="F231" s="136"/>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c r="AC231" s="136"/>
      <c r="AD231" s="136"/>
      <c r="AE231" s="136"/>
      <c r="AF231" s="136"/>
      <c r="AG231" s="136"/>
      <c r="AH231" s="136"/>
      <c r="AI231" s="136"/>
      <c r="AJ231" s="136"/>
      <c r="AK231" s="136"/>
      <c r="AL231" s="136"/>
      <c r="AM231" s="136"/>
      <c r="AN231" s="136"/>
      <c r="AO231" s="136"/>
      <c r="AP231" s="136"/>
      <c r="AQ231" s="136"/>
      <c r="AR231" s="136"/>
      <c r="AS231" s="136"/>
      <c r="AT231" s="136"/>
      <c r="AU231" s="136"/>
      <c r="AV231" s="136"/>
      <c r="AW231" s="136"/>
      <c r="AX231" s="136"/>
      <c r="AY231" s="136"/>
      <c r="AZ231" s="136"/>
      <c r="BA231" s="136"/>
      <c r="BB231" s="136"/>
      <c r="BC231" s="136"/>
      <c r="BD231" s="136"/>
      <c r="BE231" s="136"/>
      <c r="BF231" s="136"/>
      <c r="BG231" s="136"/>
      <c r="BH231" s="136"/>
      <c r="BI231" s="136"/>
      <c r="BJ231" s="136"/>
      <c r="BK231" s="136"/>
      <c r="BL231" s="136"/>
      <c r="BM231" s="136"/>
      <c r="BN231" s="136"/>
      <c r="BO231" s="136"/>
      <c r="BP231" s="136"/>
      <c r="BQ231" s="136"/>
      <c r="BR231" s="136"/>
      <c r="BS231" s="136"/>
      <c r="BT231" s="136"/>
      <c r="BU231" s="136"/>
      <c r="BV231" s="136"/>
      <c r="BW231" s="136"/>
      <c r="BX231" s="136"/>
      <c r="BY231" s="136"/>
      <c r="BZ231" s="136"/>
      <c r="CA231" s="136"/>
      <c r="CB231" s="136"/>
      <c r="CC231" s="136"/>
      <c r="CD231" s="136"/>
      <c r="CE231" s="136"/>
      <c r="CF231" s="136"/>
      <c r="CG231" s="136"/>
      <c r="CH231" s="136"/>
      <c r="CI231" s="136"/>
      <c r="CJ231" s="136"/>
      <c r="CK231" s="136"/>
      <c r="CL231" s="136"/>
      <c r="CM231" s="136"/>
      <c r="CN231" s="136"/>
      <c r="CO231" s="136"/>
      <c r="CP231" s="136"/>
      <c r="CQ231" s="136"/>
      <c r="CR231" s="136"/>
      <c r="CS231" s="136"/>
      <c r="CT231" s="136"/>
      <c r="CU231" s="136"/>
      <c r="CV231" s="136"/>
      <c r="CW231" s="136"/>
      <c r="CX231" s="136"/>
      <c r="CY231" s="136"/>
      <c r="CZ231" s="136"/>
      <c r="DA231" s="136"/>
      <c r="DB231" s="136"/>
      <c r="DC231" s="136"/>
      <c r="DD231" s="136"/>
      <c r="DE231" s="136"/>
      <c r="DF231" s="136"/>
      <c r="DG231" s="136"/>
      <c r="DH231" s="136"/>
      <c r="DI231" s="136"/>
      <c r="DJ231" s="136"/>
      <c r="DK231" s="136"/>
      <c r="DL231" s="136"/>
      <c r="DM231" s="136"/>
      <c r="DN231" s="136"/>
      <c r="DO231" s="136"/>
      <c r="DP231" s="136"/>
      <c r="DQ231" s="136"/>
      <c r="DR231" s="136"/>
      <c r="DS231" s="136"/>
      <c r="DT231" s="136"/>
      <c r="DU231" s="136"/>
      <c r="DV231" s="136"/>
      <c r="DW231" s="136"/>
      <c r="DX231" s="136"/>
      <c r="DY231" s="136"/>
      <c r="DZ231" s="136"/>
      <c r="EA231" s="136"/>
      <c r="EB231" s="136"/>
      <c r="EC231" s="136"/>
      <c r="ED231" s="136"/>
      <c r="EE231" s="136"/>
      <c r="EF231" s="136"/>
      <c r="EG231" s="136"/>
      <c r="EH231" s="136"/>
      <c r="EI231" s="136"/>
      <c r="EJ231" s="136"/>
      <c r="EK231" s="136"/>
      <c r="EL231" s="136"/>
      <c r="EM231" s="136"/>
      <c r="EN231" s="136"/>
      <c r="EO231" s="136"/>
      <c r="EP231" s="136"/>
      <c r="EQ231" s="136"/>
      <c r="ER231" s="136"/>
      <c r="ES231" s="136"/>
      <c r="ET231" s="136"/>
      <c r="EU231" s="136"/>
      <c r="EV231" s="136"/>
      <c r="EW231" s="136"/>
      <c r="EX231" s="136"/>
      <c r="EY231" s="136"/>
      <c r="EZ231" s="136"/>
      <c r="FA231" s="136"/>
      <c r="FB231" s="136"/>
      <c r="FC231" s="136"/>
      <c r="FD231" s="136"/>
      <c r="FE231" s="136"/>
      <c r="FF231" s="136"/>
      <c r="FG231" s="136"/>
      <c r="FH231" s="136"/>
      <c r="FI231" s="136"/>
      <c r="FJ231" s="136"/>
      <c r="FK231" s="136"/>
      <c r="FL231" s="136"/>
      <c r="FM231" s="136"/>
      <c r="FN231" s="136"/>
      <c r="FO231" s="136"/>
      <c r="FP231" s="136"/>
      <c r="FQ231" s="136"/>
      <c r="FR231" s="136"/>
      <c r="FS231" s="136"/>
      <c r="FT231" s="136"/>
      <c r="FU231" s="136"/>
      <c r="FV231" s="136"/>
      <c r="FW231" s="136"/>
      <c r="FX231" s="136"/>
      <c r="FY231" s="136"/>
      <c r="FZ231" s="136"/>
      <c r="GA231" s="136"/>
      <c r="GB231" s="136"/>
      <c r="GC231" s="136"/>
      <c r="GD231" s="136"/>
      <c r="GE231" s="136"/>
      <c r="GF231" s="136"/>
      <c r="GG231" s="136"/>
      <c r="GH231" s="136"/>
      <c r="GI231" s="136"/>
      <c r="GJ231" s="136"/>
      <c r="GK231" s="136"/>
      <c r="GL231" s="136"/>
      <c r="GM231" s="136"/>
      <c r="GN231" s="136"/>
      <c r="GO231" s="136"/>
      <c r="GP231" s="136"/>
      <c r="GQ231" s="136"/>
      <c r="GR231" s="136"/>
      <c r="GS231" s="136"/>
      <c r="GT231" s="136"/>
      <c r="GU231" s="136"/>
      <c r="GV231" s="136"/>
      <c r="GW231" s="136"/>
      <c r="GX231" s="136"/>
      <c r="GY231" s="136"/>
      <c r="GZ231" s="136"/>
      <c r="HA231" s="136"/>
      <c r="HB231" s="136"/>
      <c r="HC231" s="136"/>
      <c r="HD231" s="136"/>
      <c r="HE231" s="136"/>
      <c r="HF231" s="136"/>
      <c r="HG231" s="136"/>
      <c r="HH231" s="136"/>
      <c r="HI231" s="136"/>
      <c r="HJ231" s="136"/>
      <c r="HK231" s="136"/>
      <c r="HL231" s="136"/>
      <c r="HM231" s="136"/>
      <c r="HN231" s="136"/>
      <c r="HO231" s="136"/>
      <c r="HP231" s="136"/>
      <c r="HQ231" s="136"/>
      <c r="HR231" s="136"/>
      <c r="HS231" s="136"/>
      <c r="HT231" s="136"/>
      <c r="HU231" s="136"/>
      <c r="HV231" s="136"/>
      <c r="HW231" s="136"/>
      <c r="HX231" s="136"/>
      <c r="HY231" s="136"/>
      <c r="HZ231" s="136"/>
      <c r="IA231" s="136"/>
      <c r="IB231" s="136"/>
      <c r="IC231" s="136"/>
      <c r="ID231" s="136"/>
      <c r="IE231" s="136"/>
      <c r="IF231" s="136"/>
      <c r="IG231" s="136"/>
      <c r="IH231" s="136"/>
      <c r="II231" s="136"/>
      <c r="IJ231" s="136"/>
      <c r="IK231" s="136"/>
      <c r="IL231" s="136"/>
      <c r="IM231" s="136"/>
      <c r="IN231" s="136"/>
      <c r="IO231" s="136"/>
      <c r="IP231" s="136"/>
      <c r="IQ231" s="136"/>
      <c r="IR231" s="136"/>
      <c r="IS231" s="136"/>
      <c r="IT231" s="136"/>
      <c r="IU231" s="136"/>
    </row>
    <row r="232" spans="1:255" ht="96" customHeight="1" x14ac:dyDescent="0.2">
      <c r="A232" s="242" t="str">
        <f>'HECVAT - Full'!A232</f>
        <v>PPPR-09</v>
      </c>
      <c r="B232" s="242" t="str">
        <f>VLOOKUP(A232,'HECVAT - Full'!A$24:B$312,2,FALSE)</f>
        <v>Do you have a documented systems development life cycle (SDLC)?</v>
      </c>
      <c r="C232" s="243" t="s">
        <v>2935</v>
      </c>
      <c r="D232" s="253" t="s">
        <v>2936</v>
      </c>
      <c r="E232" s="136"/>
      <c r="F232" s="136"/>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c r="AC232" s="136"/>
      <c r="AD232" s="136"/>
      <c r="AE232" s="136"/>
      <c r="AF232" s="136"/>
      <c r="AG232" s="136"/>
      <c r="AH232" s="136"/>
      <c r="AI232" s="136"/>
      <c r="AJ232" s="136"/>
      <c r="AK232" s="136"/>
      <c r="AL232" s="136"/>
      <c r="AM232" s="136"/>
      <c r="AN232" s="136"/>
      <c r="AO232" s="136"/>
      <c r="AP232" s="136"/>
      <c r="AQ232" s="136"/>
      <c r="AR232" s="136"/>
      <c r="AS232" s="136"/>
      <c r="AT232" s="136"/>
      <c r="AU232" s="136"/>
      <c r="AV232" s="136"/>
      <c r="AW232" s="136"/>
      <c r="AX232" s="136"/>
      <c r="AY232" s="136"/>
      <c r="AZ232" s="136"/>
      <c r="BA232" s="136"/>
      <c r="BB232" s="136"/>
      <c r="BC232" s="136"/>
      <c r="BD232" s="136"/>
      <c r="BE232" s="136"/>
      <c r="BF232" s="136"/>
      <c r="BG232" s="136"/>
      <c r="BH232" s="136"/>
      <c r="BI232" s="136"/>
      <c r="BJ232" s="136"/>
      <c r="BK232" s="136"/>
      <c r="BL232" s="136"/>
      <c r="BM232" s="136"/>
      <c r="BN232" s="136"/>
      <c r="BO232" s="136"/>
      <c r="BP232" s="136"/>
      <c r="BQ232" s="136"/>
      <c r="BR232" s="136"/>
      <c r="BS232" s="136"/>
      <c r="BT232" s="136"/>
      <c r="BU232" s="136"/>
      <c r="BV232" s="136"/>
      <c r="BW232" s="136"/>
      <c r="BX232" s="136"/>
      <c r="BY232" s="136"/>
      <c r="BZ232" s="136"/>
      <c r="CA232" s="136"/>
      <c r="CB232" s="136"/>
      <c r="CC232" s="136"/>
      <c r="CD232" s="136"/>
      <c r="CE232" s="136"/>
      <c r="CF232" s="136"/>
      <c r="CG232" s="136"/>
      <c r="CH232" s="136"/>
      <c r="CI232" s="136"/>
      <c r="CJ232" s="136"/>
      <c r="CK232" s="136"/>
      <c r="CL232" s="136"/>
      <c r="CM232" s="136"/>
      <c r="CN232" s="136"/>
      <c r="CO232" s="136"/>
      <c r="CP232" s="136"/>
      <c r="CQ232" s="136"/>
      <c r="CR232" s="136"/>
      <c r="CS232" s="136"/>
      <c r="CT232" s="136"/>
      <c r="CU232" s="136"/>
      <c r="CV232" s="136"/>
      <c r="CW232" s="136"/>
      <c r="CX232" s="136"/>
      <c r="CY232" s="136"/>
      <c r="CZ232" s="136"/>
      <c r="DA232" s="136"/>
      <c r="DB232" s="136"/>
      <c r="DC232" s="136"/>
      <c r="DD232" s="136"/>
      <c r="DE232" s="136"/>
      <c r="DF232" s="136"/>
      <c r="DG232" s="136"/>
      <c r="DH232" s="136"/>
      <c r="DI232" s="136"/>
      <c r="DJ232" s="136"/>
      <c r="DK232" s="136"/>
      <c r="DL232" s="136"/>
      <c r="DM232" s="136"/>
      <c r="DN232" s="136"/>
      <c r="DO232" s="136"/>
      <c r="DP232" s="136"/>
      <c r="DQ232" s="136"/>
      <c r="DR232" s="136"/>
      <c r="DS232" s="136"/>
      <c r="DT232" s="136"/>
      <c r="DU232" s="136"/>
      <c r="DV232" s="136"/>
      <c r="DW232" s="136"/>
      <c r="DX232" s="136"/>
      <c r="DY232" s="136"/>
      <c r="DZ232" s="136"/>
      <c r="EA232" s="136"/>
      <c r="EB232" s="136"/>
      <c r="EC232" s="136"/>
      <c r="ED232" s="136"/>
      <c r="EE232" s="136"/>
      <c r="EF232" s="136"/>
      <c r="EG232" s="136"/>
      <c r="EH232" s="136"/>
      <c r="EI232" s="136"/>
      <c r="EJ232" s="136"/>
      <c r="EK232" s="136"/>
      <c r="EL232" s="136"/>
      <c r="EM232" s="136"/>
      <c r="EN232" s="136"/>
      <c r="EO232" s="136"/>
      <c r="EP232" s="136"/>
      <c r="EQ232" s="136"/>
      <c r="ER232" s="136"/>
      <c r="ES232" s="136"/>
      <c r="ET232" s="136"/>
      <c r="EU232" s="136"/>
      <c r="EV232" s="136"/>
      <c r="EW232" s="136"/>
      <c r="EX232" s="136"/>
      <c r="EY232" s="136"/>
      <c r="EZ232" s="136"/>
      <c r="FA232" s="136"/>
      <c r="FB232" s="136"/>
      <c r="FC232" s="136"/>
      <c r="FD232" s="136"/>
      <c r="FE232" s="136"/>
      <c r="FF232" s="136"/>
      <c r="FG232" s="136"/>
      <c r="FH232" s="136"/>
      <c r="FI232" s="136"/>
      <c r="FJ232" s="136"/>
      <c r="FK232" s="136"/>
      <c r="FL232" s="136"/>
      <c r="FM232" s="136"/>
      <c r="FN232" s="136"/>
      <c r="FO232" s="136"/>
      <c r="FP232" s="136"/>
      <c r="FQ232" s="136"/>
      <c r="FR232" s="136"/>
      <c r="FS232" s="136"/>
      <c r="FT232" s="136"/>
      <c r="FU232" s="136"/>
      <c r="FV232" s="136"/>
      <c r="FW232" s="136"/>
      <c r="FX232" s="136"/>
      <c r="FY232" s="136"/>
      <c r="FZ232" s="136"/>
      <c r="GA232" s="136"/>
      <c r="GB232" s="136"/>
      <c r="GC232" s="136"/>
      <c r="GD232" s="136"/>
      <c r="GE232" s="136"/>
      <c r="GF232" s="136"/>
      <c r="GG232" s="136"/>
      <c r="GH232" s="136"/>
      <c r="GI232" s="136"/>
      <c r="GJ232" s="136"/>
      <c r="GK232" s="136"/>
      <c r="GL232" s="136"/>
      <c r="GM232" s="136"/>
      <c r="GN232" s="136"/>
      <c r="GO232" s="136"/>
      <c r="GP232" s="136"/>
      <c r="GQ232" s="136"/>
      <c r="GR232" s="136"/>
      <c r="GS232" s="136"/>
      <c r="GT232" s="136"/>
      <c r="GU232" s="136"/>
      <c r="GV232" s="136"/>
      <c r="GW232" s="136"/>
      <c r="GX232" s="136"/>
      <c r="GY232" s="136"/>
      <c r="GZ232" s="136"/>
      <c r="HA232" s="136"/>
      <c r="HB232" s="136"/>
      <c r="HC232" s="136"/>
      <c r="HD232" s="136"/>
      <c r="HE232" s="136"/>
      <c r="HF232" s="136"/>
      <c r="HG232" s="136"/>
      <c r="HH232" s="136"/>
      <c r="HI232" s="136"/>
      <c r="HJ232" s="136"/>
      <c r="HK232" s="136"/>
      <c r="HL232" s="136"/>
      <c r="HM232" s="136"/>
      <c r="HN232" s="136"/>
      <c r="HO232" s="136"/>
      <c r="HP232" s="136"/>
      <c r="HQ232" s="136"/>
      <c r="HR232" s="136"/>
      <c r="HS232" s="136"/>
      <c r="HT232" s="136"/>
      <c r="HU232" s="136"/>
      <c r="HV232" s="136"/>
      <c r="HW232" s="136"/>
      <c r="HX232" s="136"/>
      <c r="HY232" s="136"/>
      <c r="HZ232" s="136"/>
      <c r="IA232" s="136"/>
      <c r="IB232" s="136"/>
      <c r="IC232" s="136"/>
      <c r="ID232" s="136"/>
      <c r="IE232" s="136"/>
      <c r="IF232" s="136"/>
      <c r="IG232" s="136"/>
      <c r="IH232" s="136"/>
      <c r="II232" s="136"/>
      <c r="IJ232" s="136"/>
      <c r="IK232" s="136"/>
      <c r="IL232" s="136"/>
      <c r="IM232" s="136"/>
      <c r="IN232" s="136"/>
      <c r="IO232" s="136"/>
      <c r="IP232" s="136"/>
      <c r="IQ232" s="136"/>
      <c r="IR232" s="136"/>
      <c r="IS232" s="136"/>
      <c r="IT232" s="136"/>
      <c r="IU232" s="136"/>
    </row>
    <row r="233" spans="1:255" ht="135" x14ac:dyDescent="0.2">
      <c r="A233" s="242" t="str">
        <f>'HECVAT - Full'!A233</f>
        <v>PPPR-10</v>
      </c>
      <c r="B233" s="242" t="str">
        <f>VLOOKUP(A233,'HECVAT - Full'!A$24:B$312,2,FALSE)</f>
        <v>Do you have a formal incident response plan?</v>
      </c>
      <c r="C233" s="245" t="s">
        <v>2937</v>
      </c>
      <c r="D233" s="248" t="s">
        <v>2938</v>
      </c>
      <c r="E233" s="136"/>
      <c r="F233" s="136"/>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c r="AC233" s="136"/>
      <c r="AD233" s="136"/>
      <c r="AE233" s="136"/>
      <c r="AF233" s="136"/>
      <c r="AG233" s="136"/>
      <c r="AH233" s="136"/>
      <c r="AI233" s="136"/>
      <c r="AJ233" s="136"/>
      <c r="AK233" s="136"/>
      <c r="AL233" s="136"/>
      <c r="AM233" s="136"/>
      <c r="AN233" s="136"/>
      <c r="AO233" s="136"/>
      <c r="AP233" s="136"/>
      <c r="AQ233" s="136"/>
      <c r="AR233" s="136"/>
      <c r="AS233" s="136"/>
      <c r="AT233" s="136"/>
      <c r="AU233" s="136"/>
      <c r="AV233" s="136"/>
      <c r="AW233" s="136"/>
      <c r="AX233" s="136"/>
      <c r="AY233" s="136"/>
      <c r="AZ233" s="136"/>
      <c r="BA233" s="136"/>
      <c r="BB233" s="136"/>
      <c r="BC233" s="136"/>
      <c r="BD233" s="136"/>
      <c r="BE233" s="136"/>
      <c r="BF233" s="136"/>
      <c r="BG233" s="136"/>
      <c r="BH233" s="136"/>
      <c r="BI233" s="136"/>
      <c r="BJ233" s="136"/>
      <c r="BK233" s="136"/>
      <c r="BL233" s="136"/>
      <c r="BM233" s="136"/>
      <c r="BN233" s="136"/>
      <c r="BO233" s="136"/>
      <c r="BP233" s="136"/>
      <c r="BQ233" s="136"/>
      <c r="BR233" s="136"/>
      <c r="BS233" s="136"/>
      <c r="BT233" s="136"/>
      <c r="BU233" s="136"/>
      <c r="BV233" s="136"/>
      <c r="BW233" s="136"/>
      <c r="BX233" s="136"/>
      <c r="BY233" s="136"/>
      <c r="BZ233" s="136"/>
      <c r="CA233" s="136"/>
      <c r="CB233" s="136"/>
      <c r="CC233" s="136"/>
      <c r="CD233" s="136"/>
      <c r="CE233" s="136"/>
      <c r="CF233" s="136"/>
      <c r="CG233" s="136"/>
      <c r="CH233" s="136"/>
      <c r="CI233" s="136"/>
      <c r="CJ233" s="136"/>
      <c r="CK233" s="136"/>
      <c r="CL233" s="136"/>
      <c r="CM233" s="136"/>
      <c r="CN233" s="136"/>
      <c r="CO233" s="136"/>
      <c r="CP233" s="136"/>
      <c r="CQ233" s="136"/>
      <c r="CR233" s="136"/>
      <c r="CS233" s="136"/>
      <c r="CT233" s="136"/>
      <c r="CU233" s="136"/>
      <c r="CV233" s="136"/>
      <c r="CW233" s="136"/>
      <c r="CX233" s="136"/>
      <c r="CY233" s="136"/>
      <c r="CZ233" s="136"/>
      <c r="DA233" s="136"/>
      <c r="DB233" s="136"/>
      <c r="DC233" s="136"/>
      <c r="DD233" s="136"/>
      <c r="DE233" s="136"/>
      <c r="DF233" s="136"/>
      <c r="DG233" s="136"/>
      <c r="DH233" s="136"/>
      <c r="DI233" s="136"/>
      <c r="DJ233" s="136"/>
      <c r="DK233" s="136"/>
      <c r="DL233" s="136"/>
      <c r="DM233" s="136"/>
      <c r="DN233" s="136"/>
      <c r="DO233" s="136"/>
      <c r="DP233" s="136"/>
      <c r="DQ233" s="136"/>
      <c r="DR233" s="136"/>
      <c r="DS233" s="136"/>
      <c r="DT233" s="136"/>
      <c r="DU233" s="136"/>
      <c r="DV233" s="136"/>
      <c r="DW233" s="136"/>
      <c r="DX233" s="136"/>
      <c r="DY233" s="136"/>
      <c r="DZ233" s="136"/>
      <c r="EA233" s="136"/>
      <c r="EB233" s="136"/>
      <c r="EC233" s="136"/>
      <c r="ED233" s="136"/>
      <c r="EE233" s="136"/>
      <c r="EF233" s="136"/>
      <c r="EG233" s="136"/>
      <c r="EH233" s="136"/>
      <c r="EI233" s="136"/>
      <c r="EJ233" s="136"/>
      <c r="EK233" s="136"/>
      <c r="EL233" s="136"/>
      <c r="EM233" s="136"/>
      <c r="EN233" s="136"/>
      <c r="EO233" s="136"/>
      <c r="EP233" s="136"/>
      <c r="EQ233" s="136"/>
      <c r="ER233" s="136"/>
      <c r="ES233" s="136"/>
      <c r="ET233" s="136"/>
      <c r="EU233" s="136"/>
      <c r="EV233" s="136"/>
      <c r="EW233" s="136"/>
      <c r="EX233" s="136"/>
      <c r="EY233" s="136"/>
      <c r="EZ233" s="136"/>
      <c r="FA233" s="136"/>
      <c r="FB233" s="136"/>
      <c r="FC233" s="136"/>
      <c r="FD233" s="136"/>
      <c r="FE233" s="136"/>
      <c r="FF233" s="136"/>
      <c r="FG233" s="136"/>
      <c r="FH233" s="136"/>
      <c r="FI233" s="136"/>
      <c r="FJ233" s="136"/>
      <c r="FK233" s="136"/>
      <c r="FL233" s="136"/>
      <c r="FM233" s="136"/>
      <c r="FN233" s="136"/>
      <c r="FO233" s="136"/>
      <c r="FP233" s="136"/>
      <c r="FQ233" s="136"/>
      <c r="FR233" s="136"/>
      <c r="FS233" s="136"/>
      <c r="FT233" s="136"/>
      <c r="FU233" s="136"/>
      <c r="FV233" s="136"/>
      <c r="FW233" s="136"/>
      <c r="FX233" s="136"/>
      <c r="FY233" s="136"/>
      <c r="FZ233" s="136"/>
      <c r="GA233" s="136"/>
      <c r="GB233" s="136"/>
      <c r="GC233" s="136"/>
      <c r="GD233" s="136"/>
      <c r="GE233" s="136"/>
      <c r="GF233" s="136"/>
      <c r="GG233" s="136"/>
      <c r="GH233" s="136"/>
      <c r="GI233" s="136"/>
      <c r="GJ233" s="136"/>
      <c r="GK233" s="136"/>
      <c r="GL233" s="136"/>
      <c r="GM233" s="136"/>
      <c r="GN233" s="136"/>
      <c r="GO233" s="136"/>
      <c r="GP233" s="136"/>
      <c r="GQ233" s="136"/>
      <c r="GR233" s="136"/>
      <c r="GS233" s="136"/>
      <c r="GT233" s="136"/>
      <c r="GU233" s="136"/>
      <c r="GV233" s="136"/>
      <c r="GW233" s="136"/>
      <c r="GX233" s="136"/>
      <c r="GY233" s="136"/>
      <c r="GZ233" s="136"/>
      <c r="HA233" s="136"/>
      <c r="HB233" s="136"/>
      <c r="HC233" s="136"/>
      <c r="HD233" s="136"/>
      <c r="HE233" s="136"/>
      <c r="HF233" s="136"/>
      <c r="HG233" s="136"/>
      <c r="HH233" s="136"/>
      <c r="HI233" s="136"/>
      <c r="HJ233" s="136"/>
      <c r="HK233" s="136"/>
      <c r="HL233" s="136"/>
      <c r="HM233" s="136"/>
      <c r="HN233" s="136"/>
      <c r="HO233" s="136"/>
      <c r="HP233" s="136"/>
      <c r="HQ233" s="136"/>
      <c r="HR233" s="136"/>
      <c r="HS233" s="136"/>
      <c r="HT233" s="136"/>
      <c r="HU233" s="136"/>
      <c r="HV233" s="136"/>
      <c r="HW233" s="136"/>
      <c r="HX233" s="136"/>
      <c r="HY233" s="136"/>
      <c r="HZ233" s="136"/>
      <c r="IA233" s="136"/>
      <c r="IB233" s="136"/>
      <c r="IC233" s="136"/>
      <c r="ID233" s="136"/>
      <c r="IE233" s="136"/>
      <c r="IF233" s="136"/>
      <c r="IG233" s="136"/>
      <c r="IH233" s="136"/>
      <c r="II233" s="136"/>
      <c r="IJ233" s="136"/>
      <c r="IK233" s="136"/>
      <c r="IL233" s="136"/>
      <c r="IM233" s="136"/>
      <c r="IN233" s="136"/>
      <c r="IO233" s="136"/>
      <c r="IP233" s="136"/>
      <c r="IQ233" s="136"/>
      <c r="IR233" s="136"/>
      <c r="IS233" s="136"/>
      <c r="IT233" s="136"/>
      <c r="IU233" s="136"/>
    </row>
    <row r="234" spans="1:255" ht="63.75" customHeight="1" x14ac:dyDescent="0.2">
      <c r="A234" s="242" t="str">
        <f>'HECVAT - Full'!A234</f>
        <v>PPPR-11</v>
      </c>
      <c r="B234" s="242" t="str">
        <f>VLOOKUP(A234,'HECVAT - Full'!A$24:B$312,2,FALSE)</f>
        <v>Will you comply with applicable breach notification laws?</v>
      </c>
      <c r="C234" s="243" t="s">
        <v>2939</v>
      </c>
      <c r="D234" s="253" t="s">
        <v>2940</v>
      </c>
      <c r="E234" s="136"/>
      <c r="F234" s="136"/>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c r="AC234" s="136"/>
      <c r="AD234" s="136"/>
      <c r="AE234" s="136"/>
      <c r="AF234" s="136"/>
      <c r="AG234" s="136"/>
      <c r="AH234" s="136"/>
      <c r="AI234" s="136"/>
      <c r="AJ234" s="136"/>
      <c r="AK234" s="136"/>
      <c r="AL234" s="136"/>
      <c r="AM234" s="136"/>
      <c r="AN234" s="136"/>
      <c r="AO234" s="136"/>
      <c r="AP234" s="136"/>
      <c r="AQ234" s="136"/>
      <c r="AR234" s="136"/>
      <c r="AS234" s="136"/>
      <c r="AT234" s="136"/>
      <c r="AU234" s="136"/>
      <c r="AV234" s="136"/>
      <c r="AW234" s="136"/>
      <c r="AX234" s="136"/>
      <c r="AY234" s="136"/>
      <c r="AZ234" s="136"/>
      <c r="BA234" s="136"/>
      <c r="BB234" s="136"/>
      <c r="BC234" s="136"/>
      <c r="BD234" s="136"/>
      <c r="BE234" s="136"/>
      <c r="BF234" s="136"/>
      <c r="BG234" s="136"/>
      <c r="BH234" s="136"/>
      <c r="BI234" s="136"/>
      <c r="BJ234" s="136"/>
      <c r="BK234" s="136"/>
      <c r="BL234" s="136"/>
      <c r="BM234" s="136"/>
      <c r="BN234" s="136"/>
      <c r="BO234" s="136"/>
      <c r="BP234" s="136"/>
      <c r="BQ234" s="136"/>
      <c r="BR234" s="136"/>
      <c r="BS234" s="136"/>
      <c r="BT234" s="136"/>
      <c r="BU234" s="136"/>
      <c r="BV234" s="136"/>
      <c r="BW234" s="136"/>
      <c r="BX234" s="136"/>
      <c r="BY234" s="136"/>
      <c r="BZ234" s="136"/>
      <c r="CA234" s="136"/>
      <c r="CB234" s="136"/>
      <c r="CC234" s="136"/>
      <c r="CD234" s="136"/>
      <c r="CE234" s="136"/>
      <c r="CF234" s="136"/>
      <c r="CG234" s="136"/>
      <c r="CH234" s="136"/>
      <c r="CI234" s="136"/>
      <c r="CJ234" s="136"/>
      <c r="CK234" s="136"/>
      <c r="CL234" s="136"/>
      <c r="CM234" s="136"/>
      <c r="CN234" s="136"/>
      <c r="CO234" s="136"/>
      <c r="CP234" s="136"/>
      <c r="CQ234" s="136"/>
      <c r="CR234" s="136"/>
      <c r="CS234" s="136"/>
      <c r="CT234" s="136"/>
      <c r="CU234" s="136"/>
      <c r="CV234" s="136"/>
      <c r="CW234" s="136"/>
      <c r="CX234" s="136"/>
      <c r="CY234" s="136"/>
      <c r="CZ234" s="136"/>
      <c r="DA234" s="136"/>
      <c r="DB234" s="136"/>
      <c r="DC234" s="136"/>
      <c r="DD234" s="136"/>
      <c r="DE234" s="136"/>
      <c r="DF234" s="136"/>
      <c r="DG234" s="136"/>
      <c r="DH234" s="136"/>
      <c r="DI234" s="136"/>
      <c r="DJ234" s="136"/>
      <c r="DK234" s="136"/>
      <c r="DL234" s="136"/>
      <c r="DM234" s="136"/>
      <c r="DN234" s="136"/>
      <c r="DO234" s="136"/>
      <c r="DP234" s="136"/>
      <c r="DQ234" s="136"/>
      <c r="DR234" s="136"/>
      <c r="DS234" s="136"/>
      <c r="DT234" s="136"/>
      <c r="DU234" s="136"/>
      <c r="DV234" s="136"/>
      <c r="DW234" s="136"/>
      <c r="DX234" s="136"/>
      <c r="DY234" s="136"/>
      <c r="DZ234" s="136"/>
      <c r="EA234" s="136"/>
      <c r="EB234" s="136"/>
      <c r="EC234" s="136"/>
      <c r="ED234" s="136"/>
      <c r="EE234" s="136"/>
      <c r="EF234" s="136"/>
      <c r="EG234" s="136"/>
      <c r="EH234" s="136"/>
      <c r="EI234" s="136"/>
      <c r="EJ234" s="136"/>
      <c r="EK234" s="136"/>
      <c r="EL234" s="136"/>
      <c r="EM234" s="136"/>
      <c r="EN234" s="136"/>
      <c r="EO234" s="136"/>
      <c r="EP234" s="136"/>
      <c r="EQ234" s="136"/>
      <c r="ER234" s="136"/>
      <c r="ES234" s="136"/>
      <c r="ET234" s="136"/>
      <c r="EU234" s="136"/>
      <c r="EV234" s="136"/>
      <c r="EW234" s="136"/>
      <c r="EX234" s="136"/>
      <c r="EY234" s="136"/>
      <c r="EZ234" s="136"/>
      <c r="FA234" s="136"/>
      <c r="FB234" s="136"/>
      <c r="FC234" s="136"/>
      <c r="FD234" s="136"/>
      <c r="FE234" s="136"/>
      <c r="FF234" s="136"/>
      <c r="FG234" s="136"/>
      <c r="FH234" s="136"/>
      <c r="FI234" s="136"/>
      <c r="FJ234" s="136"/>
      <c r="FK234" s="136"/>
      <c r="FL234" s="136"/>
      <c r="FM234" s="136"/>
      <c r="FN234" s="136"/>
      <c r="FO234" s="136"/>
      <c r="FP234" s="136"/>
      <c r="FQ234" s="136"/>
      <c r="FR234" s="136"/>
      <c r="FS234" s="136"/>
      <c r="FT234" s="136"/>
      <c r="FU234" s="136"/>
      <c r="FV234" s="136"/>
      <c r="FW234" s="136"/>
      <c r="FX234" s="136"/>
      <c r="FY234" s="136"/>
      <c r="FZ234" s="136"/>
      <c r="GA234" s="136"/>
      <c r="GB234" s="136"/>
      <c r="GC234" s="136"/>
      <c r="GD234" s="136"/>
      <c r="GE234" s="136"/>
      <c r="GF234" s="136"/>
      <c r="GG234" s="136"/>
      <c r="GH234" s="136"/>
      <c r="GI234" s="136"/>
      <c r="GJ234" s="136"/>
      <c r="GK234" s="136"/>
      <c r="GL234" s="136"/>
      <c r="GM234" s="136"/>
      <c r="GN234" s="136"/>
      <c r="GO234" s="136"/>
      <c r="GP234" s="136"/>
      <c r="GQ234" s="136"/>
      <c r="GR234" s="136"/>
      <c r="GS234" s="136"/>
      <c r="GT234" s="136"/>
      <c r="GU234" s="136"/>
      <c r="GV234" s="136"/>
      <c r="GW234" s="136"/>
      <c r="GX234" s="136"/>
      <c r="GY234" s="136"/>
      <c r="GZ234" s="136"/>
      <c r="HA234" s="136"/>
      <c r="HB234" s="136"/>
      <c r="HC234" s="136"/>
      <c r="HD234" s="136"/>
      <c r="HE234" s="136"/>
      <c r="HF234" s="136"/>
      <c r="HG234" s="136"/>
      <c r="HH234" s="136"/>
      <c r="HI234" s="136"/>
      <c r="HJ234" s="136"/>
      <c r="HK234" s="136"/>
      <c r="HL234" s="136"/>
      <c r="HM234" s="136"/>
      <c r="HN234" s="136"/>
      <c r="HO234" s="136"/>
      <c r="HP234" s="136"/>
      <c r="HQ234" s="136"/>
      <c r="HR234" s="136"/>
      <c r="HS234" s="136"/>
      <c r="HT234" s="136"/>
      <c r="HU234" s="136"/>
      <c r="HV234" s="136"/>
      <c r="HW234" s="136"/>
      <c r="HX234" s="136"/>
      <c r="HY234" s="136"/>
      <c r="HZ234" s="136"/>
      <c r="IA234" s="136"/>
      <c r="IB234" s="136"/>
      <c r="IC234" s="136"/>
      <c r="ID234" s="136"/>
      <c r="IE234" s="136"/>
      <c r="IF234" s="136"/>
      <c r="IG234" s="136"/>
      <c r="IH234" s="136"/>
      <c r="II234" s="136"/>
      <c r="IJ234" s="136"/>
      <c r="IK234" s="136"/>
      <c r="IL234" s="136"/>
      <c r="IM234" s="136"/>
      <c r="IN234" s="136"/>
      <c r="IO234" s="136"/>
      <c r="IP234" s="136"/>
      <c r="IQ234" s="136"/>
      <c r="IR234" s="136"/>
      <c r="IS234" s="136"/>
      <c r="IT234" s="136"/>
      <c r="IU234" s="136"/>
    </row>
    <row r="235" spans="1:255" ht="63.75" customHeight="1" x14ac:dyDescent="0.2">
      <c r="A235" s="242" t="str">
        <f>'HECVAT - Full'!A235</f>
        <v>PPPR-12</v>
      </c>
      <c r="B235" s="242" t="str">
        <f>VLOOKUP(A235,'HECVAT - Full'!A$24:B$312,2,FALSE)</f>
        <v>Will you comply with the Institution's IT policies with regards to user privacy and data protection?</v>
      </c>
      <c r="C235" s="243" t="s">
        <v>2941</v>
      </c>
      <c r="D235" s="253" t="s">
        <v>2942</v>
      </c>
      <c r="E235" s="136"/>
      <c r="F235" s="13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c r="AC235" s="136"/>
      <c r="AD235" s="136"/>
      <c r="AE235" s="136"/>
      <c r="AF235" s="136"/>
      <c r="AG235" s="136"/>
      <c r="AH235" s="136"/>
      <c r="AI235" s="136"/>
      <c r="AJ235" s="136"/>
      <c r="AK235" s="136"/>
      <c r="AL235" s="136"/>
      <c r="AM235" s="136"/>
      <c r="AN235" s="136"/>
      <c r="AO235" s="136"/>
      <c r="AP235" s="136"/>
      <c r="AQ235" s="136"/>
      <c r="AR235" s="136"/>
      <c r="AS235" s="136"/>
      <c r="AT235" s="136"/>
      <c r="AU235" s="136"/>
      <c r="AV235" s="136"/>
      <c r="AW235" s="136"/>
      <c r="AX235" s="136"/>
      <c r="AY235" s="136"/>
      <c r="AZ235" s="136"/>
      <c r="BA235" s="136"/>
      <c r="BB235" s="136"/>
      <c r="BC235" s="136"/>
      <c r="BD235" s="136"/>
      <c r="BE235" s="136"/>
      <c r="BF235" s="136"/>
      <c r="BG235" s="136"/>
      <c r="BH235" s="136"/>
      <c r="BI235" s="136"/>
      <c r="BJ235" s="136"/>
      <c r="BK235" s="136"/>
      <c r="BL235" s="136"/>
      <c r="BM235" s="136"/>
      <c r="BN235" s="136"/>
      <c r="BO235" s="136"/>
      <c r="BP235" s="136"/>
      <c r="BQ235" s="136"/>
      <c r="BR235" s="136"/>
      <c r="BS235" s="136"/>
      <c r="BT235" s="136"/>
      <c r="BU235" s="136"/>
      <c r="BV235" s="136"/>
      <c r="BW235" s="136"/>
      <c r="BX235" s="136"/>
      <c r="BY235" s="136"/>
      <c r="BZ235" s="136"/>
      <c r="CA235" s="136"/>
      <c r="CB235" s="136"/>
      <c r="CC235" s="136"/>
      <c r="CD235" s="136"/>
      <c r="CE235" s="136"/>
      <c r="CF235" s="136"/>
      <c r="CG235" s="136"/>
      <c r="CH235" s="136"/>
      <c r="CI235" s="136"/>
      <c r="CJ235" s="136"/>
      <c r="CK235" s="136"/>
      <c r="CL235" s="136"/>
      <c r="CM235" s="136"/>
      <c r="CN235" s="136"/>
      <c r="CO235" s="136"/>
      <c r="CP235" s="136"/>
      <c r="CQ235" s="136"/>
      <c r="CR235" s="136"/>
      <c r="CS235" s="136"/>
      <c r="CT235" s="136"/>
      <c r="CU235" s="136"/>
      <c r="CV235" s="136"/>
      <c r="CW235" s="136"/>
      <c r="CX235" s="136"/>
      <c r="CY235" s="136"/>
      <c r="CZ235" s="136"/>
      <c r="DA235" s="136"/>
      <c r="DB235" s="136"/>
      <c r="DC235" s="136"/>
      <c r="DD235" s="136"/>
      <c r="DE235" s="136"/>
      <c r="DF235" s="136"/>
      <c r="DG235" s="136"/>
      <c r="DH235" s="136"/>
      <c r="DI235" s="136"/>
      <c r="DJ235" s="136"/>
      <c r="DK235" s="136"/>
      <c r="DL235" s="136"/>
      <c r="DM235" s="136"/>
      <c r="DN235" s="136"/>
      <c r="DO235" s="136"/>
      <c r="DP235" s="136"/>
      <c r="DQ235" s="136"/>
      <c r="DR235" s="136"/>
      <c r="DS235" s="136"/>
      <c r="DT235" s="136"/>
      <c r="DU235" s="136"/>
      <c r="DV235" s="136"/>
      <c r="DW235" s="136"/>
      <c r="DX235" s="136"/>
      <c r="DY235" s="136"/>
      <c r="DZ235" s="136"/>
      <c r="EA235" s="136"/>
      <c r="EB235" s="136"/>
      <c r="EC235" s="136"/>
      <c r="ED235" s="136"/>
      <c r="EE235" s="136"/>
      <c r="EF235" s="136"/>
      <c r="EG235" s="136"/>
      <c r="EH235" s="136"/>
      <c r="EI235" s="136"/>
      <c r="EJ235" s="136"/>
      <c r="EK235" s="136"/>
      <c r="EL235" s="136"/>
      <c r="EM235" s="136"/>
      <c r="EN235" s="136"/>
      <c r="EO235" s="136"/>
      <c r="EP235" s="136"/>
      <c r="EQ235" s="136"/>
      <c r="ER235" s="136"/>
      <c r="ES235" s="136"/>
      <c r="ET235" s="136"/>
      <c r="EU235" s="136"/>
      <c r="EV235" s="136"/>
      <c r="EW235" s="136"/>
      <c r="EX235" s="136"/>
      <c r="EY235" s="136"/>
      <c r="EZ235" s="136"/>
      <c r="FA235" s="136"/>
      <c r="FB235" s="136"/>
      <c r="FC235" s="136"/>
      <c r="FD235" s="136"/>
      <c r="FE235" s="136"/>
      <c r="FF235" s="136"/>
      <c r="FG235" s="136"/>
      <c r="FH235" s="136"/>
      <c r="FI235" s="136"/>
      <c r="FJ235" s="136"/>
      <c r="FK235" s="136"/>
      <c r="FL235" s="136"/>
      <c r="FM235" s="136"/>
      <c r="FN235" s="136"/>
      <c r="FO235" s="136"/>
      <c r="FP235" s="136"/>
      <c r="FQ235" s="136"/>
      <c r="FR235" s="136"/>
      <c r="FS235" s="136"/>
      <c r="FT235" s="136"/>
      <c r="FU235" s="136"/>
      <c r="FV235" s="136"/>
      <c r="FW235" s="136"/>
      <c r="FX235" s="136"/>
      <c r="FY235" s="136"/>
      <c r="FZ235" s="136"/>
      <c r="GA235" s="136"/>
      <c r="GB235" s="136"/>
      <c r="GC235" s="136"/>
      <c r="GD235" s="136"/>
      <c r="GE235" s="136"/>
      <c r="GF235" s="136"/>
      <c r="GG235" s="136"/>
      <c r="GH235" s="136"/>
      <c r="GI235" s="136"/>
      <c r="GJ235" s="136"/>
      <c r="GK235" s="136"/>
      <c r="GL235" s="136"/>
      <c r="GM235" s="136"/>
      <c r="GN235" s="136"/>
      <c r="GO235" s="136"/>
      <c r="GP235" s="136"/>
      <c r="GQ235" s="136"/>
      <c r="GR235" s="136"/>
      <c r="GS235" s="136"/>
      <c r="GT235" s="136"/>
      <c r="GU235" s="136"/>
      <c r="GV235" s="136"/>
      <c r="GW235" s="136"/>
      <c r="GX235" s="136"/>
      <c r="GY235" s="136"/>
      <c r="GZ235" s="136"/>
      <c r="HA235" s="136"/>
      <c r="HB235" s="136"/>
      <c r="HC235" s="136"/>
      <c r="HD235" s="136"/>
      <c r="HE235" s="136"/>
      <c r="HF235" s="136"/>
      <c r="HG235" s="136"/>
      <c r="HH235" s="136"/>
      <c r="HI235" s="136"/>
      <c r="HJ235" s="136"/>
      <c r="HK235" s="136"/>
      <c r="HL235" s="136"/>
      <c r="HM235" s="136"/>
      <c r="HN235" s="136"/>
      <c r="HO235" s="136"/>
      <c r="HP235" s="136"/>
      <c r="HQ235" s="136"/>
      <c r="HR235" s="136"/>
      <c r="HS235" s="136"/>
      <c r="HT235" s="136"/>
      <c r="HU235" s="136"/>
      <c r="HV235" s="136"/>
      <c r="HW235" s="136"/>
      <c r="HX235" s="136"/>
      <c r="HY235" s="136"/>
      <c r="HZ235" s="136"/>
      <c r="IA235" s="136"/>
      <c r="IB235" s="136"/>
      <c r="IC235" s="136"/>
      <c r="ID235" s="136"/>
      <c r="IE235" s="136"/>
      <c r="IF235" s="136"/>
      <c r="IG235" s="136"/>
      <c r="IH235" s="136"/>
      <c r="II235" s="136"/>
      <c r="IJ235" s="136"/>
      <c r="IK235" s="136"/>
      <c r="IL235" s="136"/>
      <c r="IM235" s="136"/>
      <c r="IN235" s="136"/>
      <c r="IO235" s="136"/>
      <c r="IP235" s="136"/>
      <c r="IQ235" s="136"/>
      <c r="IR235" s="136"/>
      <c r="IS235" s="136"/>
      <c r="IT235" s="136"/>
      <c r="IU235" s="136"/>
    </row>
    <row r="236" spans="1:255" ht="63" customHeight="1" x14ac:dyDescent="0.2">
      <c r="A236" s="242" t="str">
        <f>'HECVAT - Full'!A236</f>
        <v>PPPR-13</v>
      </c>
      <c r="B236" s="242" t="str">
        <f>VLOOKUP(A236,'HECVAT - Full'!A$24:B$312,2,FALSE)</f>
        <v>Is your company subject to Institution's Data Zone laws and regulations?</v>
      </c>
      <c r="C236" s="243" t="s">
        <v>2939</v>
      </c>
      <c r="D236" s="253" t="s">
        <v>2940</v>
      </c>
      <c r="E236" s="136"/>
      <c r="F236" s="13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c r="AC236" s="136"/>
      <c r="AD236" s="136"/>
      <c r="AE236" s="136"/>
      <c r="AF236" s="136"/>
      <c r="AG236" s="136"/>
      <c r="AH236" s="136"/>
      <c r="AI236" s="136"/>
      <c r="AJ236" s="136"/>
      <c r="AK236" s="136"/>
      <c r="AL236" s="136"/>
      <c r="AM236" s="136"/>
      <c r="AN236" s="136"/>
      <c r="AO236" s="136"/>
      <c r="AP236" s="136"/>
      <c r="AQ236" s="136"/>
      <c r="AR236" s="136"/>
      <c r="AS236" s="136"/>
      <c r="AT236" s="136"/>
      <c r="AU236" s="136"/>
      <c r="AV236" s="136"/>
      <c r="AW236" s="136"/>
      <c r="AX236" s="136"/>
      <c r="AY236" s="136"/>
      <c r="AZ236" s="136"/>
      <c r="BA236" s="136"/>
      <c r="BB236" s="136"/>
      <c r="BC236" s="136"/>
      <c r="BD236" s="136"/>
      <c r="BE236" s="136"/>
      <c r="BF236" s="136"/>
      <c r="BG236" s="136"/>
      <c r="BH236" s="136"/>
      <c r="BI236" s="136"/>
      <c r="BJ236" s="136"/>
      <c r="BK236" s="136"/>
      <c r="BL236" s="136"/>
      <c r="BM236" s="136"/>
      <c r="BN236" s="136"/>
      <c r="BO236" s="136"/>
      <c r="BP236" s="136"/>
      <c r="BQ236" s="136"/>
      <c r="BR236" s="136"/>
      <c r="BS236" s="136"/>
      <c r="BT236" s="136"/>
      <c r="BU236" s="136"/>
      <c r="BV236" s="136"/>
      <c r="BW236" s="136"/>
      <c r="BX236" s="136"/>
      <c r="BY236" s="136"/>
      <c r="BZ236" s="136"/>
      <c r="CA236" s="136"/>
      <c r="CB236" s="136"/>
      <c r="CC236" s="136"/>
      <c r="CD236" s="136"/>
      <c r="CE236" s="136"/>
      <c r="CF236" s="136"/>
      <c r="CG236" s="136"/>
      <c r="CH236" s="136"/>
      <c r="CI236" s="136"/>
      <c r="CJ236" s="136"/>
      <c r="CK236" s="136"/>
      <c r="CL236" s="136"/>
      <c r="CM236" s="136"/>
      <c r="CN236" s="136"/>
      <c r="CO236" s="136"/>
      <c r="CP236" s="136"/>
      <c r="CQ236" s="136"/>
      <c r="CR236" s="136"/>
      <c r="CS236" s="136"/>
      <c r="CT236" s="136"/>
      <c r="CU236" s="136"/>
      <c r="CV236" s="136"/>
      <c r="CW236" s="136"/>
      <c r="CX236" s="136"/>
      <c r="CY236" s="136"/>
      <c r="CZ236" s="136"/>
      <c r="DA236" s="136"/>
      <c r="DB236" s="136"/>
      <c r="DC236" s="136"/>
      <c r="DD236" s="136"/>
      <c r="DE236" s="136"/>
      <c r="DF236" s="136"/>
      <c r="DG236" s="136"/>
      <c r="DH236" s="136"/>
      <c r="DI236" s="136"/>
      <c r="DJ236" s="136"/>
      <c r="DK236" s="136"/>
      <c r="DL236" s="136"/>
      <c r="DM236" s="136"/>
      <c r="DN236" s="136"/>
      <c r="DO236" s="136"/>
      <c r="DP236" s="136"/>
      <c r="DQ236" s="136"/>
      <c r="DR236" s="136"/>
      <c r="DS236" s="136"/>
      <c r="DT236" s="136"/>
      <c r="DU236" s="136"/>
      <c r="DV236" s="136"/>
      <c r="DW236" s="136"/>
      <c r="DX236" s="136"/>
      <c r="DY236" s="136"/>
      <c r="DZ236" s="136"/>
      <c r="EA236" s="136"/>
      <c r="EB236" s="136"/>
      <c r="EC236" s="136"/>
      <c r="ED236" s="136"/>
      <c r="EE236" s="136"/>
      <c r="EF236" s="136"/>
      <c r="EG236" s="136"/>
      <c r="EH236" s="136"/>
      <c r="EI236" s="136"/>
      <c r="EJ236" s="136"/>
      <c r="EK236" s="136"/>
      <c r="EL236" s="136"/>
      <c r="EM236" s="136"/>
      <c r="EN236" s="136"/>
      <c r="EO236" s="136"/>
      <c r="EP236" s="136"/>
      <c r="EQ236" s="136"/>
      <c r="ER236" s="136"/>
      <c r="ES236" s="136"/>
      <c r="ET236" s="136"/>
      <c r="EU236" s="136"/>
      <c r="EV236" s="136"/>
      <c r="EW236" s="136"/>
      <c r="EX236" s="136"/>
      <c r="EY236" s="136"/>
      <c r="EZ236" s="136"/>
      <c r="FA236" s="136"/>
      <c r="FB236" s="136"/>
      <c r="FC236" s="136"/>
      <c r="FD236" s="136"/>
      <c r="FE236" s="136"/>
      <c r="FF236" s="136"/>
      <c r="FG236" s="136"/>
      <c r="FH236" s="136"/>
      <c r="FI236" s="136"/>
      <c r="FJ236" s="136"/>
      <c r="FK236" s="136"/>
      <c r="FL236" s="136"/>
      <c r="FM236" s="136"/>
      <c r="FN236" s="136"/>
      <c r="FO236" s="136"/>
      <c r="FP236" s="136"/>
      <c r="FQ236" s="136"/>
      <c r="FR236" s="136"/>
      <c r="FS236" s="136"/>
      <c r="FT236" s="136"/>
      <c r="FU236" s="136"/>
      <c r="FV236" s="136"/>
      <c r="FW236" s="136"/>
      <c r="FX236" s="136"/>
      <c r="FY236" s="136"/>
      <c r="FZ236" s="136"/>
      <c r="GA236" s="136"/>
      <c r="GB236" s="136"/>
      <c r="GC236" s="136"/>
      <c r="GD236" s="136"/>
      <c r="GE236" s="136"/>
      <c r="GF236" s="136"/>
      <c r="GG236" s="136"/>
      <c r="GH236" s="136"/>
      <c r="GI236" s="136"/>
      <c r="GJ236" s="136"/>
      <c r="GK236" s="136"/>
      <c r="GL236" s="136"/>
      <c r="GM236" s="136"/>
      <c r="GN236" s="136"/>
      <c r="GO236" s="136"/>
      <c r="GP236" s="136"/>
      <c r="GQ236" s="136"/>
      <c r="GR236" s="136"/>
      <c r="GS236" s="136"/>
      <c r="GT236" s="136"/>
      <c r="GU236" s="136"/>
      <c r="GV236" s="136"/>
      <c r="GW236" s="136"/>
      <c r="GX236" s="136"/>
      <c r="GY236" s="136"/>
      <c r="GZ236" s="136"/>
      <c r="HA236" s="136"/>
      <c r="HB236" s="136"/>
      <c r="HC236" s="136"/>
      <c r="HD236" s="136"/>
      <c r="HE236" s="136"/>
      <c r="HF236" s="136"/>
      <c r="HG236" s="136"/>
      <c r="HH236" s="136"/>
      <c r="HI236" s="136"/>
      <c r="HJ236" s="136"/>
      <c r="HK236" s="136"/>
      <c r="HL236" s="136"/>
      <c r="HM236" s="136"/>
      <c r="HN236" s="136"/>
      <c r="HO236" s="136"/>
      <c r="HP236" s="136"/>
      <c r="HQ236" s="136"/>
      <c r="HR236" s="136"/>
      <c r="HS236" s="136"/>
      <c r="HT236" s="136"/>
      <c r="HU236" s="136"/>
      <c r="HV236" s="136"/>
      <c r="HW236" s="136"/>
      <c r="HX236" s="136"/>
      <c r="HY236" s="136"/>
      <c r="HZ236" s="136"/>
      <c r="IA236" s="136"/>
      <c r="IB236" s="136"/>
      <c r="IC236" s="136"/>
      <c r="ID236" s="136"/>
      <c r="IE236" s="136"/>
      <c r="IF236" s="136"/>
      <c r="IG236" s="136"/>
      <c r="IH236" s="136"/>
      <c r="II236" s="136"/>
      <c r="IJ236" s="136"/>
      <c r="IK236" s="136"/>
      <c r="IL236" s="136"/>
      <c r="IM236" s="136"/>
      <c r="IN236" s="136"/>
      <c r="IO236" s="136"/>
      <c r="IP236" s="136"/>
      <c r="IQ236" s="136"/>
      <c r="IR236" s="136"/>
      <c r="IS236" s="136"/>
      <c r="IT236" s="136"/>
      <c r="IU236" s="136"/>
    </row>
    <row r="237" spans="1:255" ht="90" customHeight="1" x14ac:dyDescent="0.2">
      <c r="A237" s="242" t="str">
        <f>'HECVAT - Full'!A237</f>
        <v>PPPR-14</v>
      </c>
      <c r="B237" s="242" t="str">
        <f>VLOOKUP(A237,'HECVAT - Full'!A$24:B$312,2,FALSE)</f>
        <v>Do you perform background screenings or multi-state background checks on all employees prior to their first day of work?</v>
      </c>
      <c r="C237" s="243" t="s">
        <v>2943</v>
      </c>
      <c r="D237" s="253" t="s">
        <v>2944</v>
      </c>
      <c r="E237" s="136"/>
      <c r="F237" s="13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c r="AC237" s="136"/>
      <c r="AD237" s="136"/>
      <c r="AE237" s="136"/>
      <c r="AF237" s="136"/>
      <c r="AG237" s="136"/>
      <c r="AH237" s="136"/>
      <c r="AI237" s="136"/>
      <c r="AJ237" s="136"/>
      <c r="AK237" s="136"/>
      <c r="AL237" s="136"/>
      <c r="AM237" s="136"/>
      <c r="AN237" s="136"/>
      <c r="AO237" s="136"/>
      <c r="AP237" s="136"/>
      <c r="AQ237" s="136"/>
      <c r="AR237" s="136"/>
      <c r="AS237" s="136"/>
      <c r="AT237" s="136"/>
      <c r="AU237" s="136"/>
      <c r="AV237" s="136"/>
      <c r="AW237" s="136"/>
      <c r="AX237" s="136"/>
      <c r="AY237" s="136"/>
      <c r="AZ237" s="136"/>
      <c r="BA237" s="136"/>
      <c r="BB237" s="136"/>
      <c r="BC237" s="136"/>
      <c r="BD237" s="136"/>
      <c r="BE237" s="136"/>
      <c r="BF237" s="136"/>
      <c r="BG237" s="136"/>
      <c r="BH237" s="136"/>
      <c r="BI237" s="136"/>
      <c r="BJ237" s="136"/>
      <c r="BK237" s="136"/>
      <c r="BL237" s="136"/>
      <c r="BM237" s="136"/>
      <c r="BN237" s="136"/>
      <c r="BO237" s="136"/>
      <c r="BP237" s="136"/>
      <c r="BQ237" s="136"/>
      <c r="BR237" s="136"/>
      <c r="BS237" s="136"/>
      <c r="BT237" s="136"/>
      <c r="BU237" s="136"/>
      <c r="BV237" s="136"/>
      <c r="BW237" s="136"/>
      <c r="BX237" s="136"/>
      <c r="BY237" s="136"/>
      <c r="BZ237" s="136"/>
      <c r="CA237" s="136"/>
      <c r="CB237" s="136"/>
      <c r="CC237" s="136"/>
      <c r="CD237" s="136"/>
      <c r="CE237" s="136"/>
      <c r="CF237" s="136"/>
      <c r="CG237" s="136"/>
      <c r="CH237" s="136"/>
      <c r="CI237" s="136"/>
      <c r="CJ237" s="136"/>
      <c r="CK237" s="136"/>
      <c r="CL237" s="136"/>
      <c r="CM237" s="136"/>
      <c r="CN237" s="136"/>
      <c r="CO237" s="136"/>
      <c r="CP237" s="136"/>
      <c r="CQ237" s="136"/>
      <c r="CR237" s="136"/>
      <c r="CS237" s="136"/>
      <c r="CT237" s="136"/>
      <c r="CU237" s="136"/>
      <c r="CV237" s="136"/>
      <c r="CW237" s="136"/>
      <c r="CX237" s="136"/>
      <c r="CY237" s="136"/>
      <c r="CZ237" s="136"/>
      <c r="DA237" s="136"/>
      <c r="DB237" s="136"/>
      <c r="DC237" s="136"/>
      <c r="DD237" s="136"/>
      <c r="DE237" s="136"/>
      <c r="DF237" s="136"/>
      <c r="DG237" s="136"/>
      <c r="DH237" s="136"/>
      <c r="DI237" s="136"/>
      <c r="DJ237" s="136"/>
      <c r="DK237" s="136"/>
      <c r="DL237" s="136"/>
      <c r="DM237" s="136"/>
      <c r="DN237" s="136"/>
      <c r="DO237" s="136"/>
      <c r="DP237" s="136"/>
      <c r="DQ237" s="136"/>
      <c r="DR237" s="136"/>
      <c r="DS237" s="136"/>
      <c r="DT237" s="136"/>
      <c r="DU237" s="136"/>
      <c r="DV237" s="136"/>
      <c r="DW237" s="136"/>
      <c r="DX237" s="136"/>
      <c r="DY237" s="136"/>
      <c r="DZ237" s="136"/>
      <c r="EA237" s="136"/>
      <c r="EB237" s="136"/>
      <c r="EC237" s="136"/>
      <c r="ED237" s="136"/>
      <c r="EE237" s="136"/>
      <c r="EF237" s="136"/>
      <c r="EG237" s="136"/>
      <c r="EH237" s="136"/>
      <c r="EI237" s="136"/>
      <c r="EJ237" s="136"/>
      <c r="EK237" s="136"/>
      <c r="EL237" s="136"/>
      <c r="EM237" s="136"/>
      <c r="EN237" s="136"/>
      <c r="EO237" s="136"/>
      <c r="EP237" s="136"/>
      <c r="EQ237" s="136"/>
      <c r="ER237" s="136"/>
      <c r="ES237" s="136"/>
      <c r="ET237" s="136"/>
      <c r="EU237" s="136"/>
      <c r="EV237" s="136"/>
      <c r="EW237" s="136"/>
      <c r="EX237" s="136"/>
      <c r="EY237" s="136"/>
      <c r="EZ237" s="136"/>
      <c r="FA237" s="136"/>
      <c r="FB237" s="136"/>
      <c r="FC237" s="136"/>
      <c r="FD237" s="136"/>
      <c r="FE237" s="136"/>
      <c r="FF237" s="136"/>
      <c r="FG237" s="136"/>
      <c r="FH237" s="136"/>
      <c r="FI237" s="136"/>
      <c r="FJ237" s="136"/>
      <c r="FK237" s="136"/>
      <c r="FL237" s="136"/>
      <c r="FM237" s="136"/>
      <c r="FN237" s="136"/>
      <c r="FO237" s="136"/>
      <c r="FP237" s="136"/>
      <c r="FQ237" s="136"/>
      <c r="FR237" s="136"/>
      <c r="FS237" s="136"/>
      <c r="FT237" s="136"/>
      <c r="FU237" s="136"/>
      <c r="FV237" s="136"/>
      <c r="FW237" s="136"/>
      <c r="FX237" s="136"/>
      <c r="FY237" s="136"/>
      <c r="FZ237" s="136"/>
      <c r="GA237" s="136"/>
      <c r="GB237" s="136"/>
      <c r="GC237" s="136"/>
      <c r="GD237" s="136"/>
      <c r="GE237" s="136"/>
      <c r="GF237" s="136"/>
      <c r="GG237" s="136"/>
      <c r="GH237" s="136"/>
      <c r="GI237" s="136"/>
      <c r="GJ237" s="136"/>
      <c r="GK237" s="136"/>
      <c r="GL237" s="136"/>
      <c r="GM237" s="136"/>
      <c r="GN237" s="136"/>
      <c r="GO237" s="136"/>
      <c r="GP237" s="136"/>
      <c r="GQ237" s="136"/>
      <c r="GR237" s="136"/>
      <c r="GS237" s="136"/>
      <c r="GT237" s="136"/>
      <c r="GU237" s="136"/>
      <c r="GV237" s="136"/>
      <c r="GW237" s="136"/>
      <c r="GX237" s="136"/>
      <c r="GY237" s="136"/>
      <c r="GZ237" s="136"/>
      <c r="HA237" s="136"/>
      <c r="HB237" s="136"/>
      <c r="HC237" s="136"/>
      <c r="HD237" s="136"/>
      <c r="HE237" s="136"/>
      <c r="HF237" s="136"/>
      <c r="HG237" s="136"/>
      <c r="HH237" s="136"/>
      <c r="HI237" s="136"/>
      <c r="HJ237" s="136"/>
      <c r="HK237" s="136"/>
      <c r="HL237" s="136"/>
      <c r="HM237" s="136"/>
      <c r="HN237" s="136"/>
      <c r="HO237" s="136"/>
      <c r="HP237" s="136"/>
      <c r="HQ237" s="136"/>
      <c r="HR237" s="136"/>
      <c r="HS237" s="136"/>
      <c r="HT237" s="136"/>
      <c r="HU237" s="136"/>
      <c r="HV237" s="136"/>
      <c r="HW237" s="136"/>
      <c r="HX237" s="136"/>
      <c r="HY237" s="136"/>
      <c r="HZ237" s="136"/>
      <c r="IA237" s="136"/>
      <c r="IB237" s="136"/>
      <c r="IC237" s="136"/>
      <c r="ID237" s="136"/>
      <c r="IE237" s="136"/>
      <c r="IF237" s="136"/>
      <c r="IG237" s="136"/>
      <c r="IH237" s="136"/>
      <c r="II237" s="136"/>
      <c r="IJ237" s="136"/>
      <c r="IK237" s="136"/>
      <c r="IL237" s="136"/>
      <c r="IM237" s="136"/>
      <c r="IN237" s="136"/>
      <c r="IO237" s="136"/>
      <c r="IP237" s="136"/>
      <c r="IQ237" s="136"/>
      <c r="IR237" s="136"/>
      <c r="IS237" s="136"/>
      <c r="IT237" s="136"/>
      <c r="IU237" s="136"/>
    </row>
    <row r="238" spans="1:255" ht="75" x14ac:dyDescent="0.2">
      <c r="A238" s="242" t="str">
        <f>'HECVAT - Full'!A238</f>
        <v>PPPR-15</v>
      </c>
      <c r="B238" s="242" t="str">
        <f>VLOOKUP(A238,'HECVAT - Full'!A$24:B$312,2,FALSE)</f>
        <v xml:space="preserve">Do you require new employees to fill out agreements and review policies?  </v>
      </c>
      <c r="C238" s="243" t="s">
        <v>2945</v>
      </c>
      <c r="D238" s="253" t="s">
        <v>2946</v>
      </c>
      <c r="E238" s="136"/>
      <c r="F238" s="13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c r="AC238" s="136"/>
      <c r="AD238" s="136"/>
      <c r="AE238" s="136"/>
      <c r="AF238" s="136"/>
      <c r="AG238" s="136"/>
      <c r="AH238" s="136"/>
      <c r="AI238" s="136"/>
      <c r="AJ238" s="136"/>
      <c r="AK238" s="136"/>
      <c r="AL238" s="136"/>
      <c r="AM238" s="136"/>
      <c r="AN238" s="136"/>
      <c r="AO238" s="136"/>
      <c r="AP238" s="136"/>
      <c r="AQ238" s="136"/>
      <c r="AR238" s="136"/>
      <c r="AS238" s="136"/>
      <c r="AT238" s="136"/>
      <c r="AU238" s="136"/>
      <c r="AV238" s="136"/>
      <c r="AW238" s="136"/>
      <c r="AX238" s="136"/>
      <c r="AY238" s="136"/>
      <c r="AZ238" s="136"/>
      <c r="BA238" s="136"/>
      <c r="BB238" s="136"/>
      <c r="BC238" s="136"/>
      <c r="BD238" s="136"/>
      <c r="BE238" s="136"/>
      <c r="BF238" s="136"/>
      <c r="BG238" s="136"/>
      <c r="BH238" s="136"/>
      <c r="BI238" s="136"/>
      <c r="BJ238" s="136"/>
      <c r="BK238" s="136"/>
      <c r="BL238" s="136"/>
      <c r="BM238" s="136"/>
      <c r="BN238" s="136"/>
      <c r="BO238" s="136"/>
      <c r="BP238" s="136"/>
      <c r="BQ238" s="136"/>
      <c r="BR238" s="136"/>
      <c r="BS238" s="136"/>
      <c r="BT238" s="136"/>
      <c r="BU238" s="136"/>
      <c r="BV238" s="136"/>
      <c r="BW238" s="136"/>
      <c r="BX238" s="136"/>
      <c r="BY238" s="136"/>
      <c r="BZ238" s="136"/>
      <c r="CA238" s="136"/>
      <c r="CB238" s="136"/>
      <c r="CC238" s="136"/>
      <c r="CD238" s="136"/>
      <c r="CE238" s="136"/>
      <c r="CF238" s="136"/>
      <c r="CG238" s="136"/>
      <c r="CH238" s="136"/>
      <c r="CI238" s="136"/>
      <c r="CJ238" s="136"/>
      <c r="CK238" s="136"/>
      <c r="CL238" s="136"/>
      <c r="CM238" s="136"/>
      <c r="CN238" s="136"/>
      <c r="CO238" s="136"/>
      <c r="CP238" s="136"/>
      <c r="CQ238" s="136"/>
      <c r="CR238" s="136"/>
      <c r="CS238" s="136"/>
      <c r="CT238" s="136"/>
      <c r="CU238" s="136"/>
      <c r="CV238" s="136"/>
      <c r="CW238" s="136"/>
      <c r="CX238" s="136"/>
      <c r="CY238" s="136"/>
      <c r="CZ238" s="136"/>
      <c r="DA238" s="136"/>
      <c r="DB238" s="136"/>
      <c r="DC238" s="136"/>
      <c r="DD238" s="136"/>
      <c r="DE238" s="136"/>
      <c r="DF238" s="136"/>
      <c r="DG238" s="136"/>
      <c r="DH238" s="136"/>
      <c r="DI238" s="136"/>
      <c r="DJ238" s="136"/>
      <c r="DK238" s="136"/>
      <c r="DL238" s="136"/>
      <c r="DM238" s="136"/>
      <c r="DN238" s="136"/>
      <c r="DO238" s="136"/>
      <c r="DP238" s="136"/>
      <c r="DQ238" s="136"/>
      <c r="DR238" s="136"/>
      <c r="DS238" s="136"/>
      <c r="DT238" s="136"/>
      <c r="DU238" s="136"/>
      <c r="DV238" s="136"/>
      <c r="DW238" s="136"/>
      <c r="DX238" s="136"/>
      <c r="DY238" s="136"/>
      <c r="DZ238" s="136"/>
      <c r="EA238" s="136"/>
      <c r="EB238" s="136"/>
      <c r="EC238" s="136"/>
      <c r="ED238" s="136"/>
      <c r="EE238" s="136"/>
      <c r="EF238" s="136"/>
      <c r="EG238" s="136"/>
      <c r="EH238" s="136"/>
      <c r="EI238" s="136"/>
      <c r="EJ238" s="136"/>
      <c r="EK238" s="136"/>
      <c r="EL238" s="136"/>
      <c r="EM238" s="136"/>
      <c r="EN238" s="136"/>
      <c r="EO238" s="136"/>
      <c r="EP238" s="136"/>
      <c r="EQ238" s="136"/>
      <c r="ER238" s="136"/>
      <c r="ES238" s="136"/>
      <c r="ET238" s="136"/>
      <c r="EU238" s="136"/>
      <c r="EV238" s="136"/>
      <c r="EW238" s="136"/>
      <c r="EX238" s="136"/>
      <c r="EY238" s="136"/>
      <c r="EZ238" s="136"/>
      <c r="FA238" s="136"/>
      <c r="FB238" s="136"/>
      <c r="FC238" s="136"/>
      <c r="FD238" s="136"/>
      <c r="FE238" s="136"/>
      <c r="FF238" s="136"/>
      <c r="FG238" s="136"/>
      <c r="FH238" s="136"/>
      <c r="FI238" s="136"/>
      <c r="FJ238" s="136"/>
      <c r="FK238" s="136"/>
      <c r="FL238" s="136"/>
      <c r="FM238" s="136"/>
      <c r="FN238" s="136"/>
      <c r="FO238" s="136"/>
      <c r="FP238" s="136"/>
      <c r="FQ238" s="136"/>
      <c r="FR238" s="136"/>
      <c r="FS238" s="136"/>
      <c r="FT238" s="136"/>
      <c r="FU238" s="136"/>
      <c r="FV238" s="136"/>
      <c r="FW238" s="136"/>
      <c r="FX238" s="136"/>
      <c r="FY238" s="136"/>
      <c r="FZ238" s="136"/>
      <c r="GA238" s="136"/>
      <c r="GB238" s="136"/>
      <c r="GC238" s="136"/>
      <c r="GD238" s="136"/>
      <c r="GE238" s="136"/>
      <c r="GF238" s="136"/>
      <c r="GG238" s="136"/>
      <c r="GH238" s="136"/>
      <c r="GI238" s="136"/>
      <c r="GJ238" s="136"/>
      <c r="GK238" s="136"/>
      <c r="GL238" s="136"/>
      <c r="GM238" s="136"/>
      <c r="GN238" s="136"/>
      <c r="GO238" s="136"/>
      <c r="GP238" s="136"/>
      <c r="GQ238" s="136"/>
      <c r="GR238" s="136"/>
      <c r="GS238" s="136"/>
      <c r="GT238" s="136"/>
      <c r="GU238" s="136"/>
      <c r="GV238" s="136"/>
      <c r="GW238" s="136"/>
      <c r="GX238" s="136"/>
      <c r="GY238" s="136"/>
      <c r="GZ238" s="136"/>
      <c r="HA238" s="136"/>
      <c r="HB238" s="136"/>
      <c r="HC238" s="136"/>
      <c r="HD238" s="136"/>
      <c r="HE238" s="136"/>
      <c r="HF238" s="136"/>
      <c r="HG238" s="136"/>
      <c r="HH238" s="136"/>
      <c r="HI238" s="136"/>
      <c r="HJ238" s="136"/>
      <c r="HK238" s="136"/>
      <c r="HL238" s="136"/>
      <c r="HM238" s="136"/>
      <c r="HN238" s="136"/>
      <c r="HO238" s="136"/>
      <c r="HP238" s="136"/>
      <c r="HQ238" s="136"/>
      <c r="HR238" s="136"/>
      <c r="HS238" s="136"/>
      <c r="HT238" s="136"/>
      <c r="HU238" s="136"/>
      <c r="HV238" s="136"/>
      <c r="HW238" s="136"/>
      <c r="HX238" s="136"/>
      <c r="HY238" s="136"/>
      <c r="HZ238" s="136"/>
      <c r="IA238" s="136"/>
      <c r="IB238" s="136"/>
      <c r="IC238" s="136"/>
      <c r="ID238" s="136"/>
      <c r="IE238" s="136"/>
      <c r="IF238" s="136"/>
      <c r="IG238" s="136"/>
      <c r="IH238" s="136"/>
      <c r="II238" s="136"/>
      <c r="IJ238" s="136"/>
      <c r="IK238" s="136"/>
      <c r="IL238" s="136"/>
      <c r="IM238" s="136"/>
      <c r="IN238" s="136"/>
      <c r="IO238" s="136"/>
      <c r="IP238" s="136"/>
      <c r="IQ238" s="136"/>
      <c r="IR238" s="136"/>
      <c r="IS238" s="136"/>
      <c r="IT238" s="136"/>
      <c r="IU238" s="136"/>
    </row>
    <row r="239" spans="1:255" ht="105" x14ac:dyDescent="0.2">
      <c r="A239" s="242" t="str">
        <f>'HECVAT - Full'!A239</f>
        <v>PPPR-16</v>
      </c>
      <c r="B239" s="242" t="str">
        <f>VLOOKUP(A239,'HECVAT - Full'!A$24:B$312,2,FALSE)</f>
        <v>Do you have documented information security policy?</v>
      </c>
      <c r="C239" s="245" t="s">
        <v>2947</v>
      </c>
      <c r="D239" s="248" t="s">
        <v>2948</v>
      </c>
      <c r="E239" s="136"/>
      <c r="F239" s="13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c r="AC239" s="136"/>
      <c r="AD239" s="136"/>
      <c r="AE239" s="136"/>
      <c r="AF239" s="136"/>
      <c r="AG239" s="136"/>
      <c r="AH239" s="136"/>
      <c r="AI239" s="136"/>
      <c r="AJ239" s="136"/>
      <c r="AK239" s="136"/>
      <c r="AL239" s="136"/>
      <c r="AM239" s="136"/>
      <c r="AN239" s="136"/>
      <c r="AO239" s="136"/>
      <c r="AP239" s="136"/>
      <c r="AQ239" s="136"/>
      <c r="AR239" s="136"/>
      <c r="AS239" s="136"/>
      <c r="AT239" s="136"/>
      <c r="AU239" s="136"/>
      <c r="AV239" s="136"/>
      <c r="AW239" s="136"/>
      <c r="AX239" s="136"/>
      <c r="AY239" s="136"/>
      <c r="AZ239" s="136"/>
      <c r="BA239" s="136"/>
      <c r="BB239" s="136"/>
      <c r="BC239" s="136"/>
      <c r="BD239" s="136"/>
      <c r="BE239" s="136"/>
      <c r="BF239" s="136"/>
      <c r="BG239" s="136"/>
      <c r="BH239" s="136"/>
      <c r="BI239" s="136"/>
      <c r="BJ239" s="136"/>
      <c r="BK239" s="136"/>
      <c r="BL239" s="136"/>
      <c r="BM239" s="136"/>
      <c r="BN239" s="136"/>
      <c r="BO239" s="136"/>
      <c r="BP239" s="136"/>
      <c r="BQ239" s="136"/>
      <c r="BR239" s="136"/>
      <c r="BS239" s="136"/>
      <c r="BT239" s="136"/>
      <c r="BU239" s="136"/>
      <c r="BV239" s="136"/>
      <c r="BW239" s="136"/>
      <c r="BX239" s="136"/>
      <c r="BY239" s="136"/>
      <c r="BZ239" s="136"/>
      <c r="CA239" s="136"/>
      <c r="CB239" s="136"/>
      <c r="CC239" s="136"/>
      <c r="CD239" s="136"/>
      <c r="CE239" s="136"/>
      <c r="CF239" s="136"/>
      <c r="CG239" s="136"/>
      <c r="CH239" s="136"/>
      <c r="CI239" s="136"/>
      <c r="CJ239" s="136"/>
      <c r="CK239" s="136"/>
      <c r="CL239" s="136"/>
      <c r="CM239" s="136"/>
      <c r="CN239" s="136"/>
      <c r="CO239" s="136"/>
      <c r="CP239" s="136"/>
      <c r="CQ239" s="136"/>
      <c r="CR239" s="136"/>
      <c r="CS239" s="136"/>
      <c r="CT239" s="136"/>
      <c r="CU239" s="136"/>
      <c r="CV239" s="136"/>
      <c r="CW239" s="136"/>
      <c r="CX239" s="136"/>
      <c r="CY239" s="136"/>
      <c r="CZ239" s="136"/>
      <c r="DA239" s="136"/>
      <c r="DB239" s="136"/>
      <c r="DC239" s="136"/>
      <c r="DD239" s="136"/>
      <c r="DE239" s="136"/>
      <c r="DF239" s="136"/>
      <c r="DG239" s="136"/>
      <c r="DH239" s="136"/>
      <c r="DI239" s="136"/>
      <c r="DJ239" s="136"/>
      <c r="DK239" s="136"/>
      <c r="DL239" s="136"/>
      <c r="DM239" s="136"/>
      <c r="DN239" s="136"/>
      <c r="DO239" s="136"/>
      <c r="DP239" s="136"/>
      <c r="DQ239" s="136"/>
      <c r="DR239" s="136"/>
      <c r="DS239" s="136"/>
      <c r="DT239" s="136"/>
      <c r="DU239" s="136"/>
      <c r="DV239" s="136"/>
      <c r="DW239" s="136"/>
      <c r="DX239" s="136"/>
      <c r="DY239" s="136"/>
      <c r="DZ239" s="136"/>
      <c r="EA239" s="136"/>
      <c r="EB239" s="136"/>
      <c r="EC239" s="136"/>
      <c r="ED239" s="136"/>
      <c r="EE239" s="136"/>
      <c r="EF239" s="136"/>
      <c r="EG239" s="136"/>
      <c r="EH239" s="136"/>
      <c r="EI239" s="136"/>
      <c r="EJ239" s="136"/>
      <c r="EK239" s="136"/>
      <c r="EL239" s="136"/>
      <c r="EM239" s="136"/>
      <c r="EN239" s="136"/>
      <c r="EO239" s="136"/>
      <c r="EP239" s="136"/>
      <c r="EQ239" s="136"/>
      <c r="ER239" s="136"/>
      <c r="ES239" s="136"/>
      <c r="ET239" s="136"/>
      <c r="EU239" s="136"/>
      <c r="EV239" s="136"/>
      <c r="EW239" s="136"/>
      <c r="EX239" s="136"/>
      <c r="EY239" s="136"/>
      <c r="EZ239" s="136"/>
      <c r="FA239" s="136"/>
      <c r="FB239" s="136"/>
      <c r="FC239" s="136"/>
      <c r="FD239" s="136"/>
      <c r="FE239" s="136"/>
      <c r="FF239" s="136"/>
      <c r="FG239" s="136"/>
      <c r="FH239" s="136"/>
      <c r="FI239" s="136"/>
      <c r="FJ239" s="136"/>
      <c r="FK239" s="136"/>
      <c r="FL239" s="136"/>
      <c r="FM239" s="136"/>
      <c r="FN239" s="136"/>
      <c r="FO239" s="136"/>
      <c r="FP239" s="136"/>
      <c r="FQ239" s="136"/>
      <c r="FR239" s="136"/>
      <c r="FS239" s="136"/>
      <c r="FT239" s="136"/>
      <c r="FU239" s="136"/>
      <c r="FV239" s="136"/>
      <c r="FW239" s="136"/>
      <c r="FX239" s="136"/>
      <c r="FY239" s="136"/>
      <c r="FZ239" s="136"/>
      <c r="GA239" s="136"/>
      <c r="GB239" s="136"/>
      <c r="GC239" s="136"/>
      <c r="GD239" s="136"/>
      <c r="GE239" s="136"/>
      <c r="GF239" s="136"/>
      <c r="GG239" s="136"/>
      <c r="GH239" s="136"/>
      <c r="GI239" s="136"/>
      <c r="GJ239" s="136"/>
      <c r="GK239" s="136"/>
      <c r="GL239" s="136"/>
      <c r="GM239" s="136"/>
      <c r="GN239" s="136"/>
      <c r="GO239" s="136"/>
      <c r="GP239" s="136"/>
      <c r="GQ239" s="136"/>
      <c r="GR239" s="136"/>
      <c r="GS239" s="136"/>
      <c r="GT239" s="136"/>
      <c r="GU239" s="136"/>
      <c r="GV239" s="136"/>
      <c r="GW239" s="136"/>
      <c r="GX239" s="136"/>
      <c r="GY239" s="136"/>
      <c r="GZ239" s="136"/>
      <c r="HA239" s="136"/>
      <c r="HB239" s="136"/>
      <c r="HC239" s="136"/>
      <c r="HD239" s="136"/>
      <c r="HE239" s="136"/>
      <c r="HF239" s="136"/>
      <c r="HG239" s="136"/>
      <c r="HH239" s="136"/>
      <c r="HI239" s="136"/>
      <c r="HJ239" s="136"/>
      <c r="HK239" s="136"/>
      <c r="HL239" s="136"/>
      <c r="HM239" s="136"/>
      <c r="HN239" s="136"/>
      <c r="HO239" s="136"/>
      <c r="HP239" s="136"/>
      <c r="HQ239" s="136"/>
      <c r="HR239" s="136"/>
      <c r="HS239" s="136"/>
      <c r="HT239" s="136"/>
      <c r="HU239" s="136"/>
      <c r="HV239" s="136"/>
      <c r="HW239" s="136"/>
      <c r="HX239" s="136"/>
      <c r="HY239" s="136"/>
      <c r="HZ239" s="136"/>
      <c r="IA239" s="136"/>
      <c r="IB239" s="136"/>
      <c r="IC239" s="136"/>
      <c r="ID239" s="136"/>
      <c r="IE239" s="136"/>
      <c r="IF239" s="136"/>
      <c r="IG239" s="136"/>
      <c r="IH239" s="136"/>
      <c r="II239" s="136"/>
      <c r="IJ239" s="136"/>
      <c r="IK239" s="136"/>
      <c r="IL239" s="136"/>
      <c r="IM239" s="136"/>
      <c r="IN239" s="136"/>
      <c r="IO239" s="136"/>
      <c r="IP239" s="136"/>
      <c r="IQ239" s="136"/>
      <c r="IR239" s="136"/>
      <c r="IS239" s="136"/>
      <c r="IT239" s="136"/>
      <c r="IU239" s="136"/>
    </row>
    <row r="240" spans="1:255" ht="90" x14ac:dyDescent="0.2">
      <c r="A240" s="242" t="str">
        <f>'HECVAT - Full'!A240</f>
        <v>PPPR-17</v>
      </c>
      <c r="B240" s="242" t="str">
        <f>VLOOKUP(A240,'HECVAT - Full'!A$24:B$312,2,FALSE)</f>
        <v>Do you have an information security awareness program?</v>
      </c>
      <c r="C240" s="243" t="s">
        <v>2949</v>
      </c>
      <c r="D240" s="253" t="s">
        <v>2950</v>
      </c>
      <c r="E240" s="136"/>
      <c r="F240" s="13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c r="AC240" s="136"/>
      <c r="AD240" s="136"/>
      <c r="AE240" s="136"/>
      <c r="AF240" s="136"/>
      <c r="AG240" s="136"/>
      <c r="AH240" s="136"/>
      <c r="AI240" s="136"/>
      <c r="AJ240" s="136"/>
      <c r="AK240" s="136"/>
      <c r="AL240" s="136"/>
      <c r="AM240" s="136"/>
      <c r="AN240" s="136"/>
      <c r="AO240" s="136"/>
      <c r="AP240" s="136"/>
      <c r="AQ240" s="136"/>
      <c r="AR240" s="136"/>
      <c r="AS240" s="136"/>
      <c r="AT240" s="136"/>
      <c r="AU240" s="136"/>
      <c r="AV240" s="136"/>
      <c r="AW240" s="136"/>
      <c r="AX240" s="136"/>
      <c r="AY240" s="136"/>
      <c r="AZ240" s="136"/>
      <c r="BA240" s="136"/>
      <c r="BB240" s="136"/>
      <c r="BC240" s="136"/>
      <c r="BD240" s="136"/>
      <c r="BE240" s="136"/>
      <c r="BF240" s="136"/>
      <c r="BG240" s="136"/>
      <c r="BH240" s="136"/>
      <c r="BI240" s="136"/>
      <c r="BJ240" s="136"/>
      <c r="BK240" s="136"/>
      <c r="BL240" s="136"/>
      <c r="BM240" s="136"/>
      <c r="BN240" s="136"/>
      <c r="BO240" s="136"/>
      <c r="BP240" s="136"/>
      <c r="BQ240" s="136"/>
      <c r="BR240" s="136"/>
      <c r="BS240" s="136"/>
      <c r="BT240" s="136"/>
      <c r="BU240" s="136"/>
      <c r="BV240" s="136"/>
      <c r="BW240" s="136"/>
      <c r="BX240" s="136"/>
      <c r="BY240" s="136"/>
      <c r="BZ240" s="136"/>
      <c r="CA240" s="136"/>
      <c r="CB240" s="136"/>
      <c r="CC240" s="136"/>
      <c r="CD240" s="136"/>
      <c r="CE240" s="136"/>
      <c r="CF240" s="136"/>
      <c r="CG240" s="136"/>
      <c r="CH240" s="136"/>
      <c r="CI240" s="136"/>
      <c r="CJ240" s="136"/>
      <c r="CK240" s="136"/>
      <c r="CL240" s="136"/>
      <c r="CM240" s="136"/>
      <c r="CN240" s="136"/>
      <c r="CO240" s="136"/>
      <c r="CP240" s="136"/>
      <c r="CQ240" s="136"/>
      <c r="CR240" s="136"/>
      <c r="CS240" s="136"/>
      <c r="CT240" s="136"/>
      <c r="CU240" s="136"/>
      <c r="CV240" s="136"/>
      <c r="CW240" s="136"/>
      <c r="CX240" s="136"/>
      <c r="CY240" s="136"/>
      <c r="CZ240" s="136"/>
      <c r="DA240" s="136"/>
      <c r="DB240" s="136"/>
      <c r="DC240" s="136"/>
      <c r="DD240" s="136"/>
      <c r="DE240" s="136"/>
      <c r="DF240" s="136"/>
      <c r="DG240" s="136"/>
      <c r="DH240" s="136"/>
      <c r="DI240" s="136"/>
      <c r="DJ240" s="136"/>
      <c r="DK240" s="136"/>
      <c r="DL240" s="136"/>
      <c r="DM240" s="136"/>
      <c r="DN240" s="136"/>
      <c r="DO240" s="136"/>
      <c r="DP240" s="136"/>
      <c r="DQ240" s="136"/>
      <c r="DR240" s="136"/>
      <c r="DS240" s="136"/>
      <c r="DT240" s="136"/>
      <c r="DU240" s="136"/>
      <c r="DV240" s="136"/>
      <c r="DW240" s="136"/>
      <c r="DX240" s="136"/>
      <c r="DY240" s="136"/>
      <c r="DZ240" s="136"/>
      <c r="EA240" s="136"/>
      <c r="EB240" s="136"/>
      <c r="EC240" s="136"/>
      <c r="ED240" s="136"/>
      <c r="EE240" s="136"/>
      <c r="EF240" s="136"/>
      <c r="EG240" s="136"/>
      <c r="EH240" s="136"/>
      <c r="EI240" s="136"/>
      <c r="EJ240" s="136"/>
      <c r="EK240" s="136"/>
      <c r="EL240" s="136"/>
      <c r="EM240" s="136"/>
      <c r="EN240" s="136"/>
      <c r="EO240" s="136"/>
      <c r="EP240" s="136"/>
      <c r="EQ240" s="136"/>
      <c r="ER240" s="136"/>
      <c r="ES240" s="136"/>
      <c r="ET240" s="136"/>
      <c r="EU240" s="136"/>
      <c r="EV240" s="136"/>
      <c r="EW240" s="136"/>
      <c r="EX240" s="136"/>
      <c r="EY240" s="136"/>
      <c r="EZ240" s="136"/>
      <c r="FA240" s="136"/>
      <c r="FB240" s="136"/>
      <c r="FC240" s="136"/>
      <c r="FD240" s="136"/>
      <c r="FE240" s="136"/>
      <c r="FF240" s="136"/>
      <c r="FG240" s="136"/>
      <c r="FH240" s="136"/>
      <c r="FI240" s="136"/>
      <c r="FJ240" s="136"/>
      <c r="FK240" s="136"/>
      <c r="FL240" s="136"/>
      <c r="FM240" s="136"/>
      <c r="FN240" s="136"/>
      <c r="FO240" s="136"/>
      <c r="FP240" s="136"/>
      <c r="FQ240" s="136"/>
      <c r="FR240" s="136"/>
      <c r="FS240" s="136"/>
      <c r="FT240" s="136"/>
      <c r="FU240" s="136"/>
      <c r="FV240" s="136"/>
      <c r="FW240" s="136"/>
      <c r="FX240" s="136"/>
      <c r="FY240" s="136"/>
      <c r="FZ240" s="136"/>
      <c r="GA240" s="136"/>
      <c r="GB240" s="136"/>
      <c r="GC240" s="136"/>
      <c r="GD240" s="136"/>
      <c r="GE240" s="136"/>
      <c r="GF240" s="136"/>
      <c r="GG240" s="136"/>
      <c r="GH240" s="136"/>
      <c r="GI240" s="136"/>
      <c r="GJ240" s="136"/>
      <c r="GK240" s="136"/>
      <c r="GL240" s="136"/>
      <c r="GM240" s="136"/>
      <c r="GN240" s="136"/>
      <c r="GO240" s="136"/>
      <c r="GP240" s="136"/>
      <c r="GQ240" s="136"/>
      <c r="GR240" s="136"/>
      <c r="GS240" s="136"/>
      <c r="GT240" s="136"/>
      <c r="GU240" s="136"/>
      <c r="GV240" s="136"/>
      <c r="GW240" s="136"/>
      <c r="GX240" s="136"/>
      <c r="GY240" s="136"/>
      <c r="GZ240" s="136"/>
      <c r="HA240" s="136"/>
      <c r="HB240" s="136"/>
      <c r="HC240" s="136"/>
      <c r="HD240" s="136"/>
      <c r="HE240" s="136"/>
      <c r="HF240" s="136"/>
      <c r="HG240" s="136"/>
      <c r="HH240" s="136"/>
      <c r="HI240" s="136"/>
      <c r="HJ240" s="136"/>
      <c r="HK240" s="136"/>
      <c r="HL240" s="136"/>
      <c r="HM240" s="136"/>
      <c r="HN240" s="136"/>
      <c r="HO240" s="136"/>
      <c r="HP240" s="136"/>
      <c r="HQ240" s="136"/>
      <c r="HR240" s="136"/>
      <c r="HS240" s="136"/>
      <c r="HT240" s="136"/>
      <c r="HU240" s="136"/>
      <c r="HV240" s="136"/>
      <c r="HW240" s="136"/>
      <c r="HX240" s="136"/>
      <c r="HY240" s="136"/>
      <c r="HZ240" s="136"/>
      <c r="IA240" s="136"/>
      <c r="IB240" s="136"/>
      <c r="IC240" s="136"/>
      <c r="ID240" s="136"/>
      <c r="IE240" s="136"/>
      <c r="IF240" s="136"/>
      <c r="IG240" s="136"/>
      <c r="IH240" s="136"/>
      <c r="II240" s="136"/>
      <c r="IJ240" s="136"/>
      <c r="IK240" s="136"/>
      <c r="IL240" s="136"/>
      <c r="IM240" s="136"/>
      <c r="IN240" s="136"/>
      <c r="IO240" s="136"/>
      <c r="IP240" s="136"/>
      <c r="IQ240" s="136"/>
      <c r="IR240" s="136"/>
      <c r="IS240" s="136"/>
      <c r="IT240" s="136"/>
      <c r="IU240" s="136"/>
    </row>
    <row r="241" spans="1:255" ht="90" x14ac:dyDescent="0.2">
      <c r="A241" s="242" t="str">
        <f>'HECVAT - Full'!A241</f>
        <v>PPPR-18</v>
      </c>
      <c r="B241" s="242" t="str">
        <f>VLOOKUP(A241,'HECVAT - Full'!A$24:B$312,2,FALSE)</f>
        <v>Is security awareness training mandatory for all employees?</v>
      </c>
      <c r="C241" s="243" t="s">
        <v>2949</v>
      </c>
      <c r="D241" s="253" t="s">
        <v>2950</v>
      </c>
      <c r="E241" s="136"/>
      <c r="F241" s="13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c r="AC241" s="136"/>
      <c r="AD241" s="136"/>
      <c r="AE241" s="136"/>
      <c r="AF241" s="136"/>
      <c r="AG241" s="136"/>
      <c r="AH241" s="136"/>
      <c r="AI241" s="136"/>
      <c r="AJ241" s="136"/>
      <c r="AK241" s="136"/>
      <c r="AL241" s="136"/>
      <c r="AM241" s="136"/>
      <c r="AN241" s="136"/>
      <c r="AO241" s="136"/>
      <c r="AP241" s="136"/>
      <c r="AQ241" s="136"/>
      <c r="AR241" s="136"/>
      <c r="AS241" s="136"/>
      <c r="AT241" s="136"/>
      <c r="AU241" s="136"/>
      <c r="AV241" s="136"/>
      <c r="AW241" s="136"/>
      <c r="AX241" s="136"/>
      <c r="AY241" s="136"/>
      <c r="AZ241" s="136"/>
      <c r="BA241" s="136"/>
      <c r="BB241" s="136"/>
      <c r="BC241" s="136"/>
      <c r="BD241" s="136"/>
      <c r="BE241" s="136"/>
      <c r="BF241" s="136"/>
      <c r="BG241" s="136"/>
      <c r="BH241" s="136"/>
      <c r="BI241" s="136"/>
      <c r="BJ241" s="136"/>
      <c r="BK241" s="136"/>
      <c r="BL241" s="136"/>
      <c r="BM241" s="136"/>
      <c r="BN241" s="136"/>
      <c r="BO241" s="136"/>
      <c r="BP241" s="136"/>
      <c r="BQ241" s="136"/>
      <c r="BR241" s="136"/>
      <c r="BS241" s="136"/>
      <c r="BT241" s="136"/>
      <c r="BU241" s="136"/>
      <c r="BV241" s="136"/>
      <c r="BW241" s="136"/>
      <c r="BX241" s="136"/>
      <c r="BY241" s="136"/>
      <c r="BZ241" s="136"/>
      <c r="CA241" s="136"/>
      <c r="CB241" s="136"/>
      <c r="CC241" s="136"/>
      <c r="CD241" s="136"/>
      <c r="CE241" s="136"/>
      <c r="CF241" s="136"/>
      <c r="CG241" s="136"/>
      <c r="CH241" s="136"/>
      <c r="CI241" s="136"/>
      <c r="CJ241" s="136"/>
      <c r="CK241" s="136"/>
      <c r="CL241" s="136"/>
      <c r="CM241" s="136"/>
      <c r="CN241" s="136"/>
      <c r="CO241" s="136"/>
      <c r="CP241" s="136"/>
      <c r="CQ241" s="136"/>
      <c r="CR241" s="136"/>
      <c r="CS241" s="136"/>
      <c r="CT241" s="136"/>
      <c r="CU241" s="136"/>
      <c r="CV241" s="136"/>
      <c r="CW241" s="136"/>
      <c r="CX241" s="136"/>
      <c r="CY241" s="136"/>
      <c r="CZ241" s="136"/>
      <c r="DA241" s="136"/>
      <c r="DB241" s="136"/>
      <c r="DC241" s="136"/>
      <c r="DD241" s="136"/>
      <c r="DE241" s="136"/>
      <c r="DF241" s="136"/>
      <c r="DG241" s="136"/>
      <c r="DH241" s="136"/>
      <c r="DI241" s="136"/>
      <c r="DJ241" s="136"/>
      <c r="DK241" s="136"/>
      <c r="DL241" s="136"/>
      <c r="DM241" s="136"/>
      <c r="DN241" s="136"/>
      <c r="DO241" s="136"/>
      <c r="DP241" s="136"/>
      <c r="DQ241" s="136"/>
      <c r="DR241" s="136"/>
      <c r="DS241" s="136"/>
      <c r="DT241" s="136"/>
      <c r="DU241" s="136"/>
      <c r="DV241" s="136"/>
      <c r="DW241" s="136"/>
      <c r="DX241" s="136"/>
      <c r="DY241" s="136"/>
      <c r="DZ241" s="136"/>
      <c r="EA241" s="136"/>
      <c r="EB241" s="136"/>
      <c r="EC241" s="136"/>
      <c r="ED241" s="136"/>
      <c r="EE241" s="136"/>
      <c r="EF241" s="136"/>
      <c r="EG241" s="136"/>
      <c r="EH241" s="136"/>
      <c r="EI241" s="136"/>
      <c r="EJ241" s="136"/>
      <c r="EK241" s="136"/>
      <c r="EL241" s="136"/>
      <c r="EM241" s="136"/>
      <c r="EN241" s="136"/>
      <c r="EO241" s="136"/>
      <c r="EP241" s="136"/>
      <c r="EQ241" s="136"/>
      <c r="ER241" s="136"/>
      <c r="ES241" s="136"/>
      <c r="ET241" s="136"/>
      <c r="EU241" s="136"/>
      <c r="EV241" s="136"/>
      <c r="EW241" s="136"/>
      <c r="EX241" s="136"/>
      <c r="EY241" s="136"/>
      <c r="EZ241" s="136"/>
      <c r="FA241" s="136"/>
      <c r="FB241" s="136"/>
      <c r="FC241" s="136"/>
      <c r="FD241" s="136"/>
      <c r="FE241" s="136"/>
      <c r="FF241" s="136"/>
      <c r="FG241" s="136"/>
      <c r="FH241" s="136"/>
      <c r="FI241" s="136"/>
      <c r="FJ241" s="136"/>
      <c r="FK241" s="136"/>
      <c r="FL241" s="136"/>
      <c r="FM241" s="136"/>
      <c r="FN241" s="136"/>
      <c r="FO241" s="136"/>
      <c r="FP241" s="136"/>
      <c r="FQ241" s="136"/>
      <c r="FR241" s="136"/>
      <c r="FS241" s="136"/>
      <c r="FT241" s="136"/>
      <c r="FU241" s="136"/>
      <c r="FV241" s="136"/>
      <c r="FW241" s="136"/>
      <c r="FX241" s="136"/>
      <c r="FY241" s="136"/>
      <c r="FZ241" s="136"/>
      <c r="GA241" s="136"/>
      <c r="GB241" s="136"/>
      <c r="GC241" s="136"/>
      <c r="GD241" s="136"/>
      <c r="GE241" s="136"/>
      <c r="GF241" s="136"/>
      <c r="GG241" s="136"/>
      <c r="GH241" s="136"/>
      <c r="GI241" s="136"/>
      <c r="GJ241" s="136"/>
      <c r="GK241" s="136"/>
      <c r="GL241" s="136"/>
      <c r="GM241" s="136"/>
      <c r="GN241" s="136"/>
      <c r="GO241" s="136"/>
      <c r="GP241" s="136"/>
      <c r="GQ241" s="136"/>
      <c r="GR241" s="136"/>
      <c r="GS241" s="136"/>
      <c r="GT241" s="136"/>
      <c r="GU241" s="136"/>
      <c r="GV241" s="136"/>
      <c r="GW241" s="136"/>
      <c r="GX241" s="136"/>
      <c r="GY241" s="136"/>
      <c r="GZ241" s="136"/>
      <c r="HA241" s="136"/>
      <c r="HB241" s="136"/>
      <c r="HC241" s="136"/>
      <c r="HD241" s="136"/>
      <c r="HE241" s="136"/>
      <c r="HF241" s="136"/>
      <c r="HG241" s="136"/>
      <c r="HH241" s="136"/>
      <c r="HI241" s="136"/>
      <c r="HJ241" s="136"/>
      <c r="HK241" s="136"/>
      <c r="HL241" s="136"/>
      <c r="HM241" s="136"/>
      <c r="HN241" s="136"/>
      <c r="HO241" s="136"/>
      <c r="HP241" s="136"/>
      <c r="HQ241" s="136"/>
      <c r="HR241" s="136"/>
      <c r="HS241" s="136"/>
      <c r="HT241" s="136"/>
      <c r="HU241" s="136"/>
      <c r="HV241" s="136"/>
      <c r="HW241" s="136"/>
      <c r="HX241" s="136"/>
      <c r="HY241" s="136"/>
      <c r="HZ241" s="136"/>
      <c r="IA241" s="136"/>
      <c r="IB241" s="136"/>
      <c r="IC241" s="136"/>
      <c r="ID241" s="136"/>
      <c r="IE241" s="136"/>
      <c r="IF241" s="136"/>
      <c r="IG241" s="136"/>
      <c r="IH241" s="136"/>
      <c r="II241" s="136"/>
      <c r="IJ241" s="136"/>
      <c r="IK241" s="136"/>
      <c r="IL241" s="136"/>
      <c r="IM241" s="136"/>
      <c r="IN241" s="136"/>
      <c r="IO241" s="136"/>
      <c r="IP241" s="136"/>
      <c r="IQ241" s="136"/>
      <c r="IR241" s="136"/>
      <c r="IS241" s="136"/>
      <c r="IT241" s="136"/>
      <c r="IU241" s="136"/>
    </row>
    <row r="242" spans="1:255" ht="105" x14ac:dyDescent="0.2">
      <c r="A242" s="242" t="str">
        <f>'HECVAT - Full'!A242</f>
        <v>PPPR-19</v>
      </c>
      <c r="B242" s="242" t="str">
        <f>VLOOKUP(A242,'HECVAT - Full'!A$24:B$312,2,FALSE)</f>
        <v>Do you have process and procedure(s) documented, and currently followed, that require a review and update of the access-list(s) for privileged accounts?</v>
      </c>
      <c r="C242" s="243" t="s">
        <v>2750</v>
      </c>
      <c r="D242" s="253" t="s">
        <v>2751</v>
      </c>
      <c r="E242" s="136"/>
      <c r="F242" s="13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c r="AC242" s="136"/>
      <c r="AD242" s="136"/>
      <c r="AE242" s="136"/>
      <c r="AF242" s="136"/>
      <c r="AG242" s="136"/>
      <c r="AH242" s="136"/>
      <c r="AI242" s="136"/>
      <c r="AJ242" s="136"/>
      <c r="AK242" s="136"/>
      <c r="AL242" s="136"/>
      <c r="AM242" s="136"/>
      <c r="AN242" s="136"/>
      <c r="AO242" s="136"/>
      <c r="AP242" s="136"/>
      <c r="AQ242" s="136"/>
      <c r="AR242" s="136"/>
      <c r="AS242" s="136"/>
      <c r="AT242" s="136"/>
      <c r="AU242" s="136"/>
      <c r="AV242" s="136"/>
      <c r="AW242" s="136"/>
      <c r="AX242" s="136"/>
      <c r="AY242" s="136"/>
      <c r="AZ242" s="136"/>
      <c r="BA242" s="136"/>
      <c r="BB242" s="136"/>
      <c r="BC242" s="136"/>
      <c r="BD242" s="136"/>
      <c r="BE242" s="136"/>
      <c r="BF242" s="136"/>
      <c r="BG242" s="136"/>
      <c r="BH242" s="136"/>
      <c r="BI242" s="136"/>
      <c r="BJ242" s="136"/>
      <c r="BK242" s="136"/>
      <c r="BL242" s="136"/>
      <c r="BM242" s="136"/>
      <c r="BN242" s="136"/>
      <c r="BO242" s="136"/>
      <c r="BP242" s="136"/>
      <c r="BQ242" s="136"/>
      <c r="BR242" s="136"/>
      <c r="BS242" s="136"/>
      <c r="BT242" s="136"/>
      <c r="BU242" s="136"/>
      <c r="BV242" s="136"/>
      <c r="BW242" s="136"/>
      <c r="BX242" s="136"/>
      <c r="BY242" s="136"/>
      <c r="BZ242" s="136"/>
      <c r="CA242" s="136"/>
      <c r="CB242" s="136"/>
      <c r="CC242" s="136"/>
      <c r="CD242" s="136"/>
      <c r="CE242" s="136"/>
      <c r="CF242" s="136"/>
      <c r="CG242" s="136"/>
      <c r="CH242" s="136"/>
      <c r="CI242" s="136"/>
      <c r="CJ242" s="136"/>
      <c r="CK242" s="136"/>
      <c r="CL242" s="136"/>
      <c r="CM242" s="136"/>
      <c r="CN242" s="136"/>
      <c r="CO242" s="136"/>
      <c r="CP242" s="136"/>
      <c r="CQ242" s="136"/>
      <c r="CR242" s="136"/>
      <c r="CS242" s="136"/>
      <c r="CT242" s="136"/>
      <c r="CU242" s="136"/>
      <c r="CV242" s="136"/>
      <c r="CW242" s="136"/>
      <c r="CX242" s="136"/>
      <c r="CY242" s="136"/>
      <c r="CZ242" s="136"/>
      <c r="DA242" s="136"/>
      <c r="DB242" s="136"/>
      <c r="DC242" s="136"/>
      <c r="DD242" s="136"/>
      <c r="DE242" s="136"/>
      <c r="DF242" s="136"/>
      <c r="DG242" s="136"/>
      <c r="DH242" s="136"/>
      <c r="DI242" s="136"/>
      <c r="DJ242" s="136"/>
      <c r="DK242" s="136"/>
      <c r="DL242" s="136"/>
      <c r="DM242" s="136"/>
      <c r="DN242" s="136"/>
      <c r="DO242" s="136"/>
      <c r="DP242" s="136"/>
      <c r="DQ242" s="136"/>
      <c r="DR242" s="136"/>
      <c r="DS242" s="136"/>
      <c r="DT242" s="136"/>
      <c r="DU242" s="136"/>
      <c r="DV242" s="136"/>
      <c r="DW242" s="136"/>
      <c r="DX242" s="136"/>
      <c r="DY242" s="136"/>
      <c r="DZ242" s="136"/>
      <c r="EA242" s="136"/>
      <c r="EB242" s="136"/>
      <c r="EC242" s="136"/>
      <c r="ED242" s="136"/>
      <c r="EE242" s="136"/>
      <c r="EF242" s="136"/>
      <c r="EG242" s="136"/>
      <c r="EH242" s="136"/>
      <c r="EI242" s="136"/>
      <c r="EJ242" s="136"/>
      <c r="EK242" s="136"/>
      <c r="EL242" s="136"/>
      <c r="EM242" s="136"/>
      <c r="EN242" s="136"/>
      <c r="EO242" s="136"/>
      <c r="EP242" s="136"/>
      <c r="EQ242" s="136"/>
      <c r="ER242" s="136"/>
      <c r="ES242" s="136"/>
      <c r="ET242" s="136"/>
      <c r="EU242" s="136"/>
      <c r="EV242" s="136"/>
      <c r="EW242" s="136"/>
      <c r="EX242" s="136"/>
      <c r="EY242" s="136"/>
      <c r="EZ242" s="136"/>
      <c r="FA242" s="136"/>
      <c r="FB242" s="136"/>
      <c r="FC242" s="136"/>
      <c r="FD242" s="136"/>
      <c r="FE242" s="136"/>
      <c r="FF242" s="136"/>
      <c r="FG242" s="136"/>
      <c r="FH242" s="136"/>
      <c r="FI242" s="136"/>
      <c r="FJ242" s="136"/>
      <c r="FK242" s="136"/>
      <c r="FL242" s="136"/>
      <c r="FM242" s="136"/>
      <c r="FN242" s="136"/>
      <c r="FO242" s="136"/>
      <c r="FP242" s="136"/>
      <c r="FQ242" s="136"/>
      <c r="FR242" s="136"/>
      <c r="FS242" s="136"/>
      <c r="FT242" s="136"/>
      <c r="FU242" s="136"/>
      <c r="FV242" s="136"/>
      <c r="FW242" s="136"/>
      <c r="FX242" s="136"/>
      <c r="FY242" s="136"/>
      <c r="FZ242" s="136"/>
      <c r="GA242" s="136"/>
      <c r="GB242" s="136"/>
      <c r="GC242" s="136"/>
      <c r="GD242" s="136"/>
      <c r="GE242" s="136"/>
      <c r="GF242" s="136"/>
      <c r="GG242" s="136"/>
      <c r="GH242" s="136"/>
      <c r="GI242" s="136"/>
      <c r="GJ242" s="136"/>
      <c r="GK242" s="136"/>
      <c r="GL242" s="136"/>
      <c r="GM242" s="136"/>
      <c r="GN242" s="136"/>
      <c r="GO242" s="136"/>
      <c r="GP242" s="136"/>
      <c r="GQ242" s="136"/>
      <c r="GR242" s="136"/>
      <c r="GS242" s="136"/>
      <c r="GT242" s="136"/>
      <c r="GU242" s="136"/>
      <c r="GV242" s="136"/>
      <c r="GW242" s="136"/>
      <c r="GX242" s="136"/>
      <c r="GY242" s="136"/>
      <c r="GZ242" s="136"/>
      <c r="HA242" s="136"/>
      <c r="HB242" s="136"/>
      <c r="HC242" s="136"/>
      <c r="HD242" s="136"/>
      <c r="HE242" s="136"/>
      <c r="HF242" s="136"/>
      <c r="HG242" s="136"/>
      <c r="HH242" s="136"/>
      <c r="HI242" s="136"/>
      <c r="HJ242" s="136"/>
      <c r="HK242" s="136"/>
      <c r="HL242" s="136"/>
      <c r="HM242" s="136"/>
      <c r="HN242" s="136"/>
      <c r="HO242" s="136"/>
      <c r="HP242" s="136"/>
      <c r="HQ242" s="136"/>
      <c r="HR242" s="136"/>
      <c r="HS242" s="136"/>
      <c r="HT242" s="136"/>
      <c r="HU242" s="136"/>
      <c r="HV242" s="136"/>
      <c r="HW242" s="136"/>
      <c r="HX242" s="136"/>
      <c r="HY242" s="136"/>
      <c r="HZ242" s="136"/>
      <c r="IA242" s="136"/>
      <c r="IB242" s="136"/>
      <c r="IC242" s="136"/>
      <c r="ID242" s="136"/>
      <c r="IE242" s="136"/>
      <c r="IF242" s="136"/>
      <c r="IG242" s="136"/>
      <c r="IH242" s="136"/>
      <c r="II242" s="136"/>
      <c r="IJ242" s="136"/>
      <c r="IK242" s="136"/>
      <c r="IL242" s="136"/>
      <c r="IM242" s="136"/>
      <c r="IN242" s="136"/>
      <c r="IO242" s="136"/>
      <c r="IP242" s="136"/>
      <c r="IQ242" s="136"/>
      <c r="IR242" s="136"/>
      <c r="IS242" s="136"/>
      <c r="IT242" s="136"/>
      <c r="IU242" s="136"/>
    </row>
    <row r="243" spans="1:255" ht="64.25" customHeight="1" x14ac:dyDescent="0.2">
      <c r="A243" s="242" t="str">
        <f>'HECVAT - Full'!A243</f>
        <v>PPPR-20</v>
      </c>
      <c r="B243" s="242" t="str">
        <f>VLOOKUP(A243,'HECVAT - Full'!A$24:B$312,2,FALSE)</f>
        <v>Do you have documented, and currently implemented, internal audit processes and procedures?</v>
      </c>
      <c r="C243" s="243" t="s">
        <v>2951</v>
      </c>
      <c r="D243" s="253" t="s">
        <v>2952</v>
      </c>
      <c r="E243" s="136"/>
      <c r="F243" s="13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c r="AC243" s="136"/>
      <c r="AD243" s="136"/>
      <c r="AE243" s="136"/>
      <c r="AF243" s="136"/>
      <c r="AG243" s="136"/>
      <c r="AH243" s="136"/>
      <c r="AI243" s="136"/>
      <c r="AJ243" s="136"/>
      <c r="AK243" s="136"/>
      <c r="AL243" s="136"/>
      <c r="AM243" s="136"/>
      <c r="AN243" s="136"/>
      <c r="AO243" s="136"/>
      <c r="AP243" s="136"/>
      <c r="AQ243" s="136"/>
      <c r="AR243" s="136"/>
      <c r="AS243" s="136"/>
      <c r="AT243" s="136"/>
      <c r="AU243" s="136"/>
      <c r="AV243" s="136"/>
      <c r="AW243" s="136"/>
      <c r="AX243" s="136"/>
      <c r="AY243" s="136"/>
      <c r="AZ243" s="136"/>
      <c r="BA243" s="136"/>
      <c r="BB243" s="136"/>
      <c r="BC243" s="136"/>
      <c r="BD243" s="136"/>
      <c r="BE243" s="136"/>
      <c r="BF243" s="136"/>
      <c r="BG243" s="136"/>
      <c r="BH243" s="136"/>
      <c r="BI243" s="136"/>
      <c r="BJ243" s="136"/>
      <c r="BK243" s="136"/>
      <c r="BL243" s="136"/>
      <c r="BM243" s="136"/>
      <c r="BN243" s="136"/>
      <c r="BO243" s="136"/>
      <c r="BP243" s="136"/>
      <c r="BQ243" s="136"/>
      <c r="BR243" s="136"/>
      <c r="BS243" s="136"/>
      <c r="BT243" s="136"/>
      <c r="BU243" s="136"/>
      <c r="BV243" s="136"/>
      <c r="BW243" s="136"/>
      <c r="BX243" s="136"/>
      <c r="BY243" s="136"/>
      <c r="BZ243" s="136"/>
      <c r="CA243" s="136"/>
      <c r="CB243" s="136"/>
      <c r="CC243" s="136"/>
      <c r="CD243" s="136"/>
      <c r="CE243" s="136"/>
      <c r="CF243" s="136"/>
      <c r="CG243" s="136"/>
      <c r="CH243" s="136"/>
      <c r="CI243" s="136"/>
      <c r="CJ243" s="136"/>
      <c r="CK243" s="136"/>
      <c r="CL243" s="136"/>
      <c r="CM243" s="136"/>
      <c r="CN243" s="136"/>
      <c r="CO243" s="136"/>
      <c r="CP243" s="136"/>
      <c r="CQ243" s="136"/>
      <c r="CR243" s="136"/>
      <c r="CS243" s="136"/>
      <c r="CT243" s="136"/>
      <c r="CU243" s="136"/>
      <c r="CV243" s="136"/>
      <c r="CW243" s="136"/>
      <c r="CX243" s="136"/>
      <c r="CY243" s="136"/>
      <c r="CZ243" s="136"/>
      <c r="DA243" s="136"/>
      <c r="DB243" s="136"/>
      <c r="DC243" s="136"/>
      <c r="DD243" s="136"/>
      <c r="DE243" s="136"/>
      <c r="DF243" s="136"/>
      <c r="DG243" s="136"/>
      <c r="DH243" s="136"/>
      <c r="DI243" s="136"/>
      <c r="DJ243" s="136"/>
      <c r="DK243" s="136"/>
      <c r="DL243" s="136"/>
      <c r="DM243" s="136"/>
      <c r="DN243" s="136"/>
      <c r="DO243" s="136"/>
      <c r="DP243" s="136"/>
      <c r="DQ243" s="136"/>
      <c r="DR243" s="136"/>
      <c r="DS243" s="136"/>
      <c r="DT243" s="136"/>
      <c r="DU243" s="136"/>
      <c r="DV243" s="136"/>
      <c r="DW243" s="136"/>
      <c r="DX243" s="136"/>
      <c r="DY243" s="136"/>
      <c r="DZ243" s="136"/>
      <c r="EA243" s="136"/>
      <c r="EB243" s="136"/>
      <c r="EC243" s="136"/>
      <c r="ED243" s="136"/>
      <c r="EE243" s="136"/>
      <c r="EF243" s="136"/>
      <c r="EG243" s="136"/>
      <c r="EH243" s="136"/>
      <c r="EI243" s="136"/>
      <c r="EJ243" s="136"/>
      <c r="EK243" s="136"/>
      <c r="EL243" s="136"/>
      <c r="EM243" s="136"/>
      <c r="EN243" s="136"/>
      <c r="EO243" s="136"/>
      <c r="EP243" s="136"/>
      <c r="EQ243" s="136"/>
      <c r="ER243" s="136"/>
      <c r="ES243" s="136"/>
      <c r="ET243" s="136"/>
      <c r="EU243" s="136"/>
      <c r="EV243" s="136"/>
      <c r="EW243" s="136"/>
      <c r="EX243" s="136"/>
      <c r="EY243" s="136"/>
      <c r="EZ243" s="136"/>
      <c r="FA243" s="136"/>
      <c r="FB243" s="136"/>
      <c r="FC243" s="136"/>
      <c r="FD243" s="136"/>
      <c r="FE243" s="136"/>
      <c r="FF243" s="136"/>
      <c r="FG243" s="136"/>
      <c r="FH243" s="136"/>
      <c r="FI243" s="136"/>
      <c r="FJ243" s="136"/>
      <c r="FK243" s="136"/>
      <c r="FL243" s="136"/>
      <c r="FM243" s="136"/>
      <c r="FN243" s="136"/>
      <c r="FO243" s="136"/>
      <c r="FP243" s="136"/>
      <c r="FQ243" s="136"/>
      <c r="FR243" s="136"/>
      <c r="FS243" s="136"/>
      <c r="FT243" s="136"/>
      <c r="FU243" s="136"/>
      <c r="FV243" s="136"/>
      <c r="FW243" s="136"/>
      <c r="FX243" s="136"/>
      <c r="FY243" s="136"/>
      <c r="FZ243" s="136"/>
      <c r="GA243" s="136"/>
      <c r="GB243" s="136"/>
      <c r="GC243" s="136"/>
      <c r="GD243" s="136"/>
      <c r="GE243" s="136"/>
      <c r="GF243" s="136"/>
      <c r="GG243" s="136"/>
      <c r="GH243" s="136"/>
      <c r="GI243" s="136"/>
      <c r="GJ243" s="136"/>
      <c r="GK243" s="136"/>
      <c r="GL243" s="136"/>
      <c r="GM243" s="136"/>
      <c r="GN243" s="136"/>
      <c r="GO243" s="136"/>
      <c r="GP243" s="136"/>
      <c r="GQ243" s="136"/>
      <c r="GR243" s="136"/>
      <c r="GS243" s="136"/>
      <c r="GT243" s="136"/>
      <c r="GU243" s="136"/>
      <c r="GV243" s="136"/>
      <c r="GW243" s="136"/>
      <c r="GX243" s="136"/>
      <c r="GY243" s="136"/>
      <c r="GZ243" s="136"/>
      <c r="HA243" s="136"/>
      <c r="HB243" s="136"/>
      <c r="HC243" s="136"/>
      <c r="HD243" s="136"/>
      <c r="HE243" s="136"/>
      <c r="HF243" s="136"/>
      <c r="HG243" s="136"/>
      <c r="HH243" s="136"/>
      <c r="HI243" s="136"/>
      <c r="HJ243" s="136"/>
      <c r="HK243" s="136"/>
      <c r="HL243" s="136"/>
      <c r="HM243" s="136"/>
      <c r="HN243" s="136"/>
      <c r="HO243" s="136"/>
      <c r="HP243" s="136"/>
      <c r="HQ243" s="136"/>
      <c r="HR243" s="136"/>
      <c r="HS243" s="136"/>
      <c r="HT243" s="136"/>
      <c r="HU243" s="136"/>
      <c r="HV243" s="136"/>
      <c r="HW243" s="136"/>
      <c r="HX243" s="136"/>
      <c r="HY243" s="136"/>
      <c r="HZ243" s="136"/>
      <c r="IA243" s="136"/>
      <c r="IB243" s="136"/>
      <c r="IC243" s="136"/>
      <c r="ID243" s="136"/>
      <c r="IE243" s="136"/>
      <c r="IF243" s="136"/>
      <c r="IG243" s="136"/>
      <c r="IH243" s="136"/>
      <c r="II243" s="136"/>
      <c r="IJ243" s="136"/>
      <c r="IK243" s="136"/>
      <c r="IL243" s="136"/>
      <c r="IM243" s="136"/>
      <c r="IN243" s="136"/>
      <c r="IO243" s="136"/>
      <c r="IP243" s="136"/>
      <c r="IQ243" s="136"/>
      <c r="IR243" s="136"/>
      <c r="IS243" s="136"/>
      <c r="IT243" s="136"/>
      <c r="IU243" s="136"/>
    </row>
    <row r="244" spans="1:255" ht="36" customHeight="1" x14ac:dyDescent="0.2">
      <c r="A244" s="335" t="str">
        <f>IF($C$30="","Product Evaluation",IF($C$30="Yes","Product Evaluation - Optional based on QUALIFIER response.","Product Evaluation"))</f>
        <v>Product Evaluation</v>
      </c>
      <c r="B244" s="335"/>
      <c r="C244" s="240" t="str">
        <f>$C$22</f>
        <v>Reason for Question</v>
      </c>
      <c r="D244" s="240" t="str">
        <f>$D$22</f>
        <v>Follow-up Inquiries/Responses</v>
      </c>
      <c r="E244" s="136"/>
      <c r="F244" s="13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c r="AC244" s="136"/>
      <c r="AD244" s="136"/>
      <c r="AE244" s="136"/>
      <c r="AF244" s="136"/>
      <c r="AG244" s="136"/>
      <c r="AH244" s="136"/>
      <c r="AI244" s="136"/>
      <c r="AJ244" s="136"/>
      <c r="AK244" s="136"/>
      <c r="AL244" s="136"/>
      <c r="AM244" s="136"/>
      <c r="AN244" s="136"/>
      <c r="AO244" s="136"/>
      <c r="AP244" s="136"/>
      <c r="AQ244" s="136"/>
      <c r="AR244" s="136"/>
      <c r="AS244" s="136"/>
      <c r="AT244" s="136"/>
      <c r="AU244" s="136"/>
      <c r="AV244" s="136"/>
      <c r="AW244" s="136"/>
      <c r="AX244" s="136"/>
      <c r="AY244" s="136"/>
      <c r="AZ244" s="136"/>
      <c r="BA244" s="136"/>
      <c r="BB244" s="136"/>
      <c r="BC244" s="136"/>
      <c r="BD244" s="136"/>
      <c r="BE244" s="136"/>
      <c r="BF244" s="136"/>
      <c r="BG244" s="136"/>
      <c r="BH244" s="136"/>
      <c r="BI244" s="136"/>
      <c r="BJ244" s="136"/>
      <c r="BK244" s="136"/>
      <c r="BL244" s="136"/>
      <c r="BM244" s="136"/>
      <c r="BN244" s="136"/>
      <c r="BO244" s="136"/>
      <c r="BP244" s="136"/>
      <c r="BQ244" s="136"/>
      <c r="BR244" s="136"/>
      <c r="BS244" s="136"/>
      <c r="BT244" s="136"/>
      <c r="BU244" s="136"/>
      <c r="BV244" s="136"/>
      <c r="BW244" s="136"/>
      <c r="BX244" s="136"/>
      <c r="BY244" s="136"/>
      <c r="BZ244" s="136"/>
      <c r="CA244" s="136"/>
      <c r="CB244" s="136"/>
      <c r="CC244" s="136"/>
      <c r="CD244" s="136"/>
      <c r="CE244" s="136"/>
      <c r="CF244" s="136"/>
      <c r="CG244" s="136"/>
      <c r="CH244" s="136"/>
      <c r="CI244" s="136"/>
      <c r="CJ244" s="136"/>
      <c r="CK244" s="136"/>
      <c r="CL244" s="136"/>
      <c r="CM244" s="136"/>
      <c r="CN244" s="136"/>
      <c r="CO244" s="136"/>
      <c r="CP244" s="136"/>
      <c r="CQ244" s="136"/>
      <c r="CR244" s="136"/>
      <c r="CS244" s="136"/>
      <c r="CT244" s="136"/>
      <c r="CU244" s="136"/>
      <c r="CV244" s="136"/>
      <c r="CW244" s="136"/>
      <c r="CX244" s="136"/>
      <c r="CY244" s="136"/>
      <c r="CZ244" s="136"/>
      <c r="DA244" s="136"/>
      <c r="DB244" s="136"/>
      <c r="DC244" s="136"/>
      <c r="DD244" s="136"/>
      <c r="DE244" s="136"/>
      <c r="DF244" s="136"/>
      <c r="DG244" s="136"/>
      <c r="DH244" s="136"/>
      <c r="DI244" s="136"/>
      <c r="DJ244" s="136"/>
      <c r="DK244" s="136"/>
      <c r="DL244" s="136"/>
      <c r="DM244" s="136"/>
      <c r="DN244" s="136"/>
      <c r="DO244" s="136"/>
      <c r="DP244" s="136"/>
      <c r="DQ244" s="136"/>
      <c r="DR244" s="136"/>
      <c r="DS244" s="136"/>
      <c r="DT244" s="136"/>
      <c r="DU244" s="136"/>
      <c r="DV244" s="136"/>
      <c r="DW244" s="136"/>
      <c r="DX244" s="136"/>
      <c r="DY244" s="136"/>
      <c r="DZ244" s="136"/>
      <c r="EA244" s="136"/>
      <c r="EB244" s="136"/>
      <c r="EC244" s="136"/>
      <c r="ED244" s="136"/>
      <c r="EE244" s="136"/>
      <c r="EF244" s="136"/>
      <c r="EG244" s="136"/>
      <c r="EH244" s="136"/>
      <c r="EI244" s="136"/>
      <c r="EJ244" s="136"/>
      <c r="EK244" s="136"/>
      <c r="EL244" s="136"/>
      <c r="EM244" s="136"/>
      <c r="EN244" s="136"/>
      <c r="EO244" s="136"/>
      <c r="EP244" s="136"/>
      <c r="EQ244" s="136"/>
      <c r="ER244" s="136"/>
      <c r="ES244" s="136"/>
      <c r="ET244" s="136"/>
      <c r="EU244" s="136"/>
      <c r="EV244" s="136"/>
      <c r="EW244" s="136"/>
      <c r="EX244" s="136"/>
      <c r="EY244" s="136"/>
      <c r="EZ244" s="136"/>
      <c r="FA244" s="136"/>
      <c r="FB244" s="136"/>
      <c r="FC244" s="136"/>
      <c r="FD244" s="136"/>
      <c r="FE244" s="136"/>
      <c r="FF244" s="136"/>
      <c r="FG244" s="136"/>
      <c r="FH244" s="136"/>
      <c r="FI244" s="136"/>
      <c r="FJ244" s="136"/>
      <c r="FK244" s="136"/>
      <c r="FL244" s="136"/>
      <c r="FM244" s="136"/>
      <c r="FN244" s="136"/>
      <c r="FO244" s="136"/>
      <c r="FP244" s="136"/>
      <c r="FQ244" s="136"/>
      <c r="FR244" s="136"/>
      <c r="FS244" s="136"/>
      <c r="FT244" s="136"/>
      <c r="FU244" s="136"/>
      <c r="FV244" s="136"/>
      <c r="FW244" s="136"/>
      <c r="FX244" s="136"/>
      <c r="FY244" s="136"/>
      <c r="FZ244" s="136"/>
      <c r="GA244" s="136"/>
      <c r="GB244" s="136"/>
      <c r="GC244" s="136"/>
      <c r="GD244" s="136"/>
      <c r="GE244" s="136"/>
      <c r="GF244" s="136"/>
      <c r="GG244" s="136"/>
      <c r="GH244" s="136"/>
      <c r="GI244" s="136"/>
      <c r="GJ244" s="136"/>
      <c r="GK244" s="136"/>
      <c r="GL244" s="136"/>
      <c r="GM244" s="136"/>
      <c r="GN244" s="136"/>
      <c r="GO244" s="136"/>
      <c r="GP244" s="136"/>
      <c r="GQ244" s="136"/>
      <c r="GR244" s="136"/>
      <c r="GS244" s="136"/>
      <c r="GT244" s="136"/>
      <c r="GU244" s="136"/>
      <c r="GV244" s="136"/>
      <c r="GW244" s="136"/>
      <c r="GX244" s="136"/>
      <c r="GY244" s="136"/>
      <c r="GZ244" s="136"/>
      <c r="HA244" s="136"/>
      <c r="HB244" s="136"/>
      <c r="HC244" s="136"/>
      <c r="HD244" s="136"/>
      <c r="HE244" s="136"/>
      <c r="HF244" s="136"/>
      <c r="HG244" s="136"/>
      <c r="HH244" s="136"/>
      <c r="HI244" s="136"/>
      <c r="HJ244" s="136"/>
      <c r="HK244" s="136"/>
      <c r="HL244" s="136"/>
      <c r="HM244" s="136"/>
      <c r="HN244" s="136"/>
      <c r="HO244" s="136"/>
      <c r="HP244" s="136"/>
      <c r="HQ244" s="136"/>
      <c r="HR244" s="136"/>
      <c r="HS244" s="136"/>
      <c r="HT244" s="136"/>
      <c r="HU244" s="136"/>
      <c r="HV244" s="136"/>
      <c r="HW244" s="136"/>
      <c r="HX244" s="136"/>
      <c r="HY244" s="136"/>
      <c r="HZ244" s="136"/>
      <c r="IA244" s="136"/>
      <c r="IB244" s="136"/>
      <c r="IC244" s="136"/>
      <c r="ID244" s="136"/>
      <c r="IE244" s="136"/>
      <c r="IF244" s="136"/>
      <c r="IG244" s="136"/>
      <c r="IH244" s="136"/>
      <c r="II244" s="136"/>
      <c r="IJ244" s="136"/>
      <c r="IK244" s="136"/>
      <c r="IL244" s="136"/>
      <c r="IM244" s="136"/>
      <c r="IN244" s="136"/>
      <c r="IO244" s="136"/>
      <c r="IP244" s="136"/>
      <c r="IQ244" s="136"/>
      <c r="IR244" s="136"/>
      <c r="IS244" s="136"/>
      <c r="IT244" s="136"/>
      <c r="IU244" s="136"/>
    </row>
    <row r="245" spans="1:255" ht="102" customHeight="1" x14ac:dyDescent="0.2">
      <c r="A245" s="242" t="str">
        <f>'HECVAT - Full'!A245</f>
        <v>PROD-01</v>
      </c>
      <c r="B245" s="242" t="str">
        <f>VLOOKUP(A245,'HECVAT - Full'!A$24:B$312,2,FALSE)</f>
        <v>Do you incorporate customer feedback into security feature requests?</v>
      </c>
      <c r="C245" s="243" t="s">
        <v>2953</v>
      </c>
      <c r="D245" s="253" t="s">
        <v>2954</v>
      </c>
      <c r="E245" s="136"/>
      <c r="F245" s="13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c r="AC245" s="136"/>
      <c r="AD245" s="136"/>
      <c r="AE245" s="136"/>
      <c r="AF245" s="136"/>
      <c r="AG245" s="136"/>
      <c r="AH245" s="136"/>
      <c r="AI245" s="136"/>
      <c r="AJ245" s="136"/>
      <c r="AK245" s="136"/>
      <c r="AL245" s="136"/>
      <c r="AM245" s="136"/>
      <c r="AN245" s="136"/>
      <c r="AO245" s="136"/>
      <c r="AP245" s="136"/>
      <c r="AQ245" s="136"/>
      <c r="AR245" s="136"/>
      <c r="AS245" s="136"/>
      <c r="AT245" s="136"/>
      <c r="AU245" s="136"/>
      <c r="AV245" s="136"/>
      <c r="AW245" s="136"/>
      <c r="AX245" s="136"/>
      <c r="AY245" s="136"/>
      <c r="AZ245" s="136"/>
      <c r="BA245" s="136"/>
      <c r="BB245" s="136"/>
      <c r="BC245" s="136"/>
      <c r="BD245" s="136"/>
      <c r="BE245" s="136"/>
      <c r="BF245" s="136"/>
      <c r="BG245" s="136"/>
      <c r="BH245" s="136"/>
      <c r="BI245" s="136"/>
      <c r="BJ245" s="136"/>
      <c r="BK245" s="136"/>
      <c r="BL245" s="136"/>
      <c r="BM245" s="136"/>
      <c r="BN245" s="136"/>
      <c r="BO245" s="136"/>
      <c r="BP245" s="136"/>
      <c r="BQ245" s="136"/>
      <c r="BR245" s="136"/>
      <c r="BS245" s="136"/>
      <c r="BT245" s="136"/>
      <c r="BU245" s="136"/>
      <c r="BV245" s="136"/>
      <c r="BW245" s="136"/>
      <c r="BX245" s="136"/>
      <c r="BY245" s="136"/>
      <c r="BZ245" s="136"/>
      <c r="CA245" s="136"/>
      <c r="CB245" s="136"/>
      <c r="CC245" s="136"/>
      <c r="CD245" s="136"/>
      <c r="CE245" s="136"/>
      <c r="CF245" s="136"/>
      <c r="CG245" s="136"/>
      <c r="CH245" s="136"/>
      <c r="CI245" s="136"/>
      <c r="CJ245" s="136"/>
      <c r="CK245" s="136"/>
      <c r="CL245" s="136"/>
      <c r="CM245" s="136"/>
      <c r="CN245" s="136"/>
      <c r="CO245" s="136"/>
      <c r="CP245" s="136"/>
      <c r="CQ245" s="136"/>
      <c r="CR245" s="136"/>
      <c r="CS245" s="136"/>
      <c r="CT245" s="136"/>
      <c r="CU245" s="136"/>
      <c r="CV245" s="136"/>
      <c r="CW245" s="136"/>
      <c r="CX245" s="136"/>
      <c r="CY245" s="136"/>
      <c r="CZ245" s="136"/>
      <c r="DA245" s="136"/>
      <c r="DB245" s="136"/>
      <c r="DC245" s="136"/>
      <c r="DD245" s="136"/>
      <c r="DE245" s="136"/>
      <c r="DF245" s="136"/>
      <c r="DG245" s="136"/>
      <c r="DH245" s="136"/>
      <c r="DI245" s="136"/>
      <c r="DJ245" s="136"/>
      <c r="DK245" s="136"/>
      <c r="DL245" s="136"/>
      <c r="DM245" s="136"/>
      <c r="DN245" s="136"/>
      <c r="DO245" s="136"/>
      <c r="DP245" s="136"/>
      <c r="DQ245" s="136"/>
      <c r="DR245" s="136"/>
      <c r="DS245" s="136"/>
      <c r="DT245" s="136"/>
      <c r="DU245" s="136"/>
      <c r="DV245" s="136"/>
      <c r="DW245" s="136"/>
      <c r="DX245" s="136"/>
      <c r="DY245" s="136"/>
      <c r="DZ245" s="136"/>
      <c r="EA245" s="136"/>
      <c r="EB245" s="136"/>
      <c r="EC245" s="136"/>
      <c r="ED245" s="136"/>
      <c r="EE245" s="136"/>
      <c r="EF245" s="136"/>
      <c r="EG245" s="136"/>
      <c r="EH245" s="136"/>
      <c r="EI245" s="136"/>
      <c r="EJ245" s="136"/>
      <c r="EK245" s="136"/>
      <c r="EL245" s="136"/>
      <c r="EM245" s="136"/>
      <c r="EN245" s="136"/>
      <c r="EO245" s="136"/>
      <c r="EP245" s="136"/>
      <c r="EQ245" s="136"/>
      <c r="ER245" s="136"/>
      <c r="ES245" s="136"/>
      <c r="ET245" s="136"/>
      <c r="EU245" s="136"/>
      <c r="EV245" s="136"/>
      <c r="EW245" s="136"/>
      <c r="EX245" s="136"/>
      <c r="EY245" s="136"/>
      <c r="EZ245" s="136"/>
      <c r="FA245" s="136"/>
      <c r="FB245" s="136"/>
      <c r="FC245" s="136"/>
      <c r="FD245" s="136"/>
      <c r="FE245" s="136"/>
      <c r="FF245" s="136"/>
      <c r="FG245" s="136"/>
      <c r="FH245" s="136"/>
      <c r="FI245" s="136"/>
      <c r="FJ245" s="136"/>
      <c r="FK245" s="136"/>
      <c r="FL245" s="136"/>
      <c r="FM245" s="136"/>
      <c r="FN245" s="136"/>
      <c r="FO245" s="136"/>
      <c r="FP245" s="136"/>
      <c r="FQ245" s="136"/>
      <c r="FR245" s="136"/>
      <c r="FS245" s="136"/>
      <c r="FT245" s="136"/>
      <c r="FU245" s="136"/>
      <c r="FV245" s="136"/>
      <c r="FW245" s="136"/>
      <c r="FX245" s="136"/>
      <c r="FY245" s="136"/>
      <c r="FZ245" s="136"/>
      <c r="GA245" s="136"/>
      <c r="GB245" s="136"/>
      <c r="GC245" s="136"/>
      <c r="GD245" s="136"/>
      <c r="GE245" s="136"/>
      <c r="GF245" s="136"/>
      <c r="GG245" s="136"/>
      <c r="GH245" s="136"/>
      <c r="GI245" s="136"/>
      <c r="GJ245" s="136"/>
      <c r="GK245" s="136"/>
      <c r="GL245" s="136"/>
      <c r="GM245" s="136"/>
      <c r="GN245" s="136"/>
      <c r="GO245" s="136"/>
      <c r="GP245" s="136"/>
      <c r="GQ245" s="136"/>
      <c r="GR245" s="136"/>
      <c r="GS245" s="136"/>
      <c r="GT245" s="136"/>
      <c r="GU245" s="136"/>
      <c r="GV245" s="136"/>
      <c r="GW245" s="136"/>
      <c r="GX245" s="136"/>
      <c r="GY245" s="136"/>
      <c r="GZ245" s="136"/>
      <c r="HA245" s="136"/>
      <c r="HB245" s="136"/>
      <c r="HC245" s="136"/>
      <c r="HD245" s="136"/>
      <c r="HE245" s="136"/>
      <c r="HF245" s="136"/>
      <c r="HG245" s="136"/>
      <c r="HH245" s="136"/>
      <c r="HI245" s="136"/>
      <c r="HJ245" s="136"/>
      <c r="HK245" s="136"/>
      <c r="HL245" s="136"/>
      <c r="HM245" s="136"/>
      <c r="HN245" s="136"/>
      <c r="HO245" s="136"/>
      <c r="HP245" s="136"/>
      <c r="HQ245" s="136"/>
      <c r="HR245" s="136"/>
      <c r="HS245" s="136"/>
      <c r="HT245" s="136"/>
      <c r="HU245" s="136"/>
      <c r="HV245" s="136"/>
      <c r="HW245" s="136"/>
      <c r="HX245" s="136"/>
      <c r="HY245" s="136"/>
      <c r="HZ245" s="136"/>
      <c r="IA245" s="136"/>
      <c r="IB245" s="136"/>
      <c r="IC245" s="136"/>
      <c r="ID245" s="136"/>
      <c r="IE245" s="136"/>
      <c r="IF245" s="136"/>
      <c r="IG245" s="136"/>
      <c r="IH245" s="136"/>
      <c r="II245" s="136"/>
      <c r="IJ245" s="136"/>
      <c r="IK245" s="136"/>
      <c r="IL245" s="136"/>
      <c r="IM245" s="136"/>
      <c r="IN245" s="136"/>
      <c r="IO245" s="136"/>
      <c r="IP245" s="136"/>
      <c r="IQ245" s="136"/>
      <c r="IR245" s="136"/>
      <c r="IS245" s="136"/>
      <c r="IT245" s="136"/>
      <c r="IU245" s="136"/>
    </row>
    <row r="246" spans="1:255" ht="64.5" customHeight="1" x14ac:dyDescent="0.2">
      <c r="A246" s="242" t="str">
        <f>'HECVAT - Full'!A246</f>
        <v>PROD-02</v>
      </c>
      <c r="B246" s="242" t="str">
        <f>VLOOKUP(A246,'HECVAT - Full'!A$24:B$312,2,FALSE)</f>
        <v>Can you provide an evaluation site to the institution for testing?</v>
      </c>
      <c r="C246" s="243" t="s">
        <v>2955</v>
      </c>
      <c r="D246" s="253" t="s">
        <v>2956</v>
      </c>
      <c r="E246" s="136"/>
      <c r="F246" s="13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c r="AC246" s="136"/>
      <c r="AD246" s="136"/>
      <c r="AE246" s="136"/>
      <c r="AF246" s="136"/>
      <c r="AG246" s="136"/>
      <c r="AH246" s="136"/>
      <c r="AI246" s="136"/>
      <c r="AJ246" s="136"/>
      <c r="AK246" s="136"/>
      <c r="AL246" s="136"/>
      <c r="AM246" s="136"/>
      <c r="AN246" s="136"/>
      <c r="AO246" s="136"/>
      <c r="AP246" s="136"/>
      <c r="AQ246" s="136"/>
      <c r="AR246" s="136"/>
      <c r="AS246" s="136"/>
      <c r="AT246" s="136"/>
      <c r="AU246" s="136"/>
      <c r="AV246" s="136"/>
      <c r="AW246" s="136"/>
      <c r="AX246" s="136"/>
      <c r="AY246" s="136"/>
      <c r="AZ246" s="136"/>
      <c r="BA246" s="136"/>
      <c r="BB246" s="136"/>
      <c r="BC246" s="136"/>
      <c r="BD246" s="136"/>
      <c r="BE246" s="136"/>
      <c r="BF246" s="136"/>
      <c r="BG246" s="136"/>
      <c r="BH246" s="136"/>
      <c r="BI246" s="136"/>
      <c r="BJ246" s="136"/>
      <c r="BK246" s="136"/>
      <c r="BL246" s="136"/>
      <c r="BM246" s="136"/>
      <c r="BN246" s="136"/>
      <c r="BO246" s="136"/>
      <c r="BP246" s="136"/>
      <c r="BQ246" s="136"/>
      <c r="BR246" s="136"/>
      <c r="BS246" s="136"/>
      <c r="BT246" s="136"/>
      <c r="BU246" s="136"/>
      <c r="BV246" s="136"/>
      <c r="BW246" s="136"/>
      <c r="BX246" s="136"/>
      <c r="BY246" s="136"/>
      <c r="BZ246" s="136"/>
      <c r="CA246" s="136"/>
      <c r="CB246" s="136"/>
      <c r="CC246" s="136"/>
      <c r="CD246" s="136"/>
      <c r="CE246" s="136"/>
      <c r="CF246" s="136"/>
      <c r="CG246" s="136"/>
      <c r="CH246" s="136"/>
      <c r="CI246" s="136"/>
      <c r="CJ246" s="136"/>
      <c r="CK246" s="136"/>
      <c r="CL246" s="136"/>
      <c r="CM246" s="136"/>
      <c r="CN246" s="136"/>
      <c r="CO246" s="136"/>
      <c r="CP246" s="136"/>
      <c r="CQ246" s="136"/>
      <c r="CR246" s="136"/>
      <c r="CS246" s="136"/>
      <c r="CT246" s="136"/>
      <c r="CU246" s="136"/>
      <c r="CV246" s="136"/>
      <c r="CW246" s="136"/>
      <c r="CX246" s="136"/>
      <c r="CY246" s="136"/>
      <c r="CZ246" s="136"/>
      <c r="DA246" s="136"/>
      <c r="DB246" s="136"/>
      <c r="DC246" s="136"/>
      <c r="DD246" s="136"/>
      <c r="DE246" s="136"/>
      <c r="DF246" s="136"/>
      <c r="DG246" s="136"/>
      <c r="DH246" s="136"/>
      <c r="DI246" s="136"/>
      <c r="DJ246" s="136"/>
      <c r="DK246" s="136"/>
      <c r="DL246" s="136"/>
      <c r="DM246" s="136"/>
      <c r="DN246" s="136"/>
      <c r="DO246" s="136"/>
      <c r="DP246" s="136"/>
      <c r="DQ246" s="136"/>
      <c r="DR246" s="136"/>
      <c r="DS246" s="136"/>
      <c r="DT246" s="136"/>
      <c r="DU246" s="136"/>
      <c r="DV246" s="136"/>
      <c r="DW246" s="136"/>
      <c r="DX246" s="136"/>
      <c r="DY246" s="136"/>
      <c r="DZ246" s="136"/>
      <c r="EA246" s="136"/>
      <c r="EB246" s="136"/>
      <c r="EC246" s="136"/>
      <c r="ED246" s="136"/>
      <c r="EE246" s="136"/>
      <c r="EF246" s="136"/>
      <c r="EG246" s="136"/>
      <c r="EH246" s="136"/>
      <c r="EI246" s="136"/>
      <c r="EJ246" s="136"/>
      <c r="EK246" s="136"/>
      <c r="EL246" s="136"/>
      <c r="EM246" s="136"/>
      <c r="EN246" s="136"/>
      <c r="EO246" s="136"/>
      <c r="EP246" s="136"/>
      <c r="EQ246" s="136"/>
      <c r="ER246" s="136"/>
      <c r="ES246" s="136"/>
      <c r="ET246" s="136"/>
      <c r="EU246" s="136"/>
      <c r="EV246" s="136"/>
      <c r="EW246" s="136"/>
      <c r="EX246" s="136"/>
      <c r="EY246" s="136"/>
      <c r="EZ246" s="136"/>
      <c r="FA246" s="136"/>
      <c r="FB246" s="136"/>
      <c r="FC246" s="136"/>
      <c r="FD246" s="136"/>
      <c r="FE246" s="136"/>
      <c r="FF246" s="136"/>
      <c r="FG246" s="136"/>
      <c r="FH246" s="136"/>
      <c r="FI246" s="136"/>
      <c r="FJ246" s="136"/>
      <c r="FK246" s="136"/>
      <c r="FL246" s="136"/>
      <c r="FM246" s="136"/>
      <c r="FN246" s="136"/>
      <c r="FO246" s="136"/>
      <c r="FP246" s="136"/>
      <c r="FQ246" s="136"/>
      <c r="FR246" s="136"/>
      <c r="FS246" s="136"/>
      <c r="FT246" s="136"/>
      <c r="FU246" s="136"/>
      <c r="FV246" s="136"/>
      <c r="FW246" s="136"/>
      <c r="FX246" s="136"/>
      <c r="FY246" s="136"/>
      <c r="FZ246" s="136"/>
      <c r="GA246" s="136"/>
      <c r="GB246" s="136"/>
      <c r="GC246" s="136"/>
      <c r="GD246" s="136"/>
      <c r="GE246" s="136"/>
      <c r="GF246" s="136"/>
      <c r="GG246" s="136"/>
      <c r="GH246" s="136"/>
      <c r="GI246" s="136"/>
      <c r="GJ246" s="136"/>
      <c r="GK246" s="136"/>
      <c r="GL246" s="136"/>
      <c r="GM246" s="136"/>
      <c r="GN246" s="136"/>
      <c r="GO246" s="136"/>
      <c r="GP246" s="136"/>
      <c r="GQ246" s="136"/>
      <c r="GR246" s="136"/>
      <c r="GS246" s="136"/>
      <c r="GT246" s="136"/>
      <c r="GU246" s="136"/>
      <c r="GV246" s="136"/>
      <c r="GW246" s="136"/>
      <c r="GX246" s="136"/>
      <c r="GY246" s="136"/>
      <c r="GZ246" s="136"/>
      <c r="HA246" s="136"/>
      <c r="HB246" s="136"/>
      <c r="HC246" s="136"/>
      <c r="HD246" s="136"/>
      <c r="HE246" s="136"/>
      <c r="HF246" s="136"/>
      <c r="HG246" s="136"/>
      <c r="HH246" s="136"/>
      <c r="HI246" s="136"/>
      <c r="HJ246" s="136"/>
      <c r="HK246" s="136"/>
      <c r="HL246" s="136"/>
      <c r="HM246" s="136"/>
      <c r="HN246" s="136"/>
      <c r="HO246" s="136"/>
      <c r="HP246" s="136"/>
      <c r="HQ246" s="136"/>
      <c r="HR246" s="136"/>
      <c r="HS246" s="136"/>
      <c r="HT246" s="136"/>
      <c r="HU246" s="136"/>
      <c r="HV246" s="136"/>
      <c r="HW246" s="136"/>
      <c r="HX246" s="136"/>
      <c r="HY246" s="136"/>
      <c r="HZ246" s="136"/>
      <c r="IA246" s="136"/>
      <c r="IB246" s="136"/>
      <c r="IC246" s="136"/>
      <c r="ID246" s="136"/>
      <c r="IE246" s="136"/>
      <c r="IF246" s="136"/>
      <c r="IG246" s="136"/>
      <c r="IH246" s="136"/>
      <c r="II246" s="136"/>
      <c r="IJ246" s="136"/>
      <c r="IK246" s="136"/>
      <c r="IL246" s="136"/>
      <c r="IM246" s="136"/>
      <c r="IN246" s="136"/>
      <c r="IO246" s="136"/>
      <c r="IP246" s="136"/>
      <c r="IQ246" s="136"/>
      <c r="IR246" s="136"/>
      <c r="IS246" s="136"/>
      <c r="IT246" s="136"/>
      <c r="IU246" s="136"/>
    </row>
    <row r="247" spans="1:255" ht="36" customHeight="1" x14ac:dyDescent="0.2">
      <c r="A247" s="335" t="str">
        <f>IF($C$30="","Quality Assurance",IF($C$30="Yes","Quality Assurance - Optional based on QUALIFIER response.","Quality Assurance"))</f>
        <v>Quality Assurance</v>
      </c>
      <c r="B247" s="335"/>
      <c r="C247" s="240" t="str">
        <f>$C$22</f>
        <v>Reason for Question</v>
      </c>
      <c r="D247" s="240" t="str">
        <f>$D$22</f>
        <v>Follow-up Inquiries/Responses</v>
      </c>
      <c r="E247" s="136"/>
      <c r="F247" s="13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c r="AC247" s="136"/>
      <c r="AD247" s="136"/>
      <c r="AE247" s="136"/>
      <c r="AF247" s="136"/>
      <c r="AG247" s="136"/>
      <c r="AH247" s="136"/>
      <c r="AI247" s="136"/>
      <c r="AJ247" s="136"/>
      <c r="AK247" s="136"/>
      <c r="AL247" s="136"/>
      <c r="AM247" s="136"/>
      <c r="AN247" s="136"/>
      <c r="AO247" s="136"/>
      <c r="AP247" s="136"/>
      <c r="AQ247" s="136"/>
      <c r="AR247" s="136"/>
      <c r="AS247" s="136"/>
      <c r="AT247" s="136"/>
      <c r="AU247" s="136"/>
      <c r="AV247" s="136"/>
      <c r="AW247" s="136"/>
      <c r="AX247" s="136"/>
      <c r="AY247" s="136"/>
      <c r="AZ247" s="136"/>
      <c r="BA247" s="136"/>
      <c r="BB247" s="136"/>
      <c r="BC247" s="136"/>
      <c r="BD247" s="136"/>
      <c r="BE247" s="136"/>
      <c r="BF247" s="136"/>
      <c r="BG247" s="136"/>
      <c r="BH247" s="136"/>
      <c r="BI247" s="136"/>
      <c r="BJ247" s="136"/>
      <c r="BK247" s="136"/>
      <c r="BL247" s="136"/>
      <c r="BM247" s="136"/>
      <c r="BN247" s="136"/>
      <c r="BO247" s="136"/>
      <c r="BP247" s="136"/>
      <c r="BQ247" s="136"/>
      <c r="BR247" s="136"/>
      <c r="BS247" s="136"/>
      <c r="BT247" s="136"/>
      <c r="BU247" s="136"/>
      <c r="BV247" s="136"/>
      <c r="BW247" s="136"/>
      <c r="BX247" s="136"/>
      <c r="BY247" s="136"/>
      <c r="BZ247" s="136"/>
      <c r="CA247" s="136"/>
      <c r="CB247" s="136"/>
      <c r="CC247" s="136"/>
      <c r="CD247" s="136"/>
      <c r="CE247" s="136"/>
      <c r="CF247" s="136"/>
      <c r="CG247" s="136"/>
      <c r="CH247" s="136"/>
      <c r="CI247" s="136"/>
      <c r="CJ247" s="136"/>
      <c r="CK247" s="136"/>
      <c r="CL247" s="136"/>
      <c r="CM247" s="136"/>
      <c r="CN247" s="136"/>
      <c r="CO247" s="136"/>
      <c r="CP247" s="136"/>
      <c r="CQ247" s="136"/>
      <c r="CR247" s="136"/>
      <c r="CS247" s="136"/>
      <c r="CT247" s="136"/>
      <c r="CU247" s="136"/>
      <c r="CV247" s="136"/>
      <c r="CW247" s="136"/>
      <c r="CX247" s="136"/>
      <c r="CY247" s="136"/>
      <c r="CZ247" s="136"/>
      <c r="DA247" s="136"/>
      <c r="DB247" s="136"/>
      <c r="DC247" s="136"/>
      <c r="DD247" s="136"/>
      <c r="DE247" s="136"/>
      <c r="DF247" s="136"/>
      <c r="DG247" s="136"/>
      <c r="DH247" s="136"/>
      <c r="DI247" s="136"/>
      <c r="DJ247" s="136"/>
      <c r="DK247" s="136"/>
      <c r="DL247" s="136"/>
      <c r="DM247" s="136"/>
      <c r="DN247" s="136"/>
      <c r="DO247" s="136"/>
      <c r="DP247" s="136"/>
      <c r="DQ247" s="136"/>
      <c r="DR247" s="136"/>
      <c r="DS247" s="136"/>
      <c r="DT247" s="136"/>
      <c r="DU247" s="136"/>
      <c r="DV247" s="136"/>
      <c r="DW247" s="136"/>
      <c r="DX247" s="136"/>
      <c r="DY247" s="136"/>
      <c r="DZ247" s="136"/>
      <c r="EA247" s="136"/>
      <c r="EB247" s="136"/>
      <c r="EC247" s="136"/>
      <c r="ED247" s="136"/>
      <c r="EE247" s="136"/>
      <c r="EF247" s="136"/>
      <c r="EG247" s="136"/>
      <c r="EH247" s="136"/>
      <c r="EI247" s="136"/>
      <c r="EJ247" s="136"/>
      <c r="EK247" s="136"/>
      <c r="EL247" s="136"/>
      <c r="EM247" s="136"/>
      <c r="EN247" s="136"/>
      <c r="EO247" s="136"/>
      <c r="EP247" s="136"/>
      <c r="EQ247" s="136"/>
      <c r="ER247" s="136"/>
      <c r="ES247" s="136"/>
      <c r="ET247" s="136"/>
      <c r="EU247" s="136"/>
      <c r="EV247" s="136"/>
      <c r="EW247" s="136"/>
      <c r="EX247" s="136"/>
      <c r="EY247" s="136"/>
      <c r="EZ247" s="136"/>
      <c r="FA247" s="136"/>
      <c r="FB247" s="136"/>
      <c r="FC247" s="136"/>
      <c r="FD247" s="136"/>
      <c r="FE247" s="136"/>
      <c r="FF247" s="136"/>
      <c r="FG247" s="136"/>
      <c r="FH247" s="136"/>
      <c r="FI247" s="136"/>
      <c r="FJ247" s="136"/>
      <c r="FK247" s="136"/>
      <c r="FL247" s="136"/>
      <c r="FM247" s="136"/>
      <c r="FN247" s="136"/>
      <c r="FO247" s="136"/>
      <c r="FP247" s="136"/>
      <c r="FQ247" s="136"/>
      <c r="FR247" s="136"/>
      <c r="FS247" s="136"/>
      <c r="FT247" s="136"/>
      <c r="FU247" s="136"/>
      <c r="FV247" s="136"/>
      <c r="FW247" s="136"/>
      <c r="FX247" s="136"/>
      <c r="FY247" s="136"/>
      <c r="FZ247" s="136"/>
      <c r="GA247" s="136"/>
      <c r="GB247" s="136"/>
      <c r="GC247" s="136"/>
      <c r="GD247" s="136"/>
      <c r="GE247" s="136"/>
      <c r="GF247" s="136"/>
      <c r="GG247" s="136"/>
      <c r="GH247" s="136"/>
      <c r="GI247" s="136"/>
      <c r="GJ247" s="136"/>
      <c r="GK247" s="136"/>
      <c r="GL247" s="136"/>
      <c r="GM247" s="136"/>
      <c r="GN247" s="136"/>
      <c r="GO247" s="136"/>
      <c r="GP247" s="136"/>
      <c r="GQ247" s="136"/>
      <c r="GR247" s="136"/>
      <c r="GS247" s="136"/>
      <c r="GT247" s="136"/>
      <c r="GU247" s="136"/>
      <c r="GV247" s="136"/>
      <c r="GW247" s="136"/>
      <c r="GX247" s="136"/>
      <c r="GY247" s="136"/>
      <c r="GZ247" s="136"/>
      <c r="HA247" s="136"/>
      <c r="HB247" s="136"/>
      <c r="HC247" s="136"/>
      <c r="HD247" s="136"/>
      <c r="HE247" s="136"/>
      <c r="HF247" s="136"/>
      <c r="HG247" s="136"/>
      <c r="HH247" s="136"/>
      <c r="HI247" s="136"/>
      <c r="HJ247" s="136"/>
      <c r="HK247" s="136"/>
      <c r="HL247" s="136"/>
      <c r="HM247" s="136"/>
      <c r="HN247" s="136"/>
      <c r="HO247" s="136"/>
      <c r="HP247" s="136"/>
      <c r="HQ247" s="136"/>
      <c r="HR247" s="136"/>
      <c r="HS247" s="136"/>
      <c r="HT247" s="136"/>
      <c r="HU247" s="136"/>
      <c r="HV247" s="136"/>
      <c r="HW247" s="136"/>
      <c r="HX247" s="136"/>
      <c r="HY247" s="136"/>
      <c r="HZ247" s="136"/>
      <c r="IA247" s="136"/>
      <c r="IB247" s="136"/>
      <c r="IC247" s="136"/>
      <c r="ID247" s="136"/>
      <c r="IE247" s="136"/>
      <c r="IF247" s="136"/>
      <c r="IG247" s="136"/>
      <c r="IH247" s="136"/>
      <c r="II247" s="136"/>
      <c r="IJ247" s="136"/>
      <c r="IK247" s="136"/>
      <c r="IL247" s="136"/>
      <c r="IM247" s="136"/>
      <c r="IN247" s="136"/>
      <c r="IO247" s="136"/>
      <c r="IP247" s="136"/>
      <c r="IQ247" s="136"/>
      <c r="IR247" s="136"/>
      <c r="IS247" s="136"/>
      <c r="IT247" s="136"/>
      <c r="IU247" s="136"/>
    </row>
    <row r="248" spans="1:255" ht="72" customHeight="1" x14ac:dyDescent="0.2">
      <c r="A248" s="242" t="str">
        <f>'HECVAT - Full'!A248</f>
        <v>QLAS-01</v>
      </c>
      <c r="B248" s="242" t="str">
        <f>VLOOKUP(A248,'HECVAT - Full'!A$24:B$312,2,FALSE)</f>
        <v>Provide a general summary of your Quality Assurance program.</v>
      </c>
      <c r="C248" s="271" t="s">
        <v>3049</v>
      </c>
      <c r="D248" s="243" t="s">
        <v>2957</v>
      </c>
      <c r="E248" s="136"/>
      <c r="F248" s="13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c r="AC248" s="136"/>
      <c r="AD248" s="136"/>
      <c r="AE248" s="136"/>
      <c r="AF248" s="136"/>
      <c r="AG248" s="136"/>
      <c r="AH248" s="136"/>
      <c r="AI248" s="136"/>
      <c r="AJ248" s="136"/>
      <c r="AK248" s="136"/>
      <c r="AL248" s="136"/>
      <c r="AM248" s="136"/>
      <c r="AN248" s="136"/>
      <c r="AO248" s="136"/>
      <c r="AP248" s="136"/>
      <c r="AQ248" s="136"/>
      <c r="AR248" s="136"/>
      <c r="AS248" s="136"/>
      <c r="AT248" s="136"/>
      <c r="AU248" s="136"/>
      <c r="AV248" s="136"/>
      <c r="AW248" s="136"/>
      <c r="AX248" s="136"/>
      <c r="AY248" s="136"/>
      <c r="AZ248" s="136"/>
      <c r="BA248" s="136"/>
      <c r="BB248" s="136"/>
      <c r="BC248" s="136"/>
      <c r="BD248" s="136"/>
      <c r="BE248" s="136"/>
      <c r="BF248" s="136"/>
      <c r="BG248" s="136"/>
      <c r="BH248" s="136"/>
      <c r="BI248" s="136"/>
      <c r="BJ248" s="136"/>
      <c r="BK248" s="136"/>
      <c r="BL248" s="136"/>
      <c r="BM248" s="136"/>
      <c r="BN248" s="136"/>
      <c r="BO248" s="136"/>
      <c r="BP248" s="136"/>
      <c r="BQ248" s="136"/>
      <c r="BR248" s="136"/>
      <c r="BS248" s="136"/>
      <c r="BT248" s="136"/>
      <c r="BU248" s="136"/>
      <c r="BV248" s="136"/>
      <c r="BW248" s="136"/>
      <c r="BX248" s="136"/>
      <c r="BY248" s="136"/>
      <c r="BZ248" s="136"/>
      <c r="CA248" s="136"/>
      <c r="CB248" s="136"/>
      <c r="CC248" s="136"/>
      <c r="CD248" s="136"/>
      <c r="CE248" s="136"/>
      <c r="CF248" s="136"/>
      <c r="CG248" s="136"/>
      <c r="CH248" s="136"/>
      <c r="CI248" s="136"/>
      <c r="CJ248" s="136"/>
      <c r="CK248" s="136"/>
      <c r="CL248" s="136"/>
      <c r="CM248" s="136"/>
      <c r="CN248" s="136"/>
      <c r="CO248" s="136"/>
      <c r="CP248" s="136"/>
      <c r="CQ248" s="136"/>
      <c r="CR248" s="136"/>
      <c r="CS248" s="136"/>
      <c r="CT248" s="136"/>
      <c r="CU248" s="136"/>
      <c r="CV248" s="136"/>
      <c r="CW248" s="136"/>
      <c r="CX248" s="136"/>
      <c r="CY248" s="136"/>
      <c r="CZ248" s="136"/>
      <c r="DA248" s="136"/>
      <c r="DB248" s="136"/>
      <c r="DC248" s="136"/>
      <c r="DD248" s="136"/>
      <c r="DE248" s="136"/>
      <c r="DF248" s="136"/>
      <c r="DG248" s="136"/>
      <c r="DH248" s="136"/>
      <c r="DI248" s="136"/>
      <c r="DJ248" s="136"/>
      <c r="DK248" s="136"/>
      <c r="DL248" s="136"/>
      <c r="DM248" s="136"/>
      <c r="DN248" s="136"/>
      <c r="DO248" s="136"/>
      <c r="DP248" s="136"/>
      <c r="DQ248" s="136"/>
      <c r="DR248" s="136"/>
      <c r="DS248" s="136"/>
      <c r="DT248" s="136"/>
      <c r="DU248" s="136"/>
      <c r="DV248" s="136"/>
      <c r="DW248" s="136"/>
      <c r="DX248" s="136"/>
      <c r="DY248" s="136"/>
      <c r="DZ248" s="136"/>
      <c r="EA248" s="136"/>
      <c r="EB248" s="136"/>
      <c r="EC248" s="136"/>
      <c r="ED248" s="136"/>
      <c r="EE248" s="136"/>
      <c r="EF248" s="136"/>
      <c r="EG248" s="136"/>
      <c r="EH248" s="136"/>
      <c r="EI248" s="136"/>
      <c r="EJ248" s="136"/>
      <c r="EK248" s="136"/>
      <c r="EL248" s="136"/>
      <c r="EM248" s="136"/>
      <c r="EN248" s="136"/>
      <c r="EO248" s="136"/>
      <c r="EP248" s="136"/>
      <c r="EQ248" s="136"/>
      <c r="ER248" s="136"/>
      <c r="ES248" s="136"/>
      <c r="ET248" s="136"/>
      <c r="EU248" s="136"/>
      <c r="EV248" s="136"/>
      <c r="EW248" s="136"/>
      <c r="EX248" s="136"/>
      <c r="EY248" s="136"/>
      <c r="EZ248" s="136"/>
      <c r="FA248" s="136"/>
      <c r="FB248" s="136"/>
      <c r="FC248" s="136"/>
      <c r="FD248" s="136"/>
      <c r="FE248" s="136"/>
      <c r="FF248" s="136"/>
      <c r="FG248" s="136"/>
      <c r="FH248" s="136"/>
      <c r="FI248" s="136"/>
      <c r="FJ248" s="136"/>
      <c r="FK248" s="136"/>
      <c r="FL248" s="136"/>
      <c r="FM248" s="136"/>
      <c r="FN248" s="136"/>
      <c r="FO248" s="136"/>
      <c r="FP248" s="136"/>
      <c r="FQ248" s="136"/>
      <c r="FR248" s="136"/>
      <c r="FS248" s="136"/>
      <c r="FT248" s="136"/>
      <c r="FU248" s="136"/>
      <c r="FV248" s="136"/>
      <c r="FW248" s="136"/>
      <c r="FX248" s="136"/>
      <c r="FY248" s="136"/>
      <c r="FZ248" s="136"/>
      <c r="GA248" s="136"/>
      <c r="GB248" s="136"/>
      <c r="GC248" s="136"/>
      <c r="GD248" s="136"/>
      <c r="GE248" s="136"/>
      <c r="GF248" s="136"/>
      <c r="GG248" s="136"/>
      <c r="GH248" s="136"/>
      <c r="GI248" s="136"/>
      <c r="GJ248" s="136"/>
      <c r="GK248" s="136"/>
      <c r="GL248" s="136"/>
      <c r="GM248" s="136"/>
      <c r="GN248" s="136"/>
      <c r="GO248" s="136"/>
      <c r="GP248" s="136"/>
      <c r="GQ248" s="136"/>
      <c r="GR248" s="136"/>
      <c r="GS248" s="136"/>
      <c r="GT248" s="136"/>
      <c r="GU248" s="136"/>
      <c r="GV248" s="136"/>
      <c r="GW248" s="136"/>
      <c r="GX248" s="136"/>
      <c r="GY248" s="136"/>
      <c r="GZ248" s="136"/>
      <c r="HA248" s="136"/>
      <c r="HB248" s="136"/>
      <c r="HC248" s="136"/>
      <c r="HD248" s="136"/>
      <c r="HE248" s="136"/>
      <c r="HF248" s="136"/>
      <c r="HG248" s="136"/>
      <c r="HH248" s="136"/>
      <c r="HI248" s="136"/>
      <c r="HJ248" s="136"/>
      <c r="HK248" s="136"/>
      <c r="HL248" s="136"/>
      <c r="HM248" s="136"/>
      <c r="HN248" s="136"/>
      <c r="HO248" s="136"/>
      <c r="HP248" s="136"/>
      <c r="HQ248" s="136"/>
      <c r="HR248" s="136"/>
      <c r="HS248" s="136"/>
      <c r="HT248" s="136"/>
      <c r="HU248" s="136"/>
      <c r="HV248" s="136"/>
      <c r="HW248" s="136"/>
      <c r="HX248" s="136"/>
      <c r="HY248" s="136"/>
      <c r="HZ248" s="136"/>
      <c r="IA248" s="136"/>
      <c r="IB248" s="136"/>
      <c r="IC248" s="136"/>
      <c r="ID248" s="136"/>
      <c r="IE248" s="136"/>
      <c r="IF248" s="136"/>
      <c r="IG248" s="136"/>
      <c r="IH248" s="136"/>
      <c r="II248" s="136"/>
      <c r="IJ248" s="136"/>
      <c r="IK248" s="136"/>
      <c r="IL248" s="136"/>
      <c r="IM248" s="136"/>
      <c r="IN248" s="136"/>
      <c r="IO248" s="136"/>
      <c r="IP248" s="136"/>
      <c r="IQ248" s="136"/>
      <c r="IR248" s="136"/>
      <c r="IS248" s="136"/>
      <c r="IT248" s="136"/>
      <c r="IU248" s="136"/>
    </row>
    <row r="249" spans="1:255" ht="48" customHeight="1" x14ac:dyDescent="0.2">
      <c r="A249" s="242" t="str">
        <f>'HECVAT - Full'!A249</f>
        <v>QLAS-02</v>
      </c>
      <c r="B249" s="242" t="str">
        <f>VLOOKUP(A249,'HECVAT - Full'!A$24:B$312,2,FALSE)</f>
        <v>Do you comply with ISO 9001?</v>
      </c>
      <c r="C249" s="245" t="s">
        <v>2958</v>
      </c>
      <c r="D249" s="246" t="s">
        <v>2959</v>
      </c>
      <c r="E249" s="136"/>
      <c r="F249" s="13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c r="AC249" s="136"/>
      <c r="AD249" s="136"/>
      <c r="AE249" s="136"/>
      <c r="AF249" s="136"/>
      <c r="AG249" s="136"/>
      <c r="AH249" s="136"/>
      <c r="AI249" s="136"/>
      <c r="AJ249" s="136"/>
      <c r="AK249" s="136"/>
      <c r="AL249" s="136"/>
      <c r="AM249" s="136"/>
      <c r="AN249" s="136"/>
      <c r="AO249" s="136"/>
      <c r="AP249" s="136"/>
      <c r="AQ249" s="136"/>
      <c r="AR249" s="136"/>
      <c r="AS249" s="136"/>
      <c r="AT249" s="136"/>
      <c r="AU249" s="136"/>
      <c r="AV249" s="136"/>
      <c r="AW249" s="136"/>
      <c r="AX249" s="136"/>
      <c r="AY249" s="136"/>
      <c r="AZ249" s="136"/>
      <c r="BA249" s="136"/>
      <c r="BB249" s="136"/>
      <c r="BC249" s="136"/>
      <c r="BD249" s="136"/>
      <c r="BE249" s="136"/>
      <c r="BF249" s="136"/>
      <c r="BG249" s="136"/>
      <c r="BH249" s="136"/>
      <c r="BI249" s="136"/>
      <c r="BJ249" s="136"/>
      <c r="BK249" s="136"/>
      <c r="BL249" s="136"/>
      <c r="BM249" s="136"/>
      <c r="BN249" s="136"/>
      <c r="BO249" s="136"/>
      <c r="BP249" s="136"/>
      <c r="BQ249" s="136"/>
      <c r="BR249" s="136"/>
      <c r="BS249" s="136"/>
      <c r="BT249" s="136"/>
      <c r="BU249" s="136"/>
      <c r="BV249" s="136"/>
      <c r="BW249" s="136"/>
      <c r="BX249" s="136"/>
      <c r="BY249" s="136"/>
      <c r="BZ249" s="136"/>
      <c r="CA249" s="136"/>
      <c r="CB249" s="136"/>
      <c r="CC249" s="136"/>
      <c r="CD249" s="136"/>
      <c r="CE249" s="136"/>
      <c r="CF249" s="136"/>
      <c r="CG249" s="136"/>
      <c r="CH249" s="136"/>
      <c r="CI249" s="136"/>
      <c r="CJ249" s="136"/>
      <c r="CK249" s="136"/>
      <c r="CL249" s="136"/>
      <c r="CM249" s="136"/>
      <c r="CN249" s="136"/>
      <c r="CO249" s="136"/>
      <c r="CP249" s="136"/>
      <c r="CQ249" s="136"/>
      <c r="CR249" s="136"/>
      <c r="CS249" s="136"/>
      <c r="CT249" s="136"/>
      <c r="CU249" s="136"/>
      <c r="CV249" s="136"/>
      <c r="CW249" s="136"/>
      <c r="CX249" s="136"/>
      <c r="CY249" s="136"/>
      <c r="CZ249" s="136"/>
      <c r="DA249" s="136"/>
      <c r="DB249" s="136"/>
      <c r="DC249" s="136"/>
      <c r="DD249" s="136"/>
      <c r="DE249" s="136"/>
      <c r="DF249" s="136"/>
      <c r="DG249" s="136"/>
      <c r="DH249" s="136"/>
      <c r="DI249" s="136"/>
      <c r="DJ249" s="136"/>
      <c r="DK249" s="136"/>
      <c r="DL249" s="136"/>
      <c r="DM249" s="136"/>
      <c r="DN249" s="136"/>
      <c r="DO249" s="136"/>
      <c r="DP249" s="136"/>
      <c r="DQ249" s="136"/>
      <c r="DR249" s="136"/>
      <c r="DS249" s="136"/>
      <c r="DT249" s="136"/>
      <c r="DU249" s="136"/>
      <c r="DV249" s="136"/>
      <c r="DW249" s="136"/>
      <c r="DX249" s="136"/>
      <c r="DY249" s="136"/>
      <c r="DZ249" s="136"/>
      <c r="EA249" s="136"/>
      <c r="EB249" s="136"/>
      <c r="EC249" s="136"/>
      <c r="ED249" s="136"/>
      <c r="EE249" s="136"/>
      <c r="EF249" s="136"/>
      <c r="EG249" s="136"/>
      <c r="EH249" s="136"/>
      <c r="EI249" s="136"/>
      <c r="EJ249" s="136"/>
      <c r="EK249" s="136"/>
      <c r="EL249" s="136"/>
      <c r="EM249" s="136"/>
      <c r="EN249" s="136"/>
      <c r="EO249" s="136"/>
      <c r="EP249" s="136"/>
      <c r="EQ249" s="136"/>
      <c r="ER249" s="136"/>
      <c r="ES249" s="136"/>
      <c r="ET249" s="136"/>
      <c r="EU249" s="136"/>
      <c r="EV249" s="136"/>
      <c r="EW249" s="136"/>
      <c r="EX249" s="136"/>
      <c r="EY249" s="136"/>
      <c r="EZ249" s="136"/>
      <c r="FA249" s="136"/>
      <c r="FB249" s="136"/>
      <c r="FC249" s="136"/>
      <c r="FD249" s="136"/>
      <c r="FE249" s="136"/>
      <c r="FF249" s="136"/>
      <c r="FG249" s="136"/>
      <c r="FH249" s="136"/>
      <c r="FI249" s="136"/>
      <c r="FJ249" s="136"/>
      <c r="FK249" s="136"/>
      <c r="FL249" s="136"/>
      <c r="FM249" s="136"/>
      <c r="FN249" s="136"/>
      <c r="FO249" s="136"/>
      <c r="FP249" s="136"/>
      <c r="FQ249" s="136"/>
      <c r="FR249" s="136"/>
      <c r="FS249" s="136"/>
      <c r="FT249" s="136"/>
      <c r="FU249" s="136"/>
      <c r="FV249" s="136"/>
      <c r="FW249" s="136"/>
      <c r="FX249" s="136"/>
      <c r="FY249" s="136"/>
      <c r="FZ249" s="136"/>
      <c r="GA249" s="136"/>
      <c r="GB249" s="136"/>
      <c r="GC249" s="136"/>
      <c r="GD249" s="136"/>
      <c r="GE249" s="136"/>
      <c r="GF249" s="136"/>
      <c r="GG249" s="136"/>
      <c r="GH249" s="136"/>
      <c r="GI249" s="136"/>
      <c r="GJ249" s="136"/>
      <c r="GK249" s="136"/>
      <c r="GL249" s="136"/>
      <c r="GM249" s="136"/>
      <c r="GN249" s="136"/>
      <c r="GO249" s="136"/>
      <c r="GP249" s="136"/>
      <c r="GQ249" s="136"/>
      <c r="GR249" s="136"/>
      <c r="GS249" s="136"/>
      <c r="GT249" s="136"/>
      <c r="GU249" s="136"/>
      <c r="GV249" s="136"/>
      <c r="GW249" s="136"/>
      <c r="GX249" s="136"/>
      <c r="GY249" s="136"/>
      <c r="GZ249" s="136"/>
      <c r="HA249" s="136"/>
      <c r="HB249" s="136"/>
      <c r="HC249" s="136"/>
      <c r="HD249" s="136"/>
      <c r="HE249" s="136"/>
      <c r="HF249" s="136"/>
      <c r="HG249" s="136"/>
      <c r="HH249" s="136"/>
      <c r="HI249" s="136"/>
      <c r="HJ249" s="136"/>
      <c r="HK249" s="136"/>
      <c r="HL249" s="136"/>
      <c r="HM249" s="136"/>
      <c r="HN249" s="136"/>
      <c r="HO249" s="136"/>
      <c r="HP249" s="136"/>
      <c r="HQ249" s="136"/>
      <c r="HR249" s="136"/>
      <c r="HS249" s="136"/>
      <c r="HT249" s="136"/>
      <c r="HU249" s="136"/>
      <c r="HV249" s="136"/>
      <c r="HW249" s="136"/>
      <c r="HX249" s="136"/>
      <c r="HY249" s="136"/>
      <c r="HZ249" s="136"/>
      <c r="IA249" s="136"/>
      <c r="IB249" s="136"/>
      <c r="IC249" s="136"/>
      <c r="ID249" s="136"/>
      <c r="IE249" s="136"/>
      <c r="IF249" s="136"/>
      <c r="IG249" s="136"/>
      <c r="IH249" s="136"/>
      <c r="II249" s="136"/>
      <c r="IJ249" s="136"/>
      <c r="IK249" s="136"/>
      <c r="IL249" s="136"/>
      <c r="IM249" s="136"/>
      <c r="IN249" s="136"/>
      <c r="IO249" s="136"/>
      <c r="IP249" s="136"/>
      <c r="IQ249" s="136"/>
      <c r="IR249" s="136"/>
      <c r="IS249" s="136"/>
      <c r="IT249" s="136"/>
      <c r="IU249" s="136"/>
    </row>
    <row r="250" spans="1:255" ht="84" customHeight="1" x14ac:dyDescent="0.2">
      <c r="A250" s="242" t="str">
        <f>'HECVAT - Full'!A250</f>
        <v>QLAS-03</v>
      </c>
      <c r="B250" s="242" t="str">
        <f>VLOOKUP(A250,'HECVAT - Full'!A$24:B$312,2,FALSE)</f>
        <v>Will your company provide quality and performance metrics in relation to the scope of services and performance expectations for the services you are offering?</v>
      </c>
      <c r="C250" s="243" t="s">
        <v>2960</v>
      </c>
      <c r="D250" s="246" t="s">
        <v>2961</v>
      </c>
      <c r="E250" s="136"/>
      <c r="F250" s="13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c r="AC250" s="136"/>
      <c r="AD250" s="136"/>
      <c r="AE250" s="136"/>
      <c r="AF250" s="136"/>
      <c r="AG250" s="136"/>
      <c r="AH250" s="136"/>
      <c r="AI250" s="136"/>
      <c r="AJ250" s="136"/>
      <c r="AK250" s="136"/>
      <c r="AL250" s="136"/>
      <c r="AM250" s="136"/>
      <c r="AN250" s="136"/>
      <c r="AO250" s="136"/>
      <c r="AP250" s="136"/>
      <c r="AQ250" s="136"/>
      <c r="AR250" s="136"/>
      <c r="AS250" s="136"/>
      <c r="AT250" s="136"/>
      <c r="AU250" s="136"/>
      <c r="AV250" s="136"/>
      <c r="AW250" s="136"/>
      <c r="AX250" s="136"/>
      <c r="AY250" s="136"/>
      <c r="AZ250" s="136"/>
      <c r="BA250" s="136"/>
      <c r="BB250" s="136"/>
      <c r="BC250" s="136"/>
      <c r="BD250" s="136"/>
      <c r="BE250" s="136"/>
      <c r="BF250" s="136"/>
      <c r="BG250" s="136"/>
      <c r="BH250" s="136"/>
      <c r="BI250" s="136"/>
      <c r="BJ250" s="136"/>
      <c r="BK250" s="136"/>
      <c r="BL250" s="136"/>
      <c r="BM250" s="136"/>
      <c r="BN250" s="136"/>
      <c r="BO250" s="136"/>
      <c r="BP250" s="136"/>
      <c r="BQ250" s="136"/>
      <c r="BR250" s="136"/>
      <c r="BS250" s="136"/>
      <c r="BT250" s="136"/>
      <c r="BU250" s="136"/>
      <c r="BV250" s="136"/>
      <c r="BW250" s="136"/>
      <c r="BX250" s="136"/>
      <c r="BY250" s="136"/>
      <c r="BZ250" s="136"/>
      <c r="CA250" s="136"/>
      <c r="CB250" s="136"/>
      <c r="CC250" s="136"/>
      <c r="CD250" s="136"/>
      <c r="CE250" s="136"/>
      <c r="CF250" s="136"/>
      <c r="CG250" s="136"/>
      <c r="CH250" s="136"/>
      <c r="CI250" s="136"/>
      <c r="CJ250" s="136"/>
      <c r="CK250" s="136"/>
      <c r="CL250" s="136"/>
      <c r="CM250" s="136"/>
      <c r="CN250" s="136"/>
      <c r="CO250" s="136"/>
      <c r="CP250" s="136"/>
      <c r="CQ250" s="136"/>
      <c r="CR250" s="136"/>
      <c r="CS250" s="136"/>
      <c r="CT250" s="136"/>
      <c r="CU250" s="136"/>
      <c r="CV250" s="136"/>
      <c r="CW250" s="136"/>
      <c r="CX250" s="136"/>
      <c r="CY250" s="136"/>
      <c r="CZ250" s="136"/>
      <c r="DA250" s="136"/>
      <c r="DB250" s="136"/>
      <c r="DC250" s="136"/>
      <c r="DD250" s="136"/>
      <c r="DE250" s="136"/>
      <c r="DF250" s="136"/>
      <c r="DG250" s="136"/>
      <c r="DH250" s="136"/>
      <c r="DI250" s="136"/>
      <c r="DJ250" s="136"/>
      <c r="DK250" s="136"/>
      <c r="DL250" s="136"/>
      <c r="DM250" s="136"/>
      <c r="DN250" s="136"/>
      <c r="DO250" s="136"/>
      <c r="DP250" s="136"/>
      <c r="DQ250" s="136"/>
      <c r="DR250" s="136"/>
      <c r="DS250" s="136"/>
      <c r="DT250" s="136"/>
      <c r="DU250" s="136"/>
      <c r="DV250" s="136"/>
      <c r="DW250" s="136"/>
      <c r="DX250" s="136"/>
      <c r="DY250" s="136"/>
      <c r="DZ250" s="136"/>
      <c r="EA250" s="136"/>
      <c r="EB250" s="136"/>
      <c r="EC250" s="136"/>
      <c r="ED250" s="136"/>
      <c r="EE250" s="136"/>
      <c r="EF250" s="136"/>
      <c r="EG250" s="136"/>
      <c r="EH250" s="136"/>
      <c r="EI250" s="136"/>
      <c r="EJ250" s="136"/>
      <c r="EK250" s="136"/>
      <c r="EL250" s="136"/>
      <c r="EM250" s="136"/>
      <c r="EN250" s="136"/>
      <c r="EO250" s="136"/>
      <c r="EP250" s="136"/>
      <c r="EQ250" s="136"/>
      <c r="ER250" s="136"/>
      <c r="ES250" s="136"/>
      <c r="ET250" s="136"/>
      <c r="EU250" s="136"/>
      <c r="EV250" s="136"/>
      <c r="EW250" s="136"/>
      <c r="EX250" s="136"/>
      <c r="EY250" s="136"/>
      <c r="EZ250" s="136"/>
      <c r="FA250" s="136"/>
      <c r="FB250" s="136"/>
      <c r="FC250" s="136"/>
      <c r="FD250" s="136"/>
      <c r="FE250" s="136"/>
      <c r="FF250" s="136"/>
      <c r="FG250" s="136"/>
      <c r="FH250" s="136"/>
      <c r="FI250" s="136"/>
      <c r="FJ250" s="136"/>
      <c r="FK250" s="136"/>
      <c r="FL250" s="136"/>
      <c r="FM250" s="136"/>
      <c r="FN250" s="136"/>
      <c r="FO250" s="136"/>
      <c r="FP250" s="136"/>
      <c r="FQ250" s="136"/>
      <c r="FR250" s="136"/>
      <c r="FS250" s="136"/>
      <c r="FT250" s="136"/>
      <c r="FU250" s="136"/>
      <c r="FV250" s="136"/>
      <c r="FW250" s="136"/>
      <c r="FX250" s="136"/>
      <c r="FY250" s="136"/>
      <c r="FZ250" s="136"/>
      <c r="GA250" s="136"/>
      <c r="GB250" s="136"/>
      <c r="GC250" s="136"/>
      <c r="GD250" s="136"/>
      <c r="GE250" s="136"/>
      <c r="GF250" s="136"/>
      <c r="GG250" s="136"/>
      <c r="GH250" s="136"/>
      <c r="GI250" s="136"/>
      <c r="GJ250" s="136"/>
      <c r="GK250" s="136"/>
      <c r="GL250" s="136"/>
      <c r="GM250" s="136"/>
      <c r="GN250" s="136"/>
      <c r="GO250" s="136"/>
      <c r="GP250" s="136"/>
      <c r="GQ250" s="136"/>
      <c r="GR250" s="136"/>
      <c r="GS250" s="136"/>
      <c r="GT250" s="136"/>
      <c r="GU250" s="136"/>
      <c r="GV250" s="136"/>
      <c r="GW250" s="136"/>
      <c r="GX250" s="136"/>
      <c r="GY250" s="136"/>
      <c r="GZ250" s="136"/>
      <c r="HA250" s="136"/>
      <c r="HB250" s="136"/>
      <c r="HC250" s="136"/>
      <c r="HD250" s="136"/>
      <c r="HE250" s="136"/>
      <c r="HF250" s="136"/>
      <c r="HG250" s="136"/>
      <c r="HH250" s="136"/>
      <c r="HI250" s="136"/>
      <c r="HJ250" s="136"/>
      <c r="HK250" s="136"/>
      <c r="HL250" s="136"/>
      <c r="HM250" s="136"/>
      <c r="HN250" s="136"/>
      <c r="HO250" s="136"/>
      <c r="HP250" s="136"/>
      <c r="HQ250" s="136"/>
      <c r="HR250" s="136"/>
      <c r="HS250" s="136"/>
      <c r="HT250" s="136"/>
      <c r="HU250" s="136"/>
      <c r="HV250" s="136"/>
      <c r="HW250" s="136"/>
      <c r="HX250" s="136"/>
      <c r="HY250" s="136"/>
      <c r="HZ250" s="136"/>
      <c r="IA250" s="136"/>
      <c r="IB250" s="136"/>
      <c r="IC250" s="136"/>
      <c r="ID250" s="136"/>
      <c r="IE250" s="136"/>
      <c r="IF250" s="136"/>
      <c r="IG250" s="136"/>
      <c r="IH250" s="136"/>
      <c r="II250" s="136"/>
      <c r="IJ250" s="136"/>
      <c r="IK250" s="136"/>
      <c r="IL250" s="136"/>
      <c r="IM250" s="136"/>
      <c r="IN250" s="136"/>
      <c r="IO250" s="136"/>
      <c r="IP250" s="136"/>
      <c r="IQ250" s="136"/>
      <c r="IR250" s="136"/>
      <c r="IS250" s="136"/>
      <c r="IT250" s="136"/>
      <c r="IU250" s="136"/>
    </row>
    <row r="251" spans="1:255" ht="96" customHeight="1" x14ac:dyDescent="0.2">
      <c r="A251" s="242" t="str">
        <f>'HECVAT - Full'!A251</f>
        <v>QLAS-04</v>
      </c>
      <c r="B251" s="242" t="str">
        <f>VLOOKUP(A251,'HECVAT - Full'!A$24:B$312,2,FALSE)</f>
        <v>Have you supplied products and/or services to the Institution (or its Campuses) in the last five years?</v>
      </c>
      <c r="C251" s="243" t="s">
        <v>2962</v>
      </c>
      <c r="D251" s="246" t="s">
        <v>2963</v>
      </c>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c r="AC251" s="136"/>
      <c r="AD251" s="136"/>
      <c r="AE251" s="136"/>
      <c r="AF251" s="136"/>
      <c r="AG251" s="136"/>
      <c r="AH251" s="136"/>
      <c r="AI251" s="136"/>
      <c r="AJ251" s="136"/>
      <c r="AK251" s="136"/>
      <c r="AL251" s="136"/>
      <c r="AM251" s="136"/>
      <c r="AN251" s="136"/>
      <c r="AO251" s="136"/>
      <c r="AP251" s="136"/>
      <c r="AQ251" s="136"/>
      <c r="AR251" s="136"/>
      <c r="AS251" s="136"/>
      <c r="AT251" s="136"/>
      <c r="AU251" s="136"/>
      <c r="AV251" s="136"/>
      <c r="AW251" s="136"/>
      <c r="AX251" s="136"/>
      <c r="AY251" s="136"/>
      <c r="AZ251" s="136"/>
      <c r="BA251" s="136"/>
      <c r="BB251" s="136"/>
      <c r="BC251" s="136"/>
      <c r="BD251" s="136"/>
      <c r="BE251" s="136"/>
      <c r="BF251" s="136"/>
      <c r="BG251" s="136"/>
      <c r="BH251" s="136"/>
      <c r="BI251" s="136"/>
      <c r="BJ251" s="136"/>
      <c r="BK251" s="136"/>
      <c r="BL251" s="136"/>
      <c r="BM251" s="136"/>
      <c r="BN251" s="136"/>
      <c r="BO251" s="136"/>
      <c r="BP251" s="136"/>
      <c r="BQ251" s="136"/>
      <c r="BR251" s="136"/>
      <c r="BS251" s="136"/>
      <c r="BT251" s="136"/>
      <c r="BU251" s="136"/>
      <c r="BV251" s="136"/>
      <c r="BW251" s="136"/>
      <c r="BX251" s="136"/>
      <c r="BY251" s="136"/>
      <c r="BZ251" s="136"/>
      <c r="CA251" s="136"/>
      <c r="CB251" s="136"/>
      <c r="CC251" s="136"/>
      <c r="CD251" s="136"/>
      <c r="CE251" s="136"/>
      <c r="CF251" s="136"/>
      <c r="CG251" s="136"/>
      <c r="CH251" s="136"/>
      <c r="CI251" s="136"/>
      <c r="CJ251" s="136"/>
      <c r="CK251" s="136"/>
      <c r="CL251" s="136"/>
      <c r="CM251" s="136"/>
      <c r="CN251" s="136"/>
      <c r="CO251" s="136"/>
      <c r="CP251" s="136"/>
      <c r="CQ251" s="136"/>
      <c r="CR251" s="136"/>
      <c r="CS251" s="136"/>
      <c r="CT251" s="136"/>
      <c r="CU251" s="136"/>
      <c r="CV251" s="136"/>
      <c r="CW251" s="136"/>
      <c r="CX251" s="136"/>
      <c r="CY251" s="136"/>
      <c r="CZ251" s="136"/>
      <c r="DA251" s="136"/>
      <c r="DB251" s="136"/>
      <c r="DC251" s="136"/>
      <c r="DD251" s="136"/>
      <c r="DE251" s="136"/>
      <c r="DF251" s="136"/>
      <c r="DG251" s="136"/>
      <c r="DH251" s="136"/>
      <c r="DI251" s="136"/>
      <c r="DJ251" s="136"/>
      <c r="DK251" s="136"/>
      <c r="DL251" s="136"/>
      <c r="DM251" s="136"/>
      <c r="DN251" s="136"/>
      <c r="DO251" s="136"/>
      <c r="DP251" s="136"/>
      <c r="DQ251" s="136"/>
      <c r="DR251" s="136"/>
      <c r="DS251" s="136"/>
      <c r="DT251" s="136"/>
      <c r="DU251" s="136"/>
      <c r="DV251" s="136"/>
      <c r="DW251" s="136"/>
      <c r="DX251" s="136"/>
      <c r="DY251" s="136"/>
      <c r="DZ251" s="136"/>
      <c r="EA251" s="136"/>
      <c r="EB251" s="136"/>
      <c r="EC251" s="136"/>
      <c r="ED251" s="136"/>
      <c r="EE251" s="136"/>
      <c r="EF251" s="136"/>
      <c r="EG251" s="136"/>
      <c r="EH251" s="136"/>
      <c r="EI251" s="136"/>
      <c r="EJ251" s="136"/>
      <c r="EK251" s="136"/>
      <c r="EL251" s="136"/>
      <c r="EM251" s="136"/>
      <c r="EN251" s="136"/>
      <c r="EO251" s="136"/>
      <c r="EP251" s="136"/>
      <c r="EQ251" s="136"/>
      <c r="ER251" s="136"/>
      <c r="ES251" s="136"/>
      <c r="ET251" s="136"/>
      <c r="EU251" s="136"/>
      <c r="EV251" s="136"/>
      <c r="EW251" s="136"/>
      <c r="EX251" s="136"/>
      <c r="EY251" s="136"/>
      <c r="EZ251" s="136"/>
      <c r="FA251" s="136"/>
      <c r="FB251" s="136"/>
      <c r="FC251" s="136"/>
      <c r="FD251" s="136"/>
      <c r="FE251" s="136"/>
      <c r="FF251" s="136"/>
      <c r="FG251" s="136"/>
      <c r="FH251" s="136"/>
      <c r="FI251" s="136"/>
      <c r="FJ251" s="136"/>
      <c r="FK251" s="136"/>
      <c r="FL251" s="136"/>
      <c r="FM251" s="136"/>
      <c r="FN251" s="136"/>
      <c r="FO251" s="136"/>
      <c r="FP251" s="136"/>
      <c r="FQ251" s="136"/>
      <c r="FR251" s="136"/>
      <c r="FS251" s="136"/>
      <c r="FT251" s="136"/>
      <c r="FU251" s="136"/>
      <c r="FV251" s="136"/>
      <c r="FW251" s="136"/>
      <c r="FX251" s="136"/>
      <c r="FY251" s="136"/>
      <c r="FZ251" s="136"/>
      <c r="GA251" s="136"/>
      <c r="GB251" s="136"/>
      <c r="GC251" s="136"/>
      <c r="GD251" s="136"/>
      <c r="GE251" s="136"/>
      <c r="GF251" s="136"/>
      <c r="GG251" s="136"/>
      <c r="GH251" s="136"/>
      <c r="GI251" s="136"/>
      <c r="GJ251" s="136"/>
      <c r="GK251" s="136"/>
      <c r="GL251" s="136"/>
      <c r="GM251" s="136"/>
      <c r="GN251" s="136"/>
      <c r="GO251" s="136"/>
      <c r="GP251" s="136"/>
      <c r="GQ251" s="136"/>
      <c r="GR251" s="136"/>
      <c r="GS251" s="136"/>
      <c r="GT251" s="136"/>
      <c r="GU251" s="136"/>
      <c r="GV251" s="136"/>
      <c r="GW251" s="136"/>
      <c r="GX251" s="136"/>
      <c r="GY251" s="136"/>
      <c r="GZ251" s="136"/>
      <c r="HA251" s="136"/>
      <c r="HB251" s="136"/>
      <c r="HC251" s="136"/>
      <c r="HD251" s="136"/>
      <c r="HE251" s="136"/>
      <c r="HF251" s="136"/>
      <c r="HG251" s="136"/>
      <c r="HH251" s="136"/>
      <c r="HI251" s="136"/>
      <c r="HJ251" s="136"/>
      <c r="HK251" s="136"/>
      <c r="HL251" s="136"/>
      <c r="HM251" s="136"/>
      <c r="HN251" s="136"/>
      <c r="HO251" s="136"/>
      <c r="HP251" s="136"/>
      <c r="HQ251" s="136"/>
      <c r="HR251" s="136"/>
      <c r="HS251" s="136"/>
      <c r="HT251" s="136"/>
      <c r="HU251" s="136"/>
      <c r="HV251" s="136"/>
      <c r="HW251" s="136"/>
      <c r="HX251" s="136"/>
      <c r="HY251" s="136"/>
      <c r="HZ251" s="136"/>
      <c r="IA251" s="136"/>
      <c r="IB251" s="136"/>
      <c r="IC251" s="136"/>
      <c r="ID251" s="136"/>
      <c r="IE251" s="136"/>
      <c r="IF251" s="136"/>
      <c r="IG251" s="136"/>
      <c r="IH251" s="136"/>
      <c r="II251" s="136"/>
      <c r="IJ251" s="136"/>
      <c r="IK251" s="136"/>
      <c r="IL251" s="136"/>
      <c r="IM251" s="136"/>
      <c r="IN251" s="136"/>
      <c r="IO251" s="136"/>
      <c r="IP251" s="136"/>
      <c r="IQ251" s="136"/>
      <c r="IR251" s="136"/>
      <c r="IS251" s="136"/>
      <c r="IT251" s="136"/>
      <c r="IU251" s="136"/>
    </row>
    <row r="252" spans="1:255" ht="48" customHeight="1" x14ac:dyDescent="0.2">
      <c r="A252" s="242" t="str">
        <f>'HECVAT - Full'!A252</f>
        <v>QLAS-05</v>
      </c>
      <c r="B252" s="242" t="str">
        <f>VLOOKUP(A252,'HECVAT - Full'!A$24:B$312,2,FALSE)</f>
        <v>Do you have a program to keep your customers abreast of higher education and/or industry issues?</v>
      </c>
      <c r="C252" s="243" t="s">
        <v>2964</v>
      </c>
      <c r="D252" s="253" t="s">
        <v>2965</v>
      </c>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c r="AC252" s="136"/>
      <c r="AD252" s="136"/>
      <c r="AE252" s="136"/>
      <c r="AF252" s="136"/>
      <c r="AG252" s="136"/>
      <c r="AH252" s="136"/>
      <c r="AI252" s="136"/>
      <c r="AJ252" s="136"/>
      <c r="AK252" s="136"/>
      <c r="AL252" s="136"/>
      <c r="AM252" s="136"/>
      <c r="AN252" s="136"/>
      <c r="AO252" s="136"/>
      <c r="AP252" s="136"/>
      <c r="AQ252" s="136"/>
      <c r="AR252" s="136"/>
      <c r="AS252" s="136"/>
      <c r="AT252" s="136"/>
      <c r="AU252" s="136"/>
      <c r="AV252" s="136"/>
      <c r="AW252" s="136"/>
      <c r="AX252" s="136"/>
      <c r="AY252" s="136"/>
      <c r="AZ252" s="136"/>
      <c r="BA252" s="136"/>
      <c r="BB252" s="136"/>
      <c r="BC252" s="136"/>
      <c r="BD252" s="136"/>
      <c r="BE252" s="136"/>
      <c r="BF252" s="136"/>
      <c r="BG252" s="136"/>
      <c r="BH252" s="136"/>
      <c r="BI252" s="136"/>
      <c r="BJ252" s="136"/>
      <c r="BK252" s="136"/>
      <c r="BL252" s="136"/>
      <c r="BM252" s="136"/>
      <c r="BN252" s="136"/>
      <c r="BO252" s="136"/>
      <c r="BP252" s="136"/>
      <c r="BQ252" s="136"/>
      <c r="BR252" s="136"/>
      <c r="BS252" s="136"/>
      <c r="BT252" s="136"/>
      <c r="BU252" s="136"/>
      <c r="BV252" s="136"/>
      <c r="BW252" s="136"/>
      <c r="BX252" s="136"/>
      <c r="BY252" s="136"/>
      <c r="BZ252" s="136"/>
      <c r="CA252" s="136"/>
      <c r="CB252" s="136"/>
      <c r="CC252" s="136"/>
      <c r="CD252" s="136"/>
      <c r="CE252" s="136"/>
      <c r="CF252" s="136"/>
      <c r="CG252" s="136"/>
      <c r="CH252" s="136"/>
      <c r="CI252" s="136"/>
      <c r="CJ252" s="136"/>
      <c r="CK252" s="136"/>
      <c r="CL252" s="136"/>
      <c r="CM252" s="136"/>
      <c r="CN252" s="136"/>
      <c r="CO252" s="136"/>
      <c r="CP252" s="136"/>
      <c r="CQ252" s="136"/>
      <c r="CR252" s="136"/>
      <c r="CS252" s="136"/>
      <c r="CT252" s="136"/>
      <c r="CU252" s="136"/>
      <c r="CV252" s="136"/>
      <c r="CW252" s="136"/>
      <c r="CX252" s="136"/>
      <c r="CY252" s="136"/>
      <c r="CZ252" s="136"/>
      <c r="DA252" s="136"/>
      <c r="DB252" s="136"/>
      <c r="DC252" s="136"/>
      <c r="DD252" s="136"/>
      <c r="DE252" s="136"/>
      <c r="DF252" s="136"/>
      <c r="DG252" s="136"/>
      <c r="DH252" s="136"/>
      <c r="DI252" s="136"/>
      <c r="DJ252" s="136"/>
      <c r="DK252" s="136"/>
      <c r="DL252" s="136"/>
      <c r="DM252" s="136"/>
      <c r="DN252" s="136"/>
      <c r="DO252" s="136"/>
      <c r="DP252" s="136"/>
      <c r="DQ252" s="136"/>
      <c r="DR252" s="136"/>
      <c r="DS252" s="136"/>
      <c r="DT252" s="136"/>
      <c r="DU252" s="136"/>
      <c r="DV252" s="136"/>
      <c r="DW252" s="136"/>
      <c r="DX252" s="136"/>
      <c r="DY252" s="136"/>
      <c r="DZ252" s="136"/>
      <c r="EA252" s="136"/>
      <c r="EB252" s="136"/>
      <c r="EC252" s="136"/>
      <c r="ED252" s="136"/>
      <c r="EE252" s="136"/>
      <c r="EF252" s="136"/>
      <c r="EG252" s="136"/>
      <c r="EH252" s="136"/>
      <c r="EI252" s="136"/>
      <c r="EJ252" s="136"/>
      <c r="EK252" s="136"/>
      <c r="EL252" s="136"/>
      <c r="EM252" s="136"/>
      <c r="EN252" s="136"/>
      <c r="EO252" s="136"/>
      <c r="EP252" s="136"/>
      <c r="EQ252" s="136"/>
      <c r="ER252" s="136"/>
      <c r="ES252" s="136"/>
      <c r="ET252" s="136"/>
      <c r="EU252" s="136"/>
      <c r="EV252" s="136"/>
      <c r="EW252" s="136"/>
      <c r="EX252" s="136"/>
      <c r="EY252" s="136"/>
      <c r="EZ252" s="136"/>
      <c r="FA252" s="136"/>
      <c r="FB252" s="136"/>
      <c r="FC252" s="136"/>
      <c r="FD252" s="136"/>
      <c r="FE252" s="136"/>
      <c r="FF252" s="136"/>
      <c r="FG252" s="136"/>
      <c r="FH252" s="136"/>
      <c r="FI252" s="136"/>
      <c r="FJ252" s="136"/>
      <c r="FK252" s="136"/>
      <c r="FL252" s="136"/>
      <c r="FM252" s="136"/>
      <c r="FN252" s="136"/>
      <c r="FO252" s="136"/>
      <c r="FP252" s="136"/>
      <c r="FQ252" s="136"/>
      <c r="FR252" s="136"/>
      <c r="FS252" s="136"/>
      <c r="FT252" s="136"/>
      <c r="FU252" s="136"/>
      <c r="FV252" s="136"/>
      <c r="FW252" s="136"/>
      <c r="FX252" s="136"/>
      <c r="FY252" s="136"/>
      <c r="FZ252" s="136"/>
      <c r="GA252" s="136"/>
      <c r="GB252" s="136"/>
      <c r="GC252" s="136"/>
      <c r="GD252" s="136"/>
      <c r="GE252" s="136"/>
      <c r="GF252" s="136"/>
      <c r="GG252" s="136"/>
      <c r="GH252" s="136"/>
      <c r="GI252" s="136"/>
      <c r="GJ252" s="136"/>
      <c r="GK252" s="136"/>
      <c r="GL252" s="136"/>
      <c r="GM252" s="136"/>
      <c r="GN252" s="136"/>
      <c r="GO252" s="136"/>
      <c r="GP252" s="136"/>
      <c r="GQ252" s="136"/>
      <c r="GR252" s="136"/>
      <c r="GS252" s="136"/>
      <c r="GT252" s="136"/>
      <c r="GU252" s="136"/>
      <c r="GV252" s="136"/>
      <c r="GW252" s="136"/>
      <c r="GX252" s="136"/>
      <c r="GY252" s="136"/>
      <c r="GZ252" s="136"/>
      <c r="HA252" s="136"/>
      <c r="HB252" s="136"/>
      <c r="HC252" s="136"/>
      <c r="HD252" s="136"/>
      <c r="HE252" s="136"/>
      <c r="HF252" s="136"/>
      <c r="HG252" s="136"/>
      <c r="HH252" s="136"/>
      <c r="HI252" s="136"/>
      <c r="HJ252" s="136"/>
      <c r="HK252" s="136"/>
      <c r="HL252" s="136"/>
      <c r="HM252" s="136"/>
      <c r="HN252" s="136"/>
      <c r="HO252" s="136"/>
      <c r="HP252" s="136"/>
      <c r="HQ252" s="136"/>
      <c r="HR252" s="136"/>
      <c r="HS252" s="136"/>
      <c r="HT252" s="136"/>
      <c r="HU252" s="136"/>
      <c r="HV252" s="136"/>
      <c r="HW252" s="136"/>
      <c r="HX252" s="136"/>
      <c r="HY252" s="136"/>
      <c r="HZ252" s="136"/>
      <c r="IA252" s="136"/>
      <c r="IB252" s="136"/>
      <c r="IC252" s="136"/>
      <c r="ID252" s="136"/>
      <c r="IE252" s="136"/>
      <c r="IF252" s="136"/>
      <c r="IG252" s="136"/>
      <c r="IH252" s="136"/>
      <c r="II252" s="136"/>
      <c r="IJ252" s="136"/>
      <c r="IK252" s="136"/>
      <c r="IL252" s="136"/>
      <c r="IM252" s="136"/>
      <c r="IN252" s="136"/>
      <c r="IO252" s="136"/>
      <c r="IP252" s="136"/>
      <c r="IQ252" s="136"/>
      <c r="IR252" s="136"/>
      <c r="IS252" s="136"/>
      <c r="IT252" s="136"/>
      <c r="IU252" s="136"/>
    </row>
    <row r="253" spans="1:255" ht="36" customHeight="1" x14ac:dyDescent="0.2">
      <c r="A253" s="335" t="str">
        <f>IF($C$30="","Systems Management &amp; Configuration",IF($C$30="Yes","System Mgmt/Config - Optional based on QUALIFIER response.","Systems Management &amp; Configuration"))</f>
        <v>Systems Management &amp; Configuration</v>
      </c>
      <c r="B253" s="335"/>
      <c r="C253" s="240" t="str">
        <f>$C$22</f>
        <v>Reason for Question</v>
      </c>
      <c r="D253" s="240" t="str">
        <f>$D$22</f>
        <v>Follow-up Inquiries/Responses</v>
      </c>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c r="AC253" s="136"/>
      <c r="AD253" s="136"/>
      <c r="AE253" s="136"/>
      <c r="AF253" s="136"/>
      <c r="AG253" s="136"/>
      <c r="AH253" s="136"/>
      <c r="AI253" s="136"/>
      <c r="AJ253" s="136"/>
      <c r="AK253" s="136"/>
      <c r="AL253" s="136"/>
      <c r="AM253" s="136"/>
      <c r="AN253" s="136"/>
      <c r="AO253" s="136"/>
      <c r="AP253" s="136"/>
      <c r="AQ253" s="136"/>
      <c r="AR253" s="136"/>
      <c r="AS253" s="136"/>
      <c r="AT253" s="136"/>
      <c r="AU253" s="136"/>
      <c r="AV253" s="136"/>
      <c r="AW253" s="136"/>
      <c r="AX253" s="136"/>
      <c r="AY253" s="136"/>
      <c r="AZ253" s="136"/>
      <c r="BA253" s="136"/>
      <c r="BB253" s="136"/>
      <c r="BC253" s="136"/>
      <c r="BD253" s="136"/>
      <c r="BE253" s="136"/>
      <c r="BF253" s="136"/>
      <c r="BG253" s="136"/>
      <c r="BH253" s="136"/>
      <c r="BI253" s="136"/>
      <c r="BJ253" s="136"/>
      <c r="BK253" s="136"/>
      <c r="BL253" s="136"/>
      <c r="BM253" s="136"/>
      <c r="BN253" s="136"/>
      <c r="BO253" s="136"/>
      <c r="BP253" s="136"/>
      <c r="BQ253" s="136"/>
      <c r="BR253" s="136"/>
      <c r="BS253" s="136"/>
      <c r="BT253" s="136"/>
      <c r="BU253" s="136"/>
      <c r="BV253" s="136"/>
      <c r="BW253" s="136"/>
      <c r="BX253" s="136"/>
      <c r="BY253" s="136"/>
      <c r="BZ253" s="136"/>
      <c r="CA253" s="136"/>
      <c r="CB253" s="136"/>
      <c r="CC253" s="136"/>
      <c r="CD253" s="136"/>
      <c r="CE253" s="136"/>
      <c r="CF253" s="136"/>
      <c r="CG253" s="136"/>
      <c r="CH253" s="136"/>
      <c r="CI253" s="136"/>
      <c r="CJ253" s="136"/>
      <c r="CK253" s="136"/>
      <c r="CL253" s="136"/>
      <c r="CM253" s="136"/>
      <c r="CN253" s="136"/>
      <c r="CO253" s="136"/>
      <c r="CP253" s="136"/>
      <c r="CQ253" s="136"/>
      <c r="CR253" s="136"/>
      <c r="CS253" s="136"/>
      <c r="CT253" s="136"/>
      <c r="CU253" s="136"/>
      <c r="CV253" s="136"/>
      <c r="CW253" s="136"/>
      <c r="CX253" s="136"/>
      <c r="CY253" s="136"/>
      <c r="CZ253" s="136"/>
      <c r="DA253" s="136"/>
      <c r="DB253" s="136"/>
      <c r="DC253" s="136"/>
      <c r="DD253" s="136"/>
      <c r="DE253" s="136"/>
      <c r="DF253" s="136"/>
      <c r="DG253" s="136"/>
      <c r="DH253" s="136"/>
      <c r="DI253" s="136"/>
      <c r="DJ253" s="136"/>
      <c r="DK253" s="136"/>
      <c r="DL253" s="136"/>
      <c r="DM253" s="136"/>
      <c r="DN253" s="136"/>
      <c r="DO253" s="136"/>
      <c r="DP253" s="136"/>
      <c r="DQ253" s="136"/>
      <c r="DR253" s="136"/>
      <c r="DS253" s="136"/>
      <c r="DT253" s="136"/>
      <c r="DU253" s="136"/>
      <c r="DV253" s="136"/>
      <c r="DW253" s="136"/>
      <c r="DX253" s="136"/>
      <c r="DY253" s="136"/>
      <c r="DZ253" s="136"/>
      <c r="EA253" s="136"/>
      <c r="EB253" s="136"/>
      <c r="EC253" s="136"/>
      <c r="ED253" s="136"/>
      <c r="EE253" s="136"/>
      <c r="EF253" s="136"/>
      <c r="EG253" s="136"/>
      <c r="EH253" s="136"/>
      <c r="EI253" s="136"/>
      <c r="EJ253" s="136"/>
      <c r="EK253" s="136"/>
      <c r="EL253" s="136"/>
      <c r="EM253" s="136"/>
      <c r="EN253" s="136"/>
      <c r="EO253" s="136"/>
      <c r="EP253" s="136"/>
      <c r="EQ253" s="136"/>
      <c r="ER253" s="136"/>
      <c r="ES253" s="136"/>
      <c r="ET253" s="136"/>
      <c r="EU253" s="136"/>
      <c r="EV253" s="136"/>
      <c r="EW253" s="136"/>
      <c r="EX253" s="136"/>
      <c r="EY253" s="136"/>
      <c r="EZ253" s="136"/>
      <c r="FA253" s="136"/>
      <c r="FB253" s="136"/>
      <c r="FC253" s="136"/>
      <c r="FD253" s="136"/>
      <c r="FE253" s="136"/>
      <c r="FF253" s="136"/>
      <c r="FG253" s="136"/>
      <c r="FH253" s="136"/>
      <c r="FI253" s="136"/>
      <c r="FJ253" s="136"/>
      <c r="FK253" s="136"/>
      <c r="FL253" s="136"/>
      <c r="FM253" s="136"/>
      <c r="FN253" s="136"/>
      <c r="FO253" s="136"/>
      <c r="FP253" s="136"/>
      <c r="FQ253" s="136"/>
      <c r="FR253" s="136"/>
      <c r="FS253" s="136"/>
      <c r="FT253" s="136"/>
      <c r="FU253" s="136"/>
      <c r="FV253" s="136"/>
      <c r="FW253" s="136"/>
      <c r="FX253" s="136"/>
      <c r="FY253" s="136"/>
      <c r="FZ253" s="136"/>
      <c r="GA253" s="136"/>
      <c r="GB253" s="136"/>
      <c r="GC253" s="136"/>
      <c r="GD253" s="136"/>
      <c r="GE253" s="136"/>
      <c r="GF253" s="136"/>
      <c r="GG253" s="136"/>
      <c r="GH253" s="136"/>
      <c r="GI253" s="136"/>
      <c r="GJ253" s="136"/>
      <c r="GK253" s="136"/>
      <c r="GL253" s="136"/>
      <c r="GM253" s="136"/>
      <c r="GN253" s="136"/>
      <c r="GO253" s="136"/>
      <c r="GP253" s="136"/>
      <c r="GQ253" s="136"/>
      <c r="GR253" s="136"/>
      <c r="GS253" s="136"/>
      <c r="GT253" s="136"/>
      <c r="GU253" s="136"/>
      <c r="GV253" s="136"/>
      <c r="GW253" s="136"/>
      <c r="GX253" s="136"/>
      <c r="GY253" s="136"/>
      <c r="GZ253" s="136"/>
      <c r="HA253" s="136"/>
      <c r="HB253" s="136"/>
      <c r="HC253" s="136"/>
      <c r="HD253" s="136"/>
      <c r="HE253" s="136"/>
      <c r="HF253" s="136"/>
      <c r="HG253" s="136"/>
      <c r="HH253" s="136"/>
      <c r="HI253" s="136"/>
      <c r="HJ253" s="136"/>
      <c r="HK253" s="136"/>
      <c r="HL253" s="136"/>
      <c r="HM253" s="136"/>
      <c r="HN253" s="136"/>
      <c r="HO253" s="136"/>
      <c r="HP253" s="136"/>
      <c r="HQ253" s="136"/>
      <c r="HR253" s="136"/>
      <c r="HS253" s="136"/>
      <c r="HT253" s="136"/>
      <c r="HU253" s="136"/>
      <c r="HV253" s="136"/>
      <c r="HW253" s="136"/>
      <c r="HX253" s="136"/>
      <c r="HY253" s="136"/>
      <c r="HZ253" s="136"/>
      <c r="IA253" s="136"/>
      <c r="IB253" s="136"/>
      <c r="IC253" s="136"/>
      <c r="ID253" s="136"/>
      <c r="IE253" s="136"/>
      <c r="IF253" s="136"/>
      <c r="IG253" s="136"/>
      <c r="IH253" s="136"/>
      <c r="II253" s="136"/>
      <c r="IJ253" s="136"/>
      <c r="IK253" s="136"/>
      <c r="IL253" s="136"/>
      <c r="IM253" s="136"/>
      <c r="IN253" s="136"/>
      <c r="IO253" s="136"/>
      <c r="IP253" s="136"/>
      <c r="IQ253" s="136"/>
      <c r="IR253" s="136"/>
      <c r="IS253" s="136"/>
      <c r="IT253" s="136"/>
      <c r="IU253" s="136"/>
    </row>
    <row r="254" spans="1:255" ht="124" customHeight="1" x14ac:dyDescent="0.2">
      <c r="A254" s="242" t="str">
        <f>'HECVAT - Full'!A254</f>
        <v>SYST-01</v>
      </c>
      <c r="B254" s="242" t="str">
        <f>VLOOKUP(A254,'HECVAT - Full'!A$24:B$312,2,FALSE)</f>
        <v>Are systems that support this service managed via a separate management network?</v>
      </c>
      <c r="C254" s="245" t="s">
        <v>2966</v>
      </c>
      <c r="D254" s="248" t="s">
        <v>2967</v>
      </c>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c r="AC254" s="136"/>
      <c r="AD254" s="136"/>
      <c r="AE254" s="136"/>
      <c r="AF254" s="136"/>
      <c r="AG254" s="136"/>
      <c r="AH254" s="136"/>
      <c r="AI254" s="136"/>
      <c r="AJ254" s="136"/>
      <c r="AK254" s="136"/>
      <c r="AL254" s="136"/>
      <c r="AM254" s="136"/>
      <c r="AN254" s="136"/>
      <c r="AO254" s="136"/>
      <c r="AP254" s="136"/>
      <c r="AQ254" s="136"/>
      <c r="AR254" s="136"/>
      <c r="AS254" s="136"/>
      <c r="AT254" s="136"/>
      <c r="AU254" s="136"/>
      <c r="AV254" s="136"/>
      <c r="AW254" s="136"/>
      <c r="AX254" s="136"/>
      <c r="AY254" s="136"/>
      <c r="AZ254" s="136"/>
      <c r="BA254" s="136"/>
      <c r="BB254" s="136"/>
      <c r="BC254" s="136"/>
      <c r="BD254" s="136"/>
      <c r="BE254" s="136"/>
      <c r="BF254" s="136"/>
      <c r="BG254" s="136"/>
      <c r="BH254" s="136"/>
      <c r="BI254" s="136"/>
      <c r="BJ254" s="136"/>
      <c r="BK254" s="136"/>
      <c r="BL254" s="136"/>
      <c r="BM254" s="136"/>
      <c r="BN254" s="136"/>
      <c r="BO254" s="136"/>
      <c r="BP254" s="136"/>
      <c r="BQ254" s="136"/>
      <c r="BR254" s="136"/>
      <c r="BS254" s="136"/>
      <c r="BT254" s="136"/>
      <c r="BU254" s="136"/>
      <c r="BV254" s="136"/>
      <c r="BW254" s="136"/>
      <c r="BX254" s="136"/>
      <c r="BY254" s="136"/>
      <c r="BZ254" s="136"/>
      <c r="CA254" s="136"/>
      <c r="CB254" s="136"/>
      <c r="CC254" s="136"/>
      <c r="CD254" s="136"/>
      <c r="CE254" s="136"/>
      <c r="CF254" s="136"/>
      <c r="CG254" s="136"/>
      <c r="CH254" s="136"/>
      <c r="CI254" s="136"/>
      <c r="CJ254" s="136"/>
      <c r="CK254" s="136"/>
      <c r="CL254" s="136"/>
      <c r="CM254" s="136"/>
      <c r="CN254" s="136"/>
      <c r="CO254" s="136"/>
      <c r="CP254" s="136"/>
      <c r="CQ254" s="136"/>
      <c r="CR254" s="136"/>
      <c r="CS254" s="136"/>
      <c r="CT254" s="136"/>
      <c r="CU254" s="136"/>
      <c r="CV254" s="136"/>
      <c r="CW254" s="136"/>
      <c r="CX254" s="136"/>
      <c r="CY254" s="136"/>
      <c r="CZ254" s="136"/>
      <c r="DA254" s="136"/>
      <c r="DB254" s="136"/>
      <c r="DC254" s="136"/>
      <c r="DD254" s="136"/>
      <c r="DE254" s="136"/>
      <c r="DF254" s="136"/>
      <c r="DG254" s="136"/>
      <c r="DH254" s="136"/>
      <c r="DI254" s="136"/>
      <c r="DJ254" s="136"/>
      <c r="DK254" s="136"/>
      <c r="DL254" s="136"/>
      <c r="DM254" s="136"/>
      <c r="DN254" s="136"/>
      <c r="DO254" s="136"/>
      <c r="DP254" s="136"/>
      <c r="DQ254" s="136"/>
      <c r="DR254" s="136"/>
      <c r="DS254" s="136"/>
      <c r="DT254" s="136"/>
      <c r="DU254" s="136"/>
      <c r="DV254" s="136"/>
      <c r="DW254" s="136"/>
      <c r="DX254" s="136"/>
      <c r="DY254" s="136"/>
      <c r="DZ254" s="136"/>
      <c r="EA254" s="136"/>
      <c r="EB254" s="136"/>
      <c r="EC254" s="136"/>
      <c r="ED254" s="136"/>
      <c r="EE254" s="136"/>
      <c r="EF254" s="136"/>
      <c r="EG254" s="136"/>
      <c r="EH254" s="136"/>
      <c r="EI254" s="136"/>
      <c r="EJ254" s="136"/>
      <c r="EK254" s="136"/>
      <c r="EL254" s="136"/>
      <c r="EM254" s="136"/>
      <c r="EN254" s="136"/>
      <c r="EO254" s="136"/>
      <c r="EP254" s="136"/>
      <c r="EQ254" s="136"/>
      <c r="ER254" s="136"/>
      <c r="ES254" s="136"/>
      <c r="ET254" s="136"/>
      <c r="EU254" s="136"/>
      <c r="EV254" s="136"/>
      <c r="EW254" s="136"/>
      <c r="EX254" s="136"/>
      <c r="EY254" s="136"/>
      <c r="EZ254" s="136"/>
      <c r="FA254" s="136"/>
      <c r="FB254" s="136"/>
      <c r="FC254" s="136"/>
      <c r="FD254" s="136"/>
      <c r="FE254" s="136"/>
      <c r="FF254" s="136"/>
      <c r="FG254" s="136"/>
      <c r="FH254" s="136"/>
      <c r="FI254" s="136"/>
      <c r="FJ254" s="136"/>
      <c r="FK254" s="136"/>
      <c r="FL254" s="136"/>
      <c r="FM254" s="136"/>
      <c r="FN254" s="136"/>
      <c r="FO254" s="136"/>
      <c r="FP254" s="136"/>
      <c r="FQ254" s="136"/>
      <c r="FR254" s="136"/>
      <c r="FS254" s="136"/>
      <c r="FT254" s="136"/>
      <c r="FU254" s="136"/>
      <c r="FV254" s="136"/>
      <c r="FW254" s="136"/>
      <c r="FX254" s="136"/>
      <c r="FY254" s="136"/>
      <c r="FZ254" s="136"/>
      <c r="GA254" s="136"/>
      <c r="GB254" s="136"/>
      <c r="GC254" s="136"/>
      <c r="GD254" s="136"/>
      <c r="GE254" s="136"/>
      <c r="GF254" s="136"/>
      <c r="GG254" s="136"/>
      <c r="GH254" s="136"/>
      <c r="GI254" s="136"/>
      <c r="GJ254" s="136"/>
      <c r="GK254" s="136"/>
      <c r="GL254" s="136"/>
      <c r="GM254" s="136"/>
      <c r="GN254" s="136"/>
      <c r="GO254" s="136"/>
      <c r="GP254" s="136"/>
      <c r="GQ254" s="136"/>
      <c r="GR254" s="136"/>
      <c r="GS254" s="136"/>
      <c r="GT254" s="136"/>
      <c r="GU254" s="136"/>
      <c r="GV254" s="136"/>
      <c r="GW254" s="136"/>
      <c r="GX254" s="136"/>
      <c r="GY254" s="136"/>
      <c r="GZ254" s="136"/>
      <c r="HA254" s="136"/>
      <c r="HB254" s="136"/>
      <c r="HC254" s="136"/>
      <c r="HD254" s="136"/>
      <c r="HE254" s="136"/>
      <c r="HF254" s="136"/>
      <c r="HG254" s="136"/>
      <c r="HH254" s="136"/>
      <c r="HI254" s="136"/>
      <c r="HJ254" s="136"/>
      <c r="HK254" s="136"/>
      <c r="HL254" s="136"/>
      <c r="HM254" s="136"/>
      <c r="HN254" s="136"/>
      <c r="HO254" s="136"/>
      <c r="HP254" s="136"/>
      <c r="HQ254" s="136"/>
      <c r="HR254" s="136"/>
      <c r="HS254" s="136"/>
      <c r="HT254" s="136"/>
      <c r="HU254" s="136"/>
      <c r="HV254" s="136"/>
      <c r="HW254" s="136"/>
      <c r="HX254" s="136"/>
      <c r="HY254" s="136"/>
      <c r="HZ254" s="136"/>
      <c r="IA254" s="136"/>
      <c r="IB254" s="136"/>
      <c r="IC254" s="136"/>
      <c r="ID254" s="136"/>
      <c r="IE254" s="136"/>
      <c r="IF254" s="136"/>
      <c r="IG254" s="136"/>
      <c r="IH254" s="136"/>
      <c r="II254" s="136"/>
      <c r="IJ254" s="136"/>
      <c r="IK254" s="136"/>
      <c r="IL254" s="136"/>
      <c r="IM254" s="136"/>
      <c r="IN254" s="136"/>
      <c r="IO254" s="136"/>
      <c r="IP254" s="136"/>
      <c r="IQ254" s="136"/>
      <c r="IR254" s="136"/>
      <c r="IS254" s="136"/>
      <c r="IT254" s="136"/>
      <c r="IU254" s="136"/>
    </row>
    <row r="255" spans="1:255" ht="118.5" customHeight="1" x14ac:dyDescent="0.2">
      <c r="A255" s="242" t="str">
        <f>'HECVAT - Full'!A255</f>
        <v>SYST-02</v>
      </c>
      <c r="B255" s="242" t="str">
        <f>VLOOKUP(A255,'HECVAT - Full'!A$24:B$312,2,FALSE)</f>
        <v>Do you have an implemented system configuration management process? (e.g. secure "gold" images, etc.)</v>
      </c>
      <c r="C255" s="243" t="s">
        <v>2968</v>
      </c>
      <c r="D255" s="31" t="s">
        <v>3050</v>
      </c>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c r="AC255" s="136"/>
      <c r="AD255" s="136"/>
      <c r="AE255" s="136"/>
      <c r="AF255" s="136"/>
      <c r="AG255" s="136"/>
      <c r="AH255" s="136"/>
      <c r="AI255" s="136"/>
      <c r="AJ255" s="136"/>
      <c r="AK255" s="136"/>
      <c r="AL255" s="136"/>
      <c r="AM255" s="136"/>
      <c r="AN255" s="136"/>
      <c r="AO255" s="136"/>
      <c r="AP255" s="136"/>
      <c r="AQ255" s="136"/>
      <c r="AR255" s="136"/>
      <c r="AS255" s="136"/>
      <c r="AT255" s="136"/>
      <c r="AU255" s="136"/>
      <c r="AV255" s="136"/>
      <c r="AW255" s="136"/>
      <c r="AX255" s="136"/>
      <c r="AY255" s="136"/>
      <c r="AZ255" s="136"/>
      <c r="BA255" s="136"/>
      <c r="BB255" s="136"/>
      <c r="BC255" s="136"/>
      <c r="BD255" s="136"/>
      <c r="BE255" s="136"/>
      <c r="BF255" s="136"/>
      <c r="BG255" s="136"/>
      <c r="BH255" s="136"/>
      <c r="BI255" s="136"/>
      <c r="BJ255" s="136"/>
      <c r="BK255" s="136"/>
      <c r="BL255" s="136"/>
      <c r="BM255" s="136"/>
      <c r="BN255" s="136"/>
      <c r="BO255" s="136"/>
      <c r="BP255" s="136"/>
      <c r="BQ255" s="136"/>
      <c r="BR255" s="136"/>
      <c r="BS255" s="136"/>
      <c r="BT255" s="136"/>
      <c r="BU255" s="136"/>
      <c r="BV255" s="136"/>
      <c r="BW255" s="136"/>
      <c r="BX255" s="136"/>
      <c r="BY255" s="136"/>
      <c r="BZ255" s="136"/>
      <c r="CA255" s="136"/>
      <c r="CB255" s="136"/>
      <c r="CC255" s="136"/>
      <c r="CD255" s="136"/>
      <c r="CE255" s="136"/>
      <c r="CF255" s="136"/>
      <c r="CG255" s="136"/>
      <c r="CH255" s="136"/>
      <c r="CI255" s="136"/>
      <c r="CJ255" s="136"/>
      <c r="CK255" s="136"/>
      <c r="CL255" s="136"/>
      <c r="CM255" s="136"/>
      <c r="CN255" s="136"/>
      <c r="CO255" s="136"/>
      <c r="CP255" s="136"/>
      <c r="CQ255" s="136"/>
      <c r="CR255" s="136"/>
      <c r="CS255" s="136"/>
      <c r="CT255" s="136"/>
      <c r="CU255" s="136"/>
      <c r="CV255" s="136"/>
      <c r="CW255" s="136"/>
      <c r="CX255" s="136"/>
      <c r="CY255" s="136"/>
      <c r="CZ255" s="136"/>
      <c r="DA255" s="136"/>
      <c r="DB255" s="136"/>
      <c r="DC255" s="136"/>
      <c r="DD255" s="136"/>
      <c r="DE255" s="136"/>
      <c r="DF255" s="136"/>
      <c r="DG255" s="136"/>
      <c r="DH255" s="136"/>
      <c r="DI255" s="136"/>
      <c r="DJ255" s="136"/>
      <c r="DK255" s="136"/>
      <c r="DL255" s="136"/>
      <c r="DM255" s="136"/>
      <c r="DN255" s="136"/>
      <c r="DO255" s="136"/>
      <c r="DP255" s="136"/>
      <c r="DQ255" s="136"/>
      <c r="DR255" s="136"/>
      <c r="DS255" s="136"/>
      <c r="DT255" s="136"/>
      <c r="DU255" s="136"/>
      <c r="DV255" s="136"/>
      <c r="DW255" s="136"/>
      <c r="DX255" s="136"/>
      <c r="DY255" s="136"/>
      <c r="DZ255" s="136"/>
      <c r="EA255" s="136"/>
      <c r="EB255" s="136"/>
      <c r="EC255" s="136"/>
      <c r="ED255" s="136"/>
      <c r="EE255" s="136"/>
      <c r="EF255" s="136"/>
      <c r="EG255" s="136"/>
      <c r="EH255" s="136"/>
      <c r="EI255" s="136"/>
      <c r="EJ255" s="136"/>
      <c r="EK255" s="136"/>
      <c r="EL255" s="136"/>
      <c r="EM255" s="136"/>
      <c r="EN255" s="136"/>
      <c r="EO255" s="136"/>
      <c r="EP255" s="136"/>
      <c r="EQ255" s="136"/>
      <c r="ER255" s="136"/>
      <c r="ES255" s="136"/>
      <c r="ET255" s="136"/>
      <c r="EU255" s="136"/>
      <c r="EV255" s="136"/>
      <c r="EW255" s="136"/>
      <c r="EX255" s="136"/>
      <c r="EY255" s="136"/>
      <c r="EZ255" s="136"/>
      <c r="FA255" s="136"/>
      <c r="FB255" s="136"/>
      <c r="FC255" s="136"/>
      <c r="FD255" s="136"/>
      <c r="FE255" s="136"/>
      <c r="FF255" s="136"/>
      <c r="FG255" s="136"/>
      <c r="FH255" s="136"/>
      <c r="FI255" s="136"/>
      <c r="FJ255" s="136"/>
      <c r="FK255" s="136"/>
      <c r="FL255" s="136"/>
      <c r="FM255" s="136"/>
      <c r="FN255" s="136"/>
      <c r="FO255" s="136"/>
      <c r="FP255" s="136"/>
      <c r="FQ255" s="136"/>
      <c r="FR255" s="136"/>
      <c r="FS255" s="136"/>
      <c r="FT255" s="136"/>
      <c r="FU255" s="136"/>
      <c r="FV255" s="136"/>
      <c r="FW255" s="136"/>
      <c r="FX255" s="136"/>
      <c r="FY255" s="136"/>
      <c r="FZ255" s="136"/>
      <c r="GA255" s="136"/>
      <c r="GB255" s="136"/>
      <c r="GC255" s="136"/>
      <c r="GD255" s="136"/>
      <c r="GE255" s="136"/>
      <c r="GF255" s="136"/>
      <c r="GG255" s="136"/>
      <c r="GH255" s="136"/>
      <c r="GI255" s="136"/>
      <c r="GJ255" s="136"/>
      <c r="GK255" s="136"/>
      <c r="GL255" s="136"/>
      <c r="GM255" s="136"/>
      <c r="GN255" s="136"/>
      <c r="GO255" s="136"/>
      <c r="GP255" s="136"/>
      <c r="GQ255" s="136"/>
      <c r="GR255" s="136"/>
      <c r="GS255" s="136"/>
      <c r="GT255" s="136"/>
      <c r="GU255" s="136"/>
      <c r="GV255" s="136"/>
      <c r="GW255" s="136"/>
      <c r="GX255" s="136"/>
      <c r="GY255" s="136"/>
      <c r="GZ255" s="136"/>
      <c r="HA255" s="136"/>
      <c r="HB255" s="136"/>
      <c r="HC255" s="136"/>
      <c r="HD255" s="136"/>
      <c r="HE255" s="136"/>
      <c r="HF255" s="136"/>
      <c r="HG255" s="136"/>
      <c r="HH255" s="136"/>
      <c r="HI255" s="136"/>
      <c r="HJ255" s="136"/>
      <c r="HK255" s="136"/>
      <c r="HL255" s="136"/>
      <c r="HM255" s="136"/>
      <c r="HN255" s="136"/>
      <c r="HO255" s="136"/>
      <c r="HP255" s="136"/>
      <c r="HQ255" s="136"/>
      <c r="HR255" s="136"/>
      <c r="HS255" s="136"/>
      <c r="HT255" s="136"/>
      <c r="HU255" s="136"/>
      <c r="HV255" s="136"/>
      <c r="HW255" s="136"/>
      <c r="HX255" s="136"/>
      <c r="HY255" s="136"/>
      <c r="HZ255" s="136"/>
      <c r="IA255" s="136"/>
      <c r="IB255" s="136"/>
      <c r="IC255" s="136"/>
      <c r="ID255" s="136"/>
      <c r="IE255" s="136"/>
      <c r="IF255" s="136"/>
      <c r="IG255" s="136"/>
      <c r="IH255" s="136"/>
      <c r="II255" s="136"/>
      <c r="IJ255" s="136"/>
      <c r="IK255" s="136"/>
      <c r="IL255" s="136"/>
      <c r="IM255" s="136"/>
      <c r="IN255" s="136"/>
      <c r="IO255" s="136"/>
      <c r="IP255" s="136"/>
      <c r="IQ255" s="136"/>
      <c r="IR255" s="136"/>
      <c r="IS255" s="136"/>
      <c r="IT255" s="136"/>
      <c r="IU255" s="136"/>
    </row>
    <row r="256" spans="1:255" ht="75" customHeight="1" x14ac:dyDescent="0.2">
      <c r="A256" s="242" t="str">
        <f>'HECVAT - Full'!A256</f>
        <v>SYST-03</v>
      </c>
      <c r="B256" s="242" t="str">
        <f>VLOOKUP(A256,'HECVAT - Full'!A$24:B$312,2,FALSE)</f>
        <v>Are employee mobile devices managed by your company's Mobile Device Management (MDM) platform?</v>
      </c>
      <c r="C256" s="243" t="s">
        <v>2969</v>
      </c>
      <c r="D256" s="253" t="s">
        <v>2970</v>
      </c>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c r="AC256" s="136"/>
      <c r="AD256" s="136"/>
      <c r="AE256" s="136"/>
      <c r="AF256" s="136"/>
      <c r="AG256" s="136"/>
      <c r="AH256" s="136"/>
      <c r="AI256" s="136"/>
      <c r="AJ256" s="136"/>
      <c r="AK256" s="136"/>
      <c r="AL256" s="136"/>
      <c r="AM256" s="136"/>
      <c r="AN256" s="136"/>
      <c r="AO256" s="136"/>
      <c r="AP256" s="136"/>
      <c r="AQ256" s="136"/>
      <c r="AR256" s="136"/>
      <c r="AS256" s="136"/>
      <c r="AT256" s="136"/>
      <c r="AU256" s="136"/>
      <c r="AV256" s="136"/>
      <c r="AW256" s="136"/>
      <c r="AX256" s="136"/>
      <c r="AY256" s="136"/>
      <c r="AZ256" s="136"/>
      <c r="BA256" s="136"/>
      <c r="BB256" s="136"/>
      <c r="BC256" s="136"/>
      <c r="BD256" s="136"/>
      <c r="BE256" s="136"/>
      <c r="BF256" s="136"/>
      <c r="BG256" s="136"/>
      <c r="BH256" s="136"/>
      <c r="BI256" s="136"/>
      <c r="BJ256" s="136"/>
      <c r="BK256" s="136"/>
      <c r="BL256" s="136"/>
      <c r="BM256" s="136"/>
      <c r="BN256" s="136"/>
      <c r="BO256" s="136"/>
      <c r="BP256" s="136"/>
      <c r="BQ256" s="136"/>
      <c r="BR256" s="136"/>
      <c r="BS256" s="136"/>
      <c r="BT256" s="136"/>
      <c r="BU256" s="136"/>
      <c r="BV256" s="136"/>
      <c r="BW256" s="136"/>
      <c r="BX256" s="136"/>
      <c r="BY256" s="136"/>
      <c r="BZ256" s="136"/>
      <c r="CA256" s="136"/>
      <c r="CB256" s="136"/>
      <c r="CC256" s="136"/>
      <c r="CD256" s="136"/>
      <c r="CE256" s="136"/>
      <c r="CF256" s="136"/>
      <c r="CG256" s="136"/>
      <c r="CH256" s="136"/>
      <c r="CI256" s="136"/>
      <c r="CJ256" s="136"/>
      <c r="CK256" s="136"/>
      <c r="CL256" s="136"/>
      <c r="CM256" s="136"/>
      <c r="CN256" s="136"/>
      <c r="CO256" s="136"/>
      <c r="CP256" s="136"/>
      <c r="CQ256" s="136"/>
      <c r="CR256" s="136"/>
      <c r="CS256" s="136"/>
      <c r="CT256" s="136"/>
      <c r="CU256" s="136"/>
      <c r="CV256" s="136"/>
      <c r="CW256" s="136"/>
      <c r="CX256" s="136"/>
      <c r="CY256" s="136"/>
      <c r="CZ256" s="136"/>
      <c r="DA256" s="136"/>
      <c r="DB256" s="136"/>
      <c r="DC256" s="136"/>
      <c r="DD256" s="136"/>
      <c r="DE256" s="136"/>
      <c r="DF256" s="136"/>
      <c r="DG256" s="136"/>
      <c r="DH256" s="136"/>
      <c r="DI256" s="136"/>
      <c r="DJ256" s="136"/>
      <c r="DK256" s="136"/>
      <c r="DL256" s="136"/>
      <c r="DM256" s="136"/>
      <c r="DN256" s="136"/>
      <c r="DO256" s="136"/>
      <c r="DP256" s="136"/>
      <c r="DQ256" s="136"/>
      <c r="DR256" s="136"/>
      <c r="DS256" s="136"/>
      <c r="DT256" s="136"/>
      <c r="DU256" s="136"/>
      <c r="DV256" s="136"/>
      <c r="DW256" s="136"/>
      <c r="DX256" s="136"/>
      <c r="DY256" s="136"/>
      <c r="DZ256" s="136"/>
      <c r="EA256" s="136"/>
      <c r="EB256" s="136"/>
      <c r="EC256" s="136"/>
      <c r="ED256" s="136"/>
      <c r="EE256" s="136"/>
      <c r="EF256" s="136"/>
      <c r="EG256" s="136"/>
      <c r="EH256" s="136"/>
      <c r="EI256" s="136"/>
      <c r="EJ256" s="136"/>
      <c r="EK256" s="136"/>
      <c r="EL256" s="136"/>
      <c r="EM256" s="136"/>
      <c r="EN256" s="136"/>
      <c r="EO256" s="136"/>
      <c r="EP256" s="136"/>
      <c r="EQ256" s="136"/>
      <c r="ER256" s="136"/>
      <c r="ES256" s="136"/>
      <c r="ET256" s="136"/>
      <c r="EU256" s="136"/>
      <c r="EV256" s="136"/>
      <c r="EW256" s="136"/>
      <c r="EX256" s="136"/>
      <c r="EY256" s="136"/>
      <c r="EZ256" s="136"/>
      <c r="FA256" s="136"/>
      <c r="FB256" s="136"/>
      <c r="FC256" s="136"/>
      <c r="FD256" s="136"/>
      <c r="FE256" s="136"/>
      <c r="FF256" s="136"/>
      <c r="FG256" s="136"/>
      <c r="FH256" s="136"/>
      <c r="FI256" s="136"/>
      <c r="FJ256" s="136"/>
      <c r="FK256" s="136"/>
      <c r="FL256" s="136"/>
      <c r="FM256" s="136"/>
      <c r="FN256" s="136"/>
      <c r="FO256" s="136"/>
      <c r="FP256" s="136"/>
      <c r="FQ256" s="136"/>
      <c r="FR256" s="136"/>
      <c r="FS256" s="136"/>
      <c r="FT256" s="136"/>
      <c r="FU256" s="136"/>
      <c r="FV256" s="136"/>
      <c r="FW256" s="136"/>
      <c r="FX256" s="136"/>
      <c r="FY256" s="136"/>
      <c r="FZ256" s="136"/>
      <c r="GA256" s="136"/>
      <c r="GB256" s="136"/>
      <c r="GC256" s="136"/>
      <c r="GD256" s="136"/>
      <c r="GE256" s="136"/>
      <c r="GF256" s="136"/>
      <c r="GG256" s="136"/>
      <c r="GH256" s="136"/>
      <c r="GI256" s="136"/>
      <c r="GJ256" s="136"/>
      <c r="GK256" s="136"/>
      <c r="GL256" s="136"/>
      <c r="GM256" s="136"/>
      <c r="GN256" s="136"/>
      <c r="GO256" s="136"/>
      <c r="GP256" s="136"/>
      <c r="GQ256" s="136"/>
      <c r="GR256" s="136"/>
      <c r="GS256" s="136"/>
      <c r="GT256" s="136"/>
      <c r="GU256" s="136"/>
      <c r="GV256" s="136"/>
      <c r="GW256" s="136"/>
      <c r="GX256" s="136"/>
      <c r="GY256" s="136"/>
      <c r="GZ256" s="136"/>
      <c r="HA256" s="136"/>
      <c r="HB256" s="136"/>
      <c r="HC256" s="136"/>
      <c r="HD256" s="136"/>
      <c r="HE256" s="136"/>
      <c r="HF256" s="136"/>
      <c r="HG256" s="136"/>
      <c r="HH256" s="136"/>
      <c r="HI256" s="136"/>
      <c r="HJ256" s="136"/>
      <c r="HK256" s="136"/>
      <c r="HL256" s="136"/>
      <c r="HM256" s="136"/>
      <c r="HN256" s="136"/>
      <c r="HO256" s="136"/>
      <c r="HP256" s="136"/>
      <c r="HQ256" s="136"/>
      <c r="HR256" s="136"/>
      <c r="HS256" s="136"/>
      <c r="HT256" s="136"/>
      <c r="HU256" s="136"/>
      <c r="HV256" s="136"/>
      <c r="HW256" s="136"/>
      <c r="HX256" s="136"/>
      <c r="HY256" s="136"/>
      <c r="HZ256" s="136"/>
      <c r="IA256" s="136"/>
      <c r="IB256" s="136"/>
      <c r="IC256" s="136"/>
      <c r="ID256" s="136"/>
      <c r="IE256" s="136"/>
      <c r="IF256" s="136"/>
      <c r="IG256" s="136"/>
      <c r="IH256" s="136"/>
      <c r="II256" s="136"/>
      <c r="IJ256" s="136"/>
      <c r="IK256" s="136"/>
      <c r="IL256" s="136"/>
      <c r="IM256" s="136"/>
      <c r="IN256" s="136"/>
      <c r="IO256" s="136"/>
      <c r="IP256" s="136"/>
      <c r="IQ256" s="136"/>
      <c r="IR256" s="136"/>
      <c r="IS256" s="136"/>
      <c r="IT256" s="136"/>
      <c r="IU256" s="136"/>
    </row>
    <row r="257" spans="1:255" ht="96" customHeight="1" x14ac:dyDescent="0.2">
      <c r="A257" s="242" t="str">
        <f>'HECVAT - Full'!A257</f>
        <v>SYST-04</v>
      </c>
      <c r="B257" s="242" t="str">
        <f>VLOOKUP(A257,'HECVAT - Full'!A$24:B$312,2,FALSE)</f>
        <v>Do you have a systems management and configuration strategy that encompasses servers, appliances, and mobile devices (company and employee owned)?</v>
      </c>
      <c r="C257" s="245" t="s">
        <v>2971</v>
      </c>
      <c r="D257" s="245" t="s">
        <v>2972</v>
      </c>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c r="AC257" s="136"/>
      <c r="AD257" s="136"/>
      <c r="AE257" s="136"/>
      <c r="AF257" s="136"/>
      <c r="AG257" s="136"/>
      <c r="AH257" s="136"/>
      <c r="AI257" s="136"/>
      <c r="AJ257" s="136"/>
      <c r="AK257" s="136"/>
      <c r="AL257" s="136"/>
      <c r="AM257" s="136"/>
      <c r="AN257" s="136"/>
      <c r="AO257" s="136"/>
      <c r="AP257" s="136"/>
      <c r="AQ257" s="136"/>
      <c r="AR257" s="136"/>
      <c r="AS257" s="136"/>
      <c r="AT257" s="136"/>
      <c r="AU257" s="136"/>
      <c r="AV257" s="136"/>
      <c r="AW257" s="136"/>
      <c r="AX257" s="136"/>
      <c r="AY257" s="136"/>
      <c r="AZ257" s="136"/>
      <c r="BA257" s="136"/>
      <c r="BB257" s="136"/>
      <c r="BC257" s="136"/>
      <c r="BD257" s="136"/>
      <c r="BE257" s="136"/>
      <c r="BF257" s="136"/>
      <c r="BG257" s="136"/>
      <c r="BH257" s="136"/>
      <c r="BI257" s="136"/>
      <c r="BJ257" s="136"/>
      <c r="BK257" s="136"/>
      <c r="BL257" s="136"/>
      <c r="BM257" s="136"/>
      <c r="BN257" s="136"/>
      <c r="BO257" s="136"/>
      <c r="BP257" s="136"/>
      <c r="BQ257" s="136"/>
      <c r="BR257" s="136"/>
      <c r="BS257" s="136"/>
      <c r="BT257" s="136"/>
      <c r="BU257" s="136"/>
      <c r="BV257" s="136"/>
      <c r="BW257" s="136"/>
      <c r="BX257" s="136"/>
      <c r="BY257" s="136"/>
      <c r="BZ257" s="136"/>
      <c r="CA257" s="136"/>
      <c r="CB257" s="136"/>
      <c r="CC257" s="136"/>
      <c r="CD257" s="136"/>
      <c r="CE257" s="136"/>
      <c r="CF257" s="136"/>
      <c r="CG257" s="136"/>
      <c r="CH257" s="136"/>
      <c r="CI257" s="136"/>
      <c r="CJ257" s="136"/>
      <c r="CK257" s="136"/>
      <c r="CL257" s="136"/>
      <c r="CM257" s="136"/>
      <c r="CN257" s="136"/>
      <c r="CO257" s="136"/>
      <c r="CP257" s="136"/>
      <c r="CQ257" s="136"/>
      <c r="CR257" s="136"/>
      <c r="CS257" s="136"/>
      <c r="CT257" s="136"/>
      <c r="CU257" s="136"/>
      <c r="CV257" s="136"/>
      <c r="CW257" s="136"/>
      <c r="CX257" s="136"/>
      <c r="CY257" s="136"/>
      <c r="CZ257" s="136"/>
      <c r="DA257" s="136"/>
      <c r="DB257" s="136"/>
      <c r="DC257" s="136"/>
      <c r="DD257" s="136"/>
      <c r="DE257" s="136"/>
      <c r="DF257" s="136"/>
      <c r="DG257" s="136"/>
      <c r="DH257" s="136"/>
      <c r="DI257" s="136"/>
      <c r="DJ257" s="136"/>
      <c r="DK257" s="136"/>
      <c r="DL257" s="136"/>
      <c r="DM257" s="136"/>
      <c r="DN257" s="136"/>
      <c r="DO257" s="136"/>
      <c r="DP257" s="136"/>
      <c r="DQ257" s="136"/>
      <c r="DR257" s="136"/>
      <c r="DS257" s="136"/>
      <c r="DT257" s="136"/>
      <c r="DU257" s="136"/>
      <c r="DV257" s="136"/>
      <c r="DW257" s="136"/>
      <c r="DX257" s="136"/>
      <c r="DY257" s="136"/>
      <c r="DZ257" s="136"/>
      <c r="EA257" s="136"/>
      <c r="EB257" s="136"/>
      <c r="EC257" s="136"/>
      <c r="ED257" s="136"/>
      <c r="EE257" s="136"/>
      <c r="EF257" s="136"/>
      <c r="EG257" s="136"/>
      <c r="EH257" s="136"/>
      <c r="EI257" s="136"/>
      <c r="EJ257" s="136"/>
      <c r="EK257" s="136"/>
      <c r="EL257" s="136"/>
      <c r="EM257" s="136"/>
      <c r="EN257" s="136"/>
      <c r="EO257" s="136"/>
      <c r="EP257" s="136"/>
      <c r="EQ257" s="136"/>
      <c r="ER257" s="136"/>
      <c r="ES257" s="136"/>
      <c r="ET257" s="136"/>
      <c r="EU257" s="136"/>
      <c r="EV257" s="136"/>
      <c r="EW257" s="136"/>
      <c r="EX257" s="136"/>
      <c r="EY257" s="136"/>
      <c r="EZ257" s="136"/>
      <c r="FA257" s="136"/>
      <c r="FB257" s="136"/>
      <c r="FC257" s="136"/>
      <c r="FD257" s="136"/>
      <c r="FE257" s="136"/>
      <c r="FF257" s="136"/>
      <c r="FG257" s="136"/>
      <c r="FH257" s="136"/>
      <c r="FI257" s="136"/>
      <c r="FJ257" s="136"/>
      <c r="FK257" s="136"/>
      <c r="FL257" s="136"/>
      <c r="FM257" s="136"/>
      <c r="FN257" s="136"/>
      <c r="FO257" s="136"/>
      <c r="FP257" s="136"/>
      <c r="FQ257" s="136"/>
      <c r="FR257" s="136"/>
      <c r="FS257" s="136"/>
      <c r="FT257" s="136"/>
      <c r="FU257" s="136"/>
      <c r="FV257" s="136"/>
      <c r="FW257" s="136"/>
      <c r="FX257" s="136"/>
      <c r="FY257" s="136"/>
      <c r="FZ257" s="136"/>
      <c r="GA257" s="136"/>
      <c r="GB257" s="136"/>
      <c r="GC257" s="136"/>
      <c r="GD257" s="136"/>
      <c r="GE257" s="136"/>
      <c r="GF257" s="136"/>
      <c r="GG257" s="136"/>
      <c r="GH257" s="136"/>
      <c r="GI257" s="136"/>
      <c r="GJ257" s="136"/>
      <c r="GK257" s="136"/>
      <c r="GL257" s="136"/>
      <c r="GM257" s="136"/>
      <c r="GN257" s="136"/>
      <c r="GO257" s="136"/>
      <c r="GP257" s="136"/>
      <c r="GQ257" s="136"/>
      <c r="GR257" s="136"/>
      <c r="GS257" s="136"/>
      <c r="GT257" s="136"/>
      <c r="GU257" s="136"/>
      <c r="GV257" s="136"/>
      <c r="GW257" s="136"/>
      <c r="GX257" s="136"/>
      <c r="GY257" s="136"/>
      <c r="GZ257" s="136"/>
      <c r="HA257" s="136"/>
      <c r="HB257" s="136"/>
      <c r="HC257" s="136"/>
      <c r="HD257" s="136"/>
      <c r="HE257" s="136"/>
      <c r="HF257" s="136"/>
      <c r="HG257" s="136"/>
      <c r="HH257" s="136"/>
      <c r="HI257" s="136"/>
      <c r="HJ257" s="136"/>
      <c r="HK257" s="136"/>
      <c r="HL257" s="136"/>
      <c r="HM257" s="136"/>
      <c r="HN257" s="136"/>
      <c r="HO257" s="136"/>
      <c r="HP257" s="136"/>
      <c r="HQ257" s="136"/>
      <c r="HR257" s="136"/>
      <c r="HS257" s="136"/>
      <c r="HT257" s="136"/>
      <c r="HU257" s="136"/>
      <c r="HV257" s="136"/>
      <c r="HW257" s="136"/>
      <c r="HX257" s="136"/>
      <c r="HY257" s="136"/>
      <c r="HZ257" s="136"/>
      <c r="IA257" s="136"/>
      <c r="IB257" s="136"/>
      <c r="IC257" s="136"/>
      <c r="ID257" s="136"/>
      <c r="IE257" s="136"/>
      <c r="IF257" s="136"/>
      <c r="IG257" s="136"/>
      <c r="IH257" s="136"/>
      <c r="II257" s="136"/>
      <c r="IJ257" s="136"/>
      <c r="IK257" s="136"/>
      <c r="IL257" s="136"/>
      <c r="IM257" s="136"/>
      <c r="IN257" s="136"/>
      <c r="IO257" s="136"/>
      <c r="IP257" s="136"/>
      <c r="IQ257" s="136"/>
      <c r="IR257" s="136"/>
      <c r="IS257" s="136"/>
      <c r="IT257" s="136"/>
      <c r="IU257" s="136"/>
    </row>
    <row r="258" spans="1:255" ht="36" customHeight="1" x14ac:dyDescent="0.2">
      <c r="A258" s="335" t="str">
        <f>IF($C$30="","Vulnerability Scanning",IF($C$30="Yes","Vulnerability Scanning - Optional based on QUALIFIER response.","Vulnerability Scanning"))</f>
        <v>Vulnerability Scanning</v>
      </c>
      <c r="B258" s="335"/>
      <c r="C258" s="240" t="str">
        <f>$C$22</f>
        <v>Reason for Question</v>
      </c>
      <c r="D258" s="240" t="str">
        <f>$D$22</f>
        <v>Follow-up Inquiries/Responses</v>
      </c>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c r="AC258" s="136"/>
      <c r="AD258" s="136"/>
      <c r="AE258" s="136"/>
      <c r="AF258" s="136"/>
      <c r="AG258" s="136"/>
      <c r="AH258" s="136"/>
      <c r="AI258" s="136"/>
      <c r="AJ258" s="136"/>
      <c r="AK258" s="136"/>
      <c r="AL258" s="136"/>
      <c r="AM258" s="136"/>
      <c r="AN258" s="136"/>
      <c r="AO258" s="136"/>
      <c r="AP258" s="136"/>
      <c r="AQ258" s="136"/>
      <c r="AR258" s="136"/>
      <c r="AS258" s="136"/>
      <c r="AT258" s="136"/>
      <c r="AU258" s="136"/>
      <c r="AV258" s="136"/>
      <c r="AW258" s="136"/>
      <c r="AX258" s="136"/>
      <c r="AY258" s="136"/>
      <c r="AZ258" s="136"/>
      <c r="BA258" s="136"/>
      <c r="BB258" s="136"/>
      <c r="BC258" s="136"/>
      <c r="BD258" s="136"/>
      <c r="BE258" s="136"/>
      <c r="BF258" s="136"/>
      <c r="BG258" s="136"/>
      <c r="BH258" s="136"/>
      <c r="BI258" s="136"/>
      <c r="BJ258" s="136"/>
      <c r="BK258" s="136"/>
      <c r="BL258" s="136"/>
      <c r="BM258" s="136"/>
      <c r="BN258" s="136"/>
      <c r="BO258" s="136"/>
      <c r="BP258" s="136"/>
      <c r="BQ258" s="136"/>
      <c r="BR258" s="136"/>
      <c r="BS258" s="136"/>
      <c r="BT258" s="136"/>
      <c r="BU258" s="136"/>
      <c r="BV258" s="136"/>
      <c r="BW258" s="136"/>
      <c r="BX258" s="136"/>
      <c r="BY258" s="136"/>
      <c r="BZ258" s="136"/>
      <c r="CA258" s="136"/>
      <c r="CB258" s="136"/>
      <c r="CC258" s="136"/>
      <c r="CD258" s="136"/>
      <c r="CE258" s="136"/>
      <c r="CF258" s="136"/>
      <c r="CG258" s="136"/>
      <c r="CH258" s="136"/>
      <c r="CI258" s="136"/>
      <c r="CJ258" s="136"/>
      <c r="CK258" s="136"/>
      <c r="CL258" s="136"/>
      <c r="CM258" s="136"/>
      <c r="CN258" s="136"/>
      <c r="CO258" s="136"/>
      <c r="CP258" s="136"/>
      <c r="CQ258" s="136"/>
      <c r="CR258" s="136"/>
      <c r="CS258" s="136"/>
      <c r="CT258" s="136"/>
      <c r="CU258" s="136"/>
      <c r="CV258" s="136"/>
      <c r="CW258" s="136"/>
      <c r="CX258" s="136"/>
      <c r="CY258" s="136"/>
      <c r="CZ258" s="136"/>
      <c r="DA258" s="136"/>
      <c r="DB258" s="136"/>
      <c r="DC258" s="136"/>
      <c r="DD258" s="136"/>
      <c r="DE258" s="136"/>
      <c r="DF258" s="136"/>
      <c r="DG258" s="136"/>
      <c r="DH258" s="136"/>
      <c r="DI258" s="136"/>
      <c r="DJ258" s="136"/>
      <c r="DK258" s="136"/>
      <c r="DL258" s="136"/>
      <c r="DM258" s="136"/>
      <c r="DN258" s="136"/>
      <c r="DO258" s="136"/>
      <c r="DP258" s="136"/>
      <c r="DQ258" s="136"/>
      <c r="DR258" s="136"/>
      <c r="DS258" s="136"/>
      <c r="DT258" s="136"/>
      <c r="DU258" s="136"/>
      <c r="DV258" s="136"/>
      <c r="DW258" s="136"/>
      <c r="DX258" s="136"/>
      <c r="DY258" s="136"/>
      <c r="DZ258" s="136"/>
      <c r="EA258" s="136"/>
      <c r="EB258" s="136"/>
      <c r="EC258" s="136"/>
      <c r="ED258" s="136"/>
      <c r="EE258" s="136"/>
      <c r="EF258" s="136"/>
      <c r="EG258" s="136"/>
      <c r="EH258" s="136"/>
      <c r="EI258" s="136"/>
      <c r="EJ258" s="136"/>
      <c r="EK258" s="136"/>
      <c r="EL258" s="136"/>
      <c r="EM258" s="136"/>
      <c r="EN258" s="136"/>
      <c r="EO258" s="136"/>
      <c r="EP258" s="136"/>
      <c r="EQ258" s="136"/>
      <c r="ER258" s="136"/>
      <c r="ES258" s="136"/>
      <c r="ET258" s="136"/>
      <c r="EU258" s="136"/>
      <c r="EV258" s="136"/>
      <c r="EW258" s="136"/>
      <c r="EX258" s="136"/>
      <c r="EY258" s="136"/>
      <c r="EZ258" s="136"/>
      <c r="FA258" s="136"/>
      <c r="FB258" s="136"/>
      <c r="FC258" s="136"/>
      <c r="FD258" s="136"/>
      <c r="FE258" s="136"/>
      <c r="FF258" s="136"/>
      <c r="FG258" s="136"/>
      <c r="FH258" s="136"/>
      <c r="FI258" s="136"/>
      <c r="FJ258" s="136"/>
      <c r="FK258" s="136"/>
      <c r="FL258" s="136"/>
      <c r="FM258" s="136"/>
      <c r="FN258" s="136"/>
      <c r="FO258" s="136"/>
      <c r="FP258" s="136"/>
      <c r="FQ258" s="136"/>
      <c r="FR258" s="136"/>
      <c r="FS258" s="136"/>
      <c r="FT258" s="136"/>
      <c r="FU258" s="136"/>
      <c r="FV258" s="136"/>
      <c r="FW258" s="136"/>
      <c r="FX258" s="136"/>
      <c r="FY258" s="136"/>
      <c r="FZ258" s="136"/>
      <c r="GA258" s="136"/>
      <c r="GB258" s="136"/>
      <c r="GC258" s="136"/>
      <c r="GD258" s="136"/>
      <c r="GE258" s="136"/>
      <c r="GF258" s="136"/>
      <c r="GG258" s="136"/>
      <c r="GH258" s="136"/>
      <c r="GI258" s="136"/>
      <c r="GJ258" s="136"/>
      <c r="GK258" s="136"/>
      <c r="GL258" s="136"/>
      <c r="GM258" s="136"/>
      <c r="GN258" s="136"/>
      <c r="GO258" s="136"/>
      <c r="GP258" s="136"/>
      <c r="GQ258" s="136"/>
      <c r="GR258" s="136"/>
      <c r="GS258" s="136"/>
      <c r="GT258" s="136"/>
      <c r="GU258" s="136"/>
      <c r="GV258" s="136"/>
      <c r="GW258" s="136"/>
      <c r="GX258" s="136"/>
      <c r="GY258" s="136"/>
      <c r="GZ258" s="136"/>
      <c r="HA258" s="136"/>
      <c r="HB258" s="136"/>
      <c r="HC258" s="136"/>
      <c r="HD258" s="136"/>
      <c r="HE258" s="136"/>
      <c r="HF258" s="136"/>
      <c r="HG258" s="136"/>
      <c r="HH258" s="136"/>
      <c r="HI258" s="136"/>
      <c r="HJ258" s="136"/>
      <c r="HK258" s="136"/>
      <c r="HL258" s="136"/>
      <c r="HM258" s="136"/>
      <c r="HN258" s="136"/>
      <c r="HO258" s="136"/>
      <c r="HP258" s="136"/>
      <c r="HQ258" s="136"/>
      <c r="HR258" s="136"/>
      <c r="HS258" s="136"/>
      <c r="HT258" s="136"/>
      <c r="HU258" s="136"/>
      <c r="HV258" s="136"/>
      <c r="HW258" s="136"/>
      <c r="HX258" s="136"/>
      <c r="HY258" s="136"/>
      <c r="HZ258" s="136"/>
      <c r="IA258" s="136"/>
      <c r="IB258" s="136"/>
      <c r="IC258" s="136"/>
      <c r="ID258" s="136"/>
      <c r="IE258" s="136"/>
      <c r="IF258" s="136"/>
      <c r="IG258" s="136"/>
      <c r="IH258" s="136"/>
      <c r="II258" s="136"/>
      <c r="IJ258" s="136"/>
      <c r="IK258" s="136"/>
      <c r="IL258" s="136"/>
      <c r="IM258" s="136"/>
      <c r="IN258" s="136"/>
      <c r="IO258" s="136"/>
      <c r="IP258" s="136"/>
      <c r="IQ258" s="136"/>
      <c r="IR258" s="136"/>
      <c r="IS258" s="136"/>
      <c r="IT258" s="136"/>
      <c r="IU258" s="136"/>
    </row>
    <row r="259" spans="1:255" ht="120" x14ac:dyDescent="0.2">
      <c r="A259" s="242" t="str">
        <f>'HECVAT - Full'!A259</f>
        <v>VULN-01</v>
      </c>
      <c r="B259" s="242" t="str">
        <f>VLOOKUP(A259,'HECVAT - Full'!A$24:B$312,2,FALSE)</f>
        <v>Are your applications scanned externally for vulnerabilities?</v>
      </c>
      <c r="C259" s="275" t="s">
        <v>3045</v>
      </c>
      <c r="D259" s="278" t="s">
        <v>3046</v>
      </c>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c r="AC259" s="136"/>
      <c r="AD259" s="136"/>
      <c r="AE259" s="136"/>
      <c r="AF259" s="136"/>
      <c r="AG259" s="136"/>
      <c r="AH259" s="136"/>
      <c r="AI259" s="136"/>
      <c r="AJ259" s="136"/>
      <c r="AK259" s="136"/>
      <c r="AL259" s="136"/>
      <c r="AM259" s="136"/>
      <c r="AN259" s="136"/>
      <c r="AO259" s="136"/>
      <c r="AP259" s="136"/>
      <c r="AQ259" s="136"/>
      <c r="AR259" s="136"/>
      <c r="AS259" s="136"/>
      <c r="AT259" s="136"/>
      <c r="AU259" s="136"/>
      <c r="AV259" s="136"/>
      <c r="AW259" s="136"/>
      <c r="AX259" s="136"/>
      <c r="AY259" s="136"/>
      <c r="AZ259" s="136"/>
      <c r="BA259" s="136"/>
      <c r="BB259" s="136"/>
      <c r="BC259" s="136"/>
      <c r="BD259" s="136"/>
      <c r="BE259" s="136"/>
      <c r="BF259" s="136"/>
      <c r="BG259" s="136"/>
      <c r="BH259" s="136"/>
      <c r="BI259" s="136"/>
      <c r="BJ259" s="136"/>
      <c r="BK259" s="136"/>
      <c r="BL259" s="136"/>
      <c r="BM259" s="136"/>
      <c r="BN259" s="136"/>
      <c r="BO259" s="136"/>
      <c r="BP259" s="136"/>
      <c r="BQ259" s="136"/>
      <c r="BR259" s="136"/>
      <c r="BS259" s="136"/>
      <c r="BT259" s="136"/>
      <c r="BU259" s="136"/>
      <c r="BV259" s="136"/>
      <c r="BW259" s="136"/>
      <c r="BX259" s="136"/>
      <c r="BY259" s="136"/>
      <c r="BZ259" s="136"/>
      <c r="CA259" s="136"/>
      <c r="CB259" s="136"/>
      <c r="CC259" s="136"/>
      <c r="CD259" s="136"/>
      <c r="CE259" s="136"/>
      <c r="CF259" s="136"/>
      <c r="CG259" s="136"/>
      <c r="CH259" s="136"/>
      <c r="CI259" s="136"/>
      <c r="CJ259" s="136"/>
      <c r="CK259" s="136"/>
      <c r="CL259" s="136"/>
      <c r="CM259" s="136"/>
      <c r="CN259" s="136"/>
      <c r="CO259" s="136"/>
      <c r="CP259" s="136"/>
      <c r="CQ259" s="136"/>
      <c r="CR259" s="136"/>
      <c r="CS259" s="136"/>
      <c r="CT259" s="136"/>
      <c r="CU259" s="136"/>
      <c r="CV259" s="136"/>
      <c r="CW259" s="136"/>
      <c r="CX259" s="136"/>
      <c r="CY259" s="136"/>
      <c r="CZ259" s="136"/>
      <c r="DA259" s="136"/>
      <c r="DB259" s="136"/>
      <c r="DC259" s="136"/>
      <c r="DD259" s="136"/>
      <c r="DE259" s="136"/>
      <c r="DF259" s="136"/>
      <c r="DG259" s="136"/>
      <c r="DH259" s="136"/>
      <c r="DI259" s="136"/>
      <c r="DJ259" s="136"/>
      <c r="DK259" s="136"/>
      <c r="DL259" s="136"/>
      <c r="DM259" s="136"/>
      <c r="DN259" s="136"/>
      <c r="DO259" s="136"/>
      <c r="DP259" s="136"/>
      <c r="DQ259" s="136"/>
      <c r="DR259" s="136"/>
      <c r="DS259" s="136"/>
      <c r="DT259" s="136"/>
      <c r="DU259" s="136"/>
      <c r="DV259" s="136"/>
      <c r="DW259" s="136"/>
      <c r="DX259" s="136"/>
      <c r="DY259" s="136"/>
      <c r="DZ259" s="136"/>
      <c r="EA259" s="136"/>
      <c r="EB259" s="136"/>
      <c r="EC259" s="136"/>
      <c r="ED259" s="136"/>
      <c r="EE259" s="136"/>
      <c r="EF259" s="136"/>
      <c r="EG259" s="136"/>
      <c r="EH259" s="136"/>
      <c r="EI259" s="136"/>
      <c r="EJ259" s="136"/>
      <c r="EK259" s="136"/>
      <c r="EL259" s="136"/>
      <c r="EM259" s="136"/>
      <c r="EN259" s="136"/>
      <c r="EO259" s="136"/>
      <c r="EP259" s="136"/>
      <c r="EQ259" s="136"/>
      <c r="ER259" s="136"/>
      <c r="ES259" s="136"/>
      <c r="ET259" s="136"/>
      <c r="EU259" s="136"/>
      <c r="EV259" s="136"/>
      <c r="EW259" s="136"/>
      <c r="EX259" s="136"/>
      <c r="EY259" s="136"/>
      <c r="EZ259" s="136"/>
      <c r="FA259" s="136"/>
      <c r="FB259" s="136"/>
      <c r="FC259" s="136"/>
      <c r="FD259" s="136"/>
      <c r="FE259" s="136"/>
      <c r="FF259" s="136"/>
      <c r="FG259" s="136"/>
      <c r="FH259" s="136"/>
      <c r="FI259" s="136"/>
      <c r="FJ259" s="136"/>
      <c r="FK259" s="136"/>
      <c r="FL259" s="136"/>
      <c r="FM259" s="136"/>
      <c r="FN259" s="136"/>
      <c r="FO259" s="136"/>
      <c r="FP259" s="136"/>
      <c r="FQ259" s="136"/>
      <c r="FR259" s="136"/>
      <c r="FS259" s="136"/>
      <c r="FT259" s="136"/>
      <c r="FU259" s="136"/>
      <c r="FV259" s="136"/>
      <c r="FW259" s="136"/>
      <c r="FX259" s="136"/>
      <c r="FY259" s="136"/>
      <c r="FZ259" s="136"/>
      <c r="GA259" s="136"/>
      <c r="GB259" s="136"/>
      <c r="GC259" s="136"/>
      <c r="GD259" s="136"/>
      <c r="GE259" s="136"/>
      <c r="GF259" s="136"/>
      <c r="GG259" s="136"/>
      <c r="GH259" s="136"/>
      <c r="GI259" s="136"/>
      <c r="GJ259" s="136"/>
      <c r="GK259" s="136"/>
      <c r="GL259" s="136"/>
      <c r="GM259" s="136"/>
      <c r="GN259" s="136"/>
      <c r="GO259" s="136"/>
      <c r="GP259" s="136"/>
      <c r="GQ259" s="136"/>
      <c r="GR259" s="136"/>
      <c r="GS259" s="136"/>
      <c r="GT259" s="136"/>
      <c r="GU259" s="136"/>
      <c r="GV259" s="136"/>
      <c r="GW259" s="136"/>
      <c r="GX259" s="136"/>
      <c r="GY259" s="136"/>
      <c r="GZ259" s="136"/>
      <c r="HA259" s="136"/>
      <c r="HB259" s="136"/>
      <c r="HC259" s="136"/>
      <c r="HD259" s="136"/>
      <c r="HE259" s="136"/>
      <c r="HF259" s="136"/>
      <c r="HG259" s="136"/>
      <c r="HH259" s="136"/>
      <c r="HI259" s="136"/>
      <c r="HJ259" s="136"/>
      <c r="HK259" s="136"/>
      <c r="HL259" s="136"/>
      <c r="HM259" s="136"/>
      <c r="HN259" s="136"/>
      <c r="HO259" s="136"/>
      <c r="HP259" s="136"/>
      <c r="HQ259" s="136"/>
      <c r="HR259" s="136"/>
      <c r="HS259" s="136"/>
      <c r="HT259" s="136"/>
      <c r="HU259" s="136"/>
      <c r="HV259" s="136"/>
      <c r="HW259" s="136"/>
      <c r="HX259" s="136"/>
      <c r="HY259" s="136"/>
      <c r="HZ259" s="136"/>
      <c r="IA259" s="136"/>
      <c r="IB259" s="136"/>
      <c r="IC259" s="136"/>
      <c r="ID259" s="136"/>
      <c r="IE259" s="136"/>
      <c r="IF259" s="136"/>
      <c r="IG259" s="136"/>
      <c r="IH259" s="136"/>
      <c r="II259" s="136"/>
      <c r="IJ259" s="136"/>
      <c r="IK259" s="136"/>
      <c r="IL259" s="136"/>
      <c r="IM259" s="136"/>
      <c r="IN259" s="136"/>
      <c r="IO259" s="136"/>
      <c r="IP259" s="136"/>
      <c r="IQ259" s="136"/>
      <c r="IR259" s="136"/>
      <c r="IS259" s="136"/>
      <c r="IT259" s="136"/>
      <c r="IU259" s="136"/>
    </row>
    <row r="260" spans="1:255" ht="120" x14ac:dyDescent="0.2">
      <c r="A260" s="242" t="str">
        <f>'HECVAT - Full'!A260</f>
        <v>VULN-02</v>
      </c>
      <c r="B260" s="242" t="str">
        <f>VLOOKUP(A260,'HECVAT - Full'!A$24:B$312,2,FALSE)</f>
        <v>Have your applications had an external vulnerability assessment in the last year?</v>
      </c>
      <c r="C260" s="275" t="s">
        <v>3045</v>
      </c>
      <c r="D260" s="278" t="s">
        <v>3047</v>
      </c>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c r="AC260" s="136"/>
      <c r="AD260" s="136"/>
      <c r="AE260" s="136"/>
      <c r="AF260" s="136"/>
      <c r="AG260" s="136"/>
      <c r="AH260" s="136"/>
      <c r="AI260" s="136"/>
      <c r="AJ260" s="136"/>
      <c r="AK260" s="136"/>
      <c r="AL260" s="136"/>
      <c r="AM260" s="136"/>
      <c r="AN260" s="136"/>
      <c r="AO260" s="136"/>
      <c r="AP260" s="136"/>
      <c r="AQ260" s="136"/>
      <c r="AR260" s="136"/>
      <c r="AS260" s="136"/>
      <c r="AT260" s="136"/>
      <c r="AU260" s="136"/>
      <c r="AV260" s="136"/>
      <c r="AW260" s="136"/>
      <c r="AX260" s="136"/>
      <c r="AY260" s="136"/>
      <c r="AZ260" s="136"/>
      <c r="BA260" s="136"/>
      <c r="BB260" s="136"/>
      <c r="BC260" s="136"/>
      <c r="BD260" s="136"/>
      <c r="BE260" s="136"/>
      <c r="BF260" s="136"/>
      <c r="BG260" s="136"/>
      <c r="BH260" s="136"/>
      <c r="BI260" s="136"/>
      <c r="BJ260" s="136"/>
      <c r="BK260" s="136"/>
      <c r="BL260" s="136"/>
      <c r="BM260" s="136"/>
      <c r="BN260" s="136"/>
      <c r="BO260" s="136"/>
      <c r="BP260" s="136"/>
      <c r="BQ260" s="136"/>
      <c r="BR260" s="136"/>
      <c r="BS260" s="136"/>
      <c r="BT260" s="136"/>
      <c r="BU260" s="136"/>
      <c r="BV260" s="136"/>
      <c r="BW260" s="136"/>
      <c r="BX260" s="136"/>
      <c r="BY260" s="136"/>
      <c r="BZ260" s="136"/>
      <c r="CA260" s="136"/>
      <c r="CB260" s="136"/>
      <c r="CC260" s="136"/>
      <c r="CD260" s="136"/>
      <c r="CE260" s="136"/>
      <c r="CF260" s="136"/>
      <c r="CG260" s="136"/>
      <c r="CH260" s="136"/>
      <c r="CI260" s="136"/>
      <c r="CJ260" s="136"/>
      <c r="CK260" s="136"/>
      <c r="CL260" s="136"/>
      <c r="CM260" s="136"/>
      <c r="CN260" s="136"/>
      <c r="CO260" s="136"/>
      <c r="CP260" s="136"/>
      <c r="CQ260" s="136"/>
      <c r="CR260" s="136"/>
      <c r="CS260" s="136"/>
      <c r="CT260" s="136"/>
      <c r="CU260" s="136"/>
      <c r="CV260" s="136"/>
      <c r="CW260" s="136"/>
      <c r="CX260" s="136"/>
      <c r="CY260" s="136"/>
      <c r="CZ260" s="136"/>
      <c r="DA260" s="136"/>
      <c r="DB260" s="136"/>
      <c r="DC260" s="136"/>
      <c r="DD260" s="136"/>
      <c r="DE260" s="136"/>
      <c r="DF260" s="136"/>
      <c r="DG260" s="136"/>
      <c r="DH260" s="136"/>
      <c r="DI260" s="136"/>
      <c r="DJ260" s="136"/>
      <c r="DK260" s="136"/>
      <c r="DL260" s="136"/>
      <c r="DM260" s="136"/>
      <c r="DN260" s="136"/>
      <c r="DO260" s="136"/>
      <c r="DP260" s="136"/>
      <c r="DQ260" s="136"/>
      <c r="DR260" s="136"/>
      <c r="DS260" s="136"/>
      <c r="DT260" s="136"/>
      <c r="DU260" s="136"/>
      <c r="DV260" s="136"/>
      <c r="DW260" s="136"/>
      <c r="DX260" s="136"/>
      <c r="DY260" s="136"/>
      <c r="DZ260" s="136"/>
      <c r="EA260" s="136"/>
      <c r="EB260" s="136"/>
      <c r="EC260" s="136"/>
      <c r="ED260" s="136"/>
      <c r="EE260" s="136"/>
      <c r="EF260" s="136"/>
      <c r="EG260" s="136"/>
      <c r="EH260" s="136"/>
      <c r="EI260" s="136"/>
      <c r="EJ260" s="136"/>
      <c r="EK260" s="136"/>
      <c r="EL260" s="136"/>
      <c r="EM260" s="136"/>
      <c r="EN260" s="136"/>
      <c r="EO260" s="136"/>
      <c r="EP260" s="136"/>
      <c r="EQ260" s="136"/>
      <c r="ER260" s="136"/>
      <c r="ES260" s="136"/>
      <c r="ET260" s="136"/>
      <c r="EU260" s="136"/>
      <c r="EV260" s="136"/>
      <c r="EW260" s="136"/>
      <c r="EX260" s="136"/>
      <c r="EY260" s="136"/>
      <c r="EZ260" s="136"/>
      <c r="FA260" s="136"/>
      <c r="FB260" s="136"/>
      <c r="FC260" s="136"/>
      <c r="FD260" s="136"/>
      <c r="FE260" s="136"/>
      <c r="FF260" s="136"/>
      <c r="FG260" s="136"/>
      <c r="FH260" s="136"/>
      <c r="FI260" s="136"/>
      <c r="FJ260" s="136"/>
      <c r="FK260" s="136"/>
      <c r="FL260" s="136"/>
      <c r="FM260" s="136"/>
      <c r="FN260" s="136"/>
      <c r="FO260" s="136"/>
      <c r="FP260" s="136"/>
      <c r="FQ260" s="136"/>
      <c r="FR260" s="136"/>
      <c r="FS260" s="136"/>
      <c r="FT260" s="136"/>
      <c r="FU260" s="136"/>
      <c r="FV260" s="136"/>
      <c r="FW260" s="136"/>
      <c r="FX260" s="136"/>
      <c r="FY260" s="136"/>
      <c r="FZ260" s="136"/>
      <c r="GA260" s="136"/>
      <c r="GB260" s="136"/>
      <c r="GC260" s="136"/>
      <c r="GD260" s="136"/>
      <c r="GE260" s="136"/>
      <c r="GF260" s="136"/>
      <c r="GG260" s="136"/>
      <c r="GH260" s="136"/>
      <c r="GI260" s="136"/>
      <c r="GJ260" s="136"/>
      <c r="GK260" s="136"/>
      <c r="GL260" s="136"/>
      <c r="GM260" s="136"/>
      <c r="GN260" s="136"/>
      <c r="GO260" s="136"/>
      <c r="GP260" s="136"/>
      <c r="GQ260" s="136"/>
      <c r="GR260" s="136"/>
      <c r="GS260" s="136"/>
      <c r="GT260" s="136"/>
      <c r="GU260" s="136"/>
      <c r="GV260" s="136"/>
      <c r="GW260" s="136"/>
      <c r="GX260" s="136"/>
      <c r="GY260" s="136"/>
      <c r="GZ260" s="136"/>
      <c r="HA260" s="136"/>
      <c r="HB260" s="136"/>
      <c r="HC260" s="136"/>
      <c r="HD260" s="136"/>
      <c r="HE260" s="136"/>
      <c r="HF260" s="136"/>
      <c r="HG260" s="136"/>
      <c r="HH260" s="136"/>
      <c r="HI260" s="136"/>
      <c r="HJ260" s="136"/>
      <c r="HK260" s="136"/>
      <c r="HL260" s="136"/>
      <c r="HM260" s="136"/>
      <c r="HN260" s="136"/>
      <c r="HO260" s="136"/>
      <c r="HP260" s="136"/>
      <c r="HQ260" s="136"/>
      <c r="HR260" s="136"/>
      <c r="HS260" s="136"/>
      <c r="HT260" s="136"/>
      <c r="HU260" s="136"/>
      <c r="HV260" s="136"/>
      <c r="HW260" s="136"/>
      <c r="HX260" s="136"/>
      <c r="HY260" s="136"/>
      <c r="HZ260" s="136"/>
      <c r="IA260" s="136"/>
      <c r="IB260" s="136"/>
      <c r="IC260" s="136"/>
      <c r="ID260" s="136"/>
      <c r="IE260" s="136"/>
      <c r="IF260" s="136"/>
      <c r="IG260" s="136"/>
      <c r="IH260" s="136"/>
      <c r="II260" s="136"/>
      <c r="IJ260" s="136"/>
      <c r="IK260" s="136"/>
      <c r="IL260" s="136"/>
      <c r="IM260" s="136"/>
      <c r="IN260" s="136"/>
      <c r="IO260" s="136"/>
      <c r="IP260" s="136"/>
      <c r="IQ260" s="136"/>
      <c r="IR260" s="136"/>
      <c r="IS260" s="136"/>
      <c r="IT260" s="136"/>
      <c r="IU260" s="136"/>
    </row>
    <row r="261" spans="1:255" ht="105" x14ac:dyDescent="0.2">
      <c r="A261" s="242" t="str">
        <f>'HECVAT - Full'!A261</f>
        <v>VULN-03</v>
      </c>
      <c r="B261" s="242" t="str">
        <f>VLOOKUP(A261,'HECVAT - Full'!A$24:B$312,2,FALSE)</f>
        <v>Are your applications scanned for vulnerabilities prior to new releases?</v>
      </c>
      <c r="C261" s="275" t="s">
        <v>3051</v>
      </c>
      <c r="D261" s="248" t="s">
        <v>2973</v>
      </c>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c r="AC261" s="136"/>
      <c r="AD261" s="136"/>
      <c r="AE261" s="136"/>
      <c r="AF261" s="136"/>
      <c r="AG261" s="136"/>
      <c r="AH261" s="136"/>
      <c r="AI261" s="136"/>
      <c r="AJ261" s="136"/>
      <c r="AK261" s="136"/>
      <c r="AL261" s="136"/>
      <c r="AM261" s="136"/>
      <c r="AN261" s="136"/>
      <c r="AO261" s="136"/>
      <c r="AP261" s="136"/>
      <c r="AQ261" s="136"/>
      <c r="AR261" s="136"/>
      <c r="AS261" s="136"/>
      <c r="AT261" s="136"/>
      <c r="AU261" s="136"/>
      <c r="AV261" s="136"/>
      <c r="AW261" s="136"/>
      <c r="AX261" s="136"/>
      <c r="AY261" s="136"/>
      <c r="AZ261" s="136"/>
      <c r="BA261" s="136"/>
      <c r="BB261" s="136"/>
      <c r="BC261" s="136"/>
      <c r="BD261" s="136"/>
      <c r="BE261" s="136"/>
      <c r="BF261" s="136"/>
      <c r="BG261" s="136"/>
      <c r="BH261" s="136"/>
      <c r="BI261" s="136"/>
      <c r="BJ261" s="136"/>
      <c r="BK261" s="136"/>
      <c r="BL261" s="136"/>
      <c r="BM261" s="136"/>
      <c r="BN261" s="136"/>
      <c r="BO261" s="136"/>
      <c r="BP261" s="136"/>
      <c r="BQ261" s="136"/>
      <c r="BR261" s="136"/>
      <c r="BS261" s="136"/>
      <c r="BT261" s="136"/>
      <c r="BU261" s="136"/>
      <c r="BV261" s="136"/>
      <c r="BW261" s="136"/>
      <c r="BX261" s="136"/>
      <c r="BY261" s="136"/>
      <c r="BZ261" s="136"/>
      <c r="CA261" s="136"/>
      <c r="CB261" s="136"/>
      <c r="CC261" s="136"/>
      <c r="CD261" s="136"/>
      <c r="CE261" s="136"/>
      <c r="CF261" s="136"/>
      <c r="CG261" s="136"/>
      <c r="CH261" s="136"/>
      <c r="CI261" s="136"/>
      <c r="CJ261" s="136"/>
      <c r="CK261" s="136"/>
      <c r="CL261" s="136"/>
      <c r="CM261" s="136"/>
      <c r="CN261" s="136"/>
      <c r="CO261" s="136"/>
      <c r="CP261" s="136"/>
      <c r="CQ261" s="136"/>
      <c r="CR261" s="136"/>
      <c r="CS261" s="136"/>
      <c r="CT261" s="136"/>
      <c r="CU261" s="136"/>
      <c r="CV261" s="136"/>
      <c r="CW261" s="136"/>
      <c r="CX261" s="136"/>
      <c r="CY261" s="136"/>
      <c r="CZ261" s="136"/>
      <c r="DA261" s="136"/>
      <c r="DB261" s="136"/>
      <c r="DC261" s="136"/>
      <c r="DD261" s="136"/>
      <c r="DE261" s="136"/>
      <c r="DF261" s="136"/>
      <c r="DG261" s="136"/>
      <c r="DH261" s="136"/>
      <c r="DI261" s="136"/>
      <c r="DJ261" s="136"/>
      <c r="DK261" s="136"/>
      <c r="DL261" s="136"/>
      <c r="DM261" s="136"/>
      <c r="DN261" s="136"/>
      <c r="DO261" s="136"/>
      <c r="DP261" s="136"/>
      <c r="DQ261" s="136"/>
      <c r="DR261" s="136"/>
      <c r="DS261" s="136"/>
      <c r="DT261" s="136"/>
      <c r="DU261" s="136"/>
      <c r="DV261" s="136"/>
      <c r="DW261" s="136"/>
      <c r="DX261" s="136"/>
      <c r="DY261" s="136"/>
      <c r="DZ261" s="136"/>
      <c r="EA261" s="136"/>
      <c r="EB261" s="136"/>
      <c r="EC261" s="136"/>
      <c r="ED261" s="136"/>
      <c r="EE261" s="136"/>
      <c r="EF261" s="136"/>
      <c r="EG261" s="136"/>
      <c r="EH261" s="136"/>
      <c r="EI261" s="136"/>
      <c r="EJ261" s="136"/>
      <c r="EK261" s="136"/>
      <c r="EL261" s="136"/>
      <c r="EM261" s="136"/>
      <c r="EN261" s="136"/>
      <c r="EO261" s="136"/>
      <c r="EP261" s="136"/>
      <c r="EQ261" s="136"/>
      <c r="ER261" s="136"/>
      <c r="ES261" s="136"/>
      <c r="ET261" s="136"/>
      <c r="EU261" s="136"/>
      <c r="EV261" s="136"/>
      <c r="EW261" s="136"/>
      <c r="EX261" s="136"/>
      <c r="EY261" s="136"/>
      <c r="EZ261" s="136"/>
      <c r="FA261" s="136"/>
      <c r="FB261" s="136"/>
      <c r="FC261" s="136"/>
      <c r="FD261" s="136"/>
      <c r="FE261" s="136"/>
      <c r="FF261" s="136"/>
      <c r="FG261" s="136"/>
      <c r="FH261" s="136"/>
      <c r="FI261" s="136"/>
      <c r="FJ261" s="136"/>
      <c r="FK261" s="136"/>
      <c r="FL261" s="136"/>
      <c r="FM261" s="136"/>
      <c r="FN261" s="136"/>
      <c r="FO261" s="136"/>
      <c r="FP261" s="136"/>
      <c r="FQ261" s="136"/>
      <c r="FR261" s="136"/>
      <c r="FS261" s="136"/>
      <c r="FT261" s="136"/>
      <c r="FU261" s="136"/>
      <c r="FV261" s="136"/>
      <c r="FW261" s="136"/>
      <c r="FX261" s="136"/>
      <c r="FY261" s="136"/>
      <c r="FZ261" s="136"/>
      <c r="GA261" s="136"/>
      <c r="GB261" s="136"/>
      <c r="GC261" s="136"/>
      <c r="GD261" s="136"/>
      <c r="GE261" s="136"/>
      <c r="GF261" s="136"/>
      <c r="GG261" s="136"/>
      <c r="GH261" s="136"/>
      <c r="GI261" s="136"/>
      <c r="GJ261" s="136"/>
      <c r="GK261" s="136"/>
      <c r="GL261" s="136"/>
      <c r="GM261" s="136"/>
      <c r="GN261" s="136"/>
      <c r="GO261" s="136"/>
      <c r="GP261" s="136"/>
      <c r="GQ261" s="136"/>
      <c r="GR261" s="136"/>
      <c r="GS261" s="136"/>
      <c r="GT261" s="136"/>
      <c r="GU261" s="136"/>
      <c r="GV261" s="136"/>
      <c r="GW261" s="136"/>
      <c r="GX261" s="136"/>
      <c r="GY261" s="136"/>
      <c r="GZ261" s="136"/>
      <c r="HA261" s="136"/>
      <c r="HB261" s="136"/>
      <c r="HC261" s="136"/>
      <c r="HD261" s="136"/>
      <c r="HE261" s="136"/>
      <c r="HF261" s="136"/>
      <c r="HG261" s="136"/>
      <c r="HH261" s="136"/>
      <c r="HI261" s="136"/>
      <c r="HJ261" s="136"/>
      <c r="HK261" s="136"/>
      <c r="HL261" s="136"/>
      <c r="HM261" s="136"/>
      <c r="HN261" s="136"/>
      <c r="HO261" s="136"/>
      <c r="HP261" s="136"/>
      <c r="HQ261" s="136"/>
      <c r="HR261" s="136"/>
      <c r="HS261" s="136"/>
      <c r="HT261" s="136"/>
      <c r="HU261" s="136"/>
      <c r="HV261" s="136"/>
      <c r="HW261" s="136"/>
      <c r="HX261" s="136"/>
      <c r="HY261" s="136"/>
      <c r="HZ261" s="136"/>
      <c r="IA261" s="136"/>
      <c r="IB261" s="136"/>
      <c r="IC261" s="136"/>
      <c r="ID261" s="136"/>
      <c r="IE261" s="136"/>
      <c r="IF261" s="136"/>
      <c r="IG261" s="136"/>
      <c r="IH261" s="136"/>
      <c r="II261" s="136"/>
      <c r="IJ261" s="136"/>
      <c r="IK261" s="136"/>
      <c r="IL261" s="136"/>
      <c r="IM261" s="136"/>
      <c r="IN261" s="136"/>
      <c r="IO261" s="136"/>
      <c r="IP261" s="136"/>
      <c r="IQ261" s="136"/>
      <c r="IR261" s="136"/>
      <c r="IS261" s="136"/>
      <c r="IT261" s="136"/>
      <c r="IU261" s="136"/>
    </row>
    <row r="262" spans="1:255" ht="120" x14ac:dyDescent="0.2">
      <c r="A262" s="242" t="str">
        <f>'HECVAT - Full'!A262</f>
        <v>VULN-04</v>
      </c>
      <c r="B262" s="242" t="str">
        <f>VLOOKUP(A262,'HECVAT - Full'!A$24:B$312,2,FALSE)</f>
        <v>Are your systems scanned externally for vulnerabilities?</v>
      </c>
      <c r="C262" s="275" t="s">
        <v>3052</v>
      </c>
      <c r="D262" s="278" t="s">
        <v>3047</v>
      </c>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c r="AC262" s="136"/>
      <c r="AD262" s="136"/>
      <c r="AE262" s="136"/>
      <c r="AF262" s="136"/>
      <c r="AG262" s="136"/>
      <c r="AH262" s="136"/>
      <c r="AI262" s="136"/>
      <c r="AJ262" s="136"/>
      <c r="AK262" s="136"/>
      <c r="AL262" s="136"/>
      <c r="AM262" s="136"/>
      <c r="AN262" s="136"/>
      <c r="AO262" s="136"/>
      <c r="AP262" s="136"/>
      <c r="AQ262" s="136"/>
      <c r="AR262" s="136"/>
      <c r="AS262" s="136"/>
      <c r="AT262" s="136"/>
      <c r="AU262" s="136"/>
      <c r="AV262" s="136"/>
      <c r="AW262" s="136"/>
      <c r="AX262" s="136"/>
      <c r="AY262" s="136"/>
      <c r="AZ262" s="136"/>
      <c r="BA262" s="136"/>
      <c r="BB262" s="136"/>
      <c r="BC262" s="136"/>
      <c r="BD262" s="136"/>
      <c r="BE262" s="136"/>
      <c r="BF262" s="136"/>
      <c r="BG262" s="136"/>
      <c r="BH262" s="136"/>
      <c r="BI262" s="136"/>
      <c r="BJ262" s="136"/>
      <c r="BK262" s="136"/>
      <c r="BL262" s="136"/>
      <c r="BM262" s="136"/>
      <c r="BN262" s="136"/>
      <c r="BO262" s="136"/>
      <c r="BP262" s="136"/>
      <c r="BQ262" s="136"/>
      <c r="BR262" s="136"/>
      <c r="BS262" s="136"/>
      <c r="BT262" s="136"/>
      <c r="BU262" s="136"/>
      <c r="BV262" s="136"/>
      <c r="BW262" s="136"/>
      <c r="BX262" s="136"/>
      <c r="BY262" s="136"/>
      <c r="BZ262" s="136"/>
      <c r="CA262" s="136"/>
      <c r="CB262" s="136"/>
      <c r="CC262" s="136"/>
      <c r="CD262" s="136"/>
      <c r="CE262" s="136"/>
      <c r="CF262" s="136"/>
      <c r="CG262" s="136"/>
      <c r="CH262" s="136"/>
      <c r="CI262" s="136"/>
      <c r="CJ262" s="136"/>
      <c r="CK262" s="136"/>
      <c r="CL262" s="136"/>
      <c r="CM262" s="136"/>
      <c r="CN262" s="136"/>
      <c r="CO262" s="136"/>
      <c r="CP262" s="136"/>
      <c r="CQ262" s="136"/>
      <c r="CR262" s="136"/>
      <c r="CS262" s="136"/>
      <c r="CT262" s="136"/>
      <c r="CU262" s="136"/>
      <c r="CV262" s="136"/>
      <c r="CW262" s="136"/>
      <c r="CX262" s="136"/>
      <c r="CY262" s="136"/>
      <c r="CZ262" s="136"/>
      <c r="DA262" s="136"/>
      <c r="DB262" s="136"/>
      <c r="DC262" s="136"/>
      <c r="DD262" s="136"/>
      <c r="DE262" s="136"/>
      <c r="DF262" s="136"/>
      <c r="DG262" s="136"/>
      <c r="DH262" s="136"/>
      <c r="DI262" s="136"/>
      <c r="DJ262" s="136"/>
      <c r="DK262" s="136"/>
      <c r="DL262" s="136"/>
      <c r="DM262" s="136"/>
      <c r="DN262" s="136"/>
      <c r="DO262" s="136"/>
      <c r="DP262" s="136"/>
      <c r="DQ262" s="136"/>
      <c r="DR262" s="136"/>
      <c r="DS262" s="136"/>
      <c r="DT262" s="136"/>
      <c r="DU262" s="136"/>
      <c r="DV262" s="136"/>
      <c r="DW262" s="136"/>
      <c r="DX262" s="136"/>
      <c r="DY262" s="136"/>
      <c r="DZ262" s="136"/>
      <c r="EA262" s="136"/>
      <c r="EB262" s="136"/>
      <c r="EC262" s="136"/>
      <c r="ED262" s="136"/>
      <c r="EE262" s="136"/>
      <c r="EF262" s="136"/>
      <c r="EG262" s="136"/>
      <c r="EH262" s="136"/>
      <c r="EI262" s="136"/>
      <c r="EJ262" s="136"/>
      <c r="EK262" s="136"/>
      <c r="EL262" s="136"/>
      <c r="EM262" s="136"/>
      <c r="EN262" s="136"/>
      <c r="EO262" s="136"/>
      <c r="EP262" s="136"/>
      <c r="EQ262" s="136"/>
      <c r="ER262" s="136"/>
      <c r="ES262" s="136"/>
      <c r="ET262" s="136"/>
      <c r="EU262" s="136"/>
      <c r="EV262" s="136"/>
      <c r="EW262" s="136"/>
      <c r="EX262" s="136"/>
      <c r="EY262" s="136"/>
      <c r="EZ262" s="136"/>
      <c r="FA262" s="136"/>
      <c r="FB262" s="136"/>
      <c r="FC262" s="136"/>
      <c r="FD262" s="136"/>
      <c r="FE262" s="136"/>
      <c r="FF262" s="136"/>
      <c r="FG262" s="136"/>
      <c r="FH262" s="136"/>
      <c r="FI262" s="136"/>
      <c r="FJ262" s="136"/>
      <c r="FK262" s="136"/>
      <c r="FL262" s="136"/>
      <c r="FM262" s="136"/>
      <c r="FN262" s="136"/>
      <c r="FO262" s="136"/>
      <c r="FP262" s="136"/>
      <c r="FQ262" s="136"/>
      <c r="FR262" s="136"/>
      <c r="FS262" s="136"/>
      <c r="FT262" s="136"/>
      <c r="FU262" s="136"/>
      <c r="FV262" s="136"/>
      <c r="FW262" s="136"/>
      <c r="FX262" s="136"/>
      <c r="FY262" s="136"/>
      <c r="FZ262" s="136"/>
      <c r="GA262" s="136"/>
      <c r="GB262" s="136"/>
      <c r="GC262" s="136"/>
      <c r="GD262" s="136"/>
      <c r="GE262" s="136"/>
      <c r="GF262" s="136"/>
      <c r="GG262" s="136"/>
      <c r="GH262" s="136"/>
      <c r="GI262" s="136"/>
      <c r="GJ262" s="136"/>
      <c r="GK262" s="136"/>
      <c r="GL262" s="136"/>
      <c r="GM262" s="136"/>
      <c r="GN262" s="136"/>
      <c r="GO262" s="136"/>
      <c r="GP262" s="136"/>
      <c r="GQ262" s="136"/>
      <c r="GR262" s="136"/>
      <c r="GS262" s="136"/>
      <c r="GT262" s="136"/>
      <c r="GU262" s="136"/>
      <c r="GV262" s="136"/>
      <c r="GW262" s="136"/>
      <c r="GX262" s="136"/>
      <c r="GY262" s="136"/>
      <c r="GZ262" s="136"/>
      <c r="HA262" s="136"/>
      <c r="HB262" s="136"/>
      <c r="HC262" s="136"/>
      <c r="HD262" s="136"/>
      <c r="HE262" s="136"/>
      <c r="HF262" s="136"/>
      <c r="HG262" s="136"/>
      <c r="HH262" s="136"/>
      <c r="HI262" s="136"/>
      <c r="HJ262" s="136"/>
      <c r="HK262" s="136"/>
      <c r="HL262" s="136"/>
      <c r="HM262" s="136"/>
      <c r="HN262" s="136"/>
      <c r="HO262" s="136"/>
      <c r="HP262" s="136"/>
      <c r="HQ262" s="136"/>
      <c r="HR262" s="136"/>
      <c r="HS262" s="136"/>
      <c r="HT262" s="136"/>
      <c r="HU262" s="136"/>
      <c r="HV262" s="136"/>
      <c r="HW262" s="136"/>
      <c r="HX262" s="136"/>
      <c r="HY262" s="136"/>
      <c r="HZ262" s="136"/>
      <c r="IA262" s="136"/>
      <c r="IB262" s="136"/>
      <c r="IC262" s="136"/>
      <c r="ID262" s="136"/>
      <c r="IE262" s="136"/>
      <c r="IF262" s="136"/>
      <c r="IG262" s="136"/>
      <c r="IH262" s="136"/>
      <c r="II262" s="136"/>
      <c r="IJ262" s="136"/>
      <c r="IK262" s="136"/>
      <c r="IL262" s="136"/>
      <c r="IM262" s="136"/>
      <c r="IN262" s="136"/>
      <c r="IO262" s="136"/>
      <c r="IP262" s="136"/>
      <c r="IQ262" s="136"/>
      <c r="IR262" s="136"/>
      <c r="IS262" s="136"/>
      <c r="IT262" s="136"/>
      <c r="IU262" s="136"/>
    </row>
    <row r="263" spans="1:255" ht="120" x14ac:dyDescent="0.2">
      <c r="A263" s="242" t="str">
        <f>'HECVAT - Full'!A263</f>
        <v>VULN-05</v>
      </c>
      <c r="B263" s="242" t="str">
        <f>VLOOKUP(A263,'HECVAT - Full'!A$24:B$312,2,FALSE)</f>
        <v>Have your systems had an external vulnerability assessment in the last year?</v>
      </c>
      <c r="C263" s="275" t="s">
        <v>3052</v>
      </c>
      <c r="D263" s="278" t="s">
        <v>3047</v>
      </c>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c r="AC263" s="136"/>
      <c r="AD263" s="136"/>
      <c r="AE263" s="136"/>
      <c r="AF263" s="136"/>
      <c r="AG263" s="136"/>
      <c r="AH263" s="136"/>
      <c r="AI263" s="136"/>
      <c r="AJ263" s="136"/>
      <c r="AK263" s="136"/>
      <c r="AL263" s="136"/>
      <c r="AM263" s="136"/>
      <c r="AN263" s="136"/>
      <c r="AO263" s="136"/>
      <c r="AP263" s="136"/>
      <c r="AQ263" s="136"/>
      <c r="AR263" s="136"/>
      <c r="AS263" s="136"/>
      <c r="AT263" s="136"/>
      <c r="AU263" s="136"/>
      <c r="AV263" s="136"/>
      <c r="AW263" s="136"/>
      <c r="AX263" s="136"/>
      <c r="AY263" s="136"/>
      <c r="AZ263" s="136"/>
      <c r="BA263" s="136"/>
      <c r="BB263" s="136"/>
      <c r="BC263" s="136"/>
      <c r="BD263" s="136"/>
      <c r="BE263" s="136"/>
      <c r="BF263" s="136"/>
      <c r="BG263" s="136"/>
      <c r="BH263" s="136"/>
      <c r="BI263" s="136"/>
      <c r="BJ263" s="136"/>
      <c r="BK263" s="136"/>
      <c r="BL263" s="136"/>
      <c r="BM263" s="136"/>
      <c r="BN263" s="136"/>
      <c r="BO263" s="136"/>
      <c r="BP263" s="136"/>
      <c r="BQ263" s="136"/>
      <c r="BR263" s="136"/>
      <c r="BS263" s="136"/>
      <c r="BT263" s="136"/>
      <c r="BU263" s="136"/>
      <c r="BV263" s="136"/>
      <c r="BW263" s="136"/>
      <c r="BX263" s="136"/>
      <c r="BY263" s="136"/>
      <c r="BZ263" s="136"/>
      <c r="CA263" s="136"/>
      <c r="CB263" s="136"/>
      <c r="CC263" s="136"/>
      <c r="CD263" s="136"/>
      <c r="CE263" s="136"/>
      <c r="CF263" s="136"/>
      <c r="CG263" s="136"/>
      <c r="CH263" s="136"/>
      <c r="CI263" s="136"/>
      <c r="CJ263" s="136"/>
      <c r="CK263" s="136"/>
      <c r="CL263" s="136"/>
      <c r="CM263" s="136"/>
      <c r="CN263" s="136"/>
      <c r="CO263" s="136"/>
      <c r="CP263" s="136"/>
      <c r="CQ263" s="136"/>
      <c r="CR263" s="136"/>
      <c r="CS263" s="136"/>
      <c r="CT263" s="136"/>
      <c r="CU263" s="136"/>
      <c r="CV263" s="136"/>
      <c r="CW263" s="136"/>
      <c r="CX263" s="136"/>
      <c r="CY263" s="136"/>
      <c r="CZ263" s="136"/>
      <c r="DA263" s="136"/>
      <c r="DB263" s="136"/>
      <c r="DC263" s="136"/>
      <c r="DD263" s="136"/>
      <c r="DE263" s="136"/>
      <c r="DF263" s="136"/>
      <c r="DG263" s="136"/>
      <c r="DH263" s="136"/>
      <c r="DI263" s="136"/>
      <c r="DJ263" s="136"/>
      <c r="DK263" s="136"/>
      <c r="DL263" s="136"/>
      <c r="DM263" s="136"/>
      <c r="DN263" s="136"/>
      <c r="DO263" s="136"/>
      <c r="DP263" s="136"/>
      <c r="DQ263" s="136"/>
      <c r="DR263" s="136"/>
      <c r="DS263" s="136"/>
      <c r="DT263" s="136"/>
      <c r="DU263" s="136"/>
      <c r="DV263" s="136"/>
      <c r="DW263" s="136"/>
      <c r="DX263" s="136"/>
      <c r="DY263" s="136"/>
      <c r="DZ263" s="136"/>
      <c r="EA263" s="136"/>
      <c r="EB263" s="136"/>
      <c r="EC263" s="136"/>
      <c r="ED263" s="136"/>
      <c r="EE263" s="136"/>
      <c r="EF263" s="136"/>
      <c r="EG263" s="136"/>
      <c r="EH263" s="136"/>
      <c r="EI263" s="136"/>
      <c r="EJ263" s="136"/>
      <c r="EK263" s="136"/>
      <c r="EL263" s="136"/>
      <c r="EM263" s="136"/>
      <c r="EN263" s="136"/>
      <c r="EO263" s="136"/>
      <c r="EP263" s="136"/>
      <c r="EQ263" s="136"/>
      <c r="ER263" s="136"/>
      <c r="ES263" s="136"/>
      <c r="ET263" s="136"/>
      <c r="EU263" s="136"/>
      <c r="EV263" s="136"/>
      <c r="EW263" s="136"/>
      <c r="EX263" s="136"/>
      <c r="EY263" s="136"/>
      <c r="EZ263" s="136"/>
      <c r="FA263" s="136"/>
      <c r="FB263" s="136"/>
      <c r="FC263" s="136"/>
      <c r="FD263" s="136"/>
      <c r="FE263" s="136"/>
      <c r="FF263" s="136"/>
      <c r="FG263" s="136"/>
      <c r="FH263" s="136"/>
      <c r="FI263" s="136"/>
      <c r="FJ263" s="136"/>
      <c r="FK263" s="136"/>
      <c r="FL263" s="136"/>
      <c r="FM263" s="136"/>
      <c r="FN263" s="136"/>
      <c r="FO263" s="136"/>
      <c r="FP263" s="136"/>
      <c r="FQ263" s="136"/>
      <c r="FR263" s="136"/>
      <c r="FS263" s="136"/>
      <c r="FT263" s="136"/>
      <c r="FU263" s="136"/>
      <c r="FV263" s="136"/>
      <c r="FW263" s="136"/>
      <c r="FX263" s="136"/>
      <c r="FY263" s="136"/>
      <c r="FZ263" s="136"/>
      <c r="GA263" s="136"/>
      <c r="GB263" s="136"/>
      <c r="GC263" s="136"/>
      <c r="GD263" s="136"/>
      <c r="GE263" s="136"/>
      <c r="GF263" s="136"/>
      <c r="GG263" s="136"/>
      <c r="GH263" s="136"/>
      <c r="GI263" s="136"/>
      <c r="GJ263" s="136"/>
      <c r="GK263" s="136"/>
      <c r="GL263" s="136"/>
      <c r="GM263" s="136"/>
      <c r="GN263" s="136"/>
      <c r="GO263" s="136"/>
      <c r="GP263" s="136"/>
      <c r="GQ263" s="136"/>
      <c r="GR263" s="136"/>
      <c r="GS263" s="136"/>
      <c r="GT263" s="136"/>
      <c r="GU263" s="136"/>
      <c r="GV263" s="136"/>
      <c r="GW263" s="136"/>
      <c r="GX263" s="136"/>
      <c r="GY263" s="136"/>
      <c r="GZ263" s="136"/>
      <c r="HA263" s="136"/>
      <c r="HB263" s="136"/>
      <c r="HC263" s="136"/>
      <c r="HD263" s="136"/>
      <c r="HE263" s="136"/>
      <c r="HF263" s="136"/>
      <c r="HG263" s="136"/>
      <c r="HH263" s="136"/>
      <c r="HI263" s="136"/>
      <c r="HJ263" s="136"/>
      <c r="HK263" s="136"/>
      <c r="HL263" s="136"/>
      <c r="HM263" s="136"/>
      <c r="HN263" s="136"/>
      <c r="HO263" s="136"/>
      <c r="HP263" s="136"/>
      <c r="HQ263" s="136"/>
      <c r="HR263" s="136"/>
      <c r="HS263" s="136"/>
      <c r="HT263" s="136"/>
      <c r="HU263" s="136"/>
      <c r="HV263" s="136"/>
      <c r="HW263" s="136"/>
      <c r="HX263" s="136"/>
      <c r="HY263" s="136"/>
      <c r="HZ263" s="136"/>
      <c r="IA263" s="136"/>
      <c r="IB263" s="136"/>
      <c r="IC263" s="136"/>
      <c r="ID263" s="136"/>
      <c r="IE263" s="136"/>
      <c r="IF263" s="136"/>
      <c r="IG263" s="136"/>
      <c r="IH263" s="136"/>
      <c r="II263" s="136"/>
      <c r="IJ263" s="136"/>
      <c r="IK263" s="136"/>
      <c r="IL263" s="136"/>
      <c r="IM263" s="136"/>
      <c r="IN263" s="136"/>
      <c r="IO263" s="136"/>
      <c r="IP263" s="136"/>
      <c r="IQ263" s="136"/>
      <c r="IR263" s="136"/>
      <c r="IS263" s="136"/>
      <c r="IT263" s="136"/>
      <c r="IU263" s="136"/>
    </row>
    <row r="264" spans="1:255" ht="105" x14ac:dyDescent="0.2">
      <c r="A264" s="242" t="str">
        <f>'HECVAT - Full'!A264</f>
        <v>VULN-06</v>
      </c>
      <c r="B264" s="242" t="str">
        <f>VLOOKUP(A264,'HECVAT - Full'!A$24:B$312,2,FALSE)</f>
        <v>Describe or provide a reference to the tool(s) used to scan for vulnerabilities in your applications and systems.</v>
      </c>
      <c r="C264" s="243" t="s">
        <v>2974</v>
      </c>
      <c r="D264" s="271" t="s">
        <v>3053</v>
      </c>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c r="AC264" s="136"/>
      <c r="AD264" s="136"/>
      <c r="AE264" s="136"/>
      <c r="AF264" s="136"/>
      <c r="AG264" s="136"/>
      <c r="AH264" s="136"/>
      <c r="AI264" s="136"/>
      <c r="AJ264" s="136"/>
      <c r="AK264" s="136"/>
      <c r="AL264" s="136"/>
      <c r="AM264" s="136"/>
      <c r="AN264" s="136"/>
      <c r="AO264" s="136"/>
      <c r="AP264" s="136"/>
      <c r="AQ264" s="136"/>
      <c r="AR264" s="136"/>
      <c r="AS264" s="136"/>
      <c r="AT264" s="136"/>
      <c r="AU264" s="136"/>
      <c r="AV264" s="136"/>
      <c r="AW264" s="136"/>
      <c r="AX264" s="136"/>
      <c r="AY264" s="136"/>
      <c r="AZ264" s="136"/>
      <c r="BA264" s="136"/>
      <c r="BB264" s="136"/>
      <c r="BC264" s="136"/>
      <c r="BD264" s="136"/>
      <c r="BE264" s="136"/>
      <c r="BF264" s="136"/>
      <c r="BG264" s="136"/>
      <c r="BH264" s="136"/>
      <c r="BI264" s="136"/>
      <c r="BJ264" s="136"/>
      <c r="BK264" s="136"/>
      <c r="BL264" s="136"/>
      <c r="BM264" s="136"/>
      <c r="BN264" s="136"/>
      <c r="BO264" s="136"/>
      <c r="BP264" s="136"/>
      <c r="BQ264" s="136"/>
      <c r="BR264" s="136"/>
      <c r="BS264" s="136"/>
      <c r="BT264" s="136"/>
      <c r="BU264" s="136"/>
      <c r="BV264" s="136"/>
      <c r="BW264" s="136"/>
      <c r="BX264" s="136"/>
      <c r="BY264" s="136"/>
      <c r="BZ264" s="136"/>
      <c r="CA264" s="136"/>
      <c r="CB264" s="136"/>
      <c r="CC264" s="136"/>
      <c r="CD264" s="136"/>
      <c r="CE264" s="136"/>
      <c r="CF264" s="136"/>
      <c r="CG264" s="136"/>
      <c r="CH264" s="136"/>
      <c r="CI264" s="136"/>
      <c r="CJ264" s="136"/>
      <c r="CK264" s="136"/>
      <c r="CL264" s="136"/>
      <c r="CM264" s="136"/>
      <c r="CN264" s="136"/>
      <c r="CO264" s="136"/>
      <c r="CP264" s="136"/>
      <c r="CQ264" s="136"/>
      <c r="CR264" s="136"/>
      <c r="CS264" s="136"/>
      <c r="CT264" s="136"/>
      <c r="CU264" s="136"/>
      <c r="CV264" s="136"/>
      <c r="CW264" s="136"/>
      <c r="CX264" s="136"/>
      <c r="CY264" s="136"/>
      <c r="CZ264" s="136"/>
      <c r="DA264" s="136"/>
      <c r="DB264" s="136"/>
      <c r="DC264" s="136"/>
      <c r="DD264" s="136"/>
      <c r="DE264" s="136"/>
      <c r="DF264" s="136"/>
      <c r="DG264" s="136"/>
      <c r="DH264" s="136"/>
      <c r="DI264" s="136"/>
      <c r="DJ264" s="136"/>
      <c r="DK264" s="136"/>
      <c r="DL264" s="136"/>
      <c r="DM264" s="136"/>
      <c r="DN264" s="136"/>
      <c r="DO264" s="136"/>
      <c r="DP264" s="136"/>
      <c r="DQ264" s="136"/>
      <c r="DR264" s="136"/>
      <c r="DS264" s="136"/>
      <c r="DT264" s="136"/>
      <c r="DU264" s="136"/>
      <c r="DV264" s="136"/>
      <c r="DW264" s="136"/>
      <c r="DX264" s="136"/>
      <c r="DY264" s="136"/>
      <c r="DZ264" s="136"/>
      <c r="EA264" s="136"/>
      <c r="EB264" s="136"/>
      <c r="EC264" s="136"/>
      <c r="ED264" s="136"/>
      <c r="EE264" s="136"/>
      <c r="EF264" s="136"/>
      <c r="EG264" s="136"/>
      <c r="EH264" s="136"/>
      <c r="EI264" s="136"/>
      <c r="EJ264" s="136"/>
      <c r="EK264" s="136"/>
      <c r="EL264" s="136"/>
      <c r="EM264" s="136"/>
      <c r="EN264" s="136"/>
      <c r="EO264" s="136"/>
      <c r="EP264" s="136"/>
      <c r="EQ264" s="136"/>
      <c r="ER264" s="136"/>
      <c r="ES264" s="136"/>
      <c r="ET264" s="136"/>
      <c r="EU264" s="136"/>
      <c r="EV264" s="136"/>
      <c r="EW264" s="136"/>
      <c r="EX264" s="136"/>
      <c r="EY264" s="136"/>
      <c r="EZ264" s="136"/>
      <c r="FA264" s="136"/>
      <c r="FB264" s="136"/>
      <c r="FC264" s="136"/>
      <c r="FD264" s="136"/>
      <c r="FE264" s="136"/>
      <c r="FF264" s="136"/>
      <c r="FG264" s="136"/>
      <c r="FH264" s="136"/>
      <c r="FI264" s="136"/>
      <c r="FJ264" s="136"/>
      <c r="FK264" s="136"/>
      <c r="FL264" s="136"/>
      <c r="FM264" s="136"/>
      <c r="FN264" s="136"/>
      <c r="FO264" s="136"/>
      <c r="FP264" s="136"/>
      <c r="FQ264" s="136"/>
      <c r="FR264" s="136"/>
      <c r="FS264" s="136"/>
      <c r="FT264" s="136"/>
      <c r="FU264" s="136"/>
      <c r="FV264" s="136"/>
      <c r="FW264" s="136"/>
      <c r="FX264" s="136"/>
      <c r="FY264" s="136"/>
      <c r="FZ264" s="136"/>
      <c r="GA264" s="136"/>
      <c r="GB264" s="136"/>
      <c r="GC264" s="136"/>
      <c r="GD264" s="136"/>
      <c r="GE264" s="136"/>
      <c r="GF264" s="136"/>
      <c r="GG264" s="136"/>
      <c r="GH264" s="136"/>
      <c r="GI264" s="136"/>
      <c r="GJ264" s="136"/>
      <c r="GK264" s="136"/>
      <c r="GL264" s="136"/>
      <c r="GM264" s="136"/>
      <c r="GN264" s="136"/>
      <c r="GO264" s="136"/>
      <c r="GP264" s="136"/>
      <c r="GQ264" s="136"/>
      <c r="GR264" s="136"/>
      <c r="GS264" s="136"/>
      <c r="GT264" s="136"/>
      <c r="GU264" s="136"/>
      <c r="GV264" s="136"/>
      <c r="GW264" s="136"/>
      <c r="GX264" s="136"/>
      <c r="GY264" s="136"/>
      <c r="GZ264" s="136"/>
      <c r="HA264" s="136"/>
      <c r="HB264" s="136"/>
      <c r="HC264" s="136"/>
      <c r="HD264" s="136"/>
      <c r="HE264" s="136"/>
      <c r="HF264" s="136"/>
      <c r="HG264" s="136"/>
      <c r="HH264" s="136"/>
      <c r="HI264" s="136"/>
      <c r="HJ264" s="136"/>
      <c r="HK264" s="136"/>
      <c r="HL264" s="136"/>
      <c r="HM264" s="136"/>
      <c r="HN264" s="136"/>
      <c r="HO264" s="136"/>
      <c r="HP264" s="136"/>
      <c r="HQ264" s="136"/>
      <c r="HR264" s="136"/>
      <c r="HS264" s="136"/>
      <c r="HT264" s="136"/>
      <c r="HU264" s="136"/>
      <c r="HV264" s="136"/>
      <c r="HW264" s="136"/>
      <c r="HX264" s="136"/>
      <c r="HY264" s="136"/>
      <c r="HZ264" s="136"/>
      <c r="IA264" s="136"/>
      <c r="IB264" s="136"/>
      <c r="IC264" s="136"/>
      <c r="ID264" s="136"/>
      <c r="IE264" s="136"/>
      <c r="IF264" s="136"/>
      <c r="IG264" s="136"/>
      <c r="IH264" s="136"/>
      <c r="II264" s="136"/>
      <c r="IJ264" s="136"/>
      <c r="IK264" s="136"/>
      <c r="IL264" s="136"/>
      <c r="IM264" s="136"/>
      <c r="IN264" s="136"/>
      <c r="IO264" s="136"/>
      <c r="IP264" s="136"/>
      <c r="IQ264" s="136"/>
      <c r="IR264" s="136"/>
      <c r="IS264" s="136"/>
      <c r="IT264" s="136"/>
      <c r="IU264" s="136"/>
    </row>
    <row r="265" spans="1:255" ht="60" x14ac:dyDescent="0.2">
      <c r="A265" s="242" t="str">
        <f>'HECVAT - Full'!A265</f>
        <v>VULN-07</v>
      </c>
      <c r="B265" s="242" t="str">
        <f>VLOOKUP(A265,'HECVAT - Full'!A$24:B$312,2,FALSE)</f>
        <v>Will you provide results of security scans to the Institution?</v>
      </c>
      <c r="C265" s="271" t="s">
        <v>3054</v>
      </c>
      <c r="D265" s="253" t="s">
        <v>2975</v>
      </c>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c r="AC265" s="136"/>
      <c r="AD265" s="136"/>
      <c r="AE265" s="136"/>
      <c r="AF265" s="136"/>
      <c r="AG265" s="136"/>
      <c r="AH265" s="136"/>
      <c r="AI265" s="136"/>
      <c r="AJ265" s="136"/>
      <c r="AK265" s="136"/>
      <c r="AL265" s="136"/>
      <c r="AM265" s="136"/>
      <c r="AN265" s="136"/>
      <c r="AO265" s="136"/>
      <c r="AP265" s="136"/>
      <c r="AQ265" s="136"/>
      <c r="AR265" s="136"/>
      <c r="AS265" s="136"/>
      <c r="AT265" s="136"/>
      <c r="AU265" s="136"/>
      <c r="AV265" s="136"/>
      <c r="AW265" s="136"/>
      <c r="AX265" s="136"/>
      <c r="AY265" s="136"/>
      <c r="AZ265" s="136"/>
      <c r="BA265" s="136"/>
      <c r="BB265" s="136"/>
      <c r="BC265" s="136"/>
      <c r="BD265" s="136"/>
      <c r="BE265" s="136"/>
      <c r="BF265" s="136"/>
      <c r="BG265" s="136"/>
      <c r="BH265" s="136"/>
      <c r="BI265" s="136"/>
      <c r="BJ265" s="136"/>
      <c r="BK265" s="136"/>
      <c r="BL265" s="136"/>
      <c r="BM265" s="136"/>
      <c r="BN265" s="136"/>
      <c r="BO265" s="136"/>
      <c r="BP265" s="136"/>
      <c r="BQ265" s="136"/>
      <c r="BR265" s="136"/>
      <c r="BS265" s="136"/>
      <c r="BT265" s="136"/>
      <c r="BU265" s="136"/>
      <c r="BV265" s="136"/>
      <c r="BW265" s="136"/>
      <c r="BX265" s="136"/>
      <c r="BY265" s="136"/>
      <c r="BZ265" s="136"/>
      <c r="CA265" s="136"/>
      <c r="CB265" s="136"/>
      <c r="CC265" s="136"/>
      <c r="CD265" s="136"/>
      <c r="CE265" s="136"/>
      <c r="CF265" s="136"/>
      <c r="CG265" s="136"/>
      <c r="CH265" s="136"/>
      <c r="CI265" s="136"/>
      <c r="CJ265" s="136"/>
      <c r="CK265" s="136"/>
      <c r="CL265" s="136"/>
      <c r="CM265" s="136"/>
      <c r="CN265" s="136"/>
      <c r="CO265" s="136"/>
      <c r="CP265" s="136"/>
      <c r="CQ265" s="136"/>
      <c r="CR265" s="136"/>
      <c r="CS265" s="136"/>
      <c r="CT265" s="136"/>
      <c r="CU265" s="136"/>
      <c r="CV265" s="136"/>
      <c r="CW265" s="136"/>
      <c r="CX265" s="136"/>
      <c r="CY265" s="136"/>
      <c r="CZ265" s="136"/>
      <c r="DA265" s="136"/>
      <c r="DB265" s="136"/>
      <c r="DC265" s="136"/>
      <c r="DD265" s="136"/>
      <c r="DE265" s="136"/>
      <c r="DF265" s="136"/>
      <c r="DG265" s="136"/>
      <c r="DH265" s="136"/>
      <c r="DI265" s="136"/>
      <c r="DJ265" s="136"/>
      <c r="DK265" s="136"/>
      <c r="DL265" s="136"/>
      <c r="DM265" s="136"/>
      <c r="DN265" s="136"/>
      <c r="DO265" s="136"/>
      <c r="DP265" s="136"/>
      <c r="DQ265" s="136"/>
      <c r="DR265" s="136"/>
      <c r="DS265" s="136"/>
      <c r="DT265" s="136"/>
      <c r="DU265" s="136"/>
      <c r="DV265" s="136"/>
      <c r="DW265" s="136"/>
      <c r="DX265" s="136"/>
      <c r="DY265" s="136"/>
      <c r="DZ265" s="136"/>
      <c r="EA265" s="136"/>
      <c r="EB265" s="136"/>
      <c r="EC265" s="136"/>
      <c r="ED265" s="136"/>
      <c r="EE265" s="136"/>
      <c r="EF265" s="136"/>
      <c r="EG265" s="136"/>
      <c r="EH265" s="136"/>
      <c r="EI265" s="136"/>
      <c r="EJ265" s="136"/>
      <c r="EK265" s="136"/>
      <c r="EL265" s="136"/>
      <c r="EM265" s="136"/>
      <c r="EN265" s="136"/>
      <c r="EO265" s="136"/>
      <c r="EP265" s="136"/>
      <c r="EQ265" s="136"/>
      <c r="ER265" s="136"/>
      <c r="ES265" s="136"/>
      <c r="ET265" s="136"/>
      <c r="EU265" s="136"/>
      <c r="EV265" s="136"/>
      <c r="EW265" s="136"/>
      <c r="EX265" s="136"/>
      <c r="EY265" s="136"/>
      <c r="EZ265" s="136"/>
      <c r="FA265" s="136"/>
      <c r="FB265" s="136"/>
      <c r="FC265" s="136"/>
      <c r="FD265" s="136"/>
      <c r="FE265" s="136"/>
      <c r="FF265" s="136"/>
      <c r="FG265" s="136"/>
      <c r="FH265" s="136"/>
      <c r="FI265" s="136"/>
      <c r="FJ265" s="136"/>
      <c r="FK265" s="136"/>
      <c r="FL265" s="136"/>
      <c r="FM265" s="136"/>
      <c r="FN265" s="136"/>
      <c r="FO265" s="136"/>
      <c r="FP265" s="136"/>
      <c r="FQ265" s="136"/>
      <c r="FR265" s="136"/>
      <c r="FS265" s="136"/>
      <c r="FT265" s="136"/>
      <c r="FU265" s="136"/>
      <c r="FV265" s="136"/>
      <c r="FW265" s="136"/>
      <c r="FX265" s="136"/>
      <c r="FY265" s="136"/>
      <c r="FZ265" s="136"/>
      <c r="GA265" s="136"/>
      <c r="GB265" s="136"/>
      <c r="GC265" s="136"/>
      <c r="GD265" s="136"/>
      <c r="GE265" s="136"/>
      <c r="GF265" s="136"/>
      <c r="GG265" s="136"/>
      <c r="GH265" s="136"/>
      <c r="GI265" s="136"/>
      <c r="GJ265" s="136"/>
      <c r="GK265" s="136"/>
      <c r="GL265" s="136"/>
      <c r="GM265" s="136"/>
      <c r="GN265" s="136"/>
      <c r="GO265" s="136"/>
      <c r="GP265" s="136"/>
      <c r="GQ265" s="136"/>
      <c r="GR265" s="136"/>
      <c r="GS265" s="136"/>
      <c r="GT265" s="136"/>
      <c r="GU265" s="136"/>
      <c r="GV265" s="136"/>
      <c r="GW265" s="136"/>
      <c r="GX265" s="136"/>
      <c r="GY265" s="136"/>
      <c r="GZ265" s="136"/>
      <c r="HA265" s="136"/>
      <c r="HB265" s="136"/>
      <c r="HC265" s="136"/>
      <c r="HD265" s="136"/>
      <c r="HE265" s="136"/>
      <c r="HF265" s="136"/>
      <c r="HG265" s="136"/>
      <c r="HH265" s="136"/>
      <c r="HI265" s="136"/>
      <c r="HJ265" s="136"/>
      <c r="HK265" s="136"/>
      <c r="HL265" s="136"/>
      <c r="HM265" s="136"/>
      <c r="HN265" s="136"/>
      <c r="HO265" s="136"/>
      <c r="HP265" s="136"/>
      <c r="HQ265" s="136"/>
      <c r="HR265" s="136"/>
      <c r="HS265" s="136"/>
      <c r="HT265" s="136"/>
      <c r="HU265" s="136"/>
      <c r="HV265" s="136"/>
      <c r="HW265" s="136"/>
      <c r="HX265" s="136"/>
      <c r="HY265" s="136"/>
      <c r="HZ265" s="136"/>
      <c r="IA265" s="136"/>
      <c r="IB265" s="136"/>
      <c r="IC265" s="136"/>
      <c r="ID265" s="136"/>
      <c r="IE265" s="136"/>
      <c r="IF265" s="136"/>
      <c r="IG265" s="136"/>
      <c r="IH265" s="136"/>
      <c r="II265" s="136"/>
      <c r="IJ265" s="136"/>
      <c r="IK265" s="136"/>
      <c r="IL265" s="136"/>
      <c r="IM265" s="136"/>
      <c r="IN265" s="136"/>
      <c r="IO265" s="136"/>
      <c r="IP265" s="136"/>
      <c r="IQ265" s="136"/>
      <c r="IR265" s="136"/>
      <c r="IS265" s="136"/>
      <c r="IT265" s="136"/>
      <c r="IU265" s="136"/>
    </row>
    <row r="266" spans="1:255" ht="135" x14ac:dyDescent="0.2">
      <c r="A266" s="242" t="str">
        <f>'HECVAT - Full'!A266</f>
        <v>VULN-08</v>
      </c>
      <c r="B266" s="242" t="str">
        <f>VLOOKUP(A266,'HECVAT - Full'!A$24:B$312,2,FALSE)</f>
        <v>Describe or provide a reference to how you monitor for and protect against common web application security vulnerabilities (e.g. SQL injection, XSS, XSRF, etc.).</v>
      </c>
      <c r="C266" s="275" t="s">
        <v>3055</v>
      </c>
      <c r="D266" s="248" t="s">
        <v>2976</v>
      </c>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c r="AC266" s="136"/>
      <c r="AD266" s="136"/>
      <c r="AE266" s="136"/>
      <c r="AF266" s="136"/>
      <c r="AG266" s="136"/>
      <c r="AH266" s="136"/>
      <c r="AI266" s="136"/>
      <c r="AJ266" s="136"/>
      <c r="AK266" s="136"/>
      <c r="AL266" s="136"/>
      <c r="AM266" s="136"/>
      <c r="AN266" s="136"/>
      <c r="AO266" s="136"/>
      <c r="AP266" s="136"/>
      <c r="AQ266" s="136"/>
      <c r="AR266" s="136"/>
      <c r="AS266" s="136"/>
      <c r="AT266" s="136"/>
      <c r="AU266" s="136"/>
      <c r="AV266" s="136"/>
      <c r="AW266" s="136"/>
      <c r="AX266" s="136"/>
      <c r="AY266" s="136"/>
      <c r="AZ266" s="136"/>
      <c r="BA266" s="136"/>
      <c r="BB266" s="136"/>
      <c r="BC266" s="136"/>
      <c r="BD266" s="136"/>
      <c r="BE266" s="136"/>
      <c r="BF266" s="136"/>
      <c r="BG266" s="136"/>
      <c r="BH266" s="136"/>
      <c r="BI266" s="136"/>
      <c r="BJ266" s="136"/>
      <c r="BK266" s="136"/>
      <c r="BL266" s="136"/>
      <c r="BM266" s="136"/>
      <c r="BN266" s="136"/>
      <c r="BO266" s="136"/>
      <c r="BP266" s="136"/>
      <c r="BQ266" s="136"/>
      <c r="BR266" s="136"/>
      <c r="BS266" s="136"/>
      <c r="BT266" s="136"/>
      <c r="BU266" s="136"/>
      <c r="BV266" s="136"/>
      <c r="BW266" s="136"/>
      <c r="BX266" s="136"/>
      <c r="BY266" s="136"/>
      <c r="BZ266" s="136"/>
      <c r="CA266" s="136"/>
      <c r="CB266" s="136"/>
      <c r="CC266" s="136"/>
      <c r="CD266" s="136"/>
      <c r="CE266" s="136"/>
      <c r="CF266" s="136"/>
      <c r="CG266" s="136"/>
      <c r="CH266" s="136"/>
      <c r="CI266" s="136"/>
      <c r="CJ266" s="136"/>
      <c r="CK266" s="136"/>
      <c r="CL266" s="136"/>
      <c r="CM266" s="136"/>
      <c r="CN266" s="136"/>
      <c r="CO266" s="136"/>
      <c r="CP266" s="136"/>
      <c r="CQ266" s="136"/>
      <c r="CR266" s="136"/>
      <c r="CS266" s="136"/>
      <c r="CT266" s="136"/>
      <c r="CU266" s="136"/>
      <c r="CV266" s="136"/>
      <c r="CW266" s="136"/>
      <c r="CX266" s="136"/>
      <c r="CY266" s="136"/>
      <c r="CZ266" s="136"/>
      <c r="DA266" s="136"/>
      <c r="DB266" s="136"/>
      <c r="DC266" s="136"/>
      <c r="DD266" s="136"/>
      <c r="DE266" s="136"/>
      <c r="DF266" s="136"/>
      <c r="DG266" s="136"/>
      <c r="DH266" s="136"/>
      <c r="DI266" s="136"/>
      <c r="DJ266" s="136"/>
      <c r="DK266" s="136"/>
      <c r="DL266" s="136"/>
      <c r="DM266" s="136"/>
      <c r="DN266" s="136"/>
      <c r="DO266" s="136"/>
      <c r="DP266" s="136"/>
      <c r="DQ266" s="136"/>
      <c r="DR266" s="136"/>
      <c r="DS266" s="136"/>
      <c r="DT266" s="136"/>
      <c r="DU266" s="136"/>
      <c r="DV266" s="136"/>
      <c r="DW266" s="136"/>
      <c r="DX266" s="136"/>
      <c r="DY266" s="136"/>
      <c r="DZ266" s="136"/>
      <c r="EA266" s="136"/>
      <c r="EB266" s="136"/>
      <c r="EC266" s="136"/>
      <c r="ED266" s="136"/>
      <c r="EE266" s="136"/>
      <c r="EF266" s="136"/>
      <c r="EG266" s="136"/>
      <c r="EH266" s="136"/>
      <c r="EI266" s="136"/>
      <c r="EJ266" s="136"/>
      <c r="EK266" s="136"/>
      <c r="EL266" s="136"/>
      <c r="EM266" s="136"/>
      <c r="EN266" s="136"/>
      <c r="EO266" s="136"/>
      <c r="EP266" s="136"/>
      <c r="EQ266" s="136"/>
      <c r="ER266" s="136"/>
      <c r="ES266" s="136"/>
      <c r="ET266" s="136"/>
      <c r="EU266" s="136"/>
      <c r="EV266" s="136"/>
      <c r="EW266" s="136"/>
      <c r="EX266" s="136"/>
      <c r="EY266" s="136"/>
      <c r="EZ266" s="136"/>
      <c r="FA266" s="136"/>
      <c r="FB266" s="136"/>
      <c r="FC266" s="136"/>
      <c r="FD266" s="136"/>
      <c r="FE266" s="136"/>
      <c r="FF266" s="136"/>
      <c r="FG266" s="136"/>
      <c r="FH266" s="136"/>
      <c r="FI266" s="136"/>
      <c r="FJ266" s="136"/>
      <c r="FK266" s="136"/>
      <c r="FL266" s="136"/>
      <c r="FM266" s="136"/>
      <c r="FN266" s="136"/>
      <c r="FO266" s="136"/>
      <c r="FP266" s="136"/>
      <c r="FQ266" s="136"/>
      <c r="FR266" s="136"/>
      <c r="FS266" s="136"/>
      <c r="FT266" s="136"/>
      <c r="FU266" s="136"/>
      <c r="FV266" s="136"/>
      <c r="FW266" s="136"/>
      <c r="FX266" s="136"/>
      <c r="FY266" s="136"/>
      <c r="FZ266" s="136"/>
      <c r="GA266" s="136"/>
      <c r="GB266" s="136"/>
      <c r="GC266" s="136"/>
      <c r="GD266" s="136"/>
      <c r="GE266" s="136"/>
      <c r="GF266" s="136"/>
      <c r="GG266" s="136"/>
      <c r="GH266" s="136"/>
      <c r="GI266" s="136"/>
      <c r="GJ266" s="136"/>
      <c r="GK266" s="136"/>
      <c r="GL266" s="136"/>
      <c r="GM266" s="136"/>
      <c r="GN266" s="136"/>
      <c r="GO266" s="136"/>
      <c r="GP266" s="136"/>
      <c r="GQ266" s="136"/>
      <c r="GR266" s="136"/>
      <c r="GS266" s="136"/>
      <c r="GT266" s="136"/>
      <c r="GU266" s="136"/>
      <c r="GV266" s="136"/>
      <c r="GW266" s="136"/>
      <c r="GX266" s="136"/>
      <c r="GY266" s="136"/>
      <c r="GZ266" s="136"/>
      <c r="HA266" s="136"/>
      <c r="HB266" s="136"/>
      <c r="HC266" s="136"/>
      <c r="HD266" s="136"/>
      <c r="HE266" s="136"/>
      <c r="HF266" s="136"/>
      <c r="HG266" s="136"/>
      <c r="HH266" s="136"/>
      <c r="HI266" s="136"/>
      <c r="HJ266" s="136"/>
      <c r="HK266" s="136"/>
      <c r="HL266" s="136"/>
      <c r="HM266" s="136"/>
      <c r="HN266" s="136"/>
      <c r="HO266" s="136"/>
      <c r="HP266" s="136"/>
      <c r="HQ266" s="136"/>
      <c r="HR266" s="136"/>
      <c r="HS266" s="136"/>
      <c r="HT266" s="136"/>
      <c r="HU266" s="136"/>
      <c r="HV266" s="136"/>
      <c r="HW266" s="136"/>
      <c r="HX266" s="136"/>
      <c r="HY266" s="136"/>
      <c r="HZ266" s="136"/>
      <c r="IA266" s="136"/>
      <c r="IB266" s="136"/>
      <c r="IC266" s="136"/>
      <c r="ID266" s="136"/>
      <c r="IE266" s="136"/>
      <c r="IF266" s="136"/>
      <c r="IG266" s="136"/>
      <c r="IH266" s="136"/>
      <c r="II266" s="136"/>
      <c r="IJ266" s="136"/>
      <c r="IK266" s="136"/>
      <c r="IL266" s="136"/>
      <c r="IM266" s="136"/>
      <c r="IN266" s="136"/>
      <c r="IO266" s="136"/>
      <c r="IP266" s="136"/>
      <c r="IQ266" s="136"/>
      <c r="IR266" s="136"/>
      <c r="IS266" s="136"/>
      <c r="IT266" s="136"/>
      <c r="IU266" s="136"/>
    </row>
    <row r="267" spans="1:255" ht="75.75" customHeight="1" x14ac:dyDescent="0.2">
      <c r="A267" s="242" t="str">
        <f>'HECVAT - Full'!A267</f>
        <v>VULN-09</v>
      </c>
      <c r="B267" s="242" t="str">
        <f>VLOOKUP(A267,'HECVAT - Full'!A$24:B$312,2,FALSE)</f>
        <v>Will you allow the institution to perform its own security testing of your systems and/or application provided that testing is performed at a mutually agreed upon time and date?</v>
      </c>
      <c r="C267" s="243" t="s">
        <v>2977</v>
      </c>
      <c r="D267" s="253" t="s">
        <v>2978</v>
      </c>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c r="AC267" s="136"/>
      <c r="AD267" s="136"/>
      <c r="AE267" s="136"/>
      <c r="AF267" s="136"/>
      <c r="AG267" s="136"/>
      <c r="AH267" s="136"/>
      <c r="AI267" s="136"/>
      <c r="AJ267" s="136"/>
      <c r="AK267" s="136"/>
      <c r="AL267" s="136"/>
      <c r="AM267" s="136"/>
      <c r="AN267" s="136"/>
      <c r="AO267" s="136"/>
      <c r="AP267" s="136"/>
      <c r="AQ267" s="136"/>
      <c r="AR267" s="136"/>
      <c r="AS267" s="136"/>
      <c r="AT267" s="136"/>
      <c r="AU267" s="136"/>
      <c r="AV267" s="136"/>
      <c r="AW267" s="136"/>
      <c r="AX267" s="136"/>
      <c r="AY267" s="136"/>
      <c r="AZ267" s="136"/>
      <c r="BA267" s="136"/>
      <c r="BB267" s="136"/>
      <c r="BC267" s="136"/>
      <c r="BD267" s="136"/>
      <c r="BE267" s="136"/>
      <c r="BF267" s="136"/>
      <c r="BG267" s="136"/>
      <c r="BH267" s="136"/>
      <c r="BI267" s="136"/>
      <c r="BJ267" s="136"/>
      <c r="BK267" s="136"/>
      <c r="BL267" s="136"/>
      <c r="BM267" s="136"/>
      <c r="BN267" s="136"/>
      <c r="BO267" s="136"/>
      <c r="BP267" s="136"/>
      <c r="BQ267" s="136"/>
      <c r="BR267" s="136"/>
      <c r="BS267" s="136"/>
      <c r="BT267" s="136"/>
      <c r="BU267" s="136"/>
      <c r="BV267" s="136"/>
      <c r="BW267" s="136"/>
      <c r="BX267" s="136"/>
      <c r="BY267" s="136"/>
      <c r="BZ267" s="136"/>
      <c r="CA267" s="136"/>
      <c r="CB267" s="136"/>
      <c r="CC267" s="136"/>
      <c r="CD267" s="136"/>
      <c r="CE267" s="136"/>
      <c r="CF267" s="136"/>
      <c r="CG267" s="136"/>
      <c r="CH267" s="136"/>
      <c r="CI267" s="136"/>
      <c r="CJ267" s="136"/>
      <c r="CK267" s="136"/>
      <c r="CL267" s="136"/>
      <c r="CM267" s="136"/>
      <c r="CN267" s="136"/>
      <c r="CO267" s="136"/>
      <c r="CP267" s="136"/>
      <c r="CQ267" s="136"/>
      <c r="CR267" s="136"/>
      <c r="CS267" s="136"/>
      <c r="CT267" s="136"/>
      <c r="CU267" s="136"/>
      <c r="CV267" s="136"/>
      <c r="CW267" s="136"/>
      <c r="CX267" s="136"/>
      <c r="CY267" s="136"/>
      <c r="CZ267" s="136"/>
      <c r="DA267" s="136"/>
      <c r="DB267" s="136"/>
      <c r="DC267" s="136"/>
      <c r="DD267" s="136"/>
      <c r="DE267" s="136"/>
      <c r="DF267" s="136"/>
      <c r="DG267" s="136"/>
      <c r="DH267" s="136"/>
      <c r="DI267" s="136"/>
      <c r="DJ267" s="136"/>
      <c r="DK267" s="136"/>
      <c r="DL267" s="136"/>
      <c r="DM267" s="136"/>
      <c r="DN267" s="136"/>
      <c r="DO267" s="136"/>
      <c r="DP267" s="136"/>
      <c r="DQ267" s="136"/>
      <c r="DR267" s="136"/>
      <c r="DS267" s="136"/>
      <c r="DT267" s="136"/>
      <c r="DU267" s="136"/>
      <c r="DV267" s="136"/>
      <c r="DW267" s="136"/>
      <c r="DX267" s="136"/>
      <c r="DY267" s="136"/>
      <c r="DZ267" s="136"/>
      <c r="EA267" s="136"/>
      <c r="EB267" s="136"/>
      <c r="EC267" s="136"/>
      <c r="ED267" s="136"/>
      <c r="EE267" s="136"/>
      <c r="EF267" s="136"/>
      <c r="EG267" s="136"/>
      <c r="EH267" s="136"/>
      <c r="EI267" s="136"/>
      <c r="EJ267" s="136"/>
      <c r="EK267" s="136"/>
      <c r="EL267" s="136"/>
      <c r="EM267" s="136"/>
      <c r="EN267" s="136"/>
      <c r="EO267" s="136"/>
      <c r="EP267" s="136"/>
      <c r="EQ267" s="136"/>
      <c r="ER267" s="136"/>
      <c r="ES267" s="136"/>
      <c r="ET267" s="136"/>
      <c r="EU267" s="136"/>
      <c r="EV267" s="136"/>
      <c r="EW267" s="136"/>
      <c r="EX267" s="136"/>
      <c r="EY267" s="136"/>
      <c r="EZ267" s="136"/>
      <c r="FA267" s="136"/>
      <c r="FB267" s="136"/>
      <c r="FC267" s="136"/>
      <c r="FD267" s="136"/>
      <c r="FE267" s="136"/>
      <c r="FF267" s="136"/>
      <c r="FG267" s="136"/>
      <c r="FH267" s="136"/>
      <c r="FI267" s="136"/>
      <c r="FJ267" s="136"/>
      <c r="FK267" s="136"/>
      <c r="FL267" s="136"/>
      <c r="FM267" s="136"/>
      <c r="FN267" s="136"/>
      <c r="FO267" s="136"/>
      <c r="FP267" s="136"/>
      <c r="FQ267" s="136"/>
      <c r="FR267" s="136"/>
      <c r="FS267" s="136"/>
      <c r="FT267" s="136"/>
      <c r="FU267" s="136"/>
      <c r="FV267" s="136"/>
      <c r="FW267" s="136"/>
      <c r="FX267" s="136"/>
      <c r="FY267" s="136"/>
      <c r="FZ267" s="136"/>
      <c r="GA267" s="136"/>
      <c r="GB267" s="136"/>
      <c r="GC267" s="136"/>
      <c r="GD267" s="136"/>
      <c r="GE267" s="136"/>
      <c r="GF267" s="136"/>
      <c r="GG267" s="136"/>
      <c r="GH267" s="136"/>
      <c r="GI267" s="136"/>
      <c r="GJ267" s="136"/>
      <c r="GK267" s="136"/>
      <c r="GL267" s="136"/>
      <c r="GM267" s="136"/>
      <c r="GN267" s="136"/>
      <c r="GO267" s="136"/>
      <c r="GP267" s="136"/>
      <c r="GQ267" s="136"/>
      <c r="GR267" s="136"/>
      <c r="GS267" s="136"/>
      <c r="GT267" s="136"/>
      <c r="GU267" s="136"/>
      <c r="GV267" s="136"/>
      <c r="GW267" s="136"/>
      <c r="GX267" s="136"/>
      <c r="GY267" s="136"/>
      <c r="GZ267" s="136"/>
      <c r="HA267" s="136"/>
      <c r="HB267" s="136"/>
      <c r="HC267" s="136"/>
      <c r="HD267" s="136"/>
      <c r="HE267" s="136"/>
      <c r="HF267" s="136"/>
      <c r="HG267" s="136"/>
      <c r="HH267" s="136"/>
      <c r="HI267" s="136"/>
      <c r="HJ267" s="136"/>
      <c r="HK267" s="136"/>
      <c r="HL267" s="136"/>
      <c r="HM267" s="136"/>
      <c r="HN267" s="136"/>
      <c r="HO267" s="136"/>
      <c r="HP267" s="136"/>
      <c r="HQ267" s="136"/>
      <c r="HR267" s="136"/>
      <c r="HS267" s="136"/>
      <c r="HT267" s="136"/>
      <c r="HU267" s="136"/>
      <c r="HV267" s="136"/>
      <c r="HW267" s="136"/>
      <c r="HX267" s="136"/>
      <c r="HY267" s="136"/>
      <c r="HZ267" s="136"/>
      <c r="IA267" s="136"/>
      <c r="IB267" s="136"/>
      <c r="IC267" s="136"/>
      <c r="ID267" s="136"/>
      <c r="IE267" s="136"/>
      <c r="IF267" s="136"/>
      <c r="IG267" s="136"/>
      <c r="IH267" s="136"/>
      <c r="II267" s="136"/>
      <c r="IJ267" s="136"/>
      <c r="IK267" s="136"/>
      <c r="IL267" s="136"/>
      <c r="IM267" s="136"/>
      <c r="IN267" s="136"/>
      <c r="IO267" s="136"/>
      <c r="IP267" s="136"/>
      <c r="IQ267" s="136"/>
      <c r="IR267" s="136"/>
      <c r="IS267" s="136"/>
      <c r="IT267" s="136"/>
      <c r="IU267" s="136"/>
    </row>
    <row r="268" spans="1:255" ht="36" customHeight="1" x14ac:dyDescent="0.2">
      <c r="A268" s="335" t="str">
        <f>IF(OR($C$24="No",$C$30="Yes"),"HIPAA - Optional based on QUALIFIER response.","HIPAA")</f>
        <v>HIPAA</v>
      </c>
      <c r="B268" s="335"/>
      <c r="C268" s="240" t="str">
        <f>$C$22</f>
        <v>Reason for Question</v>
      </c>
      <c r="D268" s="240" t="str">
        <f>$D$22</f>
        <v>Follow-up Inquiries/Responses</v>
      </c>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c r="AC268" s="136"/>
      <c r="AD268" s="136"/>
      <c r="AE268" s="136"/>
      <c r="AF268" s="136"/>
      <c r="AG268" s="136"/>
      <c r="AH268" s="136"/>
      <c r="AI268" s="136"/>
      <c r="AJ268" s="136"/>
      <c r="AK268" s="136"/>
      <c r="AL268" s="136"/>
      <c r="AM268" s="136"/>
      <c r="AN268" s="136"/>
      <c r="AO268" s="136"/>
      <c r="AP268" s="136"/>
      <c r="AQ268" s="136"/>
      <c r="AR268" s="136"/>
      <c r="AS268" s="136"/>
      <c r="AT268" s="136"/>
      <c r="AU268" s="136"/>
      <c r="AV268" s="136"/>
      <c r="AW268" s="136"/>
      <c r="AX268" s="136"/>
      <c r="AY268" s="136"/>
      <c r="AZ268" s="136"/>
      <c r="BA268" s="136"/>
      <c r="BB268" s="136"/>
      <c r="BC268" s="136"/>
      <c r="BD268" s="136"/>
      <c r="BE268" s="136"/>
      <c r="BF268" s="136"/>
      <c r="BG268" s="136"/>
      <c r="BH268" s="136"/>
      <c r="BI268" s="136"/>
      <c r="BJ268" s="136"/>
      <c r="BK268" s="136"/>
      <c r="BL268" s="136"/>
      <c r="BM268" s="136"/>
      <c r="BN268" s="136"/>
      <c r="BO268" s="136"/>
      <c r="BP268" s="136"/>
      <c r="BQ268" s="136"/>
      <c r="BR268" s="136"/>
      <c r="BS268" s="136"/>
      <c r="BT268" s="136"/>
      <c r="BU268" s="136"/>
      <c r="BV268" s="136"/>
      <c r="BW268" s="136"/>
      <c r="BX268" s="136"/>
      <c r="BY268" s="136"/>
      <c r="BZ268" s="136"/>
      <c r="CA268" s="136"/>
      <c r="CB268" s="136"/>
      <c r="CC268" s="136"/>
      <c r="CD268" s="136"/>
      <c r="CE268" s="136"/>
      <c r="CF268" s="136"/>
      <c r="CG268" s="136"/>
      <c r="CH268" s="136"/>
      <c r="CI268" s="136"/>
      <c r="CJ268" s="136"/>
      <c r="CK268" s="136"/>
      <c r="CL268" s="136"/>
      <c r="CM268" s="136"/>
      <c r="CN268" s="136"/>
      <c r="CO268" s="136"/>
      <c r="CP268" s="136"/>
      <c r="CQ268" s="136"/>
      <c r="CR268" s="136"/>
      <c r="CS268" s="136"/>
      <c r="CT268" s="136"/>
      <c r="CU268" s="136"/>
      <c r="CV268" s="136"/>
      <c r="CW268" s="136"/>
      <c r="CX268" s="136"/>
      <c r="CY268" s="136"/>
      <c r="CZ268" s="136"/>
      <c r="DA268" s="136"/>
      <c r="DB268" s="136"/>
      <c r="DC268" s="136"/>
      <c r="DD268" s="136"/>
      <c r="DE268" s="136"/>
      <c r="DF268" s="136"/>
      <c r="DG268" s="136"/>
      <c r="DH268" s="136"/>
      <c r="DI268" s="136"/>
      <c r="DJ268" s="136"/>
      <c r="DK268" s="136"/>
      <c r="DL268" s="136"/>
      <c r="DM268" s="136"/>
      <c r="DN268" s="136"/>
      <c r="DO268" s="136"/>
      <c r="DP268" s="136"/>
      <c r="DQ268" s="136"/>
      <c r="DR268" s="136"/>
      <c r="DS268" s="136"/>
      <c r="DT268" s="136"/>
      <c r="DU268" s="136"/>
      <c r="DV268" s="136"/>
      <c r="DW268" s="136"/>
      <c r="DX268" s="136"/>
      <c r="DY268" s="136"/>
      <c r="DZ268" s="136"/>
      <c r="EA268" s="136"/>
      <c r="EB268" s="136"/>
      <c r="EC268" s="136"/>
      <c r="ED268" s="136"/>
      <c r="EE268" s="136"/>
      <c r="EF268" s="136"/>
      <c r="EG268" s="136"/>
      <c r="EH268" s="136"/>
      <c r="EI268" s="136"/>
      <c r="EJ268" s="136"/>
      <c r="EK268" s="136"/>
      <c r="EL268" s="136"/>
      <c r="EM268" s="136"/>
      <c r="EN268" s="136"/>
      <c r="EO268" s="136"/>
      <c r="EP268" s="136"/>
      <c r="EQ268" s="136"/>
      <c r="ER268" s="136"/>
      <c r="ES268" s="136"/>
      <c r="ET268" s="136"/>
      <c r="EU268" s="136"/>
      <c r="EV268" s="136"/>
      <c r="EW268" s="136"/>
      <c r="EX268" s="136"/>
      <c r="EY268" s="136"/>
      <c r="EZ268" s="136"/>
      <c r="FA268" s="136"/>
      <c r="FB268" s="136"/>
      <c r="FC268" s="136"/>
      <c r="FD268" s="136"/>
      <c r="FE268" s="136"/>
      <c r="FF268" s="136"/>
      <c r="FG268" s="136"/>
      <c r="FH268" s="136"/>
      <c r="FI268" s="136"/>
      <c r="FJ268" s="136"/>
      <c r="FK268" s="136"/>
      <c r="FL268" s="136"/>
      <c r="FM268" s="136"/>
      <c r="FN268" s="136"/>
      <c r="FO268" s="136"/>
      <c r="FP268" s="136"/>
      <c r="FQ268" s="136"/>
      <c r="FR268" s="136"/>
      <c r="FS268" s="136"/>
      <c r="FT268" s="136"/>
      <c r="FU268" s="136"/>
      <c r="FV268" s="136"/>
      <c r="FW268" s="136"/>
      <c r="FX268" s="136"/>
      <c r="FY268" s="136"/>
      <c r="FZ268" s="136"/>
      <c r="GA268" s="136"/>
      <c r="GB268" s="136"/>
      <c r="GC268" s="136"/>
      <c r="GD268" s="136"/>
      <c r="GE268" s="136"/>
      <c r="GF268" s="136"/>
      <c r="GG268" s="136"/>
      <c r="GH268" s="136"/>
      <c r="GI268" s="136"/>
      <c r="GJ268" s="136"/>
      <c r="GK268" s="136"/>
      <c r="GL268" s="136"/>
      <c r="GM268" s="136"/>
      <c r="GN268" s="136"/>
      <c r="GO268" s="136"/>
      <c r="GP268" s="136"/>
      <c r="GQ268" s="136"/>
      <c r="GR268" s="136"/>
      <c r="GS268" s="136"/>
      <c r="GT268" s="136"/>
      <c r="GU268" s="136"/>
      <c r="GV268" s="136"/>
      <c r="GW268" s="136"/>
      <c r="GX268" s="136"/>
      <c r="GY268" s="136"/>
      <c r="GZ268" s="136"/>
      <c r="HA268" s="136"/>
      <c r="HB268" s="136"/>
      <c r="HC268" s="136"/>
      <c r="HD268" s="136"/>
      <c r="HE268" s="136"/>
      <c r="HF268" s="136"/>
      <c r="HG268" s="136"/>
      <c r="HH268" s="136"/>
      <c r="HI268" s="136"/>
      <c r="HJ268" s="136"/>
      <c r="HK268" s="136"/>
      <c r="HL268" s="136"/>
      <c r="HM268" s="136"/>
      <c r="HN268" s="136"/>
      <c r="HO268" s="136"/>
      <c r="HP268" s="136"/>
      <c r="HQ268" s="136"/>
      <c r="HR268" s="136"/>
      <c r="HS268" s="136"/>
      <c r="HT268" s="136"/>
      <c r="HU268" s="136"/>
      <c r="HV268" s="136"/>
      <c r="HW268" s="136"/>
      <c r="HX268" s="136"/>
      <c r="HY268" s="136"/>
      <c r="HZ268" s="136"/>
      <c r="IA268" s="136"/>
      <c r="IB268" s="136"/>
      <c r="IC268" s="136"/>
      <c r="ID268" s="136"/>
      <c r="IE268" s="136"/>
      <c r="IF268" s="136"/>
      <c r="IG268" s="136"/>
      <c r="IH268" s="136"/>
      <c r="II268" s="136"/>
      <c r="IJ268" s="136"/>
      <c r="IK268" s="136"/>
      <c r="IL268" s="136"/>
      <c r="IM268" s="136"/>
      <c r="IN268" s="136"/>
      <c r="IO268" s="136"/>
      <c r="IP268" s="136"/>
      <c r="IQ268" s="136"/>
      <c r="IR268" s="136"/>
      <c r="IS268" s="136"/>
      <c r="IT268" s="136"/>
      <c r="IU268" s="136"/>
    </row>
    <row r="269" spans="1:255" ht="65" customHeight="1" x14ac:dyDescent="0.2">
      <c r="A269" s="242" t="str">
        <f>'HECVAT - Full'!A269</f>
        <v>HIPA-01</v>
      </c>
      <c r="B269" s="242" t="str">
        <f>VLOOKUP(A269,'HECVAT - Full'!A$24:B$312,2,FALSE)</f>
        <v>Do your workforce members receive regular training related to the HIPAA Privacy and Security Rules and the HITECH Act?</v>
      </c>
      <c r="C269" s="243" t="s">
        <v>602</v>
      </c>
      <c r="D269" s="253" t="s">
        <v>2979</v>
      </c>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c r="AC269" s="136"/>
      <c r="AD269" s="136"/>
      <c r="AE269" s="136"/>
      <c r="AF269" s="136"/>
      <c r="AG269" s="136"/>
      <c r="AH269" s="136"/>
      <c r="AI269" s="136"/>
      <c r="AJ269" s="136"/>
      <c r="AK269" s="136"/>
      <c r="AL269" s="136"/>
      <c r="AM269" s="136"/>
      <c r="AN269" s="136"/>
      <c r="AO269" s="136"/>
      <c r="AP269" s="136"/>
      <c r="AQ269" s="136"/>
      <c r="AR269" s="136"/>
      <c r="AS269" s="136"/>
      <c r="AT269" s="136"/>
      <c r="AU269" s="136"/>
      <c r="AV269" s="136"/>
      <c r="AW269" s="136"/>
      <c r="AX269" s="136"/>
      <c r="AY269" s="136"/>
      <c r="AZ269" s="136"/>
      <c r="BA269" s="136"/>
      <c r="BB269" s="136"/>
      <c r="BC269" s="136"/>
      <c r="BD269" s="136"/>
      <c r="BE269" s="136"/>
      <c r="BF269" s="136"/>
      <c r="BG269" s="136"/>
      <c r="BH269" s="136"/>
      <c r="BI269" s="136"/>
      <c r="BJ269" s="136"/>
      <c r="BK269" s="136"/>
      <c r="BL269" s="136"/>
      <c r="BM269" s="136"/>
      <c r="BN269" s="136"/>
      <c r="BO269" s="136"/>
      <c r="BP269" s="136"/>
      <c r="BQ269" s="136"/>
      <c r="BR269" s="136"/>
      <c r="BS269" s="136"/>
      <c r="BT269" s="136"/>
      <c r="BU269" s="136"/>
      <c r="BV269" s="136"/>
      <c r="BW269" s="136"/>
      <c r="BX269" s="136"/>
      <c r="BY269" s="136"/>
      <c r="BZ269" s="136"/>
      <c r="CA269" s="136"/>
      <c r="CB269" s="136"/>
      <c r="CC269" s="136"/>
      <c r="CD269" s="136"/>
      <c r="CE269" s="136"/>
      <c r="CF269" s="136"/>
      <c r="CG269" s="136"/>
      <c r="CH269" s="136"/>
      <c r="CI269" s="136"/>
      <c r="CJ269" s="136"/>
      <c r="CK269" s="136"/>
      <c r="CL269" s="136"/>
      <c r="CM269" s="136"/>
      <c r="CN269" s="136"/>
      <c r="CO269" s="136"/>
      <c r="CP269" s="136"/>
      <c r="CQ269" s="136"/>
      <c r="CR269" s="136"/>
      <c r="CS269" s="136"/>
      <c r="CT269" s="136"/>
      <c r="CU269" s="136"/>
      <c r="CV269" s="136"/>
      <c r="CW269" s="136"/>
      <c r="CX269" s="136"/>
      <c r="CY269" s="136"/>
      <c r="CZ269" s="136"/>
      <c r="DA269" s="136"/>
      <c r="DB269" s="136"/>
      <c r="DC269" s="136"/>
      <c r="DD269" s="136"/>
      <c r="DE269" s="136"/>
      <c r="DF269" s="136"/>
      <c r="DG269" s="136"/>
      <c r="DH269" s="136"/>
      <c r="DI269" s="136"/>
      <c r="DJ269" s="136"/>
      <c r="DK269" s="136"/>
      <c r="DL269" s="136"/>
      <c r="DM269" s="136"/>
      <c r="DN269" s="136"/>
      <c r="DO269" s="136"/>
      <c r="DP269" s="136"/>
      <c r="DQ269" s="136"/>
      <c r="DR269" s="136"/>
      <c r="DS269" s="136"/>
      <c r="DT269" s="136"/>
      <c r="DU269" s="136"/>
      <c r="DV269" s="136"/>
      <c r="DW269" s="136"/>
      <c r="DX269" s="136"/>
      <c r="DY269" s="136"/>
      <c r="DZ269" s="136"/>
      <c r="EA269" s="136"/>
      <c r="EB269" s="136"/>
      <c r="EC269" s="136"/>
      <c r="ED269" s="136"/>
      <c r="EE269" s="136"/>
      <c r="EF269" s="136"/>
      <c r="EG269" s="136"/>
      <c r="EH269" s="136"/>
      <c r="EI269" s="136"/>
      <c r="EJ269" s="136"/>
      <c r="EK269" s="136"/>
      <c r="EL269" s="136"/>
      <c r="EM269" s="136"/>
      <c r="EN269" s="136"/>
      <c r="EO269" s="136"/>
      <c r="EP269" s="136"/>
      <c r="EQ269" s="136"/>
      <c r="ER269" s="136"/>
      <c r="ES269" s="136"/>
      <c r="ET269" s="136"/>
      <c r="EU269" s="136"/>
      <c r="EV269" s="136"/>
      <c r="EW269" s="136"/>
      <c r="EX269" s="136"/>
      <c r="EY269" s="136"/>
      <c r="EZ269" s="136"/>
      <c r="FA269" s="136"/>
      <c r="FB269" s="136"/>
      <c r="FC269" s="136"/>
      <c r="FD269" s="136"/>
      <c r="FE269" s="136"/>
      <c r="FF269" s="136"/>
      <c r="FG269" s="136"/>
      <c r="FH269" s="136"/>
      <c r="FI269" s="136"/>
      <c r="FJ269" s="136"/>
      <c r="FK269" s="136"/>
      <c r="FL269" s="136"/>
      <c r="FM269" s="136"/>
      <c r="FN269" s="136"/>
      <c r="FO269" s="136"/>
      <c r="FP269" s="136"/>
      <c r="FQ269" s="136"/>
      <c r="FR269" s="136"/>
      <c r="FS269" s="136"/>
      <c r="FT269" s="136"/>
      <c r="FU269" s="136"/>
      <c r="FV269" s="136"/>
      <c r="FW269" s="136"/>
      <c r="FX269" s="136"/>
      <c r="FY269" s="136"/>
      <c r="FZ269" s="136"/>
      <c r="GA269" s="136"/>
      <c r="GB269" s="136"/>
      <c r="GC269" s="136"/>
      <c r="GD269" s="136"/>
      <c r="GE269" s="136"/>
      <c r="GF269" s="136"/>
      <c r="GG269" s="136"/>
      <c r="GH269" s="136"/>
      <c r="GI269" s="136"/>
      <c r="GJ269" s="136"/>
      <c r="GK269" s="136"/>
      <c r="GL269" s="136"/>
      <c r="GM269" s="136"/>
      <c r="GN269" s="136"/>
      <c r="GO269" s="136"/>
      <c r="GP269" s="136"/>
      <c r="GQ269" s="136"/>
      <c r="GR269" s="136"/>
      <c r="GS269" s="136"/>
      <c r="GT269" s="136"/>
      <c r="GU269" s="136"/>
      <c r="GV269" s="136"/>
      <c r="GW269" s="136"/>
      <c r="GX269" s="136"/>
      <c r="GY269" s="136"/>
      <c r="GZ269" s="136"/>
      <c r="HA269" s="136"/>
      <c r="HB269" s="136"/>
      <c r="HC269" s="136"/>
      <c r="HD269" s="136"/>
      <c r="HE269" s="136"/>
      <c r="HF269" s="136"/>
      <c r="HG269" s="136"/>
      <c r="HH269" s="136"/>
      <c r="HI269" s="136"/>
      <c r="HJ269" s="136"/>
      <c r="HK269" s="136"/>
      <c r="HL269" s="136"/>
      <c r="HM269" s="136"/>
      <c r="HN269" s="136"/>
      <c r="HO269" s="136"/>
      <c r="HP269" s="136"/>
      <c r="HQ269" s="136"/>
      <c r="HR269" s="136"/>
      <c r="HS269" s="136"/>
      <c r="HT269" s="136"/>
      <c r="HU269" s="136"/>
      <c r="HV269" s="136"/>
      <c r="HW269" s="136"/>
      <c r="HX269" s="136"/>
      <c r="HY269" s="136"/>
      <c r="HZ269" s="136"/>
      <c r="IA269" s="136"/>
      <c r="IB269" s="136"/>
      <c r="IC269" s="136"/>
      <c r="ID269" s="136"/>
      <c r="IE269" s="136"/>
      <c r="IF269" s="136"/>
      <c r="IG269" s="136"/>
      <c r="IH269" s="136"/>
      <c r="II269" s="136"/>
      <c r="IJ269" s="136"/>
      <c r="IK269" s="136"/>
      <c r="IL269" s="136"/>
      <c r="IM269" s="136"/>
      <c r="IN269" s="136"/>
      <c r="IO269" s="136"/>
      <c r="IP269" s="136"/>
      <c r="IQ269" s="136"/>
      <c r="IR269" s="136"/>
      <c r="IS269" s="136"/>
      <c r="IT269" s="136"/>
      <c r="IU269" s="136"/>
    </row>
    <row r="270" spans="1:255" ht="48" customHeight="1" x14ac:dyDescent="0.2">
      <c r="A270" s="242" t="str">
        <f>'HECVAT - Full'!A270</f>
        <v>HIPA-02</v>
      </c>
      <c r="B270" s="242" t="str">
        <f>VLOOKUP(A270,'HECVAT - Full'!A$24:B$312,2,FALSE)</f>
        <v>Do you monitor or receive information regarding changes in HIPAA regulations?</v>
      </c>
      <c r="C270" s="243" t="s">
        <v>603</v>
      </c>
      <c r="D270" s="253" t="s">
        <v>2979</v>
      </c>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c r="AC270" s="136"/>
      <c r="AD270" s="136"/>
      <c r="AE270" s="136"/>
      <c r="AF270" s="136"/>
      <c r="AG270" s="136"/>
      <c r="AH270" s="136"/>
      <c r="AI270" s="136"/>
      <c r="AJ270" s="136"/>
      <c r="AK270" s="136"/>
      <c r="AL270" s="136"/>
      <c r="AM270" s="136"/>
      <c r="AN270" s="136"/>
      <c r="AO270" s="136"/>
      <c r="AP270" s="136"/>
      <c r="AQ270" s="136"/>
      <c r="AR270" s="136"/>
      <c r="AS270" s="136"/>
      <c r="AT270" s="136"/>
      <c r="AU270" s="136"/>
      <c r="AV270" s="136"/>
      <c r="AW270" s="136"/>
      <c r="AX270" s="136"/>
      <c r="AY270" s="136"/>
      <c r="AZ270" s="136"/>
      <c r="BA270" s="136"/>
      <c r="BB270" s="136"/>
      <c r="BC270" s="136"/>
      <c r="BD270" s="136"/>
      <c r="BE270" s="136"/>
      <c r="BF270" s="136"/>
      <c r="BG270" s="136"/>
      <c r="BH270" s="136"/>
      <c r="BI270" s="136"/>
      <c r="BJ270" s="136"/>
      <c r="BK270" s="136"/>
      <c r="BL270" s="136"/>
      <c r="BM270" s="136"/>
      <c r="BN270" s="136"/>
      <c r="BO270" s="136"/>
      <c r="BP270" s="136"/>
      <c r="BQ270" s="136"/>
      <c r="BR270" s="136"/>
      <c r="BS270" s="136"/>
      <c r="BT270" s="136"/>
      <c r="BU270" s="136"/>
      <c r="BV270" s="136"/>
      <c r="BW270" s="136"/>
      <c r="BX270" s="136"/>
      <c r="BY270" s="136"/>
      <c r="BZ270" s="136"/>
      <c r="CA270" s="136"/>
      <c r="CB270" s="136"/>
      <c r="CC270" s="136"/>
      <c r="CD270" s="136"/>
      <c r="CE270" s="136"/>
      <c r="CF270" s="136"/>
      <c r="CG270" s="136"/>
      <c r="CH270" s="136"/>
      <c r="CI270" s="136"/>
      <c r="CJ270" s="136"/>
      <c r="CK270" s="136"/>
      <c r="CL270" s="136"/>
      <c r="CM270" s="136"/>
      <c r="CN270" s="136"/>
      <c r="CO270" s="136"/>
      <c r="CP270" s="136"/>
      <c r="CQ270" s="136"/>
      <c r="CR270" s="136"/>
      <c r="CS270" s="136"/>
      <c r="CT270" s="136"/>
      <c r="CU270" s="136"/>
      <c r="CV270" s="136"/>
      <c r="CW270" s="136"/>
      <c r="CX270" s="136"/>
      <c r="CY270" s="136"/>
      <c r="CZ270" s="136"/>
      <c r="DA270" s="136"/>
      <c r="DB270" s="136"/>
      <c r="DC270" s="136"/>
      <c r="DD270" s="136"/>
      <c r="DE270" s="136"/>
      <c r="DF270" s="136"/>
      <c r="DG270" s="136"/>
      <c r="DH270" s="136"/>
      <c r="DI270" s="136"/>
      <c r="DJ270" s="136"/>
      <c r="DK270" s="136"/>
      <c r="DL270" s="136"/>
      <c r="DM270" s="136"/>
      <c r="DN270" s="136"/>
      <c r="DO270" s="136"/>
      <c r="DP270" s="136"/>
      <c r="DQ270" s="136"/>
      <c r="DR270" s="136"/>
      <c r="DS270" s="136"/>
      <c r="DT270" s="136"/>
      <c r="DU270" s="136"/>
      <c r="DV270" s="136"/>
      <c r="DW270" s="136"/>
      <c r="DX270" s="136"/>
      <c r="DY270" s="136"/>
      <c r="DZ270" s="136"/>
      <c r="EA270" s="136"/>
      <c r="EB270" s="136"/>
      <c r="EC270" s="136"/>
      <c r="ED270" s="136"/>
      <c r="EE270" s="136"/>
      <c r="EF270" s="136"/>
      <c r="EG270" s="136"/>
      <c r="EH270" s="136"/>
      <c r="EI270" s="136"/>
      <c r="EJ270" s="136"/>
      <c r="EK270" s="136"/>
      <c r="EL270" s="136"/>
      <c r="EM270" s="136"/>
      <c r="EN270" s="136"/>
      <c r="EO270" s="136"/>
      <c r="EP270" s="136"/>
      <c r="EQ270" s="136"/>
      <c r="ER270" s="136"/>
      <c r="ES270" s="136"/>
      <c r="ET270" s="136"/>
      <c r="EU270" s="136"/>
      <c r="EV270" s="136"/>
      <c r="EW270" s="136"/>
      <c r="EX270" s="136"/>
      <c r="EY270" s="136"/>
      <c r="EZ270" s="136"/>
      <c r="FA270" s="136"/>
      <c r="FB270" s="136"/>
      <c r="FC270" s="136"/>
      <c r="FD270" s="136"/>
      <c r="FE270" s="136"/>
      <c r="FF270" s="136"/>
      <c r="FG270" s="136"/>
      <c r="FH270" s="136"/>
      <c r="FI270" s="136"/>
      <c r="FJ270" s="136"/>
      <c r="FK270" s="136"/>
      <c r="FL270" s="136"/>
      <c r="FM270" s="136"/>
      <c r="FN270" s="136"/>
      <c r="FO270" s="136"/>
      <c r="FP270" s="136"/>
      <c r="FQ270" s="136"/>
      <c r="FR270" s="136"/>
      <c r="FS270" s="136"/>
      <c r="FT270" s="136"/>
      <c r="FU270" s="136"/>
      <c r="FV270" s="136"/>
      <c r="FW270" s="136"/>
      <c r="FX270" s="136"/>
      <c r="FY270" s="136"/>
      <c r="FZ270" s="136"/>
      <c r="GA270" s="136"/>
      <c r="GB270" s="136"/>
      <c r="GC270" s="136"/>
      <c r="GD270" s="136"/>
      <c r="GE270" s="136"/>
      <c r="GF270" s="136"/>
      <c r="GG270" s="136"/>
      <c r="GH270" s="136"/>
      <c r="GI270" s="136"/>
      <c r="GJ270" s="136"/>
      <c r="GK270" s="136"/>
      <c r="GL270" s="136"/>
      <c r="GM270" s="136"/>
      <c r="GN270" s="136"/>
      <c r="GO270" s="136"/>
      <c r="GP270" s="136"/>
      <c r="GQ270" s="136"/>
      <c r="GR270" s="136"/>
      <c r="GS270" s="136"/>
      <c r="GT270" s="136"/>
      <c r="GU270" s="136"/>
      <c r="GV270" s="136"/>
      <c r="GW270" s="136"/>
      <c r="GX270" s="136"/>
      <c r="GY270" s="136"/>
      <c r="GZ270" s="136"/>
      <c r="HA270" s="136"/>
      <c r="HB270" s="136"/>
      <c r="HC270" s="136"/>
      <c r="HD270" s="136"/>
      <c r="HE270" s="136"/>
      <c r="HF270" s="136"/>
      <c r="HG270" s="136"/>
      <c r="HH270" s="136"/>
      <c r="HI270" s="136"/>
      <c r="HJ270" s="136"/>
      <c r="HK270" s="136"/>
      <c r="HL270" s="136"/>
      <c r="HM270" s="136"/>
      <c r="HN270" s="136"/>
      <c r="HO270" s="136"/>
      <c r="HP270" s="136"/>
      <c r="HQ270" s="136"/>
      <c r="HR270" s="136"/>
      <c r="HS270" s="136"/>
      <c r="HT270" s="136"/>
      <c r="HU270" s="136"/>
      <c r="HV270" s="136"/>
      <c r="HW270" s="136"/>
      <c r="HX270" s="136"/>
      <c r="HY270" s="136"/>
      <c r="HZ270" s="136"/>
      <c r="IA270" s="136"/>
      <c r="IB270" s="136"/>
      <c r="IC270" s="136"/>
      <c r="ID270" s="136"/>
      <c r="IE270" s="136"/>
      <c r="IF270" s="136"/>
      <c r="IG270" s="136"/>
      <c r="IH270" s="136"/>
      <c r="II270" s="136"/>
      <c r="IJ270" s="136"/>
      <c r="IK270" s="136"/>
      <c r="IL270" s="136"/>
      <c r="IM270" s="136"/>
      <c r="IN270" s="136"/>
      <c r="IO270" s="136"/>
      <c r="IP270" s="136"/>
      <c r="IQ270" s="136"/>
      <c r="IR270" s="136"/>
      <c r="IS270" s="136"/>
      <c r="IT270" s="136"/>
      <c r="IU270" s="136"/>
    </row>
    <row r="271" spans="1:255" ht="48" customHeight="1" x14ac:dyDescent="0.2">
      <c r="A271" s="242" t="str">
        <f>'HECVAT - Full'!A271</f>
        <v>HIPA-03</v>
      </c>
      <c r="B271" s="242" t="str">
        <f>VLOOKUP(A271,'HECVAT - Full'!A$24:B$312,2,FALSE)</f>
        <v>Has your organization designated HIPAA Privacy and Security officers as required by the Rules?</v>
      </c>
      <c r="C271" s="243" t="s">
        <v>604</v>
      </c>
      <c r="D271" s="253" t="s">
        <v>2979</v>
      </c>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c r="AC271" s="136"/>
      <c r="AD271" s="136"/>
      <c r="AE271" s="136"/>
      <c r="AF271" s="136"/>
      <c r="AG271" s="136"/>
      <c r="AH271" s="136"/>
      <c r="AI271" s="136"/>
      <c r="AJ271" s="136"/>
      <c r="AK271" s="136"/>
      <c r="AL271" s="136"/>
      <c r="AM271" s="136"/>
      <c r="AN271" s="136"/>
      <c r="AO271" s="136"/>
      <c r="AP271" s="136"/>
      <c r="AQ271" s="136"/>
      <c r="AR271" s="136"/>
      <c r="AS271" s="136"/>
      <c r="AT271" s="136"/>
      <c r="AU271" s="136"/>
      <c r="AV271" s="136"/>
      <c r="AW271" s="136"/>
      <c r="AX271" s="136"/>
      <c r="AY271" s="136"/>
      <c r="AZ271" s="136"/>
      <c r="BA271" s="136"/>
      <c r="BB271" s="136"/>
      <c r="BC271" s="136"/>
      <c r="BD271" s="136"/>
      <c r="BE271" s="136"/>
      <c r="BF271" s="136"/>
      <c r="BG271" s="136"/>
      <c r="BH271" s="136"/>
      <c r="BI271" s="136"/>
      <c r="BJ271" s="136"/>
      <c r="BK271" s="136"/>
      <c r="BL271" s="136"/>
      <c r="BM271" s="136"/>
      <c r="BN271" s="136"/>
      <c r="BO271" s="136"/>
      <c r="BP271" s="136"/>
      <c r="BQ271" s="136"/>
      <c r="BR271" s="136"/>
      <c r="BS271" s="136"/>
      <c r="BT271" s="136"/>
      <c r="BU271" s="136"/>
      <c r="BV271" s="136"/>
      <c r="BW271" s="136"/>
      <c r="BX271" s="136"/>
      <c r="BY271" s="136"/>
      <c r="BZ271" s="136"/>
      <c r="CA271" s="136"/>
      <c r="CB271" s="136"/>
      <c r="CC271" s="136"/>
      <c r="CD271" s="136"/>
      <c r="CE271" s="136"/>
      <c r="CF271" s="136"/>
      <c r="CG271" s="136"/>
      <c r="CH271" s="136"/>
      <c r="CI271" s="136"/>
      <c r="CJ271" s="136"/>
      <c r="CK271" s="136"/>
      <c r="CL271" s="136"/>
      <c r="CM271" s="136"/>
      <c r="CN271" s="136"/>
      <c r="CO271" s="136"/>
      <c r="CP271" s="136"/>
      <c r="CQ271" s="136"/>
      <c r="CR271" s="136"/>
      <c r="CS271" s="136"/>
      <c r="CT271" s="136"/>
      <c r="CU271" s="136"/>
      <c r="CV271" s="136"/>
      <c r="CW271" s="136"/>
      <c r="CX271" s="136"/>
      <c r="CY271" s="136"/>
      <c r="CZ271" s="136"/>
      <c r="DA271" s="136"/>
      <c r="DB271" s="136"/>
      <c r="DC271" s="136"/>
      <c r="DD271" s="136"/>
      <c r="DE271" s="136"/>
      <c r="DF271" s="136"/>
      <c r="DG271" s="136"/>
      <c r="DH271" s="136"/>
      <c r="DI271" s="136"/>
      <c r="DJ271" s="136"/>
      <c r="DK271" s="136"/>
      <c r="DL271" s="136"/>
      <c r="DM271" s="136"/>
      <c r="DN271" s="136"/>
      <c r="DO271" s="136"/>
      <c r="DP271" s="136"/>
      <c r="DQ271" s="136"/>
      <c r="DR271" s="136"/>
      <c r="DS271" s="136"/>
      <c r="DT271" s="136"/>
      <c r="DU271" s="136"/>
      <c r="DV271" s="136"/>
      <c r="DW271" s="136"/>
      <c r="DX271" s="136"/>
      <c r="DY271" s="136"/>
      <c r="DZ271" s="136"/>
      <c r="EA271" s="136"/>
      <c r="EB271" s="136"/>
      <c r="EC271" s="136"/>
      <c r="ED271" s="136"/>
      <c r="EE271" s="136"/>
      <c r="EF271" s="136"/>
      <c r="EG271" s="136"/>
      <c r="EH271" s="136"/>
      <c r="EI271" s="136"/>
      <c r="EJ271" s="136"/>
      <c r="EK271" s="136"/>
      <c r="EL271" s="136"/>
      <c r="EM271" s="136"/>
      <c r="EN271" s="136"/>
      <c r="EO271" s="136"/>
      <c r="EP271" s="136"/>
      <c r="EQ271" s="136"/>
      <c r="ER271" s="136"/>
      <c r="ES271" s="136"/>
      <c r="ET271" s="136"/>
      <c r="EU271" s="136"/>
      <c r="EV271" s="136"/>
      <c r="EW271" s="136"/>
      <c r="EX271" s="136"/>
      <c r="EY271" s="136"/>
      <c r="EZ271" s="136"/>
      <c r="FA271" s="136"/>
      <c r="FB271" s="136"/>
      <c r="FC271" s="136"/>
      <c r="FD271" s="136"/>
      <c r="FE271" s="136"/>
      <c r="FF271" s="136"/>
      <c r="FG271" s="136"/>
      <c r="FH271" s="136"/>
      <c r="FI271" s="136"/>
      <c r="FJ271" s="136"/>
      <c r="FK271" s="136"/>
      <c r="FL271" s="136"/>
      <c r="FM271" s="136"/>
      <c r="FN271" s="136"/>
      <c r="FO271" s="136"/>
      <c r="FP271" s="136"/>
      <c r="FQ271" s="136"/>
      <c r="FR271" s="136"/>
      <c r="FS271" s="136"/>
      <c r="FT271" s="136"/>
      <c r="FU271" s="136"/>
      <c r="FV271" s="136"/>
      <c r="FW271" s="136"/>
      <c r="FX271" s="136"/>
      <c r="FY271" s="136"/>
      <c r="FZ271" s="136"/>
      <c r="GA271" s="136"/>
      <c r="GB271" s="136"/>
      <c r="GC271" s="136"/>
      <c r="GD271" s="136"/>
      <c r="GE271" s="136"/>
      <c r="GF271" s="136"/>
      <c r="GG271" s="136"/>
      <c r="GH271" s="136"/>
      <c r="GI271" s="136"/>
      <c r="GJ271" s="136"/>
      <c r="GK271" s="136"/>
      <c r="GL271" s="136"/>
      <c r="GM271" s="136"/>
      <c r="GN271" s="136"/>
      <c r="GO271" s="136"/>
      <c r="GP271" s="136"/>
      <c r="GQ271" s="136"/>
      <c r="GR271" s="136"/>
      <c r="GS271" s="136"/>
      <c r="GT271" s="136"/>
      <c r="GU271" s="136"/>
      <c r="GV271" s="136"/>
      <c r="GW271" s="136"/>
      <c r="GX271" s="136"/>
      <c r="GY271" s="136"/>
      <c r="GZ271" s="136"/>
      <c r="HA271" s="136"/>
      <c r="HB271" s="136"/>
      <c r="HC271" s="136"/>
      <c r="HD271" s="136"/>
      <c r="HE271" s="136"/>
      <c r="HF271" s="136"/>
      <c r="HG271" s="136"/>
      <c r="HH271" s="136"/>
      <c r="HI271" s="136"/>
      <c r="HJ271" s="136"/>
      <c r="HK271" s="136"/>
      <c r="HL271" s="136"/>
      <c r="HM271" s="136"/>
      <c r="HN271" s="136"/>
      <c r="HO271" s="136"/>
      <c r="HP271" s="136"/>
      <c r="HQ271" s="136"/>
      <c r="HR271" s="136"/>
      <c r="HS271" s="136"/>
      <c r="HT271" s="136"/>
      <c r="HU271" s="136"/>
      <c r="HV271" s="136"/>
      <c r="HW271" s="136"/>
      <c r="HX271" s="136"/>
      <c r="HY271" s="136"/>
      <c r="HZ271" s="136"/>
      <c r="IA271" s="136"/>
      <c r="IB271" s="136"/>
      <c r="IC271" s="136"/>
      <c r="ID271" s="136"/>
      <c r="IE271" s="136"/>
      <c r="IF271" s="136"/>
      <c r="IG271" s="136"/>
      <c r="IH271" s="136"/>
      <c r="II271" s="136"/>
      <c r="IJ271" s="136"/>
      <c r="IK271" s="136"/>
      <c r="IL271" s="136"/>
      <c r="IM271" s="136"/>
      <c r="IN271" s="136"/>
      <c r="IO271" s="136"/>
      <c r="IP271" s="136"/>
      <c r="IQ271" s="136"/>
      <c r="IR271" s="136"/>
      <c r="IS271" s="136"/>
      <c r="IT271" s="136"/>
      <c r="IU271" s="136"/>
    </row>
    <row r="272" spans="1:255" ht="48" customHeight="1" x14ac:dyDescent="0.2">
      <c r="A272" s="242" t="str">
        <f>'HECVAT - Full'!A272</f>
        <v>HIPA-04</v>
      </c>
      <c r="B272" s="242" t="str">
        <f>VLOOKUP(A272,'HECVAT - Full'!A$24:B$312,2,FALSE)</f>
        <v>Do you comply with the requirements of the Health Information Technology for Economic and Clinical Health Act (HITECH)?</v>
      </c>
      <c r="C272" s="243" t="s">
        <v>2980</v>
      </c>
      <c r="D272" s="253" t="s">
        <v>2979</v>
      </c>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c r="AC272" s="136"/>
      <c r="AD272" s="136"/>
      <c r="AE272" s="136"/>
      <c r="AF272" s="136"/>
      <c r="AG272" s="136"/>
      <c r="AH272" s="136"/>
      <c r="AI272" s="136"/>
      <c r="AJ272" s="136"/>
      <c r="AK272" s="136"/>
      <c r="AL272" s="136"/>
      <c r="AM272" s="136"/>
      <c r="AN272" s="136"/>
      <c r="AO272" s="136"/>
      <c r="AP272" s="136"/>
      <c r="AQ272" s="136"/>
      <c r="AR272" s="136"/>
      <c r="AS272" s="136"/>
      <c r="AT272" s="136"/>
      <c r="AU272" s="136"/>
      <c r="AV272" s="136"/>
      <c r="AW272" s="136"/>
      <c r="AX272" s="136"/>
      <c r="AY272" s="136"/>
      <c r="AZ272" s="136"/>
      <c r="BA272" s="136"/>
      <c r="BB272" s="136"/>
      <c r="BC272" s="136"/>
      <c r="BD272" s="136"/>
      <c r="BE272" s="136"/>
      <c r="BF272" s="136"/>
      <c r="BG272" s="136"/>
      <c r="BH272" s="136"/>
      <c r="BI272" s="136"/>
      <c r="BJ272" s="136"/>
      <c r="BK272" s="136"/>
      <c r="BL272" s="136"/>
      <c r="BM272" s="136"/>
      <c r="BN272" s="136"/>
      <c r="BO272" s="136"/>
      <c r="BP272" s="136"/>
      <c r="BQ272" s="136"/>
      <c r="BR272" s="136"/>
      <c r="BS272" s="136"/>
      <c r="BT272" s="136"/>
      <c r="BU272" s="136"/>
      <c r="BV272" s="136"/>
      <c r="BW272" s="136"/>
      <c r="BX272" s="136"/>
      <c r="BY272" s="136"/>
      <c r="BZ272" s="136"/>
      <c r="CA272" s="136"/>
      <c r="CB272" s="136"/>
      <c r="CC272" s="136"/>
      <c r="CD272" s="136"/>
      <c r="CE272" s="136"/>
      <c r="CF272" s="136"/>
      <c r="CG272" s="136"/>
      <c r="CH272" s="136"/>
      <c r="CI272" s="136"/>
      <c r="CJ272" s="136"/>
      <c r="CK272" s="136"/>
      <c r="CL272" s="136"/>
      <c r="CM272" s="136"/>
      <c r="CN272" s="136"/>
      <c r="CO272" s="136"/>
      <c r="CP272" s="136"/>
      <c r="CQ272" s="136"/>
      <c r="CR272" s="136"/>
      <c r="CS272" s="136"/>
      <c r="CT272" s="136"/>
      <c r="CU272" s="136"/>
      <c r="CV272" s="136"/>
      <c r="CW272" s="136"/>
      <c r="CX272" s="136"/>
      <c r="CY272" s="136"/>
      <c r="CZ272" s="136"/>
      <c r="DA272" s="136"/>
      <c r="DB272" s="136"/>
      <c r="DC272" s="136"/>
      <c r="DD272" s="136"/>
      <c r="DE272" s="136"/>
      <c r="DF272" s="136"/>
      <c r="DG272" s="136"/>
      <c r="DH272" s="136"/>
      <c r="DI272" s="136"/>
      <c r="DJ272" s="136"/>
      <c r="DK272" s="136"/>
      <c r="DL272" s="136"/>
      <c r="DM272" s="136"/>
      <c r="DN272" s="136"/>
      <c r="DO272" s="136"/>
      <c r="DP272" s="136"/>
      <c r="DQ272" s="136"/>
      <c r="DR272" s="136"/>
      <c r="DS272" s="136"/>
      <c r="DT272" s="136"/>
      <c r="DU272" s="136"/>
      <c r="DV272" s="136"/>
      <c r="DW272" s="136"/>
      <c r="DX272" s="136"/>
      <c r="DY272" s="136"/>
      <c r="DZ272" s="136"/>
      <c r="EA272" s="136"/>
      <c r="EB272" s="136"/>
      <c r="EC272" s="136"/>
      <c r="ED272" s="136"/>
      <c r="EE272" s="136"/>
      <c r="EF272" s="136"/>
      <c r="EG272" s="136"/>
      <c r="EH272" s="136"/>
      <c r="EI272" s="136"/>
      <c r="EJ272" s="136"/>
      <c r="EK272" s="136"/>
      <c r="EL272" s="136"/>
      <c r="EM272" s="136"/>
      <c r="EN272" s="136"/>
      <c r="EO272" s="136"/>
      <c r="EP272" s="136"/>
      <c r="EQ272" s="136"/>
      <c r="ER272" s="136"/>
      <c r="ES272" s="136"/>
      <c r="ET272" s="136"/>
      <c r="EU272" s="136"/>
      <c r="EV272" s="136"/>
      <c r="EW272" s="136"/>
      <c r="EX272" s="136"/>
      <c r="EY272" s="136"/>
      <c r="EZ272" s="136"/>
      <c r="FA272" s="136"/>
      <c r="FB272" s="136"/>
      <c r="FC272" s="136"/>
      <c r="FD272" s="136"/>
      <c r="FE272" s="136"/>
      <c r="FF272" s="136"/>
      <c r="FG272" s="136"/>
      <c r="FH272" s="136"/>
      <c r="FI272" s="136"/>
      <c r="FJ272" s="136"/>
      <c r="FK272" s="136"/>
      <c r="FL272" s="136"/>
      <c r="FM272" s="136"/>
      <c r="FN272" s="136"/>
      <c r="FO272" s="136"/>
      <c r="FP272" s="136"/>
      <c r="FQ272" s="136"/>
      <c r="FR272" s="136"/>
      <c r="FS272" s="136"/>
      <c r="FT272" s="136"/>
      <c r="FU272" s="136"/>
      <c r="FV272" s="136"/>
      <c r="FW272" s="136"/>
      <c r="FX272" s="136"/>
      <c r="FY272" s="136"/>
      <c r="FZ272" s="136"/>
      <c r="GA272" s="136"/>
      <c r="GB272" s="136"/>
      <c r="GC272" s="136"/>
      <c r="GD272" s="136"/>
      <c r="GE272" s="136"/>
      <c r="GF272" s="136"/>
      <c r="GG272" s="136"/>
      <c r="GH272" s="136"/>
      <c r="GI272" s="136"/>
      <c r="GJ272" s="136"/>
      <c r="GK272" s="136"/>
      <c r="GL272" s="136"/>
      <c r="GM272" s="136"/>
      <c r="GN272" s="136"/>
      <c r="GO272" s="136"/>
      <c r="GP272" s="136"/>
      <c r="GQ272" s="136"/>
      <c r="GR272" s="136"/>
      <c r="GS272" s="136"/>
      <c r="GT272" s="136"/>
      <c r="GU272" s="136"/>
      <c r="GV272" s="136"/>
      <c r="GW272" s="136"/>
      <c r="GX272" s="136"/>
      <c r="GY272" s="136"/>
      <c r="GZ272" s="136"/>
      <c r="HA272" s="136"/>
      <c r="HB272" s="136"/>
      <c r="HC272" s="136"/>
      <c r="HD272" s="136"/>
      <c r="HE272" s="136"/>
      <c r="HF272" s="136"/>
      <c r="HG272" s="136"/>
      <c r="HH272" s="136"/>
      <c r="HI272" s="136"/>
      <c r="HJ272" s="136"/>
      <c r="HK272" s="136"/>
      <c r="HL272" s="136"/>
      <c r="HM272" s="136"/>
      <c r="HN272" s="136"/>
      <c r="HO272" s="136"/>
      <c r="HP272" s="136"/>
      <c r="HQ272" s="136"/>
      <c r="HR272" s="136"/>
      <c r="HS272" s="136"/>
      <c r="HT272" s="136"/>
      <c r="HU272" s="136"/>
      <c r="HV272" s="136"/>
      <c r="HW272" s="136"/>
      <c r="HX272" s="136"/>
      <c r="HY272" s="136"/>
      <c r="HZ272" s="136"/>
      <c r="IA272" s="136"/>
      <c r="IB272" s="136"/>
      <c r="IC272" s="136"/>
      <c r="ID272" s="136"/>
      <c r="IE272" s="136"/>
      <c r="IF272" s="136"/>
      <c r="IG272" s="136"/>
      <c r="IH272" s="136"/>
      <c r="II272" s="136"/>
      <c r="IJ272" s="136"/>
      <c r="IK272" s="136"/>
      <c r="IL272" s="136"/>
      <c r="IM272" s="136"/>
      <c r="IN272" s="136"/>
      <c r="IO272" s="136"/>
      <c r="IP272" s="136"/>
      <c r="IQ272" s="136"/>
      <c r="IR272" s="136"/>
      <c r="IS272" s="136"/>
      <c r="IT272" s="136"/>
      <c r="IU272" s="136"/>
    </row>
    <row r="273" spans="1:255" ht="48" customHeight="1" x14ac:dyDescent="0.2">
      <c r="A273" s="242" t="str">
        <f>'HECVAT - Full'!A273</f>
        <v>HIPA-05</v>
      </c>
      <c r="B273" s="242" t="str">
        <f>VLOOKUP(A273,'HECVAT - Full'!A$24:B$312,2,FALSE)</f>
        <v>Do you have an incident response process and reporting in place to investigate any potential incidents and report actual incidents?</v>
      </c>
      <c r="C273" s="243" t="s">
        <v>605</v>
      </c>
      <c r="D273" s="253" t="s">
        <v>2979</v>
      </c>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c r="AC273" s="136"/>
      <c r="AD273" s="136"/>
      <c r="AE273" s="136"/>
      <c r="AF273" s="136"/>
      <c r="AG273" s="136"/>
      <c r="AH273" s="136"/>
      <c r="AI273" s="136"/>
      <c r="AJ273" s="136"/>
      <c r="AK273" s="136"/>
      <c r="AL273" s="136"/>
      <c r="AM273" s="136"/>
      <c r="AN273" s="136"/>
      <c r="AO273" s="136"/>
      <c r="AP273" s="136"/>
      <c r="AQ273" s="136"/>
      <c r="AR273" s="136"/>
      <c r="AS273" s="136"/>
      <c r="AT273" s="136"/>
      <c r="AU273" s="136"/>
      <c r="AV273" s="136"/>
      <c r="AW273" s="136"/>
      <c r="AX273" s="136"/>
      <c r="AY273" s="136"/>
      <c r="AZ273" s="136"/>
      <c r="BA273" s="136"/>
      <c r="BB273" s="136"/>
      <c r="BC273" s="136"/>
      <c r="BD273" s="136"/>
      <c r="BE273" s="136"/>
      <c r="BF273" s="136"/>
      <c r="BG273" s="136"/>
      <c r="BH273" s="136"/>
      <c r="BI273" s="136"/>
      <c r="BJ273" s="136"/>
      <c r="BK273" s="136"/>
      <c r="BL273" s="136"/>
      <c r="BM273" s="136"/>
      <c r="BN273" s="136"/>
      <c r="BO273" s="136"/>
      <c r="BP273" s="136"/>
      <c r="BQ273" s="136"/>
      <c r="BR273" s="136"/>
      <c r="BS273" s="136"/>
      <c r="BT273" s="136"/>
      <c r="BU273" s="136"/>
      <c r="BV273" s="136"/>
      <c r="BW273" s="136"/>
      <c r="BX273" s="136"/>
      <c r="BY273" s="136"/>
      <c r="BZ273" s="136"/>
      <c r="CA273" s="136"/>
      <c r="CB273" s="136"/>
      <c r="CC273" s="136"/>
      <c r="CD273" s="136"/>
      <c r="CE273" s="136"/>
      <c r="CF273" s="136"/>
      <c r="CG273" s="136"/>
      <c r="CH273" s="136"/>
      <c r="CI273" s="136"/>
      <c r="CJ273" s="136"/>
      <c r="CK273" s="136"/>
      <c r="CL273" s="136"/>
      <c r="CM273" s="136"/>
      <c r="CN273" s="136"/>
      <c r="CO273" s="136"/>
      <c r="CP273" s="136"/>
      <c r="CQ273" s="136"/>
      <c r="CR273" s="136"/>
      <c r="CS273" s="136"/>
      <c r="CT273" s="136"/>
      <c r="CU273" s="136"/>
      <c r="CV273" s="136"/>
      <c r="CW273" s="136"/>
      <c r="CX273" s="136"/>
      <c r="CY273" s="136"/>
      <c r="CZ273" s="136"/>
      <c r="DA273" s="136"/>
      <c r="DB273" s="136"/>
      <c r="DC273" s="136"/>
      <c r="DD273" s="136"/>
      <c r="DE273" s="136"/>
      <c r="DF273" s="136"/>
      <c r="DG273" s="136"/>
      <c r="DH273" s="136"/>
      <c r="DI273" s="136"/>
      <c r="DJ273" s="136"/>
      <c r="DK273" s="136"/>
      <c r="DL273" s="136"/>
      <c r="DM273" s="136"/>
      <c r="DN273" s="136"/>
      <c r="DO273" s="136"/>
      <c r="DP273" s="136"/>
      <c r="DQ273" s="136"/>
      <c r="DR273" s="136"/>
      <c r="DS273" s="136"/>
      <c r="DT273" s="136"/>
      <c r="DU273" s="136"/>
      <c r="DV273" s="136"/>
      <c r="DW273" s="136"/>
      <c r="DX273" s="136"/>
      <c r="DY273" s="136"/>
      <c r="DZ273" s="136"/>
      <c r="EA273" s="136"/>
      <c r="EB273" s="136"/>
      <c r="EC273" s="136"/>
      <c r="ED273" s="136"/>
      <c r="EE273" s="136"/>
      <c r="EF273" s="136"/>
      <c r="EG273" s="136"/>
      <c r="EH273" s="136"/>
      <c r="EI273" s="136"/>
      <c r="EJ273" s="136"/>
      <c r="EK273" s="136"/>
      <c r="EL273" s="136"/>
      <c r="EM273" s="136"/>
      <c r="EN273" s="136"/>
      <c r="EO273" s="136"/>
      <c r="EP273" s="136"/>
      <c r="EQ273" s="136"/>
      <c r="ER273" s="136"/>
      <c r="ES273" s="136"/>
      <c r="ET273" s="136"/>
      <c r="EU273" s="136"/>
      <c r="EV273" s="136"/>
      <c r="EW273" s="136"/>
      <c r="EX273" s="136"/>
      <c r="EY273" s="136"/>
      <c r="EZ273" s="136"/>
      <c r="FA273" s="136"/>
      <c r="FB273" s="136"/>
      <c r="FC273" s="136"/>
      <c r="FD273" s="136"/>
      <c r="FE273" s="136"/>
      <c r="FF273" s="136"/>
      <c r="FG273" s="136"/>
      <c r="FH273" s="136"/>
      <c r="FI273" s="136"/>
      <c r="FJ273" s="136"/>
      <c r="FK273" s="136"/>
      <c r="FL273" s="136"/>
      <c r="FM273" s="136"/>
      <c r="FN273" s="136"/>
      <c r="FO273" s="136"/>
      <c r="FP273" s="136"/>
      <c r="FQ273" s="136"/>
      <c r="FR273" s="136"/>
      <c r="FS273" s="136"/>
      <c r="FT273" s="136"/>
      <c r="FU273" s="136"/>
      <c r="FV273" s="136"/>
      <c r="FW273" s="136"/>
      <c r="FX273" s="136"/>
      <c r="FY273" s="136"/>
      <c r="FZ273" s="136"/>
      <c r="GA273" s="136"/>
      <c r="GB273" s="136"/>
      <c r="GC273" s="136"/>
      <c r="GD273" s="136"/>
      <c r="GE273" s="136"/>
      <c r="GF273" s="136"/>
      <c r="GG273" s="136"/>
      <c r="GH273" s="136"/>
      <c r="GI273" s="136"/>
      <c r="GJ273" s="136"/>
      <c r="GK273" s="136"/>
      <c r="GL273" s="136"/>
      <c r="GM273" s="136"/>
      <c r="GN273" s="136"/>
      <c r="GO273" s="136"/>
      <c r="GP273" s="136"/>
      <c r="GQ273" s="136"/>
      <c r="GR273" s="136"/>
      <c r="GS273" s="136"/>
      <c r="GT273" s="136"/>
      <c r="GU273" s="136"/>
      <c r="GV273" s="136"/>
      <c r="GW273" s="136"/>
      <c r="GX273" s="136"/>
      <c r="GY273" s="136"/>
      <c r="GZ273" s="136"/>
      <c r="HA273" s="136"/>
      <c r="HB273" s="136"/>
      <c r="HC273" s="136"/>
      <c r="HD273" s="136"/>
      <c r="HE273" s="136"/>
      <c r="HF273" s="136"/>
      <c r="HG273" s="136"/>
      <c r="HH273" s="136"/>
      <c r="HI273" s="136"/>
      <c r="HJ273" s="136"/>
      <c r="HK273" s="136"/>
      <c r="HL273" s="136"/>
      <c r="HM273" s="136"/>
      <c r="HN273" s="136"/>
      <c r="HO273" s="136"/>
      <c r="HP273" s="136"/>
      <c r="HQ273" s="136"/>
      <c r="HR273" s="136"/>
      <c r="HS273" s="136"/>
      <c r="HT273" s="136"/>
      <c r="HU273" s="136"/>
      <c r="HV273" s="136"/>
      <c r="HW273" s="136"/>
      <c r="HX273" s="136"/>
      <c r="HY273" s="136"/>
      <c r="HZ273" s="136"/>
      <c r="IA273" s="136"/>
      <c r="IB273" s="136"/>
      <c r="IC273" s="136"/>
      <c r="ID273" s="136"/>
      <c r="IE273" s="136"/>
      <c r="IF273" s="136"/>
      <c r="IG273" s="136"/>
      <c r="IH273" s="136"/>
      <c r="II273" s="136"/>
      <c r="IJ273" s="136"/>
      <c r="IK273" s="136"/>
      <c r="IL273" s="136"/>
      <c r="IM273" s="136"/>
      <c r="IN273" s="136"/>
      <c r="IO273" s="136"/>
      <c r="IP273" s="136"/>
      <c r="IQ273" s="136"/>
      <c r="IR273" s="136"/>
      <c r="IS273" s="136"/>
      <c r="IT273" s="136"/>
      <c r="IU273" s="136"/>
    </row>
    <row r="274" spans="1:255" ht="48" customHeight="1" x14ac:dyDescent="0.2">
      <c r="A274" s="242" t="str">
        <f>'HECVAT - Full'!A274</f>
        <v>HIPA-06</v>
      </c>
      <c r="B274" s="242" t="str">
        <f>VLOOKUP(A274,'HECVAT - Full'!A$24:B$312,2,FALSE)</f>
        <v>Do you have a plan to comply with the Breach Notification requirements if there is a breach of data?</v>
      </c>
      <c r="C274" s="243" t="s">
        <v>691</v>
      </c>
      <c r="D274" s="253" t="s">
        <v>2979</v>
      </c>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c r="AC274" s="136"/>
      <c r="AD274" s="136"/>
      <c r="AE274" s="136"/>
      <c r="AF274" s="136"/>
      <c r="AG274" s="136"/>
      <c r="AH274" s="136"/>
      <c r="AI274" s="136"/>
      <c r="AJ274" s="136"/>
      <c r="AK274" s="136"/>
      <c r="AL274" s="136"/>
      <c r="AM274" s="136"/>
      <c r="AN274" s="136"/>
      <c r="AO274" s="136"/>
      <c r="AP274" s="136"/>
      <c r="AQ274" s="136"/>
      <c r="AR274" s="136"/>
      <c r="AS274" s="136"/>
      <c r="AT274" s="136"/>
      <c r="AU274" s="136"/>
      <c r="AV274" s="136"/>
      <c r="AW274" s="136"/>
      <c r="AX274" s="136"/>
      <c r="AY274" s="136"/>
      <c r="AZ274" s="136"/>
      <c r="BA274" s="136"/>
      <c r="BB274" s="136"/>
      <c r="BC274" s="136"/>
      <c r="BD274" s="136"/>
      <c r="BE274" s="136"/>
      <c r="BF274" s="136"/>
      <c r="BG274" s="136"/>
      <c r="BH274" s="136"/>
      <c r="BI274" s="136"/>
      <c r="BJ274" s="136"/>
      <c r="BK274" s="136"/>
      <c r="BL274" s="136"/>
      <c r="BM274" s="136"/>
      <c r="BN274" s="136"/>
      <c r="BO274" s="136"/>
      <c r="BP274" s="136"/>
      <c r="BQ274" s="136"/>
      <c r="BR274" s="136"/>
      <c r="BS274" s="136"/>
      <c r="BT274" s="136"/>
      <c r="BU274" s="136"/>
      <c r="BV274" s="136"/>
      <c r="BW274" s="136"/>
      <c r="BX274" s="136"/>
      <c r="BY274" s="136"/>
      <c r="BZ274" s="136"/>
      <c r="CA274" s="136"/>
      <c r="CB274" s="136"/>
      <c r="CC274" s="136"/>
      <c r="CD274" s="136"/>
      <c r="CE274" s="136"/>
      <c r="CF274" s="136"/>
      <c r="CG274" s="136"/>
      <c r="CH274" s="136"/>
      <c r="CI274" s="136"/>
      <c r="CJ274" s="136"/>
      <c r="CK274" s="136"/>
      <c r="CL274" s="136"/>
      <c r="CM274" s="136"/>
      <c r="CN274" s="136"/>
      <c r="CO274" s="136"/>
      <c r="CP274" s="136"/>
      <c r="CQ274" s="136"/>
      <c r="CR274" s="136"/>
      <c r="CS274" s="136"/>
      <c r="CT274" s="136"/>
      <c r="CU274" s="136"/>
      <c r="CV274" s="136"/>
      <c r="CW274" s="136"/>
      <c r="CX274" s="136"/>
      <c r="CY274" s="136"/>
      <c r="CZ274" s="136"/>
      <c r="DA274" s="136"/>
      <c r="DB274" s="136"/>
      <c r="DC274" s="136"/>
      <c r="DD274" s="136"/>
      <c r="DE274" s="136"/>
      <c r="DF274" s="136"/>
      <c r="DG274" s="136"/>
      <c r="DH274" s="136"/>
      <c r="DI274" s="136"/>
      <c r="DJ274" s="136"/>
      <c r="DK274" s="136"/>
      <c r="DL274" s="136"/>
      <c r="DM274" s="136"/>
      <c r="DN274" s="136"/>
      <c r="DO274" s="136"/>
      <c r="DP274" s="136"/>
      <c r="DQ274" s="136"/>
      <c r="DR274" s="136"/>
      <c r="DS274" s="136"/>
      <c r="DT274" s="136"/>
      <c r="DU274" s="136"/>
      <c r="DV274" s="136"/>
      <c r="DW274" s="136"/>
      <c r="DX274" s="136"/>
      <c r="DY274" s="136"/>
      <c r="DZ274" s="136"/>
      <c r="EA274" s="136"/>
      <c r="EB274" s="136"/>
      <c r="EC274" s="136"/>
      <c r="ED274" s="136"/>
      <c r="EE274" s="136"/>
      <c r="EF274" s="136"/>
      <c r="EG274" s="136"/>
      <c r="EH274" s="136"/>
      <c r="EI274" s="136"/>
      <c r="EJ274" s="136"/>
      <c r="EK274" s="136"/>
      <c r="EL274" s="136"/>
      <c r="EM274" s="136"/>
      <c r="EN274" s="136"/>
      <c r="EO274" s="136"/>
      <c r="EP274" s="136"/>
      <c r="EQ274" s="136"/>
      <c r="ER274" s="136"/>
      <c r="ES274" s="136"/>
      <c r="ET274" s="136"/>
      <c r="EU274" s="136"/>
      <c r="EV274" s="136"/>
      <c r="EW274" s="136"/>
      <c r="EX274" s="136"/>
      <c r="EY274" s="136"/>
      <c r="EZ274" s="136"/>
      <c r="FA274" s="136"/>
      <c r="FB274" s="136"/>
      <c r="FC274" s="136"/>
      <c r="FD274" s="136"/>
      <c r="FE274" s="136"/>
      <c r="FF274" s="136"/>
      <c r="FG274" s="136"/>
      <c r="FH274" s="136"/>
      <c r="FI274" s="136"/>
      <c r="FJ274" s="136"/>
      <c r="FK274" s="136"/>
      <c r="FL274" s="136"/>
      <c r="FM274" s="136"/>
      <c r="FN274" s="136"/>
      <c r="FO274" s="136"/>
      <c r="FP274" s="136"/>
      <c r="FQ274" s="136"/>
      <c r="FR274" s="136"/>
      <c r="FS274" s="136"/>
      <c r="FT274" s="136"/>
      <c r="FU274" s="136"/>
      <c r="FV274" s="136"/>
      <c r="FW274" s="136"/>
      <c r="FX274" s="136"/>
      <c r="FY274" s="136"/>
      <c r="FZ274" s="136"/>
      <c r="GA274" s="136"/>
      <c r="GB274" s="136"/>
      <c r="GC274" s="136"/>
      <c r="GD274" s="136"/>
      <c r="GE274" s="136"/>
      <c r="GF274" s="136"/>
      <c r="GG274" s="136"/>
      <c r="GH274" s="136"/>
      <c r="GI274" s="136"/>
      <c r="GJ274" s="136"/>
      <c r="GK274" s="136"/>
      <c r="GL274" s="136"/>
      <c r="GM274" s="136"/>
      <c r="GN274" s="136"/>
      <c r="GO274" s="136"/>
      <c r="GP274" s="136"/>
      <c r="GQ274" s="136"/>
      <c r="GR274" s="136"/>
      <c r="GS274" s="136"/>
      <c r="GT274" s="136"/>
      <c r="GU274" s="136"/>
      <c r="GV274" s="136"/>
      <c r="GW274" s="136"/>
      <c r="GX274" s="136"/>
      <c r="GY274" s="136"/>
      <c r="GZ274" s="136"/>
      <c r="HA274" s="136"/>
      <c r="HB274" s="136"/>
      <c r="HC274" s="136"/>
      <c r="HD274" s="136"/>
      <c r="HE274" s="136"/>
      <c r="HF274" s="136"/>
      <c r="HG274" s="136"/>
      <c r="HH274" s="136"/>
      <c r="HI274" s="136"/>
      <c r="HJ274" s="136"/>
      <c r="HK274" s="136"/>
      <c r="HL274" s="136"/>
      <c r="HM274" s="136"/>
      <c r="HN274" s="136"/>
      <c r="HO274" s="136"/>
      <c r="HP274" s="136"/>
      <c r="HQ274" s="136"/>
      <c r="HR274" s="136"/>
      <c r="HS274" s="136"/>
      <c r="HT274" s="136"/>
      <c r="HU274" s="136"/>
      <c r="HV274" s="136"/>
      <c r="HW274" s="136"/>
      <c r="HX274" s="136"/>
      <c r="HY274" s="136"/>
      <c r="HZ274" s="136"/>
      <c r="IA274" s="136"/>
      <c r="IB274" s="136"/>
      <c r="IC274" s="136"/>
      <c r="ID274" s="136"/>
      <c r="IE274" s="136"/>
      <c r="IF274" s="136"/>
      <c r="IG274" s="136"/>
      <c r="IH274" s="136"/>
      <c r="II274" s="136"/>
      <c r="IJ274" s="136"/>
      <c r="IK274" s="136"/>
      <c r="IL274" s="136"/>
      <c r="IM274" s="136"/>
      <c r="IN274" s="136"/>
      <c r="IO274" s="136"/>
      <c r="IP274" s="136"/>
      <c r="IQ274" s="136"/>
      <c r="IR274" s="136"/>
      <c r="IS274" s="136"/>
      <c r="IT274" s="136"/>
      <c r="IU274" s="136"/>
    </row>
    <row r="275" spans="1:255" ht="48" customHeight="1" x14ac:dyDescent="0.2">
      <c r="A275" s="242" t="str">
        <f>'HECVAT - Full'!A275</f>
        <v>HIPA-07</v>
      </c>
      <c r="B275" s="242" t="str">
        <f>VLOOKUP(A275,'HECVAT - Full'!A$24:B$312,2,FALSE)</f>
        <v>Have you conducted a risk analysis as required under the Security Rule?</v>
      </c>
      <c r="C275" s="243" t="s">
        <v>600</v>
      </c>
      <c r="D275" s="253" t="s">
        <v>2979</v>
      </c>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c r="AC275" s="136"/>
      <c r="AD275" s="136"/>
      <c r="AE275" s="136"/>
      <c r="AF275" s="136"/>
      <c r="AG275" s="136"/>
      <c r="AH275" s="136"/>
      <c r="AI275" s="136"/>
      <c r="AJ275" s="136"/>
      <c r="AK275" s="136"/>
      <c r="AL275" s="136"/>
      <c r="AM275" s="136"/>
      <c r="AN275" s="136"/>
      <c r="AO275" s="136"/>
      <c r="AP275" s="136"/>
      <c r="AQ275" s="136"/>
      <c r="AR275" s="136"/>
      <c r="AS275" s="136"/>
      <c r="AT275" s="136"/>
      <c r="AU275" s="136"/>
      <c r="AV275" s="136"/>
      <c r="AW275" s="136"/>
      <c r="AX275" s="136"/>
      <c r="AY275" s="136"/>
      <c r="AZ275" s="136"/>
      <c r="BA275" s="136"/>
      <c r="BB275" s="136"/>
      <c r="BC275" s="136"/>
      <c r="BD275" s="136"/>
      <c r="BE275" s="136"/>
      <c r="BF275" s="136"/>
      <c r="BG275" s="136"/>
      <c r="BH275" s="136"/>
      <c r="BI275" s="136"/>
      <c r="BJ275" s="136"/>
      <c r="BK275" s="136"/>
      <c r="BL275" s="136"/>
      <c r="BM275" s="136"/>
      <c r="BN275" s="136"/>
      <c r="BO275" s="136"/>
      <c r="BP275" s="136"/>
      <c r="BQ275" s="136"/>
      <c r="BR275" s="136"/>
      <c r="BS275" s="136"/>
      <c r="BT275" s="136"/>
      <c r="BU275" s="136"/>
      <c r="BV275" s="136"/>
      <c r="BW275" s="136"/>
      <c r="BX275" s="136"/>
      <c r="BY275" s="136"/>
      <c r="BZ275" s="136"/>
      <c r="CA275" s="136"/>
      <c r="CB275" s="136"/>
      <c r="CC275" s="136"/>
      <c r="CD275" s="136"/>
      <c r="CE275" s="136"/>
      <c r="CF275" s="136"/>
      <c r="CG275" s="136"/>
      <c r="CH275" s="136"/>
      <c r="CI275" s="136"/>
      <c r="CJ275" s="136"/>
      <c r="CK275" s="136"/>
      <c r="CL275" s="136"/>
      <c r="CM275" s="136"/>
      <c r="CN275" s="136"/>
      <c r="CO275" s="136"/>
      <c r="CP275" s="136"/>
      <c r="CQ275" s="136"/>
      <c r="CR275" s="136"/>
      <c r="CS275" s="136"/>
      <c r="CT275" s="136"/>
      <c r="CU275" s="136"/>
      <c r="CV275" s="136"/>
      <c r="CW275" s="136"/>
      <c r="CX275" s="136"/>
      <c r="CY275" s="136"/>
      <c r="CZ275" s="136"/>
      <c r="DA275" s="136"/>
      <c r="DB275" s="136"/>
      <c r="DC275" s="136"/>
      <c r="DD275" s="136"/>
      <c r="DE275" s="136"/>
      <c r="DF275" s="136"/>
      <c r="DG275" s="136"/>
      <c r="DH275" s="136"/>
      <c r="DI275" s="136"/>
      <c r="DJ275" s="136"/>
      <c r="DK275" s="136"/>
      <c r="DL275" s="136"/>
      <c r="DM275" s="136"/>
      <c r="DN275" s="136"/>
      <c r="DO275" s="136"/>
      <c r="DP275" s="136"/>
      <c r="DQ275" s="136"/>
      <c r="DR275" s="136"/>
      <c r="DS275" s="136"/>
      <c r="DT275" s="136"/>
      <c r="DU275" s="136"/>
      <c r="DV275" s="136"/>
      <c r="DW275" s="136"/>
      <c r="DX275" s="136"/>
      <c r="DY275" s="136"/>
      <c r="DZ275" s="136"/>
      <c r="EA275" s="136"/>
      <c r="EB275" s="136"/>
      <c r="EC275" s="136"/>
      <c r="ED275" s="136"/>
      <c r="EE275" s="136"/>
      <c r="EF275" s="136"/>
      <c r="EG275" s="136"/>
      <c r="EH275" s="136"/>
      <c r="EI275" s="136"/>
      <c r="EJ275" s="136"/>
      <c r="EK275" s="136"/>
      <c r="EL275" s="136"/>
      <c r="EM275" s="136"/>
      <c r="EN275" s="136"/>
      <c r="EO275" s="136"/>
      <c r="EP275" s="136"/>
      <c r="EQ275" s="136"/>
      <c r="ER275" s="136"/>
      <c r="ES275" s="136"/>
      <c r="ET275" s="136"/>
      <c r="EU275" s="136"/>
      <c r="EV275" s="136"/>
      <c r="EW275" s="136"/>
      <c r="EX275" s="136"/>
      <c r="EY275" s="136"/>
      <c r="EZ275" s="136"/>
      <c r="FA275" s="136"/>
      <c r="FB275" s="136"/>
      <c r="FC275" s="136"/>
      <c r="FD275" s="136"/>
      <c r="FE275" s="136"/>
      <c r="FF275" s="136"/>
      <c r="FG275" s="136"/>
      <c r="FH275" s="136"/>
      <c r="FI275" s="136"/>
      <c r="FJ275" s="136"/>
      <c r="FK275" s="136"/>
      <c r="FL275" s="136"/>
      <c r="FM275" s="136"/>
      <c r="FN275" s="136"/>
      <c r="FO275" s="136"/>
      <c r="FP275" s="136"/>
      <c r="FQ275" s="136"/>
      <c r="FR275" s="136"/>
      <c r="FS275" s="136"/>
      <c r="FT275" s="136"/>
      <c r="FU275" s="136"/>
      <c r="FV275" s="136"/>
      <c r="FW275" s="136"/>
      <c r="FX275" s="136"/>
      <c r="FY275" s="136"/>
      <c r="FZ275" s="136"/>
      <c r="GA275" s="136"/>
      <c r="GB275" s="136"/>
      <c r="GC275" s="136"/>
      <c r="GD275" s="136"/>
      <c r="GE275" s="136"/>
      <c r="GF275" s="136"/>
      <c r="GG275" s="136"/>
      <c r="GH275" s="136"/>
      <c r="GI275" s="136"/>
      <c r="GJ275" s="136"/>
      <c r="GK275" s="136"/>
      <c r="GL275" s="136"/>
      <c r="GM275" s="136"/>
      <c r="GN275" s="136"/>
      <c r="GO275" s="136"/>
      <c r="GP275" s="136"/>
      <c r="GQ275" s="136"/>
      <c r="GR275" s="136"/>
      <c r="GS275" s="136"/>
      <c r="GT275" s="136"/>
      <c r="GU275" s="136"/>
      <c r="GV275" s="136"/>
      <c r="GW275" s="136"/>
      <c r="GX275" s="136"/>
      <c r="GY275" s="136"/>
      <c r="GZ275" s="136"/>
      <c r="HA275" s="136"/>
      <c r="HB275" s="136"/>
      <c r="HC275" s="136"/>
      <c r="HD275" s="136"/>
      <c r="HE275" s="136"/>
      <c r="HF275" s="136"/>
      <c r="HG275" s="136"/>
      <c r="HH275" s="136"/>
      <c r="HI275" s="136"/>
      <c r="HJ275" s="136"/>
      <c r="HK275" s="136"/>
      <c r="HL275" s="136"/>
      <c r="HM275" s="136"/>
      <c r="HN275" s="136"/>
      <c r="HO275" s="136"/>
      <c r="HP275" s="136"/>
      <c r="HQ275" s="136"/>
      <c r="HR275" s="136"/>
      <c r="HS275" s="136"/>
      <c r="HT275" s="136"/>
      <c r="HU275" s="136"/>
      <c r="HV275" s="136"/>
      <c r="HW275" s="136"/>
      <c r="HX275" s="136"/>
      <c r="HY275" s="136"/>
      <c r="HZ275" s="136"/>
      <c r="IA275" s="136"/>
      <c r="IB275" s="136"/>
      <c r="IC275" s="136"/>
      <c r="ID275" s="136"/>
      <c r="IE275" s="136"/>
      <c r="IF275" s="136"/>
      <c r="IG275" s="136"/>
      <c r="IH275" s="136"/>
      <c r="II275" s="136"/>
      <c r="IJ275" s="136"/>
      <c r="IK275" s="136"/>
      <c r="IL275" s="136"/>
      <c r="IM275" s="136"/>
      <c r="IN275" s="136"/>
      <c r="IO275" s="136"/>
      <c r="IP275" s="136"/>
      <c r="IQ275" s="136"/>
      <c r="IR275" s="136"/>
      <c r="IS275" s="136"/>
      <c r="IT275" s="136"/>
      <c r="IU275" s="136"/>
    </row>
    <row r="276" spans="1:255" ht="48" customHeight="1" x14ac:dyDescent="0.2">
      <c r="A276" s="242" t="str">
        <f>'HECVAT - Full'!A276</f>
        <v>HIPA-08</v>
      </c>
      <c r="B276" s="242" t="str">
        <f>VLOOKUP(A276,'HECVAT - Full'!A$24:B$312,2,FALSE)</f>
        <v>Have you identified areas of risks?</v>
      </c>
      <c r="C276" s="243" t="s">
        <v>612</v>
      </c>
      <c r="D276" s="253" t="s">
        <v>2979</v>
      </c>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c r="AC276" s="136"/>
      <c r="AD276" s="136"/>
      <c r="AE276" s="136"/>
      <c r="AF276" s="136"/>
      <c r="AG276" s="136"/>
      <c r="AH276" s="136"/>
      <c r="AI276" s="136"/>
      <c r="AJ276" s="136"/>
      <c r="AK276" s="136"/>
      <c r="AL276" s="136"/>
      <c r="AM276" s="136"/>
      <c r="AN276" s="136"/>
      <c r="AO276" s="136"/>
      <c r="AP276" s="136"/>
      <c r="AQ276" s="136"/>
      <c r="AR276" s="136"/>
      <c r="AS276" s="136"/>
      <c r="AT276" s="136"/>
      <c r="AU276" s="136"/>
      <c r="AV276" s="136"/>
      <c r="AW276" s="136"/>
      <c r="AX276" s="136"/>
      <c r="AY276" s="136"/>
      <c r="AZ276" s="136"/>
      <c r="BA276" s="136"/>
      <c r="BB276" s="136"/>
      <c r="BC276" s="136"/>
      <c r="BD276" s="136"/>
      <c r="BE276" s="136"/>
      <c r="BF276" s="136"/>
      <c r="BG276" s="136"/>
      <c r="BH276" s="136"/>
      <c r="BI276" s="136"/>
      <c r="BJ276" s="136"/>
      <c r="BK276" s="136"/>
      <c r="BL276" s="136"/>
      <c r="BM276" s="136"/>
      <c r="BN276" s="136"/>
      <c r="BO276" s="136"/>
      <c r="BP276" s="136"/>
      <c r="BQ276" s="136"/>
      <c r="BR276" s="136"/>
      <c r="BS276" s="136"/>
      <c r="BT276" s="136"/>
      <c r="BU276" s="136"/>
      <c r="BV276" s="136"/>
      <c r="BW276" s="136"/>
      <c r="BX276" s="136"/>
      <c r="BY276" s="136"/>
      <c r="BZ276" s="136"/>
      <c r="CA276" s="136"/>
      <c r="CB276" s="136"/>
      <c r="CC276" s="136"/>
      <c r="CD276" s="136"/>
      <c r="CE276" s="136"/>
      <c r="CF276" s="136"/>
      <c r="CG276" s="136"/>
      <c r="CH276" s="136"/>
      <c r="CI276" s="136"/>
      <c r="CJ276" s="136"/>
      <c r="CK276" s="136"/>
      <c r="CL276" s="136"/>
      <c r="CM276" s="136"/>
      <c r="CN276" s="136"/>
      <c r="CO276" s="136"/>
      <c r="CP276" s="136"/>
      <c r="CQ276" s="136"/>
      <c r="CR276" s="136"/>
      <c r="CS276" s="136"/>
      <c r="CT276" s="136"/>
      <c r="CU276" s="136"/>
      <c r="CV276" s="136"/>
      <c r="CW276" s="136"/>
      <c r="CX276" s="136"/>
      <c r="CY276" s="136"/>
      <c r="CZ276" s="136"/>
      <c r="DA276" s="136"/>
      <c r="DB276" s="136"/>
      <c r="DC276" s="136"/>
      <c r="DD276" s="136"/>
      <c r="DE276" s="136"/>
      <c r="DF276" s="136"/>
      <c r="DG276" s="136"/>
      <c r="DH276" s="136"/>
      <c r="DI276" s="136"/>
      <c r="DJ276" s="136"/>
      <c r="DK276" s="136"/>
      <c r="DL276" s="136"/>
      <c r="DM276" s="136"/>
      <c r="DN276" s="136"/>
      <c r="DO276" s="136"/>
      <c r="DP276" s="136"/>
      <c r="DQ276" s="136"/>
      <c r="DR276" s="136"/>
      <c r="DS276" s="136"/>
      <c r="DT276" s="136"/>
      <c r="DU276" s="136"/>
      <c r="DV276" s="136"/>
      <c r="DW276" s="136"/>
      <c r="DX276" s="136"/>
      <c r="DY276" s="136"/>
      <c r="DZ276" s="136"/>
      <c r="EA276" s="136"/>
      <c r="EB276" s="136"/>
      <c r="EC276" s="136"/>
      <c r="ED276" s="136"/>
      <c r="EE276" s="136"/>
      <c r="EF276" s="136"/>
      <c r="EG276" s="136"/>
      <c r="EH276" s="136"/>
      <c r="EI276" s="136"/>
      <c r="EJ276" s="136"/>
      <c r="EK276" s="136"/>
      <c r="EL276" s="136"/>
      <c r="EM276" s="136"/>
      <c r="EN276" s="136"/>
      <c r="EO276" s="136"/>
      <c r="EP276" s="136"/>
      <c r="EQ276" s="136"/>
      <c r="ER276" s="136"/>
      <c r="ES276" s="136"/>
      <c r="ET276" s="136"/>
      <c r="EU276" s="136"/>
      <c r="EV276" s="136"/>
      <c r="EW276" s="136"/>
      <c r="EX276" s="136"/>
      <c r="EY276" s="136"/>
      <c r="EZ276" s="136"/>
      <c r="FA276" s="136"/>
      <c r="FB276" s="136"/>
      <c r="FC276" s="136"/>
      <c r="FD276" s="136"/>
      <c r="FE276" s="136"/>
      <c r="FF276" s="136"/>
      <c r="FG276" s="136"/>
      <c r="FH276" s="136"/>
      <c r="FI276" s="136"/>
      <c r="FJ276" s="136"/>
      <c r="FK276" s="136"/>
      <c r="FL276" s="136"/>
      <c r="FM276" s="136"/>
      <c r="FN276" s="136"/>
      <c r="FO276" s="136"/>
      <c r="FP276" s="136"/>
      <c r="FQ276" s="136"/>
      <c r="FR276" s="136"/>
      <c r="FS276" s="136"/>
      <c r="FT276" s="136"/>
      <c r="FU276" s="136"/>
      <c r="FV276" s="136"/>
      <c r="FW276" s="136"/>
      <c r="FX276" s="136"/>
      <c r="FY276" s="136"/>
      <c r="FZ276" s="136"/>
      <c r="GA276" s="136"/>
      <c r="GB276" s="136"/>
      <c r="GC276" s="136"/>
      <c r="GD276" s="136"/>
      <c r="GE276" s="136"/>
      <c r="GF276" s="136"/>
      <c r="GG276" s="136"/>
      <c r="GH276" s="136"/>
      <c r="GI276" s="136"/>
      <c r="GJ276" s="136"/>
      <c r="GK276" s="136"/>
      <c r="GL276" s="136"/>
      <c r="GM276" s="136"/>
      <c r="GN276" s="136"/>
      <c r="GO276" s="136"/>
      <c r="GP276" s="136"/>
      <c r="GQ276" s="136"/>
      <c r="GR276" s="136"/>
      <c r="GS276" s="136"/>
      <c r="GT276" s="136"/>
      <c r="GU276" s="136"/>
      <c r="GV276" s="136"/>
      <c r="GW276" s="136"/>
      <c r="GX276" s="136"/>
      <c r="GY276" s="136"/>
      <c r="GZ276" s="136"/>
      <c r="HA276" s="136"/>
      <c r="HB276" s="136"/>
      <c r="HC276" s="136"/>
      <c r="HD276" s="136"/>
      <c r="HE276" s="136"/>
      <c r="HF276" s="136"/>
      <c r="HG276" s="136"/>
      <c r="HH276" s="136"/>
      <c r="HI276" s="136"/>
      <c r="HJ276" s="136"/>
      <c r="HK276" s="136"/>
      <c r="HL276" s="136"/>
      <c r="HM276" s="136"/>
      <c r="HN276" s="136"/>
      <c r="HO276" s="136"/>
      <c r="HP276" s="136"/>
      <c r="HQ276" s="136"/>
      <c r="HR276" s="136"/>
      <c r="HS276" s="136"/>
      <c r="HT276" s="136"/>
      <c r="HU276" s="136"/>
      <c r="HV276" s="136"/>
      <c r="HW276" s="136"/>
      <c r="HX276" s="136"/>
      <c r="HY276" s="136"/>
      <c r="HZ276" s="136"/>
      <c r="IA276" s="136"/>
      <c r="IB276" s="136"/>
      <c r="IC276" s="136"/>
      <c r="ID276" s="136"/>
      <c r="IE276" s="136"/>
      <c r="IF276" s="136"/>
      <c r="IG276" s="136"/>
      <c r="IH276" s="136"/>
      <c r="II276" s="136"/>
      <c r="IJ276" s="136"/>
      <c r="IK276" s="136"/>
      <c r="IL276" s="136"/>
      <c r="IM276" s="136"/>
      <c r="IN276" s="136"/>
      <c r="IO276" s="136"/>
      <c r="IP276" s="136"/>
      <c r="IQ276" s="136"/>
      <c r="IR276" s="136"/>
      <c r="IS276" s="136"/>
      <c r="IT276" s="136"/>
      <c r="IU276" s="136"/>
    </row>
    <row r="277" spans="1:255" ht="48" customHeight="1" x14ac:dyDescent="0.2">
      <c r="A277" s="242" t="str">
        <f>'HECVAT - Full'!A277</f>
        <v>HIPA-09</v>
      </c>
      <c r="B277" s="242" t="str">
        <f>VLOOKUP(A277,'HECVAT - Full'!A$24:B$312,2,FALSE)</f>
        <v>Have you taken actions to mitigate the identified risks?</v>
      </c>
      <c r="C277" s="243" t="s">
        <v>601</v>
      </c>
      <c r="D277" s="253" t="s">
        <v>2979</v>
      </c>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c r="AC277" s="136"/>
      <c r="AD277" s="136"/>
      <c r="AE277" s="136"/>
      <c r="AF277" s="136"/>
      <c r="AG277" s="136"/>
      <c r="AH277" s="136"/>
      <c r="AI277" s="136"/>
      <c r="AJ277" s="136"/>
      <c r="AK277" s="136"/>
      <c r="AL277" s="136"/>
      <c r="AM277" s="136"/>
      <c r="AN277" s="136"/>
      <c r="AO277" s="136"/>
      <c r="AP277" s="136"/>
      <c r="AQ277" s="136"/>
      <c r="AR277" s="136"/>
      <c r="AS277" s="136"/>
      <c r="AT277" s="136"/>
      <c r="AU277" s="136"/>
      <c r="AV277" s="136"/>
      <c r="AW277" s="136"/>
      <c r="AX277" s="136"/>
      <c r="AY277" s="136"/>
      <c r="AZ277" s="136"/>
      <c r="BA277" s="136"/>
      <c r="BB277" s="136"/>
      <c r="BC277" s="136"/>
      <c r="BD277" s="136"/>
      <c r="BE277" s="136"/>
      <c r="BF277" s="136"/>
      <c r="BG277" s="136"/>
      <c r="BH277" s="136"/>
      <c r="BI277" s="136"/>
      <c r="BJ277" s="136"/>
      <c r="BK277" s="136"/>
      <c r="BL277" s="136"/>
      <c r="BM277" s="136"/>
      <c r="BN277" s="136"/>
      <c r="BO277" s="136"/>
      <c r="BP277" s="136"/>
      <c r="BQ277" s="136"/>
      <c r="BR277" s="136"/>
      <c r="BS277" s="136"/>
      <c r="BT277" s="136"/>
      <c r="BU277" s="136"/>
      <c r="BV277" s="136"/>
      <c r="BW277" s="136"/>
      <c r="BX277" s="136"/>
      <c r="BY277" s="136"/>
      <c r="BZ277" s="136"/>
      <c r="CA277" s="136"/>
      <c r="CB277" s="136"/>
      <c r="CC277" s="136"/>
      <c r="CD277" s="136"/>
      <c r="CE277" s="136"/>
      <c r="CF277" s="136"/>
      <c r="CG277" s="136"/>
      <c r="CH277" s="136"/>
      <c r="CI277" s="136"/>
      <c r="CJ277" s="136"/>
      <c r="CK277" s="136"/>
      <c r="CL277" s="136"/>
      <c r="CM277" s="136"/>
      <c r="CN277" s="136"/>
      <c r="CO277" s="136"/>
      <c r="CP277" s="136"/>
      <c r="CQ277" s="136"/>
      <c r="CR277" s="136"/>
      <c r="CS277" s="136"/>
      <c r="CT277" s="136"/>
      <c r="CU277" s="136"/>
      <c r="CV277" s="136"/>
      <c r="CW277" s="136"/>
      <c r="CX277" s="136"/>
      <c r="CY277" s="136"/>
      <c r="CZ277" s="136"/>
      <c r="DA277" s="136"/>
      <c r="DB277" s="136"/>
      <c r="DC277" s="136"/>
      <c r="DD277" s="136"/>
      <c r="DE277" s="136"/>
      <c r="DF277" s="136"/>
      <c r="DG277" s="136"/>
      <c r="DH277" s="136"/>
      <c r="DI277" s="136"/>
      <c r="DJ277" s="136"/>
      <c r="DK277" s="136"/>
      <c r="DL277" s="136"/>
      <c r="DM277" s="136"/>
      <c r="DN277" s="136"/>
      <c r="DO277" s="136"/>
      <c r="DP277" s="136"/>
      <c r="DQ277" s="136"/>
      <c r="DR277" s="136"/>
      <c r="DS277" s="136"/>
      <c r="DT277" s="136"/>
      <c r="DU277" s="136"/>
      <c r="DV277" s="136"/>
      <c r="DW277" s="136"/>
      <c r="DX277" s="136"/>
      <c r="DY277" s="136"/>
      <c r="DZ277" s="136"/>
      <c r="EA277" s="136"/>
      <c r="EB277" s="136"/>
      <c r="EC277" s="136"/>
      <c r="ED277" s="136"/>
      <c r="EE277" s="136"/>
      <c r="EF277" s="136"/>
      <c r="EG277" s="136"/>
      <c r="EH277" s="136"/>
      <c r="EI277" s="136"/>
      <c r="EJ277" s="136"/>
      <c r="EK277" s="136"/>
      <c r="EL277" s="136"/>
      <c r="EM277" s="136"/>
      <c r="EN277" s="136"/>
      <c r="EO277" s="136"/>
      <c r="EP277" s="136"/>
      <c r="EQ277" s="136"/>
      <c r="ER277" s="136"/>
      <c r="ES277" s="136"/>
      <c r="ET277" s="136"/>
      <c r="EU277" s="136"/>
      <c r="EV277" s="136"/>
      <c r="EW277" s="136"/>
      <c r="EX277" s="136"/>
      <c r="EY277" s="136"/>
      <c r="EZ277" s="136"/>
      <c r="FA277" s="136"/>
      <c r="FB277" s="136"/>
      <c r="FC277" s="136"/>
      <c r="FD277" s="136"/>
      <c r="FE277" s="136"/>
      <c r="FF277" s="136"/>
      <c r="FG277" s="136"/>
      <c r="FH277" s="136"/>
      <c r="FI277" s="136"/>
      <c r="FJ277" s="136"/>
      <c r="FK277" s="136"/>
      <c r="FL277" s="136"/>
      <c r="FM277" s="136"/>
      <c r="FN277" s="136"/>
      <c r="FO277" s="136"/>
      <c r="FP277" s="136"/>
      <c r="FQ277" s="136"/>
      <c r="FR277" s="136"/>
      <c r="FS277" s="136"/>
      <c r="FT277" s="136"/>
      <c r="FU277" s="136"/>
      <c r="FV277" s="136"/>
      <c r="FW277" s="136"/>
      <c r="FX277" s="136"/>
      <c r="FY277" s="136"/>
      <c r="FZ277" s="136"/>
      <c r="GA277" s="136"/>
      <c r="GB277" s="136"/>
      <c r="GC277" s="136"/>
      <c r="GD277" s="136"/>
      <c r="GE277" s="136"/>
      <c r="GF277" s="136"/>
      <c r="GG277" s="136"/>
      <c r="GH277" s="136"/>
      <c r="GI277" s="136"/>
      <c r="GJ277" s="136"/>
      <c r="GK277" s="136"/>
      <c r="GL277" s="136"/>
      <c r="GM277" s="136"/>
      <c r="GN277" s="136"/>
      <c r="GO277" s="136"/>
      <c r="GP277" s="136"/>
      <c r="GQ277" s="136"/>
      <c r="GR277" s="136"/>
      <c r="GS277" s="136"/>
      <c r="GT277" s="136"/>
      <c r="GU277" s="136"/>
      <c r="GV277" s="136"/>
      <c r="GW277" s="136"/>
      <c r="GX277" s="136"/>
      <c r="GY277" s="136"/>
      <c r="GZ277" s="136"/>
      <c r="HA277" s="136"/>
      <c r="HB277" s="136"/>
      <c r="HC277" s="136"/>
      <c r="HD277" s="136"/>
      <c r="HE277" s="136"/>
      <c r="HF277" s="136"/>
      <c r="HG277" s="136"/>
      <c r="HH277" s="136"/>
      <c r="HI277" s="136"/>
      <c r="HJ277" s="136"/>
      <c r="HK277" s="136"/>
      <c r="HL277" s="136"/>
      <c r="HM277" s="136"/>
      <c r="HN277" s="136"/>
      <c r="HO277" s="136"/>
      <c r="HP277" s="136"/>
      <c r="HQ277" s="136"/>
      <c r="HR277" s="136"/>
      <c r="HS277" s="136"/>
      <c r="HT277" s="136"/>
      <c r="HU277" s="136"/>
      <c r="HV277" s="136"/>
      <c r="HW277" s="136"/>
      <c r="HX277" s="136"/>
      <c r="HY277" s="136"/>
      <c r="HZ277" s="136"/>
      <c r="IA277" s="136"/>
      <c r="IB277" s="136"/>
      <c r="IC277" s="136"/>
      <c r="ID277" s="136"/>
      <c r="IE277" s="136"/>
      <c r="IF277" s="136"/>
      <c r="IG277" s="136"/>
      <c r="IH277" s="136"/>
      <c r="II277" s="136"/>
      <c r="IJ277" s="136"/>
      <c r="IK277" s="136"/>
      <c r="IL277" s="136"/>
      <c r="IM277" s="136"/>
      <c r="IN277" s="136"/>
      <c r="IO277" s="136"/>
      <c r="IP277" s="136"/>
      <c r="IQ277" s="136"/>
      <c r="IR277" s="136"/>
      <c r="IS277" s="136"/>
      <c r="IT277" s="136"/>
      <c r="IU277" s="136"/>
    </row>
    <row r="278" spans="1:255" ht="48" customHeight="1" x14ac:dyDescent="0.2">
      <c r="A278" s="242" t="str">
        <f>'HECVAT - Full'!A278</f>
        <v>HIPA-10</v>
      </c>
      <c r="B278" s="242" t="str">
        <f>VLOOKUP(A278,'HECVAT - Full'!A$24:B$312,2,FALSE)</f>
        <v>Does your application require user and system administrator password changes at a frequency no greater than 90 days?</v>
      </c>
      <c r="C278" s="243" t="s">
        <v>606</v>
      </c>
      <c r="D278" s="253" t="s">
        <v>2979</v>
      </c>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c r="AC278" s="136"/>
      <c r="AD278" s="136"/>
      <c r="AE278" s="136"/>
      <c r="AF278" s="136"/>
      <c r="AG278" s="136"/>
      <c r="AH278" s="136"/>
      <c r="AI278" s="136"/>
      <c r="AJ278" s="136"/>
      <c r="AK278" s="136"/>
      <c r="AL278" s="136"/>
      <c r="AM278" s="136"/>
      <c r="AN278" s="136"/>
      <c r="AO278" s="136"/>
      <c r="AP278" s="136"/>
      <c r="AQ278" s="136"/>
      <c r="AR278" s="136"/>
      <c r="AS278" s="136"/>
      <c r="AT278" s="136"/>
      <c r="AU278" s="136"/>
      <c r="AV278" s="136"/>
      <c r="AW278" s="136"/>
      <c r="AX278" s="136"/>
      <c r="AY278" s="136"/>
      <c r="AZ278" s="136"/>
      <c r="BA278" s="136"/>
      <c r="BB278" s="136"/>
      <c r="BC278" s="136"/>
      <c r="BD278" s="136"/>
      <c r="BE278" s="136"/>
      <c r="BF278" s="136"/>
      <c r="BG278" s="136"/>
      <c r="BH278" s="136"/>
      <c r="BI278" s="136"/>
      <c r="BJ278" s="136"/>
      <c r="BK278" s="136"/>
      <c r="BL278" s="136"/>
      <c r="BM278" s="136"/>
      <c r="BN278" s="136"/>
      <c r="BO278" s="136"/>
      <c r="BP278" s="136"/>
      <c r="BQ278" s="136"/>
      <c r="BR278" s="136"/>
      <c r="BS278" s="136"/>
      <c r="BT278" s="136"/>
      <c r="BU278" s="136"/>
      <c r="BV278" s="136"/>
      <c r="BW278" s="136"/>
      <c r="BX278" s="136"/>
      <c r="BY278" s="136"/>
      <c r="BZ278" s="136"/>
      <c r="CA278" s="136"/>
      <c r="CB278" s="136"/>
      <c r="CC278" s="136"/>
      <c r="CD278" s="136"/>
      <c r="CE278" s="136"/>
      <c r="CF278" s="136"/>
      <c r="CG278" s="136"/>
      <c r="CH278" s="136"/>
      <c r="CI278" s="136"/>
      <c r="CJ278" s="136"/>
      <c r="CK278" s="136"/>
      <c r="CL278" s="136"/>
      <c r="CM278" s="136"/>
      <c r="CN278" s="136"/>
      <c r="CO278" s="136"/>
      <c r="CP278" s="136"/>
      <c r="CQ278" s="136"/>
      <c r="CR278" s="136"/>
      <c r="CS278" s="136"/>
      <c r="CT278" s="136"/>
      <c r="CU278" s="136"/>
      <c r="CV278" s="136"/>
      <c r="CW278" s="136"/>
      <c r="CX278" s="136"/>
      <c r="CY278" s="136"/>
      <c r="CZ278" s="136"/>
      <c r="DA278" s="136"/>
      <c r="DB278" s="136"/>
      <c r="DC278" s="136"/>
      <c r="DD278" s="136"/>
      <c r="DE278" s="136"/>
      <c r="DF278" s="136"/>
      <c r="DG278" s="136"/>
      <c r="DH278" s="136"/>
      <c r="DI278" s="136"/>
      <c r="DJ278" s="136"/>
      <c r="DK278" s="136"/>
      <c r="DL278" s="136"/>
      <c r="DM278" s="136"/>
      <c r="DN278" s="136"/>
      <c r="DO278" s="136"/>
      <c r="DP278" s="136"/>
      <c r="DQ278" s="136"/>
      <c r="DR278" s="136"/>
      <c r="DS278" s="136"/>
      <c r="DT278" s="136"/>
      <c r="DU278" s="136"/>
      <c r="DV278" s="136"/>
      <c r="DW278" s="136"/>
      <c r="DX278" s="136"/>
      <c r="DY278" s="136"/>
      <c r="DZ278" s="136"/>
      <c r="EA278" s="136"/>
      <c r="EB278" s="136"/>
      <c r="EC278" s="136"/>
      <c r="ED278" s="136"/>
      <c r="EE278" s="136"/>
      <c r="EF278" s="136"/>
      <c r="EG278" s="136"/>
      <c r="EH278" s="136"/>
      <c r="EI278" s="136"/>
      <c r="EJ278" s="136"/>
      <c r="EK278" s="136"/>
      <c r="EL278" s="136"/>
      <c r="EM278" s="136"/>
      <c r="EN278" s="136"/>
      <c r="EO278" s="136"/>
      <c r="EP278" s="136"/>
      <c r="EQ278" s="136"/>
      <c r="ER278" s="136"/>
      <c r="ES278" s="136"/>
      <c r="ET278" s="136"/>
      <c r="EU278" s="136"/>
      <c r="EV278" s="136"/>
      <c r="EW278" s="136"/>
      <c r="EX278" s="136"/>
      <c r="EY278" s="136"/>
      <c r="EZ278" s="136"/>
      <c r="FA278" s="136"/>
      <c r="FB278" s="136"/>
      <c r="FC278" s="136"/>
      <c r="FD278" s="136"/>
      <c r="FE278" s="136"/>
      <c r="FF278" s="136"/>
      <c r="FG278" s="136"/>
      <c r="FH278" s="136"/>
      <c r="FI278" s="136"/>
      <c r="FJ278" s="136"/>
      <c r="FK278" s="136"/>
      <c r="FL278" s="136"/>
      <c r="FM278" s="136"/>
      <c r="FN278" s="136"/>
      <c r="FO278" s="136"/>
      <c r="FP278" s="136"/>
      <c r="FQ278" s="136"/>
      <c r="FR278" s="136"/>
      <c r="FS278" s="136"/>
      <c r="FT278" s="136"/>
      <c r="FU278" s="136"/>
      <c r="FV278" s="136"/>
      <c r="FW278" s="136"/>
      <c r="FX278" s="136"/>
      <c r="FY278" s="136"/>
      <c r="FZ278" s="136"/>
      <c r="GA278" s="136"/>
      <c r="GB278" s="136"/>
      <c r="GC278" s="136"/>
      <c r="GD278" s="136"/>
      <c r="GE278" s="136"/>
      <c r="GF278" s="136"/>
      <c r="GG278" s="136"/>
      <c r="GH278" s="136"/>
      <c r="GI278" s="136"/>
      <c r="GJ278" s="136"/>
      <c r="GK278" s="136"/>
      <c r="GL278" s="136"/>
      <c r="GM278" s="136"/>
      <c r="GN278" s="136"/>
      <c r="GO278" s="136"/>
      <c r="GP278" s="136"/>
      <c r="GQ278" s="136"/>
      <c r="GR278" s="136"/>
      <c r="GS278" s="136"/>
      <c r="GT278" s="136"/>
      <c r="GU278" s="136"/>
      <c r="GV278" s="136"/>
      <c r="GW278" s="136"/>
      <c r="GX278" s="136"/>
      <c r="GY278" s="136"/>
      <c r="GZ278" s="136"/>
      <c r="HA278" s="136"/>
      <c r="HB278" s="136"/>
      <c r="HC278" s="136"/>
      <c r="HD278" s="136"/>
      <c r="HE278" s="136"/>
      <c r="HF278" s="136"/>
      <c r="HG278" s="136"/>
      <c r="HH278" s="136"/>
      <c r="HI278" s="136"/>
      <c r="HJ278" s="136"/>
      <c r="HK278" s="136"/>
      <c r="HL278" s="136"/>
      <c r="HM278" s="136"/>
      <c r="HN278" s="136"/>
      <c r="HO278" s="136"/>
      <c r="HP278" s="136"/>
      <c r="HQ278" s="136"/>
      <c r="HR278" s="136"/>
      <c r="HS278" s="136"/>
      <c r="HT278" s="136"/>
      <c r="HU278" s="136"/>
      <c r="HV278" s="136"/>
      <c r="HW278" s="136"/>
      <c r="HX278" s="136"/>
      <c r="HY278" s="136"/>
      <c r="HZ278" s="136"/>
      <c r="IA278" s="136"/>
      <c r="IB278" s="136"/>
      <c r="IC278" s="136"/>
      <c r="ID278" s="136"/>
      <c r="IE278" s="136"/>
      <c r="IF278" s="136"/>
      <c r="IG278" s="136"/>
      <c r="IH278" s="136"/>
      <c r="II278" s="136"/>
      <c r="IJ278" s="136"/>
      <c r="IK278" s="136"/>
      <c r="IL278" s="136"/>
      <c r="IM278" s="136"/>
      <c r="IN278" s="136"/>
      <c r="IO278" s="136"/>
      <c r="IP278" s="136"/>
      <c r="IQ278" s="136"/>
      <c r="IR278" s="136"/>
      <c r="IS278" s="136"/>
      <c r="IT278" s="136"/>
      <c r="IU278" s="136"/>
    </row>
    <row r="279" spans="1:255" ht="48" customHeight="1" x14ac:dyDescent="0.2">
      <c r="A279" s="242" t="str">
        <f>'HECVAT - Full'!A279</f>
        <v>HIPA-11</v>
      </c>
      <c r="B279" s="242" t="str">
        <f>VLOOKUP(A279,'HECVAT - Full'!A$24:B$312,2,FALSE)</f>
        <v>Does your application require a user to set their own password after an administrator reset or on first use of the account?</v>
      </c>
      <c r="C279" s="243" t="s">
        <v>606</v>
      </c>
      <c r="D279" s="253" t="s">
        <v>2979</v>
      </c>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c r="AC279" s="136"/>
      <c r="AD279" s="136"/>
      <c r="AE279" s="136"/>
      <c r="AF279" s="136"/>
      <c r="AG279" s="136"/>
      <c r="AH279" s="136"/>
      <c r="AI279" s="136"/>
      <c r="AJ279" s="136"/>
      <c r="AK279" s="136"/>
      <c r="AL279" s="136"/>
      <c r="AM279" s="136"/>
      <c r="AN279" s="136"/>
      <c r="AO279" s="136"/>
      <c r="AP279" s="136"/>
      <c r="AQ279" s="136"/>
      <c r="AR279" s="136"/>
      <c r="AS279" s="136"/>
      <c r="AT279" s="136"/>
      <c r="AU279" s="136"/>
      <c r="AV279" s="136"/>
      <c r="AW279" s="136"/>
      <c r="AX279" s="136"/>
      <c r="AY279" s="136"/>
      <c r="AZ279" s="136"/>
      <c r="BA279" s="136"/>
      <c r="BB279" s="136"/>
      <c r="BC279" s="136"/>
      <c r="BD279" s="136"/>
      <c r="BE279" s="136"/>
      <c r="BF279" s="136"/>
      <c r="BG279" s="136"/>
      <c r="BH279" s="136"/>
      <c r="BI279" s="136"/>
      <c r="BJ279" s="136"/>
      <c r="BK279" s="136"/>
      <c r="BL279" s="136"/>
      <c r="BM279" s="136"/>
      <c r="BN279" s="136"/>
      <c r="BO279" s="136"/>
      <c r="BP279" s="136"/>
      <c r="BQ279" s="136"/>
      <c r="BR279" s="136"/>
      <c r="BS279" s="136"/>
      <c r="BT279" s="136"/>
      <c r="BU279" s="136"/>
      <c r="BV279" s="136"/>
      <c r="BW279" s="136"/>
      <c r="BX279" s="136"/>
      <c r="BY279" s="136"/>
      <c r="BZ279" s="136"/>
      <c r="CA279" s="136"/>
      <c r="CB279" s="136"/>
      <c r="CC279" s="136"/>
      <c r="CD279" s="136"/>
      <c r="CE279" s="136"/>
      <c r="CF279" s="136"/>
      <c r="CG279" s="136"/>
      <c r="CH279" s="136"/>
      <c r="CI279" s="136"/>
      <c r="CJ279" s="136"/>
      <c r="CK279" s="136"/>
      <c r="CL279" s="136"/>
      <c r="CM279" s="136"/>
      <c r="CN279" s="136"/>
      <c r="CO279" s="136"/>
      <c r="CP279" s="136"/>
      <c r="CQ279" s="136"/>
      <c r="CR279" s="136"/>
      <c r="CS279" s="136"/>
      <c r="CT279" s="136"/>
      <c r="CU279" s="136"/>
      <c r="CV279" s="136"/>
      <c r="CW279" s="136"/>
      <c r="CX279" s="136"/>
      <c r="CY279" s="136"/>
      <c r="CZ279" s="136"/>
      <c r="DA279" s="136"/>
      <c r="DB279" s="136"/>
      <c r="DC279" s="136"/>
      <c r="DD279" s="136"/>
      <c r="DE279" s="136"/>
      <c r="DF279" s="136"/>
      <c r="DG279" s="136"/>
      <c r="DH279" s="136"/>
      <c r="DI279" s="136"/>
      <c r="DJ279" s="136"/>
      <c r="DK279" s="136"/>
      <c r="DL279" s="136"/>
      <c r="DM279" s="136"/>
      <c r="DN279" s="136"/>
      <c r="DO279" s="136"/>
      <c r="DP279" s="136"/>
      <c r="DQ279" s="136"/>
      <c r="DR279" s="136"/>
      <c r="DS279" s="136"/>
      <c r="DT279" s="136"/>
      <c r="DU279" s="136"/>
      <c r="DV279" s="136"/>
      <c r="DW279" s="136"/>
      <c r="DX279" s="136"/>
      <c r="DY279" s="136"/>
      <c r="DZ279" s="136"/>
      <c r="EA279" s="136"/>
      <c r="EB279" s="136"/>
      <c r="EC279" s="136"/>
      <c r="ED279" s="136"/>
      <c r="EE279" s="136"/>
      <c r="EF279" s="136"/>
      <c r="EG279" s="136"/>
      <c r="EH279" s="136"/>
      <c r="EI279" s="136"/>
      <c r="EJ279" s="136"/>
      <c r="EK279" s="136"/>
      <c r="EL279" s="136"/>
      <c r="EM279" s="136"/>
      <c r="EN279" s="136"/>
      <c r="EO279" s="136"/>
      <c r="EP279" s="136"/>
      <c r="EQ279" s="136"/>
      <c r="ER279" s="136"/>
      <c r="ES279" s="136"/>
      <c r="ET279" s="136"/>
      <c r="EU279" s="136"/>
      <c r="EV279" s="136"/>
      <c r="EW279" s="136"/>
      <c r="EX279" s="136"/>
      <c r="EY279" s="136"/>
      <c r="EZ279" s="136"/>
      <c r="FA279" s="136"/>
      <c r="FB279" s="136"/>
      <c r="FC279" s="136"/>
      <c r="FD279" s="136"/>
      <c r="FE279" s="136"/>
      <c r="FF279" s="136"/>
      <c r="FG279" s="136"/>
      <c r="FH279" s="136"/>
      <c r="FI279" s="136"/>
      <c r="FJ279" s="136"/>
      <c r="FK279" s="136"/>
      <c r="FL279" s="136"/>
      <c r="FM279" s="136"/>
      <c r="FN279" s="136"/>
      <c r="FO279" s="136"/>
      <c r="FP279" s="136"/>
      <c r="FQ279" s="136"/>
      <c r="FR279" s="136"/>
      <c r="FS279" s="136"/>
      <c r="FT279" s="136"/>
      <c r="FU279" s="136"/>
      <c r="FV279" s="136"/>
      <c r="FW279" s="136"/>
      <c r="FX279" s="136"/>
      <c r="FY279" s="136"/>
      <c r="FZ279" s="136"/>
      <c r="GA279" s="136"/>
      <c r="GB279" s="136"/>
      <c r="GC279" s="136"/>
      <c r="GD279" s="136"/>
      <c r="GE279" s="136"/>
      <c r="GF279" s="136"/>
      <c r="GG279" s="136"/>
      <c r="GH279" s="136"/>
      <c r="GI279" s="136"/>
      <c r="GJ279" s="136"/>
      <c r="GK279" s="136"/>
      <c r="GL279" s="136"/>
      <c r="GM279" s="136"/>
      <c r="GN279" s="136"/>
      <c r="GO279" s="136"/>
      <c r="GP279" s="136"/>
      <c r="GQ279" s="136"/>
      <c r="GR279" s="136"/>
      <c r="GS279" s="136"/>
      <c r="GT279" s="136"/>
      <c r="GU279" s="136"/>
      <c r="GV279" s="136"/>
      <c r="GW279" s="136"/>
      <c r="GX279" s="136"/>
      <c r="GY279" s="136"/>
      <c r="GZ279" s="136"/>
      <c r="HA279" s="136"/>
      <c r="HB279" s="136"/>
      <c r="HC279" s="136"/>
      <c r="HD279" s="136"/>
      <c r="HE279" s="136"/>
      <c r="HF279" s="136"/>
      <c r="HG279" s="136"/>
      <c r="HH279" s="136"/>
      <c r="HI279" s="136"/>
      <c r="HJ279" s="136"/>
      <c r="HK279" s="136"/>
      <c r="HL279" s="136"/>
      <c r="HM279" s="136"/>
      <c r="HN279" s="136"/>
      <c r="HO279" s="136"/>
      <c r="HP279" s="136"/>
      <c r="HQ279" s="136"/>
      <c r="HR279" s="136"/>
      <c r="HS279" s="136"/>
      <c r="HT279" s="136"/>
      <c r="HU279" s="136"/>
      <c r="HV279" s="136"/>
      <c r="HW279" s="136"/>
      <c r="HX279" s="136"/>
      <c r="HY279" s="136"/>
      <c r="HZ279" s="136"/>
      <c r="IA279" s="136"/>
      <c r="IB279" s="136"/>
      <c r="IC279" s="136"/>
      <c r="ID279" s="136"/>
      <c r="IE279" s="136"/>
      <c r="IF279" s="136"/>
      <c r="IG279" s="136"/>
      <c r="IH279" s="136"/>
      <c r="II279" s="136"/>
      <c r="IJ279" s="136"/>
      <c r="IK279" s="136"/>
      <c r="IL279" s="136"/>
      <c r="IM279" s="136"/>
      <c r="IN279" s="136"/>
      <c r="IO279" s="136"/>
      <c r="IP279" s="136"/>
      <c r="IQ279" s="136"/>
      <c r="IR279" s="136"/>
      <c r="IS279" s="136"/>
      <c r="IT279" s="136"/>
      <c r="IU279" s="136"/>
    </row>
    <row r="280" spans="1:255" ht="48" customHeight="1" x14ac:dyDescent="0.2">
      <c r="A280" s="242" t="str">
        <f>'HECVAT - Full'!A280</f>
        <v>HIPA-12</v>
      </c>
      <c r="B280" s="242" t="str">
        <f>VLOOKUP(A280,'HECVAT - Full'!A$24:B$312,2,FALSE)</f>
        <v xml:space="preserve">Does your application lock-out an account after a number of failed login attempts? </v>
      </c>
      <c r="C280" s="243" t="s">
        <v>613</v>
      </c>
      <c r="D280" s="253" t="s">
        <v>2979</v>
      </c>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c r="AC280" s="136"/>
      <c r="AD280" s="136"/>
      <c r="AE280" s="136"/>
      <c r="AF280" s="136"/>
      <c r="AG280" s="136"/>
      <c r="AH280" s="136"/>
      <c r="AI280" s="136"/>
      <c r="AJ280" s="136"/>
      <c r="AK280" s="136"/>
      <c r="AL280" s="136"/>
      <c r="AM280" s="136"/>
      <c r="AN280" s="136"/>
      <c r="AO280" s="136"/>
      <c r="AP280" s="136"/>
      <c r="AQ280" s="136"/>
      <c r="AR280" s="136"/>
      <c r="AS280" s="136"/>
      <c r="AT280" s="136"/>
      <c r="AU280" s="136"/>
      <c r="AV280" s="136"/>
      <c r="AW280" s="136"/>
      <c r="AX280" s="136"/>
      <c r="AY280" s="136"/>
      <c r="AZ280" s="136"/>
      <c r="BA280" s="136"/>
      <c r="BB280" s="136"/>
      <c r="BC280" s="136"/>
      <c r="BD280" s="136"/>
      <c r="BE280" s="136"/>
      <c r="BF280" s="136"/>
      <c r="BG280" s="136"/>
      <c r="BH280" s="136"/>
      <c r="BI280" s="136"/>
      <c r="BJ280" s="136"/>
      <c r="BK280" s="136"/>
      <c r="BL280" s="136"/>
      <c r="BM280" s="136"/>
      <c r="BN280" s="136"/>
      <c r="BO280" s="136"/>
      <c r="BP280" s="136"/>
      <c r="BQ280" s="136"/>
      <c r="BR280" s="136"/>
      <c r="BS280" s="136"/>
      <c r="BT280" s="136"/>
      <c r="BU280" s="136"/>
      <c r="BV280" s="136"/>
      <c r="BW280" s="136"/>
      <c r="BX280" s="136"/>
      <c r="BY280" s="136"/>
      <c r="BZ280" s="136"/>
      <c r="CA280" s="136"/>
      <c r="CB280" s="136"/>
      <c r="CC280" s="136"/>
      <c r="CD280" s="136"/>
      <c r="CE280" s="136"/>
      <c r="CF280" s="136"/>
      <c r="CG280" s="136"/>
      <c r="CH280" s="136"/>
      <c r="CI280" s="136"/>
      <c r="CJ280" s="136"/>
      <c r="CK280" s="136"/>
      <c r="CL280" s="136"/>
      <c r="CM280" s="136"/>
      <c r="CN280" s="136"/>
      <c r="CO280" s="136"/>
      <c r="CP280" s="136"/>
      <c r="CQ280" s="136"/>
      <c r="CR280" s="136"/>
      <c r="CS280" s="136"/>
      <c r="CT280" s="136"/>
      <c r="CU280" s="136"/>
      <c r="CV280" s="136"/>
      <c r="CW280" s="136"/>
      <c r="CX280" s="136"/>
      <c r="CY280" s="136"/>
      <c r="CZ280" s="136"/>
      <c r="DA280" s="136"/>
      <c r="DB280" s="136"/>
      <c r="DC280" s="136"/>
      <c r="DD280" s="136"/>
      <c r="DE280" s="136"/>
      <c r="DF280" s="136"/>
      <c r="DG280" s="136"/>
      <c r="DH280" s="136"/>
      <c r="DI280" s="136"/>
      <c r="DJ280" s="136"/>
      <c r="DK280" s="136"/>
      <c r="DL280" s="136"/>
      <c r="DM280" s="136"/>
      <c r="DN280" s="136"/>
      <c r="DO280" s="136"/>
      <c r="DP280" s="136"/>
      <c r="DQ280" s="136"/>
      <c r="DR280" s="136"/>
      <c r="DS280" s="136"/>
      <c r="DT280" s="136"/>
      <c r="DU280" s="136"/>
      <c r="DV280" s="136"/>
      <c r="DW280" s="136"/>
      <c r="DX280" s="136"/>
      <c r="DY280" s="136"/>
      <c r="DZ280" s="136"/>
      <c r="EA280" s="136"/>
      <c r="EB280" s="136"/>
      <c r="EC280" s="136"/>
      <c r="ED280" s="136"/>
      <c r="EE280" s="136"/>
      <c r="EF280" s="136"/>
      <c r="EG280" s="136"/>
      <c r="EH280" s="136"/>
      <c r="EI280" s="136"/>
      <c r="EJ280" s="136"/>
      <c r="EK280" s="136"/>
      <c r="EL280" s="136"/>
      <c r="EM280" s="136"/>
      <c r="EN280" s="136"/>
      <c r="EO280" s="136"/>
      <c r="EP280" s="136"/>
      <c r="EQ280" s="136"/>
      <c r="ER280" s="136"/>
      <c r="ES280" s="136"/>
      <c r="ET280" s="136"/>
      <c r="EU280" s="136"/>
      <c r="EV280" s="136"/>
      <c r="EW280" s="136"/>
      <c r="EX280" s="136"/>
      <c r="EY280" s="136"/>
      <c r="EZ280" s="136"/>
      <c r="FA280" s="136"/>
      <c r="FB280" s="136"/>
      <c r="FC280" s="136"/>
      <c r="FD280" s="136"/>
      <c r="FE280" s="136"/>
      <c r="FF280" s="136"/>
      <c r="FG280" s="136"/>
      <c r="FH280" s="136"/>
      <c r="FI280" s="136"/>
      <c r="FJ280" s="136"/>
      <c r="FK280" s="136"/>
      <c r="FL280" s="136"/>
      <c r="FM280" s="136"/>
      <c r="FN280" s="136"/>
      <c r="FO280" s="136"/>
      <c r="FP280" s="136"/>
      <c r="FQ280" s="136"/>
      <c r="FR280" s="136"/>
      <c r="FS280" s="136"/>
      <c r="FT280" s="136"/>
      <c r="FU280" s="136"/>
      <c r="FV280" s="136"/>
      <c r="FW280" s="136"/>
      <c r="FX280" s="136"/>
      <c r="FY280" s="136"/>
      <c r="FZ280" s="136"/>
      <c r="GA280" s="136"/>
      <c r="GB280" s="136"/>
      <c r="GC280" s="136"/>
      <c r="GD280" s="136"/>
      <c r="GE280" s="136"/>
      <c r="GF280" s="136"/>
      <c r="GG280" s="136"/>
      <c r="GH280" s="136"/>
      <c r="GI280" s="136"/>
      <c r="GJ280" s="136"/>
      <c r="GK280" s="136"/>
      <c r="GL280" s="136"/>
      <c r="GM280" s="136"/>
      <c r="GN280" s="136"/>
      <c r="GO280" s="136"/>
      <c r="GP280" s="136"/>
      <c r="GQ280" s="136"/>
      <c r="GR280" s="136"/>
      <c r="GS280" s="136"/>
      <c r="GT280" s="136"/>
      <c r="GU280" s="136"/>
      <c r="GV280" s="136"/>
      <c r="GW280" s="136"/>
      <c r="GX280" s="136"/>
      <c r="GY280" s="136"/>
      <c r="GZ280" s="136"/>
      <c r="HA280" s="136"/>
      <c r="HB280" s="136"/>
      <c r="HC280" s="136"/>
      <c r="HD280" s="136"/>
      <c r="HE280" s="136"/>
      <c r="HF280" s="136"/>
      <c r="HG280" s="136"/>
      <c r="HH280" s="136"/>
      <c r="HI280" s="136"/>
      <c r="HJ280" s="136"/>
      <c r="HK280" s="136"/>
      <c r="HL280" s="136"/>
      <c r="HM280" s="136"/>
      <c r="HN280" s="136"/>
      <c r="HO280" s="136"/>
      <c r="HP280" s="136"/>
      <c r="HQ280" s="136"/>
      <c r="HR280" s="136"/>
      <c r="HS280" s="136"/>
      <c r="HT280" s="136"/>
      <c r="HU280" s="136"/>
      <c r="HV280" s="136"/>
      <c r="HW280" s="136"/>
      <c r="HX280" s="136"/>
      <c r="HY280" s="136"/>
      <c r="HZ280" s="136"/>
      <c r="IA280" s="136"/>
      <c r="IB280" s="136"/>
      <c r="IC280" s="136"/>
      <c r="ID280" s="136"/>
      <c r="IE280" s="136"/>
      <c r="IF280" s="136"/>
      <c r="IG280" s="136"/>
      <c r="IH280" s="136"/>
      <c r="II280" s="136"/>
      <c r="IJ280" s="136"/>
      <c r="IK280" s="136"/>
      <c r="IL280" s="136"/>
      <c r="IM280" s="136"/>
      <c r="IN280" s="136"/>
      <c r="IO280" s="136"/>
      <c r="IP280" s="136"/>
      <c r="IQ280" s="136"/>
      <c r="IR280" s="136"/>
      <c r="IS280" s="136"/>
      <c r="IT280" s="136"/>
      <c r="IU280" s="136"/>
    </row>
    <row r="281" spans="1:255" ht="48" customHeight="1" x14ac:dyDescent="0.2">
      <c r="A281" s="242" t="str">
        <f>'HECVAT - Full'!A281</f>
        <v>HIPA-13</v>
      </c>
      <c r="B281" s="242" t="str">
        <f>VLOOKUP(A281,'HECVAT - Full'!A$24:B$312,2,FALSE)</f>
        <v>Does your application automatically lock or log-out an account after a period of inactivity?</v>
      </c>
      <c r="C281" s="243" t="s">
        <v>614</v>
      </c>
      <c r="D281" s="253" t="s">
        <v>2979</v>
      </c>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c r="AC281" s="136"/>
      <c r="AD281" s="136"/>
      <c r="AE281" s="136"/>
      <c r="AF281" s="136"/>
      <c r="AG281" s="136"/>
      <c r="AH281" s="136"/>
      <c r="AI281" s="136"/>
      <c r="AJ281" s="136"/>
      <c r="AK281" s="136"/>
      <c r="AL281" s="136"/>
      <c r="AM281" s="136"/>
      <c r="AN281" s="136"/>
      <c r="AO281" s="136"/>
      <c r="AP281" s="136"/>
      <c r="AQ281" s="136"/>
      <c r="AR281" s="136"/>
      <c r="AS281" s="136"/>
      <c r="AT281" s="136"/>
      <c r="AU281" s="136"/>
      <c r="AV281" s="136"/>
      <c r="AW281" s="136"/>
      <c r="AX281" s="136"/>
      <c r="AY281" s="136"/>
      <c r="AZ281" s="136"/>
      <c r="BA281" s="136"/>
      <c r="BB281" s="136"/>
      <c r="BC281" s="136"/>
      <c r="BD281" s="136"/>
      <c r="BE281" s="136"/>
      <c r="BF281" s="136"/>
      <c r="BG281" s="136"/>
      <c r="BH281" s="136"/>
      <c r="BI281" s="136"/>
      <c r="BJ281" s="136"/>
      <c r="BK281" s="136"/>
      <c r="BL281" s="136"/>
      <c r="BM281" s="136"/>
      <c r="BN281" s="136"/>
      <c r="BO281" s="136"/>
      <c r="BP281" s="136"/>
      <c r="BQ281" s="136"/>
      <c r="BR281" s="136"/>
      <c r="BS281" s="136"/>
      <c r="BT281" s="136"/>
      <c r="BU281" s="136"/>
      <c r="BV281" s="136"/>
      <c r="BW281" s="136"/>
      <c r="BX281" s="136"/>
      <c r="BY281" s="136"/>
      <c r="BZ281" s="136"/>
      <c r="CA281" s="136"/>
      <c r="CB281" s="136"/>
      <c r="CC281" s="136"/>
      <c r="CD281" s="136"/>
      <c r="CE281" s="136"/>
      <c r="CF281" s="136"/>
      <c r="CG281" s="136"/>
      <c r="CH281" s="136"/>
      <c r="CI281" s="136"/>
      <c r="CJ281" s="136"/>
      <c r="CK281" s="136"/>
      <c r="CL281" s="136"/>
      <c r="CM281" s="136"/>
      <c r="CN281" s="136"/>
      <c r="CO281" s="136"/>
      <c r="CP281" s="136"/>
      <c r="CQ281" s="136"/>
      <c r="CR281" s="136"/>
      <c r="CS281" s="136"/>
      <c r="CT281" s="136"/>
      <c r="CU281" s="136"/>
      <c r="CV281" s="136"/>
      <c r="CW281" s="136"/>
      <c r="CX281" s="136"/>
      <c r="CY281" s="136"/>
      <c r="CZ281" s="136"/>
      <c r="DA281" s="136"/>
      <c r="DB281" s="136"/>
      <c r="DC281" s="136"/>
      <c r="DD281" s="136"/>
      <c r="DE281" s="136"/>
      <c r="DF281" s="136"/>
      <c r="DG281" s="136"/>
      <c r="DH281" s="136"/>
      <c r="DI281" s="136"/>
      <c r="DJ281" s="136"/>
      <c r="DK281" s="136"/>
      <c r="DL281" s="136"/>
      <c r="DM281" s="136"/>
      <c r="DN281" s="136"/>
      <c r="DO281" s="136"/>
      <c r="DP281" s="136"/>
      <c r="DQ281" s="136"/>
      <c r="DR281" s="136"/>
      <c r="DS281" s="136"/>
      <c r="DT281" s="136"/>
      <c r="DU281" s="136"/>
      <c r="DV281" s="136"/>
      <c r="DW281" s="136"/>
      <c r="DX281" s="136"/>
      <c r="DY281" s="136"/>
      <c r="DZ281" s="136"/>
      <c r="EA281" s="136"/>
      <c r="EB281" s="136"/>
      <c r="EC281" s="136"/>
      <c r="ED281" s="136"/>
      <c r="EE281" s="136"/>
      <c r="EF281" s="136"/>
      <c r="EG281" s="136"/>
      <c r="EH281" s="136"/>
      <c r="EI281" s="136"/>
      <c r="EJ281" s="136"/>
      <c r="EK281" s="136"/>
      <c r="EL281" s="136"/>
      <c r="EM281" s="136"/>
      <c r="EN281" s="136"/>
      <c r="EO281" s="136"/>
      <c r="EP281" s="136"/>
      <c r="EQ281" s="136"/>
      <c r="ER281" s="136"/>
      <c r="ES281" s="136"/>
      <c r="ET281" s="136"/>
      <c r="EU281" s="136"/>
      <c r="EV281" s="136"/>
      <c r="EW281" s="136"/>
      <c r="EX281" s="136"/>
      <c r="EY281" s="136"/>
      <c r="EZ281" s="136"/>
      <c r="FA281" s="136"/>
      <c r="FB281" s="136"/>
      <c r="FC281" s="136"/>
      <c r="FD281" s="136"/>
      <c r="FE281" s="136"/>
      <c r="FF281" s="136"/>
      <c r="FG281" s="136"/>
      <c r="FH281" s="136"/>
      <c r="FI281" s="136"/>
      <c r="FJ281" s="136"/>
      <c r="FK281" s="136"/>
      <c r="FL281" s="136"/>
      <c r="FM281" s="136"/>
      <c r="FN281" s="136"/>
      <c r="FO281" s="136"/>
      <c r="FP281" s="136"/>
      <c r="FQ281" s="136"/>
      <c r="FR281" s="136"/>
      <c r="FS281" s="136"/>
      <c r="FT281" s="136"/>
      <c r="FU281" s="136"/>
      <c r="FV281" s="136"/>
      <c r="FW281" s="136"/>
      <c r="FX281" s="136"/>
      <c r="FY281" s="136"/>
      <c r="FZ281" s="136"/>
      <c r="GA281" s="136"/>
      <c r="GB281" s="136"/>
      <c r="GC281" s="136"/>
      <c r="GD281" s="136"/>
      <c r="GE281" s="136"/>
      <c r="GF281" s="136"/>
      <c r="GG281" s="136"/>
      <c r="GH281" s="136"/>
      <c r="GI281" s="136"/>
      <c r="GJ281" s="136"/>
      <c r="GK281" s="136"/>
      <c r="GL281" s="136"/>
      <c r="GM281" s="136"/>
      <c r="GN281" s="136"/>
      <c r="GO281" s="136"/>
      <c r="GP281" s="136"/>
      <c r="GQ281" s="136"/>
      <c r="GR281" s="136"/>
      <c r="GS281" s="136"/>
      <c r="GT281" s="136"/>
      <c r="GU281" s="136"/>
      <c r="GV281" s="136"/>
      <c r="GW281" s="136"/>
      <c r="GX281" s="136"/>
      <c r="GY281" s="136"/>
      <c r="GZ281" s="136"/>
      <c r="HA281" s="136"/>
      <c r="HB281" s="136"/>
      <c r="HC281" s="136"/>
      <c r="HD281" s="136"/>
      <c r="HE281" s="136"/>
      <c r="HF281" s="136"/>
      <c r="HG281" s="136"/>
      <c r="HH281" s="136"/>
      <c r="HI281" s="136"/>
      <c r="HJ281" s="136"/>
      <c r="HK281" s="136"/>
      <c r="HL281" s="136"/>
      <c r="HM281" s="136"/>
      <c r="HN281" s="136"/>
      <c r="HO281" s="136"/>
      <c r="HP281" s="136"/>
      <c r="HQ281" s="136"/>
      <c r="HR281" s="136"/>
      <c r="HS281" s="136"/>
      <c r="HT281" s="136"/>
      <c r="HU281" s="136"/>
      <c r="HV281" s="136"/>
      <c r="HW281" s="136"/>
      <c r="HX281" s="136"/>
      <c r="HY281" s="136"/>
      <c r="HZ281" s="136"/>
      <c r="IA281" s="136"/>
      <c r="IB281" s="136"/>
      <c r="IC281" s="136"/>
      <c r="ID281" s="136"/>
      <c r="IE281" s="136"/>
      <c r="IF281" s="136"/>
      <c r="IG281" s="136"/>
      <c r="IH281" s="136"/>
      <c r="II281" s="136"/>
      <c r="IJ281" s="136"/>
      <c r="IK281" s="136"/>
      <c r="IL281" s="136"/>
      <c r="IM281" s="136"/>
      <c r="IN281" s="136"/>
      <c r="IO281" s="136"/>
      <c r="IP281" s="136"/>
      <c r="IQ281" s="136"/>
      <c r="IR281" s="136"/>
      <c r="IS281" s="136"/>
      <c r="IT281" s="136"/>
      <c r="IU281" s="136"/>
    </row>
    <row r="282" spans="1:255" ht="48" customHeight="1" x14ac:dyDescent="0.2">
      <c r="A282" s="242" t="str">
        <f>'HECVAT - Full'!A282</f>
        <v>HIPA-14</v>
      </c>
      <c r="B282" s="242" t="str">
        <f>VLOOKUP(A282,'HECVAT - Full'!A$24:B$312,2,FALSE)</f>
        <v>Are passwords visible in plain text, whether when stored or entered, including service level accounts (i.e. database accounts, etc.)?</v>
      </c>
      <c r="C282" s="243" t="s">
        <v>697</v>
      </c>
      <c r="D282" s="253" t="s">
        <v>2979</v>
      </c>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c r="AC282" s="136"/>
      <c r="AD282" s="136"/>
      <c r="AE282" s="136"/>
      <c r="AF282" s="136"/>
      <c r="AG282" s="136"/>
      <c r="AH282" s="136"/>
      <c r="AI282" s="136"/>
      <c r="AJ282" s="136"/>
      <c r="AK282" s="136"/>
      <c r="AL282" s="136"/>
      <c r="AM282" s="136"/>
      <c r="AN282" s="136"/>
      <c r="AO282" s="136"/>
      <c r="AP282" s="136"/>
      <c r="AQ282" s="136"/>
      <c r="AR282" s="136"/>
      <c r="AS282" s="136"/>
      <c r="AT282" s="136"/>
      <c r="AU282" s="136"/>
      <c r="AV282" s="136"/>
      <c r="AW282" s="136"/>
      <c r="AX282" s="136"/>
      <c r="AY282" s="136"/>
      <c r="AZ282" s="136"/>
      <c r="BA282" s="136"/>
      <c r="BB282" s="136"/>
      <c r="BC282" s="136"/>
      <c r="BD282" s="136"/>
      <c r="BE282" s="136"/>
      <c r="BF282" s="136"/>
      <c r="BG282" s="136"/>
      <c r="BH282" s="136"/>
      <c r="BI282" s="136"/>
      <c r="BJ282" s="136"/>
      <c r="BK282" s="136"/>
      <c r="BL282" s="136"/>
      <c r="BM282" s="136"/>
      <c r="BN282" s="136"/>
      <c r="BO282" s="136"/>
      <c r="BP282" s="136"/>
      <c r="BQ282" s="136"/>
      <c r="BR282" s="136"/>
      <c r="BS282" s="136"/>
      <c r="BT282" s="136"/>
      <c r="BU282" s="136"/>
      <c r="BV282" s="136"/>
      <c r="BW282" s="136"/>
      <c r="BX282" s="136"/>
      <c r="BY282" s="136"/>
      <c r="BZ282" s="136"/>
      <c r="CA282" s="136"/>
      <c r="CB282" s="136"/>
      <c r="CC282" s="136"/>
      <c r="CD282" s="136"/>
      <c r="CE282" s="136"/>
      <c r="CF282" s="136"/>
      <c r="CG282" s="136"/>
      <c r="CH282" s="136"/>
      <c r="CI282" s="136"/>
      <c r="CJ282" s="136"/>
      <c r="CK282" s="136"/>
      <c r="CL282" s="136"/>
      <c r="CM282" s="136"/>
      <c r="CN282" s="136"/>
      <c r="CO282" s="136"/>
      <c r="CP282" s="136"/>
      <c r="CQ282" s="136"/>
      <c r="CR282" s="136"/>
      <c r="CS282" s="136"/>
      <c r="CT282" s="136"/>
      <c r="CU282" s="136"/>
      <c r="CV282" s="136"/>
      <c r="CW282" s="136"/>
      <c r="CX282" s="136"/>
      <c r="CY282" s="136"/>
      <c r="CZ282" s="136"/>
      <c r="DA282" s="136"/>
      <c r="DB282" s="136"/>
      <c r="DC282" s="136"/>
      <c r="DD282" s="136"/>
      <c r="DE282" s="136"/>
      <c r="DF282" s="136"/>
      <c r="DG282" s="136"/>
      <c r="DH282" s="136"/>
      <c r="DI282" s="136"/>
      <c r="DJ282" s="136"/>
      <c r="DK282" s="136"/>
      <c r="DL282" s="136"/>
      <c r="DM282" s="136"/>
      <c r="DN282" s="136"/>
      <c r="DO282" s="136"/>
      <c r="DP282" s="136"/>
      <c r="DQ282" s="136"/>
      <c r="DR282" s="136"/>
      <c r="DS282" s="136"/>
      <c r="DT282" s="136"/>
      <c r="DU282" s="136"/>
      <c r="DV282" s="136"/>
      <c r="DW282" s="136"/>
      <c r="DX282" s="136"/>
      <c r="DY282" s="136"/>
      <c r="DZ282" s="136"/>
      <c r="EA282" s="136"/>
      <c r="EB282" s="136"/>
      <c r="EC282" s="136"/>
      <c r="ED282" s="136"/>
      <c r="EE282" s="136"/>
      <c r="EF282" s="136"/>
      <c r="EG282" s="136"/>
      <c r="EH282" s="136"/>
      <c r="EI282" s="136"/>
      <c r="EJ282" s="136"/>
      <c r="EK282" s="136"/>
      <c r="EL282" s="136"/>
      <c r="EM282" s="136"/>
      <c r="EN282" s="136"/>
      <c r="EO282" s="136"/>
      <c r="EP282" s="136"/>
      <c r="EQ282" s="136"/>
      <c r="ER282" s="136"/>
      <c r="ES282" s="136"/>
      <c r="ET282" s="136"/>
      <c r="EU282" s="136"/>
      <c r="EV282" s="136"/>
      <c r="EW282" s="136"/>
      <c r="EX282" s="136"/>
      <c r="EY282" s="136"/>
      <c r="EZ282" s="136"/>
      <c r="FA282" s="136"/>
      <c r="FB282" s="136"/>
      <c r="FC282" s="136"/>
      <c r="FD282" s="136"/>
      <c r="FE282" s="136"/>
      <c r="FF282" s="136"/>
      <c r="FG282" s="136"/>
      <c r="FH282" s="136"/>
      <c r="FI282" s="136"/>
      <c r="FJ282" s="136"/>
      <c r="FK282" s="136"/>
      <c r="FL282" s="136"/>
      <c r="FM282" s="136"/>
      <c r="FN282" s="136"/>
      <c r="FO282" s="136"/>
      <c r="FP282" s="136"/>
      <c r="FQ282" s="136"/>
      <c r="FR282" s="136"/>
      <c r="FS282" s="136"/>
      <c r="FT282" s="136"/>
      <c r="FU282" s="136"/>
      <c r="FV282" s="136"/>
      <c r="FW282" s="136"/>
      <c r="FX282" s="136"/>
      <c r="FY282" s="136"/>
      <c r="FZ282" s="136"/>
      <c r="GA282" s="136"/>
      <c r="GB282" s="136"/>
      <c r="GC282" s="136"/>
      <c r="GD282" s="136"/>
      <c r="GE282" s="136"/>
      <c r="GF282" s="136"/>
      <c r="GG282" s="136"/>
      <c r="GH282" s="136"/>
      <c r="GI282" s="136"/>
      <c r="GJ282" s="136"/>
      <c r="GK282" s="136"/>
      <c r="GL282" s="136"/>
      <c r="GM282" s="136"/>
      <c r="GN282" s="136"/>
      <c r="GO282" s="136"/>
      <c r="GP282" s="136"/>
      <c r="GQ282" s="136"/>
      <c r="GR282" s="136"/>
      <c r="GS282" s="136"/>
      <c r="GT282" s="136"/>
      <c r="GU282" s="136"/>
      <c r="GV282" s="136"/>
      <c r="GW282" s="136"/>
      <c r="GX282" s="136"/>
      <c r="GY282" s="136"/>
      <c r="GZ282" s="136"/>
      <c r="HA282" s="136"/>
      <c r="HB282" s="136"/>
      <c r="HC282" s="136"/>
      <c r="HD282" s="136"/>
      <c r="HE282" s="136"/>
      <c r="HF282" s="136"/>
      <c r="HG282" s="136"/>
      <c r="HH282" s="136"/>
      <c r="HI282" s="136"/>
      <c r="HJ282" s="136"/>
      <c r="HK282" s="136"/>
      <c r="HL282" s="136"/>
      <c r="HM282" s="136"/>
      <c r="HN282" s="136"/>
      <c r="HO282" s="136"/>
      <c r="HP282" s="136"/>
      <c r="HQ282" s="136"/>
      <c r="HR282" s="136"/>
      <c r="HS282" s="136"/>
      <c r="HT282" s="136"/>
      <c r="HU282" s="136"/>
      <c r="HV282" s="136"/>
      <c r="HW282" s="136"/>
      <c r="HX282" s="136"/>
      <c r="HY282" s="136"/>
      <c r="HZ282" s="136"/>
      <c r="IA282" s="136"/>
      <c r="IB282" s="136"/>
      <c r="IC282" s="136"/>
      <c r="ID282" s="136"/>
      <c r="IE282" s="136"/>
      <c r="IF282" s="136"/>
      <c r="IG282" s="136"/>
      <c r="IH282" s="136"/>
      <c r="II282" s="136"/>
      <c r="IJ282" s="136"/>
      <c r="IK282" s="136"/>
      <c r="IL282" s="136"/>
      <c r="IM282" s="136"/>
      <c r="IN282" s="136"/>
      <c r="IO282" s="136"/>
      <c r="IP282" s="136"/>
      <c r="IQ282" s="136"/>
      <c r="IR282" s="136"/>
      <c r="IS282" s="136"/>
      <c r="IT282" s="136"/>
      <c r="IU282" s="136"/>
    </row>
    <row r="283" spans="1:255" ht="48" customHeight="1" x14ac:dyDescent="0.2">
      <c r="A283" s="242" t="str">
        <f>'HECVAT - Full'!A283</f>
        <v>HIPA-15</v>
      </c>
      <c r="B283" s="242" t="str">
        <f>VLOOKUP(A283,'HECVAT - Full'!A$24:B$312,2,FALSE)</f>
        <v>If the application is institution-hosted, can all service level and administrative account passwords be changed by the institution?</v>
      </c>
      <c r="C283" s="243" t="s">
        <v>697</v>
      </c>
      <c r="D283" s="253" t="s">
        <v>2979</v>
      </c>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c r="AC283" s="136"/>
      <c r="AD283" s="136"/>
      <c r="AE283" s="136"/>
      <c r="AF283" s="136"/>
      <c r="AG283" s="136"/>
      <c r="AH283" s="136"/>
      <c r="AI283" s="136"/>
      <c r="AJ283" s="136"/>
      <c r="AK283" s="136"/>
      <c r="AL283" s="136"/>
      <c r="AM283" s="136"/>
      <c r="AN283" s="136"/>
      <c r="AO283" s="136"/>
      <c r="AP283" s="136"/>
      <c r="AQ283" s="136"/>
      <c r="AR283" s="136"/>
      <c r="AS283" s="136"/>
      <c r="AT283" s="136"/>
      <c r="AU283" s="136"/>
      <c r="AV283" s="136"/>
      <c r="AW283" s="136"/>
      <c r="AX283" s="136"/>
      <c r="AY283" s="136"/>
      <c r="AZ283" s="136"/>
      <c r="BA283" s="136"/>
      <c r="BB283" s="136"/>
      <c r="BC283" s="136"/>
      <c r="BD283" s="136"/>
      <c r="BE283" s="136"/>
      <c r="BF283" s="136"/>
      <c r="BG283" s="136"/>
      <c r="BH283" s="136"/>
      <c r="BI283" s="136"/>
      <c r="BJ283" s="136"/>
      <c r="BK283" s="136"/>
      <c r="BL283" s="136"/>
      <c r="BM283" s="136"/>
      <c r="BN283" s="136"/>
      <c r="BO283" s="136"/>
      <c r="BP283" s="136"/>
      <c r="BQ283" s="136"/>
      <c r="BR283" s="136"/>
      <c r="BS283" s="136"/>
      <c r="BT283" s="136"/>
      <c r="BU283" s="136"/>
      <c r="BV283" s="136"/>
      <c r="BW283" s="136"/>
      <c r="BX283" s="136"/>
      <c r="BY283" s="136"/>
      <c r="BZ283" s="136"/>
      <c r="CA283" s="136"/>
      <c r="CB283" s="136"/>
      <c r="CC283" s="136"/>
      <c r="CD283" s="136"/>
      <c r="CE283" s="136"/>
      <c r="CF283" s="136"/>
      <c r="CG283" s="136"/>
      <c r="CH283" s="136"/>
      <c r="CI283" s="136"/>
      <c r="CJ283" s="136"/>
      <c r="CK283" s="136"/>
      <c r="CL283" s="136"/>
      <c r="CM283" s="136"/>
      <c r="CN283" s="136"/>
      <c r="CO283" s="136"/>
      <c r="CP283" s="136"/>
      <c r="CQ283" s="136"/>
      <c r="CR283" s="136"/>
      <c r="CS283" s="136"/>
      <c r="CT283" s="136"/>
      <c r="CU283" s="136"/>
      <c r="CV283" s="136"/>
      <c r="CW283" s="136"/>
      <c r="CX283" s="136"/>
      <c r="CY283" s="136"/>
      <c r="CZ283" s="136"/>
      <c r="DA283" s="136"/>
      <c r="DB283" s="136"/>
      <c r="DC283" s="136"/>
      <c r="DD283" s="136"/>
      <c r="DE283" s="136"/>
      <c r="DF283" s="136"/>
      <c r="DG283" s="136"/>
      <c r="DH283" s="136"/>
      <c r="DI283" s="136"/>
      <c r="DJ283" s="136"/>
      <c r="DK283" s="136"/>
      <c r="DL283" s="136"/>
      <c r="DM283" s="136"/>
      <c r="DN283" s="136"/>
      <c r="DO283" s="136"/>
      <c r="DP283" s="136"/>
      <c r="DQ283" s="136"/>
      <c r="DR283" s="136"/>
      <c r="DS283" s="136"/>
      <c r="DT283" s="136"/>
      <c r="DU283" s="136"/>
      <c r="DV283" s="136"/>
      <c r="DW283" s="136"/>
      <c r="DX283" s="136"/>
      <c r="DY283" s="136"/>
      <c r="DZ283" s="136"/>
      <c r="EA283" s="136"/>
      <c r="EB283" s="136"/>
      <c r="EC283" s="136"/>
      <c r="ED283" s="136"/>
      <c r="EE283" s="136"/>
      <c r="EF283" s="136"/>
      <c r="EG283" s="136"/>
      <c r="EH283" s="136"/>
      <c r="EI283" s="136"/>
      <c r="EJ283" s="136"/>
      <c r="EK283" s="136"/>
      <c r="EL283" s="136"/>
      <c r="EM283" s="136"/>
      <c r="EN283" s="136"/>
      <c r="EO283" s="136"/>
      <c r="EP283" s="136"/>
      <c r="EQ283" s="136"/>
      <c r="ER283" s="136"/>
      <c r="ES283" s="136"/>
      <c r="ET283" s="136"/>
      <c r="EU283" s="136"/>
      <c r="EV283" s="136"/>
      <c r="EW283" s="136"/>
      <c r="EX283" s="136"/>
      <c r="EY283" s="136"/>
      <c r="EZ283" s="136"/>
      <c r="FA283" s="136"/>
      <c r="FB283" s="136"/>
      <c r="FC283" s="136"/>
      <c r="FD283" s="136"/>
      <c r="FE283" s="136"/>
      <c r="FF283" s="136"/>
      <c r="FG283" s="136"/>
      <c r="FH283" s="136"/>
      <c r="FI283" s="136"/>
      <c r="FJ283" s="136"/>
      <c r="FK283" s="136"/>
      <c r="FL283" s="136"/>
      <c r="FM283" s="136"/>
      <c r="FN283" s="136"/>
      <c r="FO283" s="136"/>
      <c r="FP283" s="136"/>
      <c r="FQ283" s="136"/>
      <c r="FR283" s="136"/>
      <c r="FS283" s="136"/>
      <c r="FT283" s="136"/>
      <c r="FU283" s="136"/>
      <c r="FV283" s="136"/>
      <c r="FW283" s="136"/>
      <c r="FX283" s="136"/>
      <c r="FY283" s="136"/>
      <c r="FZ283" s="136"/>
      <c r="GA283" s="136"/>
      <c r="GB283" s="136"/>
      <c r="GC283" s="136"/>
      <c r="GD283" s="136"/>
      <c r="GE283" s="136"/>
      <c r="GF283" s="136"/>
      <c r="GG283" s="136"/>
      <c r="GH283" s="136"/>
      <c r="GI283" s="136"/>
      <c r="GJ283" s="136"/>
      <c r="GK283" s="136"/>
      <c r="GL283" s="136"/>
      <c r="GM283" s="136"/>
      <c r="GN283" s="136"/>
      <c r="GO283" s="136"/>
      <c r="GP283" s="136"/>
      <c r="GQ283" s="136"/>
      <c r="GR283" s="136"/>
      <c r="GS283" s="136"/>
      <c r="GT283" s="136"/>
      <c r="GU283" s="136"/>
      <c r="GV283" s="136"/>
      <c r="GW283" s="136"/>
      <c r="GX283" s="136"/>
      <c r="GY283" s="136"/>
      <c r="GZ283" s="136"/>
      <c r="HA283" s="136"/>
      <c r="HB283" s="136"/>
      <c r="HC283" s="136"/>
      <c r="HD283" s="136"/>
      <c r="HE283" s="136"/>
      <c r="HF283" s="136"/>
      <c r="HG283" s="136"/>
      <c r="HH283" s="136"/>
      <c r="HI283" s="136"/>
      <c r="HJ283" s="136"/>
      <c r="HK283" s="136"/>
      <c r="HL283" s="136"/>
      <c r="HM283" s="136"/>
      <c r="HN283" s="136"/>
      <c r="HO283" s="136"/>
      <c r="HP283" s="136"/>
      <c r="HQ283" s="136"/>
      <c r="HR283" s="136"/>
      <c r="HS283" s="136"/>
      <c r="HT283" s="136"/>
      <c r="HU283" s="136"/>
      <c r="HV283" s="136"/>
      <c r="HW283" s="136"/>
      <c r="HX283" s="136"/>
      <c r="HY283" s="136"/>
      <c r="HZ283" s="136"/>
      <c r="IA283" s="136"/>
      <c r="IB283" s="136"/>
      <c r="IC283" s="136"/>
      <c r="ID283" s="136"/>
      <c r="IE283" s="136"/>
      <c r="IF283" s="136"/>
      <c r="IG283" s="136"/>
      <c r="IH283" s="136"/>
      <c r="II283" s="136"/>
      <c r="IJ283" s="136"/>
      <c r="IK283" s="136"/>
      <c r="IL283" s="136"/>
      <c r="IM283" s="136"/>
      <c r="IN283" s="136"/>
      <c r="IO283" s="136"/>
      <c r="IP283" s="136"/>
      <c r="IQ283" s="136"/>
      <c r="IR283" s="136"/>
      <c r="IS283" s="136"/>
      <c r="IT283" s="136"/>
      <c r="IU283" s="136"/>
    </row>
    <row r="284" spans="1:255" ht="48" customHeight="1" x14ac:dyDescent="0.2">
      <c r="A284" s="242" t="str">
        <f>'HECVAT - Full'!A284</f>
        <v>HIPA-16</v>
      </c>
      <c r="B284" s="242" t="str">
        <f>VLOOKUP(A284,'HECVAT - Full'!A$24:B$312,2,FALSE)</f>
        <v>Does your application provide the ability to define user access levels?</v>
      </c>
      <c r="C284" s="243" t="s">
        <v>694</v>
      </c>
      <c r="D284" s="253" t="s">
        <v>2979</v>
      </c>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c r="AC284" s="136"/>
      <c r="AD284" s="136"/>
      <c r="AE284" s="136"/>
      <c r="AF284" s="136"/>
      <c r="AG284" s="136"/>
      <c r="AH284" s="136"/>
      <c r="AI284" s="136"/>
      <c r="AJ284" s="136"/>
      <c r="AK284" s="136"/>
      <c r="AL284" s="136"/>
      <c r="AM284" s="136"/>
      <c r="AN284" s="136"/>
      <c r="AO284" s="136"/>
      <c r="AP284" s="136"/>
      <c r="AQ284" s="136"/>
      <c r="AR284" s="136"/>
      <c r="AS284" s="136"/>
      <c r="AT284" s="136"/>
      <c r="AU284" s="136"/>
      <c r="AV284" s="136"/>
      <c r="AW284" s="136"/>
      <c r="AX284" s="136"/>
      <c r="AY284" s="136"/>
      <c r="AZ284" s="136"/>
      <c r="BA284" s="136"/>
      <c r="BB284" s="136"/>
      <c r="BC284" s="136"/>
      <c r="BD284" s="136"/>
      <c r="BE284" s="136"/>
      <c r="BF284" s="136"/>
      <c r="BG284" s="136"/>
      <c r="BH284" s="136"/>
      <c r="BI284" s="136"/>
      <c r="BJ284" s="136"/>
      <c r="BK284" s="136"/>
      <c r="BL284" s="136"/>
      <c r="BM284" s="136"/>
      <c r="BN284" s="136"/>
      <c r="BO284" s="136"/>
      <c r="BP284" s="136"/>
      <c r="BQ284" s="136"/>
      <c r="BR284" s="136"/>
      <c r="BS284" s="136"/>
      <c r="BT284" s="136"/>
      <c r="BU284" s="136"/>
      <c r="BV284" s="136"/>
      <c r="BW284" s="136"/>
      <c r="BX284" s="136"/>
      <c r="BY284" s="136"/>
      <c r="BZ284" s="136"/>
      <c r="CA284" s="136"/>
      <c r="CB284" s="136"/>
      <c r="CC284" s="136"/>
      <c r="CD284" s="136"/>
      <c r="CE284" s="136"/>
      <c r="CF284" s="136"/>
      <c r="CG284" s="136"/>
      <c r="CH284" s="136"/>
      <c r="CI284" s="136"/>
      <c r="CJ284" s="136"/>
      <c r="CK284" s="136"/>
      <c r="CL284" s="136"/>
      <c r="CM284" s="136"/>
      <c r="CN284" s="136"/>
      <c r="CO284" s="136"/>
      <c r="CP284" s="136"/>
      <c r="CQ284" s="136"/>
      <c r="CR284" s="136"/>
      <c r="CS284" s="136"/>
      <c r="CT284" s="136"/>
      <c r="CU284" s="136"/>
      <c r="CV284" s="136"/>
      <c r="CW284" s="136"/>
      <c r="CX284" s="136"/>
      <c r="CY284" s="136"/>
      <c r="CZ284" s="136"/>
      <c r="DA284" s="136"/>
      <c r="DB284" s="136"/>
      <c r="DC284" s="136"/>
      <c r="DD284" s="136"/>
      <c r="DE284" s="136"/>
      <c r="DF284" s="136"/>
      <c r="DG284" s="136"/>
      <c r="DH284" s="136"/>
      <c r="DI284" s="136"/>
      <c r="DJ284" s="136"/>
      <c r="DK284" s="136"/>
      <c r="DL284" s="136"/>
      <c r="DM284" s="136"/>
      <c r="DN284" s="136"/>
      <c r="DO284" s="136"/>
      <c r="DP284" s="136"/>
      <c r="DQ284" s="136"/>
      <c r="DR284" s="136"/>
      <c r="DS284" s="136"/>
      <c r="DT284" s="136"/>
      <c r="DU284" s="136"/>
      <c r="DV284" s="136"/>
      <c r="DW284" s="136"/>
      <c r="DX284" s="136"/>
      <c r="DY284" s="136"/>
      <c r="DZ284" s="136"/>
      <c r="EA284" s="136"/>
      <c r="EB284" s="136"/>
      <c r="EC284" s="136"/>
      <c r="ED284" s="136"/>
      <c r="EE284" s="136"/>
      <c r="EF284" s="136"/>
      <c r="EG284" s="136"/>
      <c r="EH284" s="136"/>
      <c r="EI284" s="136"/>
      <c r="EJ284" s="136"/>
      <c r="EK284" s="136"/>
      <c r="EL284" s="136"/>
      <c r="EM284" s="136"/>
      <c r="EN284" s="136"/>
      <c r="EO284" s="136"/>
      <c r="EP284" s="136"/>
      <c r="EQ284" s="136"/>
      <c r="ER284" s="136"/>
      <c r="ES284" s="136"/>
      <c r="ET284" s="136"/>
      <c r="EU284" s="136"/>
      <c r="EV284" s="136"/>
      <c r="EW284" s="136"/>
      <c r="EX284" s="136"/>
      <c r="EY284" s="136"/>
      <c r="EZ284" s="136"/>
      <c r="FA284" s="136"/>
      <c r="FB284" s="136"/>
      <c r="FC284" s="136"/>
      <c r="FD284" s="136"/>
      <c r="FE284" s="136"/>
      <c r="FF284" s="136"/>
      <c r="FG284" s="136"/>
      <c r="FH284" s="136"/>
      <c r="FI284" s="136"/>
      <c r="FJ284" s="136"/>
      <c r="FK284" s="136"/>
      <c r="FL284" s="136"/>
      <c r="FM284" s="136"/>
      <c r="FN284" s="136"/>
      <c r="FO284" s="136"/>
      <c r="FP284" s="136"/>
      <c r="FQ284" s="136"/>
      <c r="FR284" s="136"/>
      <c r="FS284" s="136"/>
      <c r="FT284" s="136"/>
      <c r="FU284" s="136"/>
      <c r="FV284" s="136"/>
      <c r="FW284" s="136"/>
      <c r="FX284" s="136"/>
      <c r="FY284" s="136"/>
      <c r="FZ284" s="136"/>
      <c r="GA284" s="136"/>
      <c r="GB284" s="136"/>
      <c r="GC284" s="136"/>
      <c r="GD284" s="136"/>
      <c r="GE284" s="136"/>
      <c r="GF284" s="136"/>
      <c r="GG284" s="136"/>
      <c r="GH284" s="136"/>
      <c r="GI284" s="136"/>
      <c r="GJ284" s="136"/>
      <c r="GK284" s="136"/>
      <c r="GL284" s="136"/>
      <c r="GM284" s="136"/>
      <c r="GN284" s="136"/>
      <c r="GO284" s="136"/>
      <c r="GP284" s="136"/>
      <c r="GQ284" s="136"/>
      <c r="GR284" s="136"/>
      <c r="GS284" s="136"/>
      <c r="GT284" s="136"/>
      <c r="GU284" s="136"/>
      <c r="GV284" s="136"/>
      <c r="GW284" s="136"/>
      <c r="GX284" s="136"/>
      <c r="GY284" s="136"/>
      <c r="GZ284" s="136"/>
      <c r="HA284" s="136"/>
      <c r="HB284" s="136"/>
      <c r="HC284" s="136"/>
      <c r="HD284" s="136"/>
      <c r="HE284" s="136"/>
      <c r="HF284" s="136"/>
      <c r="HG284" s="136"/>
      <c r="HH284" s="136"/>
      <c r="HI284" s="136"/>
      <c r="HJ284" s="136"/>
      <c r="HK284" s="136"/>
      <c r="HL284" s="136"/>
      <c r="HM284" s="136"/>
      <c r="HN284" s="136"/>
      <c r="HO284" s="136"/>
      <c r="HP284" s="136"/>
      <c r="HQ284" s="136"/>
      <c r="HR284" s="136"/>
      <c r="HS284" s="136"/>
      <c r="HT284" s="136"/>
      <c r="HU284" s="136"/>
      <c r="HV284" s="136"/>
      <c r="HW284" s="136"/>
      <c r="HX284" s="136"/>
      <c r="HY284" s="136"/>
      <c r="HZ284" s="136"/>
      <c r="IA284" s="136"/>
      <c r="IB284" s="136"/>
      <c r="IC284" s="136"/>
      <c r="ID284" s="136"/>
      <c r="IE284" s="136"/>
      <c r="IF284" s="136"/>
      <c r="IG284" s="136"/>
      <c r="IH284" s="136"/>
      <c r="II284" s="136"/>
      <c r="IJ284" s="136"/>
      <c r="IK284" s="136"/>
      <c r="IL284" s="136"/>
      <c r="IM284" s="136"/>
      <c r="IN284" s="136"/>
      <c r="IO284" s="136"/>
      <c r="IP284" s="136"/>
      <c r="IQ284" s="136"/>
      <c r="IR284" s="136"/>
      <c r="IS284" s="136"/>
      <c r="IT284" s="136"/>
      <c r="IU284" s="136"/>
    </row>
    <row r="285" spans="1:255" ht="48" customHeight="1" x14ac:dyDescent="0.2">
      <c r="A285" s="242" t="str">
        <f>'HECVAT - Full'!A285</f>
        <v>HIPA-17</v>
      </c>
      <c r="B285" s="242" t="str">
        <f>VLOOKUP(A285,'HECVAT - Full'!A$24:B$312,2,FALSE)</f>
        <v>Does your application support varying levels of access to administrative tasks defined individually per user?</v>
      </c>
      <c r="C285" s="243" t="s">
        <v>692</v>
      </c>
      <c r="D285" s="253" t="s">
        <v>2979</v>
      </c>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c r="AC285" s="136"/>
      <c r="AD285" s="136"/>
      <c r="AE285" s="136"/>
      <c r="AF285" s="136"/>
      <c r="AG285" s="136"/>
      <c r="AH285" s="136"/>
      <c r="AI285" s="136"/>
      <c r="AJ285" s="136"/>
      <c r="AK285" s="136"/>
      <c r="AL285" s="136"/>
      <c r="AM285" s="136"/>
      <c r="AN285" s="136"/>
      <c r="AO285" s="136"/>
      <c r="AP285" s="136"/>
      <c r="AQ285" s="136"/>
      <c r="AR285" s="136"/>
      <c r="AS285" s="136"/>
      <c r="AT285" s="136"/>
      <c r="AU285" s="136"/>
      <c r="AV285" s="136"/>
      <c r="AW285" s="136"/>
      <c r="AX285" s="136"/>
      <c r="AY285" s="136"/>
      <c r="AZ285" s="136"/>
      <c r="BA285" s="136"/>
      <c r="BB285" s="136"/>
      <c r="BC285" s="136"/>
      <c r="BD285" s="136"/>
      <c r="BE285" s="136"/>
      <c r="BF285" s="136"/>
      <c r="BG285" s="136"/>
      <c r="BH285" s="136"/>
      <c r="BI285" s="136"/>
      <c r="BJ285" s="136"/>
      <c r="BK285" s="136"/>
      <c r="BL285" s="136"/>
      <c r="BM285" s="136"/>
      <c r="BN285" s="136"/>
      <c r="BO285" s="136"/>
      <c r="BP285" s="136"/>
      <c r="BQ285" s="136"/>
      <c r="BR285" s="136"/>
      <c r="BS285" s="136"/>
      <c r="BT285" s="136"/>
      <c r="BU285" s="136"/>
      <c r="BV285" s="136"/>
      <c r="BW285" s="136"/>
      <c r="BX285" s="136"/>
      <c r="BY285" s="136"/>
      <c r="BZ285" s="136"/>
      <c r="CA285" s="136"/>
      <c r="CB285" s="136"/>
      <c r="CC285" s="136"/>
      <c r="CD285" s="136"/>
      <c r="CE285" s="136"/>
      <c r="CF285" s="136"/>
      <c r="CG285" s="136"/>
      <c r="CH285" s="136"/>
      <c r="CI285" s="136"/>
      <c r="CJ285" s="136"/>
      <c r="CK285" s="136"/>
      <c r="CL285" s="136"/>
      <c r="CM285" s="136"/>
      <c r="CN285" s="136"/>
      <c r="CO285" s="136"/>
      <c r="CP285" s="136"/>
      <c r="CQ285" s="136"/>
      <c r="CR285" s="136"/>
      <c r="CS285" s="136"/>
      <c r="CT285" s="136"/>
      <c r="CU285" s="136"/>
      <c r="CV285" s="136"/>
      <c r="CW285" s="136"/>
      <c r="CX285" s="136"/>
      <c r="CY285" s="136"/>
      <c r="CZ285" s="136"/>
      <c r="DA285" s="136"/>
      <c r="DB285" s="136"/>
      <c r="DC285" s="136"/>
      <c r="DD285" s="136"/>
      <c r="DE285" s="136"/>
      <c r="DF285" s="136"/>
      <c r="DG285" s="136"/>
      <c r="DH285" s="136"/>
      <c r="DI285" s="136"/>
      <c r="DJ285" s="136"/>
      <c r="DK285" s="136"/>
      <c r="DL285" s="136"/>
      <c r="DM285" s="136"/>
      <c r="DN285" s="136"/>
      <c r="DO285" s="136"/>
      <c r="DP285" s="136"/>
      <c r="DQ285" s="136"/>
      <c r="DR285" s="136"/>
      <c r="DS285" s="136"/>
      <c r="DT285" s="136"/>
      <c r="DU285" s="136"/>
      <c r="DV285" s="136"/>
      <c r="DW285" s="136"/>
      <c r="DX285" s="136"/>
      <c r="DY285" s="136"/>
      <c r="DZ285" s="136"/>
      <c r="EA285" s="136"/>
      <c r="EB285" s="136"/>
      <c r="EC285" s="136"/>
      <c r="ED285" s="136"/>
      <c r="EE285" s="136"/>
      <c r="EF285" s="136"/>
      <c r="EG285" s="136"/>
      <c r="EH285" s="136"/>
      <c r="EI285" s="136"/>
      <c r="EJ285" s="136"/>
      <c r="EK285" s="136"/>
      <c r="EL285" s="136"/>
      <c r="EM285" s="136"/>
      <c r="EN285" s="136"/>
      <c r="EO285" s="136"/>
      <c r="EP285" s="136"/>
      <c r="EQ285" s="136"/>
      <c r="ER285" s="136"/>
      <c r="ES285" s="136"/>
      <c r="ET285" s="136"/>
      <c r="EU285" s="136"/>
      <c r="EV285" s="136"/>
      <c r="EW285" s="136"/>
      <c r="EX285" s="136"/>
      <c r="EY285" s="136"/>
      <c r="EZ285" s="136"/>
      <c r="FA285" s="136"/>
      <c r="FB285" s="136"/>
      <c r="FC285" s="136"/>
      <c r="FD285" s="136"/>
      <c r="FE285" s="136"/>
      <c r="FF285" s="136"/>
      <c r="FG285" s="136"/>
      <c r="FH285" s="136"/>
      <c r="FI285" s="136"/>
      <c r="FJ285" s="136"/>
      <c r="FK285" s="136"/>
      <c r="FL285" s="136"/>
      <c r="FM285" s="136"/>
      <c r="FN285" s="136"/>
      <c r="FO285" s="136"/>
      <c r="FP285" s="136"/>
      <c r="FQ285" s="136"/>
      <c r="FR285" s="136"/>
      <c r="FS285" s="136"/>
      <c r="FT285" s="136"/>
      <c r="FU285" s="136"/>
      <c r="FV285" s="136"/>
      <c r="FW285" s="136"/>
      <c r="FX285" s="136"/>
      <c r="FY285" s="136"/>
      <c r="FZ285" s="136"/>
      <c r="GA285" s="136"/>
      <c r="GB285" s="136"/>
      <c r="GC285" s="136"/>
      <c r="GD285" s="136"/>
      <c r="GE285" s="136"/>
      <c r="GF285" s="136"/>
      <c r="GG285" s="136"/>
      <c r="GH285" s="136"/>
      <c r="GI285" s="136"/>
      <c r="GJ285" s="136"/>
      <c r="GK285" s="136"/>
      <c r="GL285" s="136"/>
      <c r="GM285" s="136"/>
      <c r="GN285" s="136"/>
      <c r="GO285" s="136"/>
      <c r="GP285" s="136"/>
      <c r="GQ285" s="136"/>
      <c r="GR285" s="136"/>
      <c r="GS285" s="136"/>
      <c r="GT285" s="136"/>
      <c r="GU285" s="136"/>
      <c r="GV285" s="136"/>
      <c r="GW285" s="136"/>
      <c r="GX285" s="136"/>
      <c r="GY285" s="136"/>
      <c r="GZ285" s="136"/>
      <c r="HA285" s="136"/>
      <c r="HB285" s="136"/>
      <c r="HC285" s="136"/>
      <c r="HD285" s="136"/>
      <c r="HE285" s="136"/>
      <c r="HF285" s="136"/>
      <c r="HG285" s="136"/>
      <c r="HH285" s="136"/>
      <c r="HI285" s="136"/>
      <c r="HJ285" s="136"/>
      <c r="HK285" s="136"/>
      <c r="HL285" s="136"/>
      <c r="HM285" s="136"/>
      <c r="HN285" s="136"/>
      <c r="HO285" s="136"/>
      <c r="HP285" s="136"/>
      <c r="HQ285" s="136"/>
      <c r="HR285" s="136"/>
      <c r="HS285" s="136"/>
      <c r="HT285" s="136"/>
      <c r="HU285" s="136"/>
      <c r="HV285" s="136"/>
      <c r="HW285" s="136"/>
      <c r="HX285" s="136"/>
      <c r="HY285" s="136"/>
      <c r="HZ285" s="136"/>
      <c r="IA285" s="136"/>
      <c r="IB285" s="136"/>
      <c r="IC285" s="136"/>
      <c r="ID285" s="136"/>
      <c r="IE285" s="136"/>
      <c r="IF285" s="136"/>
      <c r="IG285" s="136"/>
      <c r="IH285" s="136"/>
      <c r="II285" s="136"/>
      <c r="IJ285" s="136"/>
      <c r="IK285" s="136"/>
      <c r="IL285" s="136"/>
      <c r="IM285" s="136"/>
      <c r="IN285" s="136"/>
      <c r="IO285" s="136"/>
      <c r="IP285" s="136"/>
      <c r="IQ285" s="136"/>
      <c r="IR285" s="136"/>
      <c r="IS285" s="136"/>
      <c r="IT285" s="136"/>
      <c r="IU285" s="136"/>
    </row>
    <row r="286" spans="1:255" ht="48" customHeight="1" x14ac:dyDescent="0.2">
      <c r="A286" s="242" t="str">
        <f>'HECVAT - Full'!A286</f>
        <v>HIPA-18</v>
      </c>
      <c r="B286" s="242" t="str">
        <f>VLOOKUP(A286,'HECVAT - Full'!A$24:B$312,2,FALSE)</f>
        <v>Does your application support varying levels of access to records based on user ID?</v>
      </c>
      <c r="C286" s="243" t="s">
        <v>693</v>
      </c>
      <c r="D286" s="253" t="s">
        <v>2979</v>
      </c>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c r="AC286" s="136"/>
      <c r="AD286" s="136"/>
      <c r="AE286" s="136"/>
      <c r="AF286" s="136"/>
      <c r="AG286" s="136"/>
      <c r="AH286" s="136"/>
      <c r="AI286" s="136"/>
      <c r="AJ286" s="136"/>
      <c r="AK286" s="136"/>
      <c r="AL286" s="136"/>
      <c r="AM286" s="136"/>
      <c r="AN286" s="136"/>
      <c r="AO286" s="136"/>
      <c r="AP286" s="136"/>
      <c r="AQ286" s="136"/>
      <c r="AR286" s="136"/>
      <c r="AS286" s="136"/>
      <c r="AT286" s="136"/>
      <c r="AU286" s="136"/>
      <c r="AV286" s="136"/>
      <c r="AW286" s="136"/>
      <c r="AX286" s="136"/>
      <c r="AY286" s="136"/>
      <c r="AZ286" s="136"/>
      <c r="BA286" s="136"/>
      <c r="BB286" s="136"/>
      <c r="BC286" s="136"/>
      <c r="BD286" s="136"/>
      <c r="BE286" s="136"/>
      <c r="BF286" s="136"/>
      <c r="BG286" s="136"/>
      <c r="BH286" s="136"/>
      <c r="BI286" s="136"/>
      <c r="BJ286" s="136"/>
      <c r="BK286" s="136"/>
      <c r="BL286" s="136"/>
      <c r="BM286" s="136"/>
      <c r="BN286" s="136"/>
      <c r="BO286" s="136"/>
      <c r="BP286" s="136"/>
      <c r="BQ286" s="136"/>
      <c r="BR286" s="136"/>
      <c r="BS286" s="136"/>
      <c r="BT286" s="136"/>
      <c r="BU286" s="136"/>
      <c r="BV286" s="136"/>
      <c r="BW286" s="136"/>
      <c r="BX286" s="136"/>
      <c r="BY286" s="136"/>
      <c r="BZ286" s="136"/>
      <c r="CA286" s="136"/>
      <c r="CB286" s="136"/>
      <c r="CC286" s="136"/>
      <c r="CD286" s="136"/>
      <c r="CE286" s="136"/>
      <c r="CF286" s="136"/>
      <c r="CG286" s="136"/>
      <c r="CH286" s="136"/>
      <c r="CI286" s="136"/>
      <c r="CJ286" s="136"/>
      <c r="CK286" s="136"/>
      <c r="CL286" s="136"/>
      <c r="CM286" s="136"/>
      <c r="CN286" s="136"/>
      <c r="CO286" s="136"/>
      <c r="CP286" s="136"/>
      <c r="CQ286" s="136"/>
      <c r="CR286" s="136"/>
      <c r="CS286" s="136"/>
      <c r="CT286" s="136"/>
      <c r="CU286" s="136"/>
      <c r="CV286" s="136"/>
      <c r="CW286" s="136"/>
      <c r="CX286" s="136"/>
      <c r="CY286" s="136"/>
      <c r="CZ286" s="136"/>
      <c r="DA286" s="136"/>
      <c r="DB286" s="136"/>
      <c r="DC286" s="136"/>
      <c r="DD286" s="136"/>
      <c r="DE286" s="136"/>
      <c r="DF286" s="136"/>
      <c r="DG286" s="136"/>
      <c r="DH286" s="136"/>
      <c r="DI286" s="136"/>
      <c r="DJ286" s="136"/>
      <c r="DK286" s="136"/>
      <c r="DL286" s="136"/>
      <c r="DM286" s="136"/>
      <c r="DN286" s="136"/>
      <c r="DO286" s="136"/>
      <c r="DP286" s="136"/>
      <c r="DQ286" s="136"/>
      <c r="DR286" s="136"/>
      <c r="DS286" s="136"/>
      <c r="DT286" s="136"/>
      <c r="DU286" s="136"/>
      <c r="DV286" s="136"/>
      <c r="DW286" s="136"/>
      <c r="DX286" s="136"/>
      <c r="DY286" s="136"/>
      <c r="DZ286" s="136"/>
      <c r="EA286" s="136"/>
      <c r="EB286" s="136"/>
      <c r="EC286" s="136"/>
      <c r="ED286" s="136"/>
      <c r="EE286" s="136"/>
      <c r="EF286" s="136"/>
      <c r="EG286" s="136"/>
      <c r="EH286" s="136"/>
      <c r="EI286" s="136"/>
      <c r="EJ286" s="136"/>
      <c r="EK286" s="136"/>
      <c r="EL286" s="136"/>
      <c r="EM286" s="136"/>
      <c r="EN286" s="136"/>
      <c r="EO286" s="136"/>
      <c r="EP286" s="136"/>
      <c r="EQ286" s="136"/>
      <c r="ER286" s="136"/>
      <c r="ES286" s="136"/>
      <c r="ET286" s="136"/>
      <c r="EU286" s="136"/>
      <c r="EV286" s="136"/>
      <c r="EW286" s="136"/>
      <c r="EX286" s="136"/>
      <c r="EY286" s="136"/>
      <c r="EZ286" s="136"/>
      <c r="FA286" s="136"/>
      <c r="FB286" s="136"/>
      <c r="FC286" s="136"/>
      <c r="FD286" s="136"/>
      <c r="FE286" s="136"/>
      <c r="FF286" s="136"/>
      <c r="FG286" s="136"/>
      <c r="FH286" s="136"/>
      <c r="FI286" s="136"/>
      <c r="FJ286" s="136"/>
      <c r="FK286" s="136"/>
      <c r="FL286" s="136"/>
      <c r="FM286" s="136"/>
      <c r="FN286" s="136"/>
      <c r="FO286" s="136"/>
      <c r="FP286" s="136"/>
      <c r="FQ286" s="136"/>
      <c r="FR286" s="136"/>
      <c r="FS286" s="136"/>
      <c r="FT286" s="136"/>
      <c r="FU286" s="136"/>
      <c r="FV286" s="136"/>
      <c r="FW286" s="136"/>
      <c r="FX286" s="136"/>
      <c r="FY286" s="136"/>
      <c r="FZ286" s="136"/>
      <c r="GA286" s="136"/>
      <c r="GB286" s="136"/>
      <c r="GC286" s="136"/>
      <c r="GD286" s="136"/>
      <c r="GE286" s="136"/>
      <c r="GF286" s="136"/>
      <c r="GG286" s="136"/>
      <c r="GH286" s="136"/>
      <c r="GI286" s="136"/>
      <c r="GJ286" s="136"/>
      <c r="GK286" s="136"/>
      <c r="GL286" s="136"/>
      <c r="GM286" s="136"/>
      <c r="GN286" s="136"/>
      <c r="GO286" s="136"/>
      <c r="GP286" s="136"/>
      <c r="GQ286" s="136"/>
      <c r="GR286" s="136"/>
      <c r="GS286" s="136"/>
      <c r="GT286" s="136"/>
      <c r="GU286" s="136"/>
      <c r="GV286" s="136"/>
      <c r="GW286" s="136"/>
      <c r="GX286" s="136"/>
      <c r="GY286" s="136"/>
      <c r="GZ286" s="136"/>
      <c r="HA286" s="136"/>
      <c r="HB286" s="136"/>
      <c r="HC286" s="136"/>
      <c r="HD286" s="136"/>
      <c r="HE286" s="136"/>
      <c r="HF286" s="136"/>
      <c r="HG286" s="136"/>
      <c r="HH286" s="136"/>
      <c r="HI286" s="136"/>
      <c r="HJ286" s="136"/>
      <c r="HK286" s="136"/>
      <c r="HL286" s="136"/>
      <c r="HM286" s="136"/>
      <c r="HN286" s="136"/>
      <c r="HO286" s="136"/>
      <c r="HP286" s="136"/>
      <c r="HQ286" s="136"/>
      <c r="HR286" s="136"/>
      <c r="HS286" s="136"/>
      <c r="HT286" s="136"/>
      <c r="HU286" s="136"/>
      <c r="HV286" s="136"/>
      <c r="HW286" s="136"/>
      <c r="HX286" s="136"/>
      <c r="HY286" s="136"/>
      <c r="HZ286" s="136"/>
      <c r="IA286" s="136"/>
      <c r="IB286" s="136"/>
      <c r="IC286" s="136"/>
      <c r="ID286" s="136"/>
      <c r="IE286" s="136"/>
      <c r="IF286" s="136"/>
      <c r="IG286" s="136"/>
      <c r="IH286" s="136"/>
      <c r="II286" s="136"/>
      <c r="IJ286" s="136"/>
      <c r="IK286" s="136"/>
      <c r="IL286" s="136"/>
      <c r="IM286" s="136"/>
      <c r="IN286" s="136"/>
      <c r="IO286" s="136"/>
      <c r="IP286" s="136"/>
      <c r="IQ286" s="136"/>
      <c r="IR286" s="136"/>
      <c r="IS286" s="136"/>
      <c r="IT286" s="136"/>
      <c r="IU286" s="136"/>
    </row>
    <row r="287" spans="1:255" ht="47" customHeight="1" x14ac:dyDescent="0.2">
      <c r="A287" s="242" t="str">
        <f>'HECVAT - Full'!A287</f>
        <v>HIPA-19</v>
      </c>
      <c r="B287" s="242" t="str">
        <f>VLOOKUP(A287,'HECVAT - Full'!A$24:B$312,2,FALSE)</f>
        <v>Is there a limit to the number of groups a user can be assigned?</v>
      </c>
      <c r="C287" s="243" t="s">
        <v>696</v>
      </c>
      <c r="D287" s="253" t="s">
        <v>2979</v>
      </c>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c r="AC287" s="136"/>
      <c r="AD287" s="136"/>
      <c r="AE287" s="136"/>
      <c r="AF287" s="136"/>
      <c r="AG287" s="136"/>
      <c r="AH287" s="136"/>
      <c r="AI287" s="136"/>
      <c r="AJ287" s="136"/>
      <c r="AK287" s="136"/>
      <c r="AL287" s="136"/>
      <c r="AM287" s="136"/>
      <c r="AN287" s="136"/>
      <c r="AO287" s="136"/>
      <c r="AP287" s="136"/>
      <c r="AQ287" s="136"/>
      <c r="AR287" s="136"/>
      <c r="AS287" s="136"/>
      <c r="AT287" s="136"/>
      <c r="AU287" s="136"/>
      <c r="AV287" s="136"/>
      <c r="AW287" s="136"/>
      <c r="AX287" s="136"/>
      <c r="AY287" s="136"/>
      <c r="AZ287" s="136"/>
      <c r="BA287" s="136"/>
      <c r="BB287" s="136"/>
      <c r="BC287" s="136"/>
      <c r="BD287" s="136"/>
      <c r="BE287" s="136"/>
      <c r="BF287" s="136"/>
      <c r="BG287" s="136"/>
      <c r="BH287" s="136"/>
      <c r="BI287" s="136"/>
      <c r="BJ287" s="136"/>
      <c r="BK287" s="136"/>
      <c r="BL287" s="136"/>
      <c r="BM287" s="136"/>
      <c r="BN287" s="136"/>
      <c r="BO287" s="136"/>
      <c r="BP287" s="136"/>
      <c r="BQ287" s="136"/>
      <c r="BR287" s="136"/>
      <c r="BS287" s="136"/>
      <c r="BT287" s="136"/>
      <c r="BU287" s="136"/>
      <c r="BV287" s="136"/>
      <c r="BW287" s="136"/>
      <c r="BX287" s="136"/>
      <c r="BY287" s="136"/>
      <c r="BZ287" s="136"/>
      <c r="CA287" s="136"/>
      <c r="CB287" s="136"/>
      <c r="CC287" s="136"/>
      <c r="CD287" s="136"/>
      <c r="CE287" s="136"/>
      <c r="CF287" s="136"/>
      <c r="CG287" s="136"/>
      <c r="CH287" s="136"/>
      <c r="CI287" s="136"/>
      <c r="CJ287" s="136"/>
      <c r="CK287" s="136"/>
      <c r="CL287" s="136"/>
      <c r="CM287" s="136"/>
      <c r="CN287" s="136"/>
      <c r="CO287" s="136"/>
      <c r="CP287" s="136"/>
      <c r="CQ287" s="136"/>
      <c r="CR287" s="136"/>
      <c r="CS287" s="136"/>
      <c r="CT287" s="136"/>
      <c r="CU287" s="136"/>
      <c r="CV287" s="136"/>
      <c r="CW287" s="136"/>
      <c r="CX287" s="136"/>
      <c r="CY287" s="136"/>
      <c r="CZ287" s="136"/>
      <c r="DA287" s="136"/>
      <c r="DB287" s="136"/>
      <c r="DC287" s="136"/>
      <c r="DD287" s="136"/>
      <c r="DE287" s="136"/>
      <c r="DF287" s="136"/>
      <c r="DG287" s="136"/>
      <c r="DH287" s="136"/>
      <c r="DI287" s="136"/>
      <c r="DJ287" s="136"/>
      <c r="DK287" s="136"/>
      <c r="DL287" s="136"/>
      <c r="DM287" s="136"/>
      <c r="DN287" s="136"/>
      <c r="DO287" s="136"/>
      <c r="DP287" s="136"/>
      <c r="DQ287" s="136"/>
      <c r="DR287" s="136"/>
      <c r="DS287" s="136"/>
      <c r="DT287" s="136"/>
      <c r="DU287" s="136"/>
      <c r="DV287" s="136"/>
      <c r="DW287" s="136"/>
      <c r="DX287" s="136"/>
      <c r="DY287" s="136"/>
      <c r="DZ287" s="136"/>
      <c r="EA287" s="136"/>
      <c r="EB287" s="136"/>
      <c r="EC287" s="136"/>
      <c r="ED287" s="136"/>
      <c r="EE287" s="136"/>
      <c r="EF287" s="136"/>
      <c r="EG287" s="136"/>
      <c r="EH287" s="136"/>
      <c r="EI287" s="136"/>
      <c r="EJ287" s="136"/>
      <c r="EK287" s="136"/>
      <c r="EL287" s="136"/>
      <c r="EM287" s="136"/>
      <c r="EN287" s="136"/>
      <c r="EO287" s="136"/>
      <c r="EP287" s="136"/>
      <c r="EQ287" s="136"/>
      <c r="ER287" s="136"/>
      <c r="ES287" s="136"/>
      <c r="ET287" s="136"/>
      <c r="EU287" s="136"/>
      <c r="EV287" s="136"/>
      <c r="EW287" s="136"/>
      <c r="EX287" s="136"/>
      <c r="EY287" s="136"/>
      <c r="EZ287" s="136"/>
      <c r="FA287" s="136"/>
      <c r="FB287" s="136"/>
      <c r="FC287" s="136"/>
      <c r="FD287" s="136"/>
      <c r="FE287" s="136"/>
      <c r="FF287" s="136"/>
      <c r="FG287" s="136"/>
      <c r="FH287" s="136"/>
      <c r="FI287" s="136"/>
      <c r="FJ287" s="136"/>
      <c r="FK287" s="136"/>
      <c r="FL287" s="136"/>
      <c r="FM287" s="136"/>
      <c r="FN287" s="136"/>
      <c r="FO287" s="136"/>
      <c r="FP287" s="136"/>
      <c r="FQ287" s="136"/>
      <c r="FR287" s="136"/>
      <c r="FS287" s="136"/>
      <c r="FT287" s="136"/>
      <c r="FU287" s="136"/>
      <c r="FV287" s="136"/>
      <c r="FW287" s="136"/>
      <c r="FX287" s="136"/>
      <c r="FY287" s="136"/>
      <c r="FZ287" s="136"/>
      <c r="GA287" s="136"/>
      <c r="GB287" s="136"/>
      <c r="GC287" s="136"/>
      <c r="GD287" s="136"/>
      <c r="GE287" s="136"/>
      <c r="GF287" s="136"/>
      <c r="GG287" s="136"/>
      <c r="GH287" s="136"/>
      <c r="GI287" s="136"/>
      <c r="GJ287" s="136"/>
      <c r="GK287" s="136"/>
      <c r="GL287" s="136"/>
      <c r="GM287" s="136"/>
      <c r="GN287" s="136"/>
      <c r="GO287" s="136"/>
      <c r="GP287" s="136"/>
      <c r="GQ287" s="136"/>
      <c r="GR287" s="136"/>
      <c r="GS287" s="136"/>
      <c r="GT287" s="136"/>
      <c r="GU287" s="136"/>
      <c r="GV287" s="136"/>
      <c r="GW287" s="136"/>
      <c r="GX287" s="136"/>
      <c r="GY287" s="136"/>
      <c r="GZ287" s="136"/>
      <c r="HA287" s="136"/>
      <c r="HB287" s="136"/>
      <c r="HC287" s="136"/>
      <c r="HD287" s="136"/>
      <c r="HE287" s="136"/>
      <c r="HF287" s="136"/>
      <c r="HG287" s="136"/>
      <c r="HH287" s="136"/>
      <c r="HI287" s="136"/>
      <c r="HJ287" s="136"/>
      <c r="HK287" s="136"/>
      <c r="HL287" s="136"/>
      <c r="HM287" s="136"/>
      <c r="HN287" s="136"/>
      <c r="HO287" s="136"/>
      <c r="HP287" s="136"/>
      <c r="HQ287" s="136"/>
      <c r="HR287" s="136"/>
      <c r="HS287" s="136"/>
      <c r="HT287" s="136"/>
      <c r="HU287" s="136"/>
      <c r="HV287" s="136"/>
      <c r="HW287" s="136"/>
      <c r="HX287" s="136"/>
      <c r="HY287" s="136"/>
      <c r="HZ287" s="136"/>
      <c r="IA287" s="136"/>
      <c r="IB287" s="136"/>
      <c r="IC287" s="136"/>
      <c r="ID287" s="136"/>
      <c r="IE287" s="136"/>
      <c r="IF287" s="136"/>
      <c r="IG287" s="136"/>
      <c r="IH287" s="136"/>
      <c r="II287" s="136"/>
      <c r="IJ287" s="136"/>
      <c r="IK287" s="136"/>
      <c r="IL287" s="136"/>
      <c r="IM287" s="136"/>
      <c r="IN287" s="136"/>
      <c r="IO287" s="136"/>
      <c r="IP287" s="136"/>
      <c r="IQ287" s="136"/>
      <c r="IR287" s="136"/>
      <c r="IS287" s="136"/>
      <c r="IT287" s="136"/>
      <c r="IU287" s="136"/>
    </row>
    <row r="288" spans="1:255" ht="47" customHeight="1" x14ac:dyDescent="0.2">
      <c r="A288" s="242" t="str">
        <f>'HECVAT - Full'!A288</f>
        <v>HIPA-20</v>
      </c>
      <c r="B288" s="242" t="str">
        <f>VLOOKUP(A288,'HECVAT - Full'!A$24:B$312,2,FALSE)</f>
        <v>Do accounts used for vendor supplied remote support abide by the same authentication policies and access logging as the rest of the system?</v>
      </c>
      <c r="C288" s="243" t="s">
        <v>696</v>
      </c>
      <c r="D288" s="253" t="s">
        <v>2979</v>
      </c>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c r="AC288" s="136"/>
      <c r="AD288" s="136"/>
      <c r="AE288" s="136"/>
      <c r="AF288" s="136"/>
      <c r="AG288" s="136"/>
      <c r="AH288" s="136"/>
      <c r="AI288" s="136"/>
      <c r="AJ288" s="136"/>
      <c r="AK288" s="136"/>
      <c r="AL288" s="136"/>
      <c r="AM288" s="136"/>
      <c r="AN288" s="136"/>
      <c r="AO288" s="136"/>
      <c r="AP288" s="136"/>
      <c r="AQ288" s="136"/>
      <c r="AR288" s="136"/>
      <c r="AS288" s="136"/>
      <c r="AT288" s="136"/>
      <c r="AU288" s="136"/>
      <c r="AV288" s="136"/>
      <c r="AW288" s="136"/>
      <c r="AX288" s="136"/>
      <c r="AY288" s="136"/>
      <c r="AZ288" s="136"/>
      <c r="BA288" s="136"/>
      <c r="BB288" s="136"/>
      <c r="BC288" s="136"/>
      <c r="BD288" s="136"/>
      <c r="BE288" s="136"/>
      <c r="BF288" s="136"/>
      <c r="BG288" s="136"/>
      <c r="BH288" s="136"/>
      <c r="BI288" s="136"/>
      <c r="BJ288" s="136"/>
      <c r="BK288" s="136"/>
      <c r="BL288" s="136"/>
      <c r="BM288" s="136"/>
      <c r="BN288" s="136"/>
      <c r="BO288" s="136"/>
      <c r="BP288" s="136"/>
      <c r="BQ288" s="136"/>
      <c r="BR288" s="136"/>
      <c r="BS288" s="136"/>
      <c r="BT288" s="136"/>
      <c r="BU288" s="136"/>
      <c r="BV288" s="136"/>
      <c r="BW288" s="136"/>
      <c r="BX288" s="136"/>
      <c r="BY288" s="136"/>
      <c r="BZ288" s="136"/>
      <c r="CA288" s="136"/>
      <c r="CB288" s="136"/>
      <c r="CC288" s="136"/>
      <c r="CD288" s="136"/>
      <c r="CE288" s="136"/>
      <c r="CF288" s="136"/>
      <c r="CG288" s="136"/>
      <c r="CH288" s="136"/>
      <c r="CI288" s="136"/>
      <c r="CJ288" s="136"/>
      <c r="CK288" s="136"/>
      <c r="CL288" s="136"/>
      <c r="CM288" s="136"/>
      <c r="CN288" s="136"/>
      <c r="CO288" s="136"/>
      <c r="CP288" s="136"/>
      <c r="CQ288" s="136"/>
      <c r="CR288" s="136"/>
      <c r="CS288" s="136"/>
      <c r="CT288" s="136"/>
      <c r="CU288" s="136"/>
      <c r="CV288" s="136"/>
      <c r="CW288" s="136"/>
      <c r="CX288" s="136"/>
      <c r="CY288" s="136"/>
      <c r="CZ288" s="136"/>
      <c r="DA288" s="136"/>
      <c r="DB288" s="136"/>
      <c r="DC288" s="136"/>
      <c r="DD288" s="136"/>
      <c r="DE288" s="136"/>
      <c r="DF288" s="136"/>
      <c r="DG288" s="136"/>
      <c r="DH288" s="136"/>
      <c r="DI288" s="136"/>
      <c r="DJ288" s="136"/>
      <c r="DK288" s="136"/>
      <c r="DL288" s="136"/>
      <c r="DM288" s="136"/>
      <c r="DN288" s="136"/>
      <c r="DO288" s="136"/>
      <c r="DP288" s="136"/>
      <c r="DQ288" s="136"/>
      <c r="DR288" s="136"/>
      <c r="DS288" s="136"/>
      <c r="DT288" s="136"/>
      <c r="DU288" s="136"/>
      <c r="DV288" s="136"/>
      <c r="DW288" s="136"/>
      <c r="DX288" s="136"/>
      <c r="DY288" s="136"/>
      <c r="DZ288" s="136"/>
      <c r="EA288" s="136"/>
      <c r="EB288" s="136"/>
      <c r="EC288" s="136"/>
      <c r="ED288" s="136"/>
      <c r="EE288" s="136"/>
      <c r="EF288" s="136"/>
      <c r="EG288" s="136"/>
      <c r="EH288" s="136"/>
      <c r="EI288" s="136"/>
      <c r="EJ288" s="136"/>
      <c r="EK288" s="136"/>
      <c r="EL288" s="136"/>
      <c r="EM288" s="136"/>
      <c r="EN288" s="136"/>
      <c r="EO288" s="136"/>
      <c r="EP288" s="136"/>
      <c r="EQ288" s="136"/>
      <c r="ER288" s="136"/>
      <c r="ES288" s="136"/>
      <c r="ET288" s="136"/>
      <c r="EU288" s="136"/>
      <c r="EV288" s="136"/>
      <c r="EW288" s="136"/>
      <c r="EX288" s="136"/>
      <c r="EY288" s="136"/>
      <c r="EZ288" s="136"/>
      <c r="FA288" s="136"/>
      <c r="FB288" s="136"/>
      <c r="FC288" s="136"/>
      <c r="FD288" s="136"/>
      <c r="FE288" s="136"/>
      <c r="FF288" s="136"/>
      <c r="FG288" s="136"/>
      <c r="FH288" s="136"/>
      <c r="FI288" s="136"/>
      <c r="FJ288" s="136"/>
      <c r="FK288" s="136"/>
      <c r="FL288" s="136"/>
      <c r="FM288" s="136"/>
      <c r="FN288" s="136"/>
      <c r="FO288" s="136"/>
      <c r="FP288" s="136"/>
      <c r="FQ288" s="136"/>
      <c r="FR288" s="136"/>
      <c r="FS288" s="136"/>
      <c r="FT288" s="136"/>
      <c r="FU288" s="136"/>
      <c r="FV288" s="136"/>
      <c r="FW288" s="136"/>
      <c r="FX288" s="136"/>
      <c r="FY288" s="136"/>
      <c r="FZ288" s="136"/>
      <c r="GA288" s="136"/>
      <c r="GB288" s="136"/>
      <c r="GC288" s="136"/>
      <c r="GD288" s="136"/>
      <c r="GE288" s="136"/>
      <c r="GF288" s="136"/>
      <c r="GG288" s="136"/>
      <c r="GH288" s="136"/>
      <c r="GI288" s="136"/>
      <c r="GJ288" s="136"/>
      <c r="GK288" s="136"/>
      <c r="GL288" s="136"/>
      <c r="GM288" s="136"/>
      <c r="GN288" s="136"/>
      <c r="GO288" s="136"/>
      <c r="GP288" s="136"/>
      <c r="GQ288" s="136"/>
      <c r="GR288" s="136"/>
      <c r="GS288" s="136"/>
      <c r="GT288" s="136"/>
      <c r="GU288" s="136"/>
      <c r="GV288" s="136"/>
      <c r="GW288" s="136"/>
      <c r="GX288" s="136"/>
      <c r="GY288" s="136"/>
      <c r="GZ288" s="136"/>
      <c r="HA288" s="136"/>
      <c r="HB288" s="136"/>
      <c r="HC288" s="136"/>
      <c r="HD288" s="136"/>
      <c r="HE288" s="136"/>
      <c r="HF288" s="136"/>
      <c r="HG288" s="136"/>
      <c r="HH288" s="136"/>
      <c r="HI288" s="136"/>
      <c r="HJ288" s="136"/>
      <c r="HK288" s="136"/>
      <c r="HL288" s="136"/>
      <c r="HM288" s="136"/>
      <c r="HN288" s="136"/>
      <c r="HO288" s="136"/>
      <c r="HP288" s="136"/>
      <c r="HQ288" s="136"/>
      <c r="HR288" s="136"/>
      <c r="HS288" s="136"/>
      <c r="HT288" s="136"/>
      <c r="HU288" s="136"/>
      <c r="HV288" s="136"/>
      <c r="HW288" s="136"/>
      <c r="HX288" s="136"/>
      <c r="HY288" s="136"/>
      <c r="HZ288" s="136"/>
      <c r="IA288" s="136"/>
      <c r="IB288" s="136"/>
      <c r="IC288" s="136"/>
      <c r="ID288" s="136"/>
      <c r="IE288" s="136"/>
      <c r="IF288" s="136"/>
      <c r="IG288" s="136"/>
      <c r="IH288" s="136"/>
      <c r="II288" s="136"/>
      <c r="IJ288" s="136"/>
      <c r="IK288" s="136"/>
      <c r="IL288" s="136"/>
      <c r="IM288" s="136"/>
      <c r="IN288" s="136"/>
      <c r="IO288" s="136"/>
      <c r="IP288" s="136"/>
      <c r="IQ288" s="136"/>
      <c r="IR288" s="136"/>
      <c r="IS288" s="136"/>
      <c r="IT288" s="136"/>
      <c r="IU288" s="136"/>
    </row>
    <row r="289" spans="1:255" ht="48" customHeight="1" x14ac:dyDescent="0.2">
      <c r="A289" s="242" t="str">
        <f>'HECVAT - Full'!A289</f>
        <v>HIPA-21</v>
      </c>
      <c r="B289" s="242" t="str">
        <f>VLOOKUP(A289,'HECVAT - Full'!A$24:B$312,2,FALSE)</f>
        <v xml:space="preserve">Does the application log record access including specific user, date/time of access, and originating IP or device? </v>
      </c>
      <c r="C289" s="243" t="s">
        <v>2981</v>
      </c>
      <c r="D289" s="253" t="s">
        <v>2979</v>
      </c>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c r="AC289" s="136"/>
      <c r="AD289" s="136"/>
      <c r="AE289" s="136"/>
      <c r="AF289" s="136"/>
      <c r="AG289" s="136"/>
      <c r="AH289" s="136"/>
      <c r="AI289" s="136"/>
      <c r="AJ289" s="136"/>
      <c r="AK289" s="136"/>
      <c r="AL289" s="136"/>
      <c r="AM289" s="136"/>
      <c r="AN289" s="136"/>
      <c r="AO289" s="136"/>
      <c r="AP289" s="136"/>
      <c r="AQ289" s="136"/>
      <c r="AR289" s="136"/>
      <c r="AS289" s="136"/>
      <c r="AT289" s="136"/>
      <c r="AU289" s="136"/>
      <c r="AV289" s="136"/>
      <c r="AW289" s="136"/>
      <c r="AX289" s="136"/>
      <c r="AY289" s="136"/>
      <c r="AZ289" s="136"/>
      <c r="BA289" s="136"/>
      <c r="BB289" s="136"/>
      <c r="BC289" s="136"/>
      <c r="BD289" s="136"/>
      <c r="BE289" s="136"/>
      <c r="BF289" s="136"/>
      <c r="BG289" s="136"/>
      <c r="BH289" s="136"/>
      <c r="BI289" s="136"/>
      <c r="BJ289" s="136"/>
      <c r="BK289" s="136"/>
      <c r="BL289" s="136"/>
      <c r="BM289" s="136"/>
      <c r="BN289" s="136"/>
      <c r="BO289" s="136"/>
      <c r="BP289" s="136"/>
      <c r="BQ289" s="136"/>
      <c r="BR289" s="136"/>
      <c r="BS289" s="136"/>
      <c r="BT289" s="136"/>
      <c r="BU289" s="136"/>
      <c r="BV289" s="136"/>
      <c r="BW289" s="136"/>
      <c r="BX289" s="136"/>
      <c r="BY289" s="136"/>
      <c r="BZ289" s="136"/>
      <c r="CA289" s="136"/>
      <c r="CB289" s="136"/>
      <c r="CC289" s="136"/>
      <c r="CD289" s="136"/>
      <c r="CE289" s="136"/>
      <c r="CF289" s="136"/>
      <c r="CG289" s="136"/>
      <c r="CH289" s="136"/>
      <c r="CI289" s="136"/>
      <c r="CJ289" s="136"/>
      <c r="CK289" s="136"/>
      <c r="CL289" s="136"/>
      <c r="CM289" s="136"/>
      <c r="CN289" s="136"/>
      <c r="CO289" s="136"/>
      <c r="CP289" s="136"/>
      <c r="CQ289" s="136"/>
      <c r="CR289" s="136"/>
      <c r="CS289" s="136"/>
      <c r="CT289" s="136"/>
      <c r="CU289" s="136"/>
      <c r="CV289" s="136"/>
      <c r="CW289" s="136"/>
      <c r="CX289" s="136"/>
      <c r="CY289" s="136"/>
      <c r="CZ289" s="136"/>
      <c r="DA289" s="136"/>
      <c r="DB289" s="136"/>
      <c r="DC289" s="136"/>
      <c r="DD289" s="136"/>
      <c r="DE289" s="136"/>
      <c r="DF289" s="136"/>
      <c r="DG289" s="136"/>
      <c r="DH289" s="136"/>
      <c r="DI289" s="136"/>
      <c r="DJ289" s="136"/>
      <c r="DK289" s="136"/>
      <c r="DL289" s="136"/>
      <c r="DM289" s="136"/>
      <c r="DN289" s="136"/>
      <c r="DO289" s="136"/>
      <c r="DP289" s="136"/>
      <c r="DQ289" s="136"/>
      <c r="DR289" s="136"/>
      <c r="DS289" s="136"/>
      <c r="DT289" s="136"/>
      <c r="DU289" s="136"/>
      <c r="DV289" s="136"/>
      <c r="DW289" s="136"/>
      <c r="DX289" s="136"/>
      <c r="DY289" s="136"/>
      <c r="DZ289" s="136"/>
      <c r="EA289" s="136"/>
      <c r="EB289" s="136"/>
      <c r="EC289" s="136"/>
      <c r="ED289" s="136"/>
      <c r="EE289" s="136"/>
      <c r="EF289" s="136"/>
      <c r="EG289" s="136"/>
      <c r="EH289" s="136"/>
      <c r="EI289" s="136"/>
      <c r="EJ289" s="136"/>
      <c r="EK289" s="136"/>
      <c r="EL289" s="136"/>
      <c r="EM289" s="136"/>
      <c r="EN289" s="136"/>
      <c r="EO289" s="136"/>
      <c r="EP289" s="136"/>
      <c r="EQ289" s="136"/>
      <c r="ER289" s="136"/>
      <c r="ES289" s="136"/>
      <c r="ET289" s="136"/>
      <c r="EU289" s="136"/>
      <c r="EV289" s="136"/>
      <c r="EW289" s="136"/>
      <c r="EX289" s="136"/>
      <c r="EY289" s="136"/>
      <c r="EZ289" s="136"/>
      <c r="FA289" s="136"/>
      <c r="FB289" s="136"/>
      <c r="FC289" s="136"/>
      <c r="FD289" s="136"/>
      <c r="FE289" s="136"/>
      <c r="FF289" s="136"/>
      <c r="FG289" s="136"/>
      <c r="FH289" s="136"/>
      <c r="FI289" s="136"/>
      <c r="FJ289" s="136"/>
      <c r="FK289" s="136"/>
      <c r="FL289" s="136"/>
      <c r="FM289" s="136"/>
      <c r="FN289" s="136"/>
      <c r="FO289" s="136"/>
      <c r="FP289" s="136"/>
      <c r="FQ289" s="136"/>
      <c r="FR289" s="136"/>
      <c r="FS289" s="136"/>
      <c r="FT289" s="136"/>
      <c r="FU289" s="136"/>
      <c r="FV289" s="136"/>
      <c r="FW289" s="136"/>
      <c r="FX289" s="136"/>
      <c r="FY289" s="136"/>
      <c r="FZ289" s="136"/>
      <c r="GA289" s="136"/>
      <c r="GB289" s="136"/>
      <c r="GC289" s="136"/>
      <c r="GD289" s="136"/>
      <c r="GE289" s="136"/>
      <c r="GF289" s="136"/>
      <c r="GG289" s="136"/>
      <c r="GH289" s="136"/>
      <c r="GI289" s="136"/>
      <c r="GJ289" s="136"/>
      <c r="GK289" s="136"/>
      <c r="GL289" s="136"/>
      <c r="GM289" s="136"/>
      <c r="GN289" s="136"/>
      <c r="GO289" s="136"/>
      <c r="GP289" s="136"/>
      <c r="GQ289" s="136"/>
      <c r="GR289" s="136"/>
      <c r="GS289" s="136"/>
      <c r="GT289" s="136"/>
      <c r="GU289" s="136"/>
      <c r="GV289" s="136"/>
      <c r="GW289" s="136"/>
      <c r="GX289" s="136"/>
      <c r="GY289" s="136"/>
      <c r="GZ289" s="136"/>
      <c r="HA289" s="136"/>
      <c r="HB289" s="136"/>
      <c r="HC289" s="136"/>
      <c r="HD289" s="136"/>
      <c r="HE289" s="136"/>
      <c r="HF289" s="136"/>
      <c r="HG289" s="136"/>
      <c r="HH289" s="136"/>
      <c r="HI289" s="136"/>
      <c r="HJ289" s="136"/>
      <c r="HK289" s="136"/>
      <c r="HL289" s="136"/>
      <c r="HM289" s="136"/>
      <c r="HN289" s="136"/>
      <c r="HO289" s="136"/>
      <c r="HP289" s="136"/>
      <c r="HQ289" s="136"/>
      <c r="HR289" s="136"/>
      <c r="HS289" s="136"/>
      <c r="HT289" s="136"/>
      <c r="HU289" s="136"/>
      <c r="HV289" s="136"/>
      <c r="HW289" s="136"/>
      <c r="HX289" s="136"/>
      <c r="HY289" s="136"/>
      <c r="HZ289" s="136"/>
      <c r="IA289" s="136"/>
      <c r="IB289" s="136"/>
      <c r="IC289" s="136"/>
      <c r="ID289" s="136"/>
      <c r="IE289" s="136"/>
      <c r="IF289" s="136"/>
      <c r="IG289" s="136"/>
      <c r="IH289" s="136"/>
      <c r="II289" s="136"/>
      <c r="IJ289" s="136"/>
      <c r="IK289" s="136"/>
      <c r="IL289" s="136"/>
      <c r="IM289" s="136"/>
      <c r="IN289" s="136"/>
      <c r="IO289" s="136"/>
      <c r="IP289" s="136"/>
      <c r="IQ289" s="136"/>
      <c r="IR289" s="136"/>
      <c r="IS289" s="136"/>
      <c r="IT289" s="136"/>
      <c r="IU289" s="136"/>
    </row>
    <row r="290" spans="1:255" ht="65" customHeight="1" x14ac:dyDescent="0.2">
      <c r="A290" s="242" t="str">
        <f>'HECVAT - Full'!A290</f>
        <v>HIPA-22</v>
      </c>
      <c r="B290" s="242" t="str">
        <f>VLOOKUP(A290,'HECVAT - Full'!A$24:B$312,2,FALSE)</f>
        <v>Does the application log administrative activity, such user account access changes and password changes, including specific user, date/time of changes, and originating IP or device?</v>
      </c>
      <c r="C290" s="243" t="s">
        <v>608</v>
      </c>
      <c r="D290" s="253" t="s">
        <v>2979</v>
      </c>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c r="AC290" s="136"/>
      <c r="AD290" s="136"/>
      <c r="AE290" s="136"/>
      <c r="AF290" s="136"/>
      <c r="AG290" s="136"/>
      <c r="AH290" s="136"/>
      <c r="AI290" s="136"/>
      <c r="AJ290" s="136"/>
      <c r="AK290" s="136"/>
      <c r="AL290" s="136"/>
      <c r="AM290" s="136"/>
      <c r="AN290" s="136"/>
      <c r="AO290" s="136"/>
      <c r="AP290" s="136"/>
      <c r="AQ290" s="136"/>
      <c r="AR290" s="136"/>
      <c r="AS290" s="136"/>
      <c r="AT290" s="136"/>
      <c r="AU290" s="136"/>
      <c r="AV290" s="136"/>
      <c r="AW290" s="136"/>
      <c r="AX290" s="136"/>
      <c r="AY290" s="136"/>
      <c r="AZ290" s="136"/>
      <c r="BA290" s="136"/>
      <c r="BB290" s="136"/>
      <c r="BC290" s="136"/>
      <c r="BD290" s="136"/>
      <c r="BE290" s="136"/>
      <c r="BF290" s="136"/>
      <c r="BG290" s="136"/>
      <c r="BH290" s="136"/>
      <c r="BI290" s="136"/>
      <c r="BJ290" s="136"/>
      <c r="BK290" s="136"/>
      <c r="BL290" s="136"/>
      <c r="BM290" s="136"/>
      <c r="BN290" s="136"/>
      <c r="BO290" s="136"/>
      <c r="BP290" s="136"/>
      <c r="BQ290" s="136"/>
      <c r="BR290" s="136"/>
      <c r="BS290" s="136"/>
      <c r="BT290" s="136"/>
      <c r="BU290" s="136"/>
      <c r="BV290" s="136"/>
      <c r="BW290" s="136"/>
      <c r="BX290" s="136"/>
      <c r="BY290" s="136"/>
      <c r="BZ290" s="136"/>
      <c r="CA290" s="136"/>
      <c r="CB290" s="136"/>
      <c r="CC290" s="136"/>
      <c r="CD290" s="136"/>
      <c r="CE290" s="136"/>
      <c r="CF290" s="136"/>
      <c r="CG290" s="136"/>
      <c r="CH290" s="136"/>
      <c r="CI290" s="136"/>
      <c r="CJ290" s="136"/>
      <c r="CK290" s="136"/>
      <c r="CL290" s="136"/>
      <c r="CM290" s="136"/>
      <c r="CN290" s="136"/>
      <c r="CO290" s="136"/>
      <c r="CP290" s="136"/>
      <c r="CQ290" s="136"/>
      <c r="CR290" s="136"/>
      <c r="CS290" s="136"/>
      <c r="CT290" s="136"/>
      <c r="CU290" s="136"/>
      <c r="CV290" s="136"/>
      <c r="CW290" s="136"/>
      <c r="CX290" s="136"/>
      <c r="CY290" s="136"/>
      <c r="CZ290" s="136"/>
      <c r="DA290" s="136"/>
      <c r="DB290" s="136"/>
      <c r="DC290" s="136"/>
      <c r="DD290" s="136"/>
      <c r="DE290" s="136"/>
      <c r="DF290" s="136"/>
      <c r="DG290" s="136"/>
      <c r="DH290" s="136"/>
      <c r="DI290" s="136"/>
      <c r="DJ290" s="136"/>
      <c r="DK290" s="136"/>
      <c r="DL290" s="136"/>
      <c r="DM290" s="136"/>
      <c r="DN290" s="136"/>
      <c r="DO290" s="136"/>
      <c r="DP290" s="136"/>
      <c r="DQ290" s="136"/>
      <c r="DR290" s="136"/>
      <c r="DS290" s="136"/>
      <c r="DT290" s="136"/>
      <c r="DU290" s="136"/>
      <c r="DV290" s="136"/>
      <c r="DW290" s="136"/>
      <c r="DX290" s="136"/>
      <c r="DY290" s="136"/>
      <c r="DZ290" s="136"/>
      <c r="EA290" s="136"/>
      <c r="EB290" s="136"/>
      <c r="EC290" s="136"/>
      <c r="ED290" s="136"/>
      <c r="EE290" s="136"/>
      <c r="EF290" s="136"/>
      <c r="EG290" s="136"/>
      <c r="EH290" s="136"/>
      <c r="EI290" s="136"/>
      <c r="EJ290" s="136"/>
      <c r="EK290" s="136"/>
      <c r="EL290" s="136"/>
      <c r="EM290" s="136"/>
      <c r="EN290" s="136"/>
      <c r="EO290" s="136"/>
      <c r="EP290" s="136"/>
      <c r="EQ290" s="136"/>
      <c r="ER290" s="136"/>
      <c r="ES290" s="136"/>
      <c r="ET290" s="136"/>
      <c r="EU290" s="136"/>
      <c r="EV290" s="136"/>
      <c r="EW290" s="136"/>
      <c r="EX290" s="136"/>
      <c r="EY290" s="136"/>
      <c r="EZ290" s="136"/>
      <c r="FA290" s="136"/>
      <c r="FB290" s="136"/>
      <c r="FC290" s="136"/>
      <c r="FD290" s="136"/>
      <c r="FE290" s="136"/>
      <c r="FF290" s="136"/>
      <c r="FG290" s="136"/>
      <c r="FH290" s="136"/>
      <c r="FI290" s="136"/>
      <c r="FJ290" s="136"/>
      <c r="FK290" s="136"/>
      <c r="FL290" s="136"/>
      <c r="FM290" s="136"/>
      <c r="FN290" s="136"/>
      <c r="FO290" s="136"/>
      <c r="FP290" s="136"/>
      <c r="FQ290" s="136"/>
      <c r="FR290" s="136"/>
      <c r="FS290" s="136"/>
      <c r="FT290" s="136"/>
      <c r="FU290" s="136"/>
      <c r="FV290" s="136"/>
      <c r="FW290" s="136"/>
      <c r="FX290" s="136"/>
      <c r="FY290" s="136"/>
      <c r="FZ290" s="136"/>
      <c r="GA290" s="136"/>
      <c r="GB290" s="136"/>
      <c r="GC290" s="136"/>
      <c r="GD290" s="136"/>
      <c r="GE290" s="136"/>
      <c r="GF290" s="136"/>
      <c r="GG290" s="136"/>
      <c r="GH290" s="136"/>
      <c r="GI290" s="136"/>
      <c r="GJ290" s="136"/>
      <c r="GK290" s="136"/>
      <c r="GL290" s="136"/>
      <c r="GM290" s="136"/>
      <c r="GN290" s="136"/>
      <c r="GO290" s="136"/>
      <c r="GP290" s="136"/>
      <c r="GQ290" s="136"/>
      <c r="GR290" s="136"/>
      <c r="GS290" s="136"/>
      <c r="GT290" s="136"/>
      <c r="GU290" s="136"/>
      <c r="GV290" s="136"/>
      <c r="GW290" s="136"/>
      <c r="GX290" s="136"/>
      <c r="GY290" s="136"/>
      <c r="GZ290" s="136"/>
      <c r="HA290" s="136"/>
      <c r="HB290" s="136"/>
      <c r="HC290" s="136"/>
      <c r="HD290" s="136"/>
      <c r="HE290" s="136"/>
      <c r="HF290" s="136"/>
      <c r="HG290" s="136"/>
      <c r="HH290" s="136"/>
      <c r="HI290" s="136"/>
      <c r="HJ290" s="136"/>
      <c r="HK290" s="136"/>
      <c r="HL290" s="136"/>
      <c r="HM290" s="136"/>
      <c r="HN290" s="136"/>
      <c r="HO290" s="136"/>
      <c r="HP290" s="136"/>
      <c r="HQ290" s="136"/>
      <c r="HR290" s="136"/>
      <c r="HS290" s="136"/>
      <c r="HT290" s="136"/>
      <c r="HU290" s="136"/>
      <c r="HV290" s="136"/>
      <c r="HW290" s="136"/>
      <c r="HX290" s="136"/>
      <c r="HY290" s="136"/>
      <c r="HZ290" s="136"/>
      <c r="IA290" s="136"/>
      <c r="IB290" s="136"/>
      <c r="IC290" s="136"/>
      <c r="ID290" s="136"/>
      <c r="IE290" s="136"/>
      <c r="IF290" s="136"/>
      <c r="IG290" s="136"/>
      <c r="IH290" s="136"/>
      <c r="II290" s="136"/>
      <c r="IJ290" s="136"/>
      <c r="IK290" s="136"/>
      <c r="IL290" s="136"/>
      <c r="IM290" s="136"/>
      <c r="IN290" s="136"/>
      <c r="IO290" s="136"/>
      <c r="IP290" s="136"/>
      <c r="IQ290" s="136"/>
      <c r="IR290" s="136"/>
      <c r="IS290" s="136"/>
      <c r="IT290" s="136"/>
      <c r="IU290" s="136"/>
    </row>
    <row r="291" spans="1:255" ht="48" customHeight="1" x14ac:dyDescent="0.2">
      <c r="A291" s="242" t="str">
        <f>'HECVAT - Full'!A291</f>
        <v>HIPA-23</v>
      </c>
      <c r="B291" s="242" t="str">
        <f>VLOOKUP(A291,'HECVAT - Full'!A$24:B$312,2,FALSE)</f>
        <v>How long does the application keep access/change logs?</v>
      </c>
      <c r="C291" s="243" t="s">
        <v>608</v>
      </c>
      <c r="D291" s="253" t="s">
        <v>2979</v>
      </c>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c r="AC291" s="136"/>
      <c r="AD291" s="136"/>
      <c r="AE291" s="136"/>
      <c r="AF291" s="136"/>
      <c r="AG291" s="136"/>
      <c r="AH291" s="136"/>
      <c r="AI291" s="136"/>
      <c r="AJ291" s="136"/>
      <c r="AK291" s="136"/>
      <c r="AL291" s="136"/>
      <c r="AM291" s="136"/>
      <c r="AN291" s="136"/>
      <c r="AO291" s="136"/>
      <c r="AP291" s="136"/>
      <c r="AQ291" s="136"/>
      <c r="AR291" s="136"/>
      <c r="AS291" s="136"/>
      <c r="AT291" s="136"/>
      <c r="AU291" s="136"/>
      <c r="AV291" s="136"/>
      <c r="AW291" s="136"/>
      <c r="AX291" s="136"/>
      <c r="AY291" s="136"/>
      <c r="AZ291" s="136"/>
      <c r="BA291" s="136"/>
      <c r="BB291" s="136"/>
      <c r="BC291" s="136"/>
      <c r="BD291" s="136"/>
      <c r="BE291" s="136"/>
      <c r="BF291" s="136"/>
      <c r="BG291" s="136"/>
      <c r="BH291" s="136"/>
      <c r="BI291" s="136"/>
      <c r="BJ291" s="136"/>
      <c r="BK291" s="136"/>
      <c r="BL291" s="136"/>
      <c r="BM291" s="136"/>
      <c r="BN291" s="136"/>
      <c r="BO291" s="136"/>
      <c r="BP291" s="136"/>
      <c r="BQ291" s="136"/>
      <c r="BR291" s="136"/>
      <c r="BS291" s="136"/>
      <c r="BT291" s="136"/>
      <c r="BU291" s="136"/>
      <c r="BV291" s="136"/>
      <c r="BW291" s="136"/>
      <c r="BX291" s="136"/>
      <c r="BY291" s="136"/>
      <c r="BZ291" s="136"/>
      <c r="CA291" s="136"/>
      <c r="CB291" s="136"/>
      <c r="CC291" s="136"/>
      <c r="CD291" s="136"/>
      <c r="CE291" s="136"/>
      <c r="CF291" s="136"/>
      <c r="CG291" s="136"/>
      <c r="CH291" s="136"/>
      <c r="CI291" s="136"/>
      <c r="CJ291" s="136"/>
      <c r="CK291" s="136"/>
      <c r="CL291" s="136"/>
      <c r="CM291" s="136"/>
      <c r="CN291" s="136"/>
      <c r="CO291" s="136"/>
      <c r="CP291" s="136"/>
      <c r="CQ291" s="136"/>
      <c r="CR291" s="136"/>
      <c r="CS291" s="136"/>
      <c r="CT291" s="136"/>
      <c r="CU291" s="136"/>
      <c r="CV291" s="136"/>
      <c r="CW291" s="136"/>
      <c r="CX291" s="136"/>
      <c r="CY291" s="136"/>
      <c r="CZ291" s="136"/>
      <c r="DA291" s="136"/>
      <c r="DB291" s="136"/>
      <c r="DC291" s="136"/>
      <c r="DD291" s="136"/>
      <c r="DE291" s="136"/>
      <c r="DF291" s="136"/>
      <c r="DG291" s="136"/>
      <c r="DH291" s="136"/>
      <c r="DI291" s="136"/>
      <c r="DJ291" s="136"/>
      <c r="DK291" s="136"/>
      <c r="DL291" s="136"/>
      <c r="DM291" s="136"/>
      <c r="DN291" s="136"/>
      <c r="DO291" s="136"/>
      <c r="DP291" s="136"/>
      <c r="DQ291" s="136"/>
      <c r="DR291" s="136"/>
      <c r="DS291" s="136"/>
      <c r="DT291" s="136"/>
      <c r="DU291" s="136"/>
      <c r="DV291" s="136"/>
      <c r="DW291" s="136"/>
      <c r="DX291" s="136"/>
      <c r="DY291" s="136"/>
      <c r="DZ291" s="136"/>
      <c r="EA291" s="136"/>
      <c r="EB291" s="136"/>
      <c r="EC291" s="136"/>
      <c r="ED291" s="136"/>
      <c r="EE291" s="136"/>
      <c r="EF291" s="136"/>
      <c r="EG291" s="136"/>
      <c r="EH291" s="136"/>
      <c r="EI291" s="136"/>
      <c r="EJ291" s="136"/>
      <c r="EK291" s="136"/>
      <c r="EL291" s="136"/>
      <c r="EM291" s="136"/>
      <c r="EN291" s="136"/>
      <c r="EO291" s="136"/>
      <c r="EP291" s="136"/>
      <c r="EQ291" s="136"/>
      <c r="ER291" s="136"/>
      <c r="ES291" s="136"/>
      <c r="ET291" s="136"/>
      <c r="EU291" s="136"/>
      <c r="EV291" s="136"/>
      <c r="EW291" s="136"/>
      <c r="EX291" s="136"/>
      <c r="EY291" s="136"/>
      <c r="EZ291" s="136"/>
      <c r="FA291" s="136"/>
      <c r="FB291" s="136"/>
      <c r="FC291" s="136"/>
      <c r="FD291" s="136"/>
      <c r="FE291" s="136"/>
      <c r="FF291" s="136"/>
      <c r="FG291" s="136"/>
      <c r="FH291" s="136"/>
      <c r="FI291" s="136"/>
      <c r="FJ291" s="136"/>
      <c r="FK291" s="136"/>
      <c r="FL291" s="136"/>
      <c r="FM291" s="136"/>
      <c r="FN291" s="136"/>
      <c r="FO291" s="136"/>
      <c r="FP291" s="136"/>
      <c r="FQ291" s="136"/>
      <c r="FR291" s="136"/>
      <c r="FS291" s="136"/>
      <c r="FT291" s="136"/>
      <c r="FU291" s="136"/>
      <c r="FV291" s="136"/>
      <c r="FW291" s="136"/>
      <c r="FX291" s="136"/>
      <c r="FY291" s="136"/>
      <c r="FZ291" s="136"/>
      <c r="GA291" s="136"/>
      <c r="GB291" s="136"/>
      <c r="GC291" s="136"/>
      <c r="GD291" s="136"/>
      <c r="GE291" s="136"/>
      <c r="GF291" s="136"/>
      <c r="GG291" s="136"/>
      <c r="GH291" s="136"/>
      <c r="GI291" s="136"/>
      <c r="GJ291" s="136"/>
      <c r="GK291" s="136"/>
      <c r="GL291" s="136"/>
      <c r="GM291" s="136"/>
      <c r="GN291" s="136"/>
      <c r="GO291" s="136"/>
      <c r="GP291" s="136"/>
      <c r="GQ291" s="136"/>
      <c r="GR291" s="136"/>
      <c r="GS291" s="136"/>
      <c r="GT291" s="136"/>
      <c r="GU291" s="136"/>
      <c r="GV291" s="136"/>
      <c r="GW291" s="136"/>
      <c r="GX291" s="136"/>
      <c r="GY291" s="136"/>
      <c r="GZ291" s="136"/>
      <c r="HA291" s="136"/>
      <c r="HB291" s="136"/>
      <c r="HC291" s="136"/>
      <c r="HD291" s="136"/>
      <c r="HE291" s="136"/>
      <c r="HF291" s="136"/>
      <c r="HG291" s="136"/>
      <c r="HH291" s="136"/>
      <c r="HI291" s="136"/>
      <c r="HJ291" s="136"/>
      <c r="HK291" s="136"/>
      <c r="HL291" s="136"/>
      <c r="HM291" s="136"/>
      <c r="HN291" s="136"/>
      <c r="HO291" s="136"/>
      <c r="HP291" s="136"/>
      <c r="HQ291" s="136"/>
      <c r="HR291" s="136"/>
      <c r="HS291" s="136"/>
      <c r="HT291" s="136"/>
      <c r="HU291" s="136"/>
      <c r="HV291" s="136"/>
      <c r="HW291" s="136"/>
      <c r="HX291" s="136"/>
      <c r="HY291" s="136"/>
      <c r="HZ291" s="136"/>
      <c r="IA291" s="136"/>
      <c r="IB291" s="136"/>
      <c r="IC291" s="136"/>
      <c r="ID291" s="136"/>
      <c r="IE291" s="136"/>
      <c r="IF291" s="136"/>
      <c r="IG291" s="136"/>
      <c r="IH291" s="136"/>
      <c r="II291" s="136"/>
      <c r="IJ291" s="136"/>
      <c r="IK291" s="136"/>
      <c r="IL291" s="136"/>
      <c r="IM291" s="136"/>
      <c r="IN291" s="136"/>
      <c r="IO291" s="136"/>
      <c r="IP291" s="136"/>
      <c r="IQ291" s="136"/>
      <c r="IR291" s="136"/>
      <c r="IS291" s="136"/>
      <c r="IT291" s="136"/>
      <c r="IU291" s="136"/>
    </row>
    <row r="292" spans="1:255" ht="48" customHeight="1" x14ac:dyDescent="0.2">
      <c r="A292" s="242" t="str">
        <f>'HECVAT - Full'!A292</f>
        <v>HIPA-24</v>
      </c>
      <c r="B292" s="242" t="str">
        <f>VLOOKUP(A292,'HECVAT - Full'!A$24:B$312,2,FALSE)</f>
        <v xml:space="preserve">Can the application logs be archived? </v>
      </c>
      <c r="C292" s="243" t="s">
        <v>608</v>
      </c>
      <c r="D292" s="253" t="s">
        <v>2979</v>
      </c>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c r="AC292" s="136"/>
      <c r="AD292" s="136"/>
      <c r="AE292" s="136"/>
      <c r="AF292" s="136"/>
      <c r="AG292" s="136"/>
      <c r="AH292" s="136"/>
      <c r="AI292" s="136"/>
      <c r="AJ292" s="136"/>
      <c r="AK292" s="136"/>
      <c r="AL292" s="136"/>
      <c r="AM292" s="136"/>
      <c r="AN292" s="136"/>
      <c r="AO292" s="136"/>
      <c r="AP292" s="136"/>
      <c r="AQ292" s="136"/>
      <c r="AR292" s="136"/>
      <c r="AS292" s="136"/>
      <c r="AT292" s="136"/>
      <c r="AU292" s="136"/>
      <c r="AV292" s="136"/>
      <c r="AW292" s="136"/>
      <c r="AX292" s="136"/>
      <c r="AY292" s="136"/>
      <c r="AZ292" s="136"/>
      <c r="BA292" s="136"/>
      <c r="BB292" s="136"/>
      <c r="BC292" s="136"/>
      <c r="BD292" s="136"/>
      <c r="BE292" s="136"/>
      <c r="BF292" s="136"/>
      <c r="BG292" s="136"/>
      <c r="BH292" s="136"/>
      <c r="BI292" s="136"/>
      <c r="BJ292" s="136"/>
      <c r="BK292" s="136"/>
      <c r="BL292" s="136"/>
      <c r="BM292" s="136"/>
      <c r="BN292" s="136"/>
      <c r="BO292" s="136"/>
      <c r="BP292" s="136"/>
      <c r="BQ292" s="136"/>
      <c r="BR292" s="136"/>
      <c r="BS292" s="136"/>
      <c r="BT292" s="136"/>
      <c r="BU292" s="136"/>
      <c r="BV292" s="136"/>
      <c r="BW292" s="136"/>
      <c r="BX292" s="136"/>
      <c r="BY292" s="136"/>
      <c r="BZ292" s="136"/>
      <c r="CA292" s="136"/>
      <c r="CB292" s="136"/>
      <c r="CC292" s="136"/>
      <c r="CD292" s="136"/>
      <c r="CE292" s="136"/>
      <c r="CF292" s="136"/>
      <c r="CG292" s="136"/>
      <c r="CH292" s="136"/>
      <c r="CI292" s="136"/>
      <c r="CJ292" s="136"/>
      <c r="CK292" s="136"/>
      <c r="CL292" s="136"/>
      <c r="CM292" s="136"/>
      <c r="CN292" s="136"/>
      <c r="CO292" s="136"/>
      <c r="CP292" s="136"/>
      <c r="CQ292" s="136"/>
      <c r="CR292" s="136"/>
      <c r="CS292" s="136"/>
      <c r="CT292" s="136"/>
      <c r="CU292" s="136"/>
      <c r="CV292" s="136"/>
      <c r="CW292" s="136"/>
      <c r="CX292" s="136"/>
      <c r="CY292" s="136"/>
      <c r="CZ292" s="136"/>
      <c r="DA292" s="136"/>
      <c r="DB292" s="136"/>
      <c r="DC292" s="136"/>
      <c r="DD292" s="136"/>
      <c r="DE292" s="136"/>
      <c r="DF292" s="136"/>
      <c r="DG292" s="136"/>
      <c r="DH292" s="136"/>
      <c r="DI292" s="136"/>
      <c r="DJ292" s="136"/>
      <c r="DK292" s="136"/>
      <c r="DL292" s="136"/>
      <c r="DM292" s="136"/>
      <c r="DN292" s="136"/>
      <c r="DO292" s="136"/>
      <c r="DP292" s="136"/>
      <c r="DQ292" s="136"/>
      <c r="DR292" s="136"/>
      <c r="DS292" s="136"/>
      <c r="DT292" s="136"/>
      <c r="DU292" s="136"/>
      <c r="DV292" s="136"/>
      <c r="DW292" s="136"/>
      <c r="DX292" s="136"/>
      <c r="DY292" s="136"/>
      <c r="DZ292" s="136"/>
      <c r="EA292" s="136"/>
      <c r="EB292" s="136"/>
      <c r="EC292" s="136"/>
      <c r="ED292" s="136"/>
      <c r="EE292" s="136"/>
      <c r="EF292" s="136"/>
      <c r="EG292" s="136"/>
      <c r="EH292" s="136"/>
      <c r="EI292" s="136"/>
      <c r="EJ292" s="136"/>
      <c r="EK292" s="136"/>
      <c r="EL292" s="136"/>
      <c r="EM292" s="136"/>
      <c r="EN292" s="136"/>
      <c r="EO292" s="136"/>
      <c r="EP292" s="136"/>
      <c r="EQ292" s="136"/>
      <c r="ER292" s="136"/>
      <c r="ES292" s="136"/>
      <c r="ET292" s="136"/>
      <c r="EU292" s="136"/>
      <c r="EV292" s="136"/>
      <c r="EW292" s="136"/>
      <c r="EX292" s="136"/>
      <c r="EY292" s="136"/>
      <c r="EZ292" s="136"/>
      <c r="FA292" s="136"/>
      <c r="FB292" s="136"/>
      <c r="FC292" s="136"/>
      <c r="FD292" s="136"/>
      <c r="FE292" s="136"/>
      <c r="FF292" s="136"/>
      <c r="FG292" s="136"/>
      <c r="FH292" s="136"/>
      <c r="FI292" s="136"/>
      <c r="FJ292" s="136"/>
      <c r="FK292" s="136"/>
      <c r="FL292" s="136"/>
      <c r="FM292" s="136"/>
      <c r="FN292" s="136"/>
      <c r="FO292" s="136"/>
      <c r="FP292" s="136"/>
      <c r="FQ292" s="136"/>
      <c r="FR292" s="136"/>
      <c r="FS292" s="136"/>
      <c r="FT292" s="136"/>
      <c r="FU292" s="136"/>
      <c r="FV292" s="136"/>
      <c r="FW292" s="136"/>
      <c r="FX292" s="136"/>
      <c r="FY292" s="136"/>
      <c r="FZ292" s="136"/>
      <c r="GA292" s="136"/>
      <c r="GB292" s="136"/>
      <c r="GC292" s="136"/>
      <c r="GD292" s="136"/>
      <c r="GE292" s="136"/>
      <c r="GF292" s="136"/>
      <c r="GG292" s="136"/>
      <c r="GH292" s="136"/>
      <c r="GI292" s="136"/>
      <c r="GJ292" s="136"/>
      <c r="GK292" s="136"/>
      <c r="GL292" s="136"/>
      <c r="GM292" s="136"/>
      <c r="GN292" s="136"/>
      <c r="GO292" s="136"/>
      <c r="GP292" s="136"/>
      <c r="GQ292" s="136"/>
      <c r="GR292" s="136"/>
      <c r="GS292" s="136"/>
      <c r="GT292" s="136"/>
      <c r="GU292" s="136"/>
      <c r="GV292" s="136"/>
      <c r="GW292" s="136"/>
      <c r="GX292" s="136"/>
      <c r="GY292" s="136"/>
      <c r="GZ292" s="136"/>
      <c r="HA292" s="136"/>
      <c r="HB292" s="136"/>
      <c r="HC292" s="136"/>
      <c r="HD292" s="136"/>
      <c r="HE292" s="136"/>
      <c r="HF292" s="136"/>
      <c r="HG292" s="136"/>
      <c r="HH292" s="136"/>
      <c r="HI292" s="136"/>
      <c r="HJ292" s="136"/>
      <c r="HK292" s="136"/>
      <c r="HL292" s="136"/>
      <c r="HM292" s="136"/>
      <c r="HN292" s="136"/>
      <c r="HO292" s="136"/>
      <c r="HP292" s="136"/>
      <c r="HQ292" s="136"/>
      <c r="HR292" s="136"/>
      <c r="HS292" s="136"/>
      <c r="HT292" s="136"/>
      <c r="HU292" s="136"/>
      <c r="HV292" s="136"/>
      <c r="HW292" s="136"/>
      <c r="HX292" s="136"/>
      <c r="HY292" s="136"/>
      <c r="HZ292" s="136"/>
      <c r="IA292" s="136"/>
      <c r="IB292" s="136"/>
      <c r="IC292" s="136"/>
      <c r="ID292" s="136"/>
      <c r="IE292" s="136"/>
      <c r="IF292" s="136"/>
      <c r="IG292" s="136"/>
      <c r="IH292" s="136"/>
      <c r="II292" s="136"/>
      <c r="IJ292" s="136"/>
      <c r="IK292" s="136"/>
      <c r="IL292" s="136"/>
      <c r="IM292" s="136"/>
      <c r="IN292" s="136"/>
      <c r="IO292" s="136"/>
      <c r="IP292" s="136"/>
      <c r="IQ292" s="136"/>
      <c r="IR292" s="136"/>
      <c r="IS292" s="136"/>
      <c r="IT292" s="136"/>
      <c r="IU292" s="136"/>
    </row>
    <row r="293" spans="1:255" ht="48" customHeight="1" x14ac:dyDescent="0.2">
      <c r="A293" s="242" t="str">
        <f>'HECVAT - Full'!A293</f>
        <v>HIPA-25</v>
      </c>
      <c r="B293" s="242" t="str">
        <f>VLOOKUP(A293,'HECVAT - Full'!A$24:B$312,2,FALSE)</f>
        <v xml:space="preserve">Can the application logs be saved externally? </v>
      </c>
      <c r="C293" s="243" t="s">
        <v>608</v>
      </c>
      <c r="D293" s="253" t="s">
        <v>2979</v>
      </c>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c r="AC293" s="136"/>
      <c r="AD293" s="136"/>
      <c r="AE293" s="136"/>
      <c r="AF293" s="136"/>
      <c r="AG293" s="136"/>
      <c r="AH293" s="136"/>
      <c r="AI293" s="136"/>
      <c r="AJ293" s="136"/>
      <c r="AK293" s="136"/>
      <c r="AL293" s="136"/>
      <c r="AM293" s="136"/>
      <c r="AN293" s="136"/>
      <c r="AO293" s="136"/>
      <c r="AP293" s="136"/>
      <c r="AQ293" s="136"/>
      <c r="AR293" s="136"/>
      <c r="AS293" s="136"/>
      <c r="AT293" s="136"/>
      <c r="AU293" s="136"/>
      <c r="AV293" s="136"/>
      <c r="AW293" s="136"/>
      <c r="AX293" s="136"/>
      <c r="AY293" s="136"/>
      <c r="AZ293" s="136"/>
      <c r="BA293" s="136"/>
      <c r="BB293" s="136"/>
      <c r="BC293" s="136"/>
      <c r="BD293" s="136"/>
      <c r="BE293" s="136"/>
      <c r="BF293" s="136"/>
      <c r="BG293" s="136"/>
      <c r="BH293" s="136"/>
      <c r="BI293" s="136"/>
      <c r="BJ293" s="136"/>
      <c r="BK293" s="136"/>
      <c r="BL293" s="136"/>
      <c r="BM293" s="136"/>
      <c r="BN293" s="136"/>
      <c r="BO293" s="136"/>
      <c r="BP293" s="136"/>
      <c r="BQ293" s="136"/>
      <c r="BR293" s="136"/>
      <c r="BS293" s="136"/>
      <c r="BT293" s="136"/>
      <c r="BU293" s="136"/>
      <c r="BV293" s="136"/>
      <c r="BW293" s="136"/>
      <c r="BX293" s="136"/>
      <c r="BY293" s="136"/>
      <c r="BZ293" s="136"/>
      <c r="CA293" s="136"/>
      <c r="CB293" s="136"/>
      <c r="CC293" s="136"/>
      <c r="CD293" s="136"/>
      <c r="CE293" s="136"/>
      <c r="CF293" s="136"/>
      <c r="CG293" s="136"/>
      <c r="CH293" s="136"/>
      <c r="CI293" s="136"/>
      <c r="CJ293" s="136"/>
      <c r="CK293" s="136"/>
      <c r="CL293" s="136"/>
      <c r="CM293" s="136"/>
      <c r="CN293" s="136"/>
      <c r="CO293" s="136"/>
      <c r="CP293" s="136"/>
      <c r="CQ293" s="136"/>
      <c r="CR293" s="136"/>
      <c r="CS293" s="136"/>
      <c r="CT293" s="136"/>
      <c r="CU293" s="136"/>
      <c r="CV293" s="136"/>
      <c r="CW293" s="136"/>
      <c r="CX293" s="136"/>
      <c r="CY293" s="136"/>
      <c r="CZ293" s="136"/>
      <c r="DA293" s="136"/>
      <c r="DB293" s="136"/>
      <c r="DC293" s="136"/>
      <c r="DD293" s="136"/>
      <c r="DE293" s="136"/>
      <c r="DF293" s="136"/>
      <c r="DG293" s="136"/>
      <c r="DH293" s="136"/>
      <c r="DI293" s="136"/>
      <c r="DJ293" s="136"/>
      <c r="DK293" s="136"/>
      <c r="DL293" s="136"/>
      <c r="DM293" s="136"/>
      <c r="DN293" s="136"/>
      <c r="DO293" s="136"/>
      <c r="DP293" s="136"/>
      <c r="DQ293" s="136"/>
      <c r="DR293" s="136"/>
      <c r="DS293" s="136"/>
      <c r="DT293" s="136"/>
      <c r="DU293" s="136"/>
      <c r="DV293" s="136"/>
      <c r="DW293" s="136"/>
      <c r="DX293" s="136"/>
      <c r="DY293" s="136"/>
      <c r="DZ293" s="136"/>
      <c r="EA293" s="136"/>
      <c r="EB293" s="136"/>
      <c r="EC293" s="136"/>
      <c r="ED293" s="136"/>
      <c r="EE293" s="136"/>
      <c r="EF293" s="136"/>
      <c r="EG293" s="136"/>
      <c r="EH293" s="136"/>
      <c r="EI293" s="136"/>
      <c r="EJ293" s="136"/>
      <c r="EK293" s="136"/>
      <c r="EL293" s="136"/>
      <c r="EM293" s="136"/>
      <c r="EN293" s="136"/>
      <c r="EO293" s="136"/>
      <c r="EP293" s="136"/>
      <c r="EQ293" s="136"/>
      <c r="ER293" s="136"/>
      <c r="ES293" s="136"/>
      <c r="ET293" s="136"/>
      <c r="EU293" s="136"/>
      <c r="EV293" s="136"/>
      <c r="EW293" s="136"/>
      <c r="EX293" s="136"/>
      <c r="EY293" s="136"/>
      <c r="EZ293" s="136"/>
      <c r="FA293" s="136"/>
      <c r="FB293" s="136"/>
      <c r="FC293" s="136"/>
      <c r="FD293" s="136"/>
      <c r="FE293" s="136"/>
      <c r="FF293" s="136"/>
      <c r="FG293" s="136"/>
      <c r="FH293" s="136"/>
      <c r="FI293" s="136"/>
      <c r="FJ293" s="136"/>
      <c r="FK293" s="136"/>
      <c r="FL293" s="136"/>
      <c r="FM293" s="136"/>
      <c r="FN293" s="136"/>
      <c r="FO293" s="136"/>
      <c r="FP293" s="136"/>
      <c r="FQ293" s="136"/>
      <c r="FR293" s="136"/>
      <c r="FS293" s="136"/>
      <c r="FT293" s="136"/>
      <c r="FU293" s="136"/>
      <c r="FV293" s="136"/>
      <c r="FW293" s="136"/>
      <c r="FX293" s="136"/>
      <c r="FY293" s="136"/>
      <c r="FZ293" s="136"/>
      <c r="GA293" s="136"/>
      <c r="GB293" s="136"/>
      <c r="GC293" s="136"/>
      <c r="GD293" s="136"/>
      <c r="GE293" s="136"/>
      <c r="GF293" s="136"/>
      <c r="GG293" s="136"/>
      <c r="GH293" s="136"/>
      <c r="GI293" s="136"/>
      <c r="GJ293" s="136"/>
      <c r="GK293" s="136"/>
      <c r="GL293" s="136"/>
      <c r="GM293" s="136"/>
      <c r="GN293" s="136"/>
      <c r="GO293" s="136"/>
      <c r="GP293" s="136"/>
      <c r="GQ293" s="136"/>
      <c r="GR293" s="136"/>
      <c r="GS293" s="136"/>
      <c r="GT293" s="136"/>
      <c r="GU293" s="136"/>
      <c r="GV293" s="136"/>
      <c r="GW293" s="136"/>
      <c r="GX293" s="136"/>
      <c r="GY293" s="136"/>
      <c r="GZ293" s="136"/>
      <c r="HA293" s="136"/>
      <c r="HB293" s="136"/>
      <c r="HC293" s="136"/>
      <c r="HD293" s="136"/>
      <c r="HE293" s="136"/>
      <c r="HF293" s="136"/>
      <c r="HG293" s="136"/>
      <c r="HH293" s="136"/>
      <c r="HI293" s="136"/>
      <c r="HJ293" s="136"/>
      <c r="HK293" s="136"/>
      <c r="HL293" s="136"/>
      <c r="HM293" s="136"/>
      <c r="HN293" s="136"/>
      <c r="HO293" s="136"/>
      <c r="HP293" s="136"/>
      <c r="HQ293" s="136"/>
      <c r="HR293" s="136"/>
      <c r="HS293" s="136"/>
      <c r="HT293" s="136"/>
      <c r="HU293" s="136"/>
      <c r="HV293" s="136"/>
      <c r="HW293" s="136"/>
      <c r="HX293" s="136"/>
      <c r="HY293" s="136"/>
      <c r="HZ293" s="136"/>
      <c r="IA293" s="136"/>
      <c r="IB293" s="136"/>
      <c r="IC293" s="136"/>
      <c r="ID293" s="136"/>
      <c r="IE293" s="136"/>
      <c r="IF293" s="136"/>
      <c r="IG293" s="136"/>
      <c r="IH293" s="136"/>
      <c r="II293" s="136"/>
      <c r="IJ293" s="136"/>
      <c r="IK293" s="136"/>
      <c r="IL293" s="136"/>
      <c r="IM293" s="136"/>
      <c r="IN293" s="136"/>
      <c r="IO293" s="136"/>
      <c r="IP293" s="136"/>
      <c r="IQ293" s="136"/>
      <c r="IR293" s="136"/>
      <c r="IS293" s="136"/>
      <c r="IT293" s="136"/>
      <c r="IU293" s="136"/>
    </row>
    <row r="294" spans="1:255" ht="48" customHeight="1" x14ac:dyDescent="0.2">
      <c r="A294" s="242" t="str">
        <f>'HECVAT - Full'!A294</f>
        <v>HIPA-26</v>
      </c>
      <c r="B294" s="242" t="str">
        <f>VLOOKUP(A294,'HECVAT - Full'!A$24:B$312,2,FALSE)</f>
        <v>Does your data backup and retention policies and practices meet HIPAA requirements?</v>
      </c>
      <c r="C294" s="243" t="s">
        <v>609</v>
      </c>
      <c r="D294" s="253" t="s">
        <v>2979</v>
      </c>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c r="AC294" s="136"/>
      <c r="AD294" s="136"/>
      <c r="AE294" s="136"/>
      <c r="AF294" s="136"/>
      <c r="AG294" s="136"/>
      <c r="AH294" s="136"/>
      <c r="AI294" s="136"/>
      <c r="AJ294" s="136"/>
      <c r="AK294" s="136"/>
      <c r="AL294" s="136"/>
      <c r="AM294" s="136"/>
      <c r="AN294" s="136"/>
      <c r="AO294" s="136"/>
      <c r="AP294" s="136"/>
      <c r="AQ294" s="136"/>
      <c r="AR294" s="136"/>
      <c r="AS294" s="136"/>
      <c r="AT294" s="136"/>
      <c r="AU294" s="136"/>
      <c r="AV294" s="136"/>
      <c r="AW294" s="136"/>
      <c r="AX294" s="136"/>
      <c r="AY294" s="136"/>
      <c r="AZ294" s="136"/>
      <c r="BA294" s="136"/>
      <c r="BB294" s="136"/>
      <c r="BC294" s="136"/>
      <c r="BD294" s="136"/>
      <c r="BE294" s="136"/>
      <c r="BF294" s="136"/>
      <c r="BG294" s="136"/>
      <c r="BH294" s="136"/>
      <c r="BI294" s="136"/>
      <c r="BJ294" s="136"/>
      <c r="BK294" s="136"/>
      <c r="BL294" s="136"/>
      <c r="BM294" s="136"/>
      <c r="BN294" s="136"/>
      <c r="BO294" s="136"/>
      <c r="BP294" s="136"/>
      <c r="BQ294" s="136"/>
      <c r="BR294" s="136"/>
      <c r="BS294" s="136"/>
      <c r="BT294" s="136"/>
      <c r="BU294" s="136"/>
      <c r="BV294" s="136"/>
      <c r="BW294" s="136"/>
      <c r="BX294" s="136"/>
      <c r="BY294" s="136"/>
      <c r="BZ294" s="136"/>
      <c r="CA294" s="136"/>
      <c r="CB294" s="136"/>
      <c r="CC294" s="136"/>
      <c r="CD294" s="136"/>
      <c r="CE294" s="136"/>
      <c r="CF294" s="136"/>
      <c r="CG294" s="136"/>
      <c r="CH294" s="136"/>
      <c r="CI294" s="136"/>
      <c r="CJ294" s="136"/>
      <c r="CK294" s="136"/>
      <c r="CL294" s="136"/>
      <c r="CM294" s="136"/>
      <c r="CN294" s="136"/>
      <c r="CO294" s="136"/>
      <c r="CP294" s="136"/>
      <c r="CQ294" s="136"/>
      <c r="CR294" s="136"/>
      <c r="CS294" s="136"/>
      <c r="CT294" s="136"/>
      <c r="CU294" s="136"/>
      <c r="CV294" s="136"/>
      <c r="CW294" s="136"/>
      <c r="CX294" s="136"/>
      <c r="CY294" s="136"/>
      <c r="CZ294" s="136"/>
      <c r="DA294" s="136"/>
      <c r="DB294" s="136"/>
      <c r="DC294" s="136"/>
      <c r="DD294" s="136"/>
      <c r="DE294" s="136"/>
      <c r="DF294" s="136"/>
      <c r="DG294" s="136"/>
      <c r="DH294" s="136"/>
      <c r="DI294" s="136"/>
      <c r="DJ294" s="136"/>
      <c r="DK294" s="136"/>
      <c r="DL294" s="136"/>
      <c r="DM294" s="136"/>
      <c r="DN294" s="136"/>
      <c r="DO294" s="136"/>
      <c r="DP294" s="136"/>
      <c r="DQ294" s="136"/>
      <c r="DR294" s="136"/>
      <c r="DS294" s="136"/>
      <c r="DT294" s="136"/>
      <c r="DU294" s="136"/>
      <c r="DV294" s="136"/>
      <c r="DW294" s="136"/>
      <c r="DX294" s="136"/>
      <c r="DY294" s="136"/>
      <c r="DZ294" s="136"/>
      <c r="EA294" s="136"/>
      <c r="EB294" s="136"/>
      <c r="EC294" s="136"/>
      <c r="ED294" s="136"/>
      <c r="EE294" s="136"/>
      <c r="EF294" s="136"/>
      <c r="EG294" s="136"/>
      <c r="EH294" s="136"/>
      <c r="EI294" s="136"/>
      <c r="EJ294" s="136"/>
      <c r="EK294" s="136"/>
      <c r="EL294" s="136"/>
      <c r="EM294" s="136"/>
      <c r="EN294" s="136"/>
      <c r="EO294" s="136"/>
      <c r="EP294" s="136"/>
      <c r="EQ294" s="136"/>
      <c r="ER294" s="136"/>
      <c r="ES294" s="136"/>
      <c r="ET294" s="136"/>
      <c r="EU294" s="136"/>
      <c r="EV294" s="136"/>
      <c r="EW294" s="136"/>
      <c r="EX294" s="136"/>
      <c r="EY294" s="136"/>
      <c r="EZ294" s="136"/>
      <c r="FA294" s="136"/>
      <c r="FB294" s="136"/>
      <c r="FC294" s="136"/>
      <c r="FD294" s="136"/>
      <c r="FE294" s="136"/>
      <c r="FF294" s="136"/>
      <c r="FG294" s="136"/>
      <c r="FH294" s="136"/>
      <c r="FI294" s="136"/>
      <c r="FJ294" s="136"/>
      <c r="FK294" s="136"/>
      <c r="FL294" s="136"/>
      <c r="FM294" s="136"/>
      <c r="FN294" s="136"/>
      <c r="FO294" s="136"/>
      <c r="FP294" s="136"/>
      <c r="FQ294" s="136"/>
      <c r="FR294" s="136"/>
      <c r="FS294" s="136"/>
      <c r="FT294" s="136"/>
      <c r="FU294" s="136"/>
      <c r="FV294" s="136"/>
      <c r="FW294" s="136"/>
      <c r="FX294" s="136"/>
      <c r="FY294" s="136"/>
      <c r="FZ294" s="136"/>
      <c r="GA294" s="136"/>
      <c r="GB294" s="136"/>
      <c r="GC294" s="136"/>
      <c r="GD294" s="136"/>
      <c r="GE294" s="136"/>
      <c r="GF294" s="136"/>
      <c r="GG294" s="136"/>
      <c r="GH294" s="136"/>
      <c r="GI294" s="136"/>
      <c r="GJ294" s="136"/>
      <c r="GK294" s="136"/>
      <c r="GL294" s="136"/>
      <c r="GM294" s="136"/>
      <c r="GN294" s="136"/>
      <c r="GO294" s="136"/>
      <c r="GP294" s="136"/>
      <c r="GQ294" s="136"/>
      <c r="GR294" s="136"/>
      <c r="GS294" s="136"/>
      <c r="GT294" s="136"/>
      <c r="GU294" s="136"/>
      <c r="GV294" s="136"/>
      <c r="GW294" s="136"/>
      <c r="GX294" s="136"/>
      <c r="GY294" s="136"/>
      <c r="GZ294" s="136"/>
      <c r="HA294" s="136"/>
      <c r="HB294" s="136"/>
      <c r="HC294" s="136"/>
      <c r="HD294" s="136"/>
      <c r="HE294" s="136"/>
      <c r="HF294" s="136"/>
      <c r="HG294" s="136"/>
      <c r="HH294" s="136"/>
      <c r="HI294" s="136"/>
      <c r="HJ294" s="136"/>
      <c r="HK294" s="136"/>
      <c r="HL294" s="136"/>
      <c r="HM294" s="136"/>
      <c r="HN294" s="136"/>
      <c r="HO294" s="136"/>
      <c r="HP294" s="136"/>
      <c r="HQ294" s="136"/>
      <c r="HR294" s="136"/>
      <c r="HS294" s="136"/>
      <c r="HT294" s="136"/>
      <c r="HU294" s="136"/>
      <c r="HV294" s="136"/>
      <c r="HW294" s="136"/>
      <c r="HX294" s="136"/>
      <c r="HY294" s="136"/>
      <c r="HZ294" s="136"/>
      <c r="IA294" s="136"/>
      <c r="IB294" s="136"/>
      <c r="IC294" s="136"/>
      <c r="ID294" s="136"/>
      <c r="IE294" s="136"/>
      <c r="IF294" s="136"/>
      <c r="IG294" s="136"/>
      <c r="IH294" s="136"/>
      <c r="II294" s="136"/>
      <c r="IJ294" s="136"/>
      <c r="IK294" s="136"/>
      <c r="IL294" s="136"/>
      <c r="IM294" s="136"/>
      <c r="IN294" s="136"/>
      <c r="IO294" s="136"/>
      <c r="IP294" s="136"/>
      <c r="IQ294" s="136"/>
      <c r="IR294" s="136"/>
      <c r="IS294" s="136"/>
      <c r="IT294" s="136"/>
      <c r="IU294" s="136"/>
    </row>
    <row r="295" spans="1:255" ht="48" customHeight="1" x14ac:dyDescent="0.2">
      <c r="A295" s="242" t="str">
        <f>'HECVAT - Full'!A295</f>
        <v>HIPA-27</v>
      </c>
      <c r="B295" s="242" t="str">
        <f>VLOOKUP(A295,'HECVAT - Full'!A$24:B$312,2,FALSE)</f>
        <v>Do you have a disaster recovery plan and emergency mode operation plan?</v>
      </c>
      <c r="C295" s="243" t="s">
        <v>610</v>
      </c>
      <c r="D295" s="253" t="s">
        <v>2979</v>
      </c>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c r="AC295" s="136"/>
      <c r="AD295" s="136"/>
      <c r="AE295" s="136"/>
      <c r="AF295" s="136"/>
      <c r="AG295" s="136"/>
      <c r="AH295" s="136"/>
      <c r="AI295" s="136"/>
      <c r="AJ295" s="136"/>
      <c r="AK295" s="136"/>
      <c r="AL295" s="136"/>
      <c r="AM295" s="136"/>
      <c r="AN295" s="136"/>
      <c r="AO295" s="136"/>
      <c r="AP295" s="136"/>
      <c r="AQ295" s="136"/>
      <c r="AR295" s="136"/>
      <c r="AS295" s="136"/>
      <c r="AT295" s="136"/>
      <c r="AU295" s="136"/>
      <c r="AV295" s="136"/>
      <c r="AW295" s="136"/>
      <c r="AX295" s="136"/>
      <c r="AY295" s="136"/>
      <c r="AZ295" s="136"/>
      <c r="BA295" s="136"/>
      <c r="BB295" s="136"/>
      <c r="BC295" s="136"/>
      <c r="BD295" s="136"/>
      <c r="BE295" s="136"/>
      <c r="BF295" s="136"/>
      <c r="BG295" s="136"/>
      <c r="BH295" s="136"/>
      <c r="BI295" s="136"/>
      <c r="BJ295" s="136"/>
      <c r="BK295" s="136"/>
      <c r="BL295" s="136"/>
      <c r="BM295" s="136"/>
      <c r="BN295" s="136"/>
      <c r="BO295" s="136"/>
      <c r="BP295" s="136"/>
      <c r="BQ295" s="136"/>
      <c r="BR295" s="136"/>
      <c r="BS295" s="136"/>
      <c r="BT295" s="136"/>
      <c r="BU295" s="136"/>
      <c r="BV295" s="136"/>
      <c r="BW295" s="136"/>
      <c r="BX295" s="136"/>
      <c r="BY295" s="136"/>
      <c r="BZ295" s="136"/>
      <c r="CA295" s="136"/>
      <c r="CB295" s="136"/>
      <c r="CC295" s="136"/>
      <c r="CD295" s="136"/>
      <c r="CE295" s="136"/>
      <c r="CF295" s="136"/>
      <c r="CG295" s="136"/>
      <c r="CH295" s="136"/>
      <c r="CI295" s="136"/>
      <c r="CJ295" s="136"/>
      <c r="CK295" s="136"/>
      <c r="CL295" s="136"/>
      <c r="CM295" s="136"/>
      <c r="CN295" s="136"/>
      <c r="CO295" s="136"/>
      <c r="CP295" s="136"/>
      <c r="CQ295" s="136"/>
      <c r="CR295" s="136"/>
      <c r="CS295" s="136"/>
      <c r="CT295" s="136"/>
      <c r="CU295" s="136"/>
      <c r="CV295" s="136"/>
      <c r="CW295" s="136"/>
      <c r="CX295" s="136"/>
      <c r="CY295" s="136"/>
      <c r="CZ295" s="136"/>
      <c r="DA295" s="136"/>
      <c r="DB295" s="136"/>
      <c r="DC295" s="136"/>
      <c r="DD295" s="136"/>
      <c r="DE295" s="136"/>
      <c r="DF295" s="136"/>
      <c r="DG295" s="136"/>
      <c r="DH295" s="136"/>
      <c r="DI295" s="136"/>
      <c r="DJ295" s="136"/>
      <c r="DK295" s="136"/>
      <c r="DL295" s="136"/>
      <c r="DM295" s="136"/>
      <c r="DN295" s="136"/>
      <c r="DO295" s="136"/>
      <c r="DP295" s="136"/>
      <c r="DQ295" s="136"/>
      <c r="DR295" s="136"/>
      <c r="DS295" s="136"/>
      <c r="DT295" s="136"/>
      <c r="DU295" s="136"/>
      <c r="DV295" s="136"/>
      <c r="DW295" s="136"/>
      <c r="DX295" s="136"/>
      <c r="DY295" s="136"/>
      <c r="DZ295" s="136"/>
      <c r="EA295" s="136"/>
      <c r="EB295" s="136"/>
      <c r="EC295" s="136"/>
      <c r="ED295" s="136"/>
      <c r="EE295" s="136"/>
      <c r="EF295" s="136"/>
      <c r="EG295" s="136"/>
      <c r="EH295" s="136"/>
      <c r="EI295" s="136"/>
      <c r="EJ295" s="136"/>
      <c r="EK295" s="136"/>
      <c r="EL295" s="136"/>
      <c r="EM295" s="136"/>
      <c r="EN295" s="136"/>
      <c r="EO295" s="136"/>
      <c r="EP295" s="136"/>
      <c r="EQ295" s="136"/>
      <c r="ER295" s="136"/>
      <c r="ES295" s="136"/>
      <c r="ET295" s="136"/>
      <c r="EU295" s="136"/>
      <c r="EV295" s="136"/>
      <c r="EW295" s="136"/>
      <c r="EX295" s="136"/>
      <c r="EY295" s="136"/>
      <c r="EZ295" s="136"/>
      <c r="FA295" s="136"/>
      <c r="FB295" s="136"/>
      <c r="FC295" s="136"/>
      <c r="FD295" s="136"/>
      <c r="FE295" s="136"/>
      <c r="FF295" s="136"/>
      <c r="FG295" s="136"/>
      <c r="FH295" s="136"/>
      <c r="FI295" s="136"/>
      <c r="FJ295" s="136"/>
      <c r="FK295" s="136"/>
      <c r="FL295" s="136"/>
      <c r="FM295" s="136"/>
      <c r="FN295" s="136"/>
      <c r="FO295" s="136"/>
      <c r="FP295" s="136"/>
      <c r="FQ295" s="136"/>
      <c r="FR295" s="136"/>
      <c r="FS295" s="136"/>
      <c r="FT295" s="136"/>
      <c r="FU295" s="136"/>
      <c r="FV295" s="136"/>
      <c r="FW295" s="136"/>
      <c r="FX295" s="136"/>
      <c r="FY295" s="136"/>
      <c r="FZ295" s="136"/>
      <c r="GA295" s="136"/>
      <c r="GB295" s="136"/>
      <c r="GC295" s="136"/>
      <c r="GD295" s="136"/>
      <c r="GE295" s="136"/>
      <c r="GF295" s="136"/>
      <c r="GG295" s="136"/>
      <c r="GH295" s="136"/>
      <c r="GI295" s="136"/>
      <c r="GJ295" s="136"/>
      <c r="GK295" s="136"/>
      <c r="GL295" s="136"/>
      <c r="GM295" s="136"/>
      <c r="GN295" s="136"/>
      <c r="GO295" s="136"/>
      <c r="GP295" s="136"/>
      <c r="GQ295" s="136"/>
      <c r="GR295" s="136"/>
      <c r="GS295" s="136"/>
      <c r="GT295" s="136"/>
      <c r="GU295" s="136"/>
      <c r="GV295" s="136"/>
      <c r="GW295" s="136"/>
      <c r="GX295" s="136"/>
      <c r="GY295" s="136"/>
      <c r="GZ295" s="136"/>
      <c r="HA295" s="136"/>
      <c r="HB295" s="136"/>
      <c r="HC295" s="136"/>
      <c r="HD295" s="136"/>
      <c r="HE295" s="136"/>
      <c r="HF295" s="136"/>
      <c r="HG295" s="136"/>
      <c r="HH295" s="136"/>
      <c r="HI295" s="136"/>
      <c r="HJ295" s="136"/>
      <c r="HK295" s="136"/>
      <c r="HL295" s="136"/>
      <c r="HM295" s="136"/>
      <c r="HN295" s="136"/>
      <c r="HO295" s="136"/>
      <c r="HP295" s="136"/>
      <c r="HQ295" s="136"/>
      <c r="HR295" s="136"/>
      <c r="HS295" s="136"/>
      <c r="HT295" s="136"/>
      <c r="HU295" s="136"/>
      <c r="HV295" s="136"/>
      <c r="HW295" s="136"/>
      <c r="HX295" s="136"/>
      <c r="HY295" s="136"/>
      <c r="HZ295" s="136"/>
      <c r="IA295" s="136"/>
      <c r="IB295" s="136"/>
      <c r="IC295" s="136"/>
      <c r="ID295" s="136"/>
      <c r="IE295" s="136"/>
      <c r="IF295" s="136"/>
      <c r="IG295" s="136"/>
      <c r="IH295" s="136"/>
      <c r="II295" s="136"/>
      <c r="IJ295" s="136"/>
      <c r="IK295" s="136"/>
      <c r="IL295" s="136"/>
      <c r="IM295" s="136"/>
      <c r="IN295" s="136"/>
      <c r="IO295" s="136"/>
      <c r="IP295" s="136"/>
      <c r="IQ295" s="136"/>
      <c r="IR295" s="136"/>
      <c r="IS295" s="136"/>
      <c r="IT295" s="136"/>
      <c r="IU295" s="136"/>
    </row>
    <row r="296" spans="1:255" ht="48" customHeight="1" x14ac:dyDescent="0.2">
      <c r="A296" s="242" t="str">
        <f>'HECVAT - Full'!A296</f>
        <v>HIPA-28</v>
      </c>
      <c r="B296" s="242" t="str">
        <f>VLOOKUP(A296,'HECVAT - Full'!A$24:B$312,2,FALSE)</f>
        <v>Have the policies/plans mentioned above been tested?</v>
      </c>
      <c r="C296" s="243" t="s">
        <v>610</v>
      </c>
      <c r="D296" s="253" t="s">
        <v>2979</v>
      </c>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c r="AC296" s="136"/>
      <c r="AD296" s="136"/>
      <c r="AE296" s="136"/>
      <c r="AF296" s="136"/>
      <c r="AG296" s="136"/>
      <c r="AH296" s="136"/>
      <c r="AI296" s="136"/>
      <c r="AJ296" s="136"/>
      <c r="AK296" s="136"/>
      <c r="AL296" s="136"/>
      <c r="AM296" s="136"/>
      <c r="AN296" s="136"/>
      <c r="AO296" s="136"/>
      <c r="AP296" s="136"/>
      <c r="AQ296" s="136"/>
      <c r="AR296" s="136"/>
      <c r="AS296" s="136"/>
      <c r="AT296" s="136"/>
      <c r="AU296" s="136"/>
      <c r="AV296" s="136"/>
      <c r="AW296" s="136"/>
      <c r="AX296" s="136"/>
      <c r="AY296" s="136"/>
      <c r="AZ296" s="136"/>
      <c r="BA296" s="136"/>
      <c r="BB296" s="136"/>
      <c r="BC296" s="136"/>
      <c r="BD296" s="136"/>
      <c r="BE296" s="136"/>
      <c r="BF296" s="136"/>
      <c r="BG296" s="136"/>
      <c r="BH296" s="136"/>
      <c r="BI296" s="136"/>
      <c r="BJ296" s="136"/>
      <c r="BK296" s="136"/>
      <c r="BL296" s="136"/>
      <c r="BM296" s="136"/>
      <c r="BN296" s="136"/>
      <c r="BO296" s="136"/>
      <c r="BP296" s="136"/>
      <c r="BQ296" s="136"/>
      <c r="BR296" s="136"/>
      <c r="BS296" s="136"/>
      <c r="BT296" s="136"/>
      <c r="BU296" s="136"/>
      <c r="BV296" s="136"/>
      <c r="BW296" s="136"/>
      <c r="BX296" s="136"/>
      <c r="BY296" s="136"/>
      <c r="BZ296" s="136"/>
      <c r="CA296" s="136"/>
      <c r="CB296" s="136"/>
      <c r="CC296" s="136"/>
      <c r="CD296" s="136"/>
      <c r="CE296" s="136"/>
      <c r="CF296" s="136"/>
      <c r="CG296" s="136"/>
      <c r="CH296" s="136"/>
      <c r="CI296" s="136"/>
      <c r="CJ296" s="136"/>
      <c r="CK296" s="136"/>
      <c r="CL296" s="136"/>
      <c r="CM296" s="136"/>
      <c r="CN296" s="136"/>
      <c r="CO296" s="136"/>
      <c r="CP296" s="136"/>
      <c r="CQ296" s="136"/>
      <c r="CR296" s="136"/>
      <c r="CS296" s="136"/>
      <c r="CT296" s="136"/>
      <c r="CU296" s="136"/>
      <c r="CV296" s="136"/>
      <c r="CW296" s="136"/>
      <c r="CX296" s="136"/>
      <c r="CY296" s="136"/>
      <c r="CZ296" s="136"/>
      <c r="DA296" s="136"/>
      <c r="DB296" s="136"/>
      <c r="DC296" s="136"/>
      <c r="DD296" s="136"/>
      <c r="DE296" s="136"/>
      <c r="DF296" s="136"/>
      <c r="DG296" s="136"/>
      <c r="DH296" s="136"/>
      <c r="DI296" s="136"/>
      <c r="DJ296" s="136"/>
      <c r="DK296" s="136"/>
      <c r="DL296" s="136"/>
      <c r="DM296" s="136"/>
      <c r="DN296" s="136"/>
      <c r="DO296" s="136"/>
      <c r="DP296" s="136"/>
      <c r="DQ296" s="136"/>
      <c r="DR296" s="136"/>
      <c r="DS296" s="136"/>
      <c r="DT296" s="136"/>
      <c r="DU296" s="136"/>
      <c r="DV296" s="136"/>
      <c r="DW296" s="136"/>
      <c r="DX296" s="136"/>
      <c r="DY296" s="136"/>
      <c r="DZ296" s="136"/>
      <c r="EA296" s="136"/>
      <c r="EB296" s="136"/>
      <c r="EC296" s="136"/>
      <c r="ED296" s="136"/>
      <c r="EE296" s="136"/>
      <c r="EF296" s="136"/>
      <c r="EG296" s="136"/>
      <c r="EH296" s="136"/>
      <c r="EI296" s="136"/>
      <c r="EJ296" s="136"/>
      <c r="EK296" s="136"/>
      <c r="EL296" s="136"/>
      <c r="EM296" s="136"/>
      <c r="EN296" s="136"/>
      <c r="EO296" s="136"/>
      <c r="EP296" s="136"/>
      <c r="EQ296" s="136"/>
      <c r="ER296" s="136"/>
      <c r="ES296" s="136"/>
      <c r="ET296" s="136"/>
      <c r="EU296" s="136"/>
      <c r="EV296" s="136"/>
      <c r="EW296" s="136"/>
      <c r="EX296" s="136"/>
      <c r="EY296" s="136"/>
      <c r="EZ296" s="136"/>
      <c r="FA296" s="136"/>
      <c r="FB296" s="136"/>
      <c r="FC296" s="136"/>
      <c r="FD296" s="136"/>
      <c r="FE296" s="136"/>
      <c r="FF296" s="136"/>
      <c r="FG296" s="136"/>
      <c r="FH296" s="136"/>
      <c r="FI296" s="136"/>
      <c r="FJ296" s="136"/>
      <c r="FK296" s="136"/>
      <c r="FL296" s="136"/>
      <c r="FM296" s="136"/>
      <c r="FN296" s="136"/>
      <c r="FO296" s="136"/>
      <c r="FP296" s="136"/>
      <c r="FQ296" s="136"/>
      <c r="FR296" s="136"/>
      <c r="FS296" s="136"/>
      <c r="FT296" s="136"/>
      <c r="FU296" s="136"/>
      <c r="FV296" s="136"/>
      <c r="FW296" s="136"/>
      <c r="FX296" s="136"/>
      <c r="FY296" s="136"/>
      <c r="FZ296" s="136"/>
      <c r="GA296" s="136"/>
      <c r="GB296" s="136"/>
      <c r="GC296" s="136"/>
      <c r="GD296" s="136"/>
      <c r="GE296" s="136"/>
      <c r="GF296" s="136"/>
      <c r="GG296" s="136"/>
      <c r="GH296" s="136"/>
      <c r="GI296" s="136"/>
      <c r="GJ296" s="136"/>
      <c r="GK296" s="136"/>
      <c r="GL296" s="136"/>
      <c r="GM296" s="136"/>
      <c r="GN296" s="136"/>
      <c r="GO296" s="136"/>
      <c r="GP296" s="136"/>
      <c r="GQ296" s="136"/>
      <c r="GR296" s="136"/>
      <c r="GS296" s="136"/>
      <c r="GT296" s="136"/>
      <c r="GU296" s="136"/>
      <c r="GV296" s="136"/>
      <c r="GW296" s="136"/>
      <c r="GX296" s="136"/>
      <c r="GY296" s="136"/>
      <c r="GZ296" s="136"/>
      <c r="HA296" s="136"/>
      <c r="HB296" s="136"/>
      <c r="HC296" s="136"/>
      <c r="HD296" s="136"/>
      <c r="HE296" s="136"/>
      <c r="HF296" s="136"/>
      <c r="HG296" s="136"/>
      <c r="HH296" s="136"/>
      <c r="HI296" s="136"/>
      <c r="HJ296" s="136"/>
      <c r="HK296" s="136"/>
      <c r="HL296" s="136"/>
      <c r="HM296" s="136"/>
      <c r="HN296" s="136"/>
      <c r="HO296" s="136"/>
      <c r="HP296" s="136"/>
      <c r="HQ296" s="136"/>
      <c r="HR296" s="136"/>
      <c r="HS296" s="136"/>
      <c r="HT296" s="136"/>
      <c r="HU296" s="136"/>
      <c r="HV296" s="136"/>
      <c r="HW296" s="136"/>
      <c r="HX296" s="136"/>
      <c r="HY296" s="136"/>
      <c r="HZ296" s="136"/>
      <c r="IA296" s="136"/>
      <c r="IB296" s="136"/>
      <c r="IC296" s="136"/>
      <c r="ID296" s="136"/>
      <c r="IE296" s="136"/>
      <c r="IF296" s="136"/>
      <c r="IG296" s="136"/>
      <c r="IH296" s="136"/>
      <c r="II296" s="136"/>
      <c r="IJ296" s="136"/>
      <c r="IK296" s="136"/>
      <c r="IL296" s="136"/>
      <c r="IM296" s="136"/>
      <c r="IN296" s="136"/>
      <c r="IO296" s="136"/>
      <c r="IP296" s="136"/>
      <c r="IQ296" s="136"/>
      <c r="IR296" s="136"/>
      <c r="IS296" s="136"/>
      <c r="IT296" s="136"/>
      <c r="IU296" s="136"/>
    </row>
    <row r="297" spans="1:255" ht="48" customHeight="1" x14ac:dyDescent="0.2">
      <c r="A297" s="242" t="str">
        <f>'HECVAT - Full'!A297</f>
        <v>HIPA-29</v>
      </c>
      <c r="B297" s="242" t="str">
        <f>VLOOKUP(A297,'HECVAT - Full'!A$24:B$312,2,FALSE)</f>
        <v>Can you provide a HIPAA compliance attestation document?</v>
      </c>
      <c r="C297" s="243" t="s">
        <v>611</v>
      </c>
      <c r="D297" s="253" t="s">
        <v>2979</v>
      </c>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c r="AC297" s="136"/>
      <c r="AD297" s="136"/>
      <c r="AE297" s="136"/>
      <c r="AF297" s="136"/>
      <c r="AG297" s="136"/>
      <c r="AH297" s="136"/>
      <c r="AI297" s="136"/>
      <c r="AJ297" s="136"/>
      <c r="AK297" s="136"/>
      <c r="AL297" s="136"/>
      <c r="AM297" s="136"/>
      <c r="AN297" s="136"/>
      <c r="AO297" s="136"/>
      <c r="AP297" s="136"/>
      <c r="AQ297" s="136"/>
      <c r="AR297" s="136"/>
      <c r="AS297" s="136"/>
      <c r="AT297" s="136"/>
      <c r="AU297" s="136"/>
      <c r="AV297" s="136"/>
      <c r="AW297" s="136"/>
      <c r="AX297" s="136"/>
      <c r="AY297" s="136"/>
      <c r="AZ297" s="136"/>
      <c r="BA297" s="136"/>
      <c r="BB297" s="136"/>
      <c r="BC297" s="136"/>
      <c r="BD297" s="136"/>
      <c r="BE297" s="136"/>
      <c r="BF297" s="136"/>
      <c r="BG297" s="136"/>
      <c r="BH297" s="136"/>
      <c r="BI297" s="136"/>
      <c r="BJ297" s="136"/>
      <c r="BK297" s="136"/>
      <c r="BL297" s="136"/>
      <c r="BM297" s="136"/>
      <c r="BN297" s="136"/>
      <c r="BO297" s="136"/>
      <c r="BP297" s="136"/>
      <c r="BQ297" s="136"/>
      <c r="BR297" s="136"/>
      <c r="BS297" s="136"/>
      <c r="BT297" s="136"/>
      <c r="BU297" s="136"/>
      <c r="BV297" s="136"/>
      <c r="BW297" s="136"/>
      <c r="BX297" s="136"/>
      <c r="BY297" s="136"/>
      <c r="BZ297" s="136"/>
      <c r="CA297" s="136"/>
      <c r="CB297" s="136"/>
      <c r="CC297" s="136"/>
      <c r="CD297" s="136"/>
      <c r="CE297" s="136"/>
      <c r="CF297" s="136"/>
      <c r="CG297" s="136"/>
      <c r="CH297" s="136"/>
      <c r="CI297" s="136"/>
      <c r="CJ297" s="136"/>
      <c r="CK297" s="136"/>
      <c r="CL297" s="136"/>
      <c r="CM297" s="136"/>
      <c r="CN297" s="136"/>
      <c r="CO297" s="136"/>
      <c r="CP297" s="136"/>
      <c r="CQ297" s="136"/>
      <c r="CR297" s="136"/>
      <c r="CS297" s="136"/>
      <c r="CT297" s="136"/>
      <c r="CU297" s="136"/>
      <c r="CV297" s="136"/>
      <c r="CW297" s="136"/>
      <c r="CX297" s="136"/>
      <c r="CY297" s="136"/>
      <c r="CZ297" s="136"/>
      <c r="DA297" s="136"/>
      <c r="DB297" s="136"/>
      <c r="DC297" s="136"/>
      <c r="DD297" s="136"/>
      <c r="DE297" s="136"/>
      <c r="DF297" s="136"/>
      <c r="DG297" s="136"/>
      <c r="DH297" s="136"/>
      <c r="DI297" s="136"/>
      <c r="DJ297" s="136"/>
      <c r="DK297" s="136"/>
      <c r="DL297" s="136"/>
      <c r="DM297" s="136"/>
      <c r="DN297" s="136"/>
      <c r="DO297" s="136"/>
      <c r="DP297" s="136"/>
      <c r="DQ297" s="136"/>
      <c r="DR297" s="136"/>
      <c r="DS297" s="136"/>
      <c r="DT297" s="136"/>
      <c r="DU297" s="136"/>
      <c r="DV297" s="136"/>
      <c r="DW297" s="136"/>
      <c r="DX297" s="136"/>
      <c r="DY297" s="136"/>
      <c r="DZ297" s="136"/>
      <c r="EA297" s="136"/>
      <c r="EB297" s="136"/>
      <c r="EC297" s="136"/>
      <c r="ED297" s="136"/>
      <c r="EE297" s="136"/>
      <c r="EF297" s="136"/>
      <c r="EG297" s="136"/>
      <c r="EH297" s="136"/>
      <c r="EI297" s="136"/>
      <c r="EJ297" s="136"/>
      <c r="EK297" s="136"/>
      <c r="EL297" s="136"/>
      <c r="EM297" s="136"/>
      <c r="EN297" s="136"/>
      <c r="EO297" s="136"/>
      <c r="EP297" s="136"/>
      <c r="EQ297" s="136"/>
      <c r="ER297" s="136"/>
      <c r="ES297" s="136"/>
      <c r="ET297" s="136"/>
      <c r="EU297" s="136"/>
      <c r="EV297" s="136"/>
      <c r="EW297" s="136"/>
      <c r="EX297" s="136"/>
      <c r="EY297" s="136"/>
      <c r="EZ297" s="136"/>
      <c r="FA297" s="136"/>
      <c r="FB297" s="136"/>
      <c r="FC297" s="136"/>
      <c r="FD297" s="136"/>
      <c r="FE297" s="136"/>
      <c r="FF297" s="136"/>
      <c r="FG297" s="136"/>
      <c r="FH297" s="136"/>
      <c r="FI297" s="136"/>
      <c r="FJ297" s="136"/>
      <c r="FK297" s="136"/>
      <c r="FL297" s="136"/>
      <c r="FM297" s="136"/>
      <c r="FN297" s="136"/>
      <c r="FO297" s="136"/>
      <c r="FP297" s="136"/>
      <c r="FQ297" s="136"/>
      <c r="FR297" s="136"/>
      <c r="FS297" s="136"/>
      <c r="FT297" s="136"/>
      <c r="FU297" s="136"/>
      <c r="FV297" s="136"/>
      <c r="FW297" s="136"/>
      <c r="FX297" s="136"/>
      <c r="FY297" s="136"/>
      <c r="FZ297" s="136"/>
      <c r="GA297" s="136"/>
      <c r="GB297" s="136"/>
      <c r="GC297" s="136"/>
      <c r="GD297" s="136"/>
      <c r="GE297" s="136"/>
      <c r="GF297" s="136"/>
      <c r="GG297" s="136"/>
      <c r="GH297" s="136"/>
      <c r="GI297" s="136"/>
      <c r="GJ297" s="136"/>
      <c r="GK297" s="136"/>
      <c r="GL297" s="136"/>
      <c r="GM297" s="136"/>
      <c r="GN297" s="136"/>
      <c r="GO297" s="136"/>
      <c r="GP297" s="136"/>
      <c r="GQ297" s="136"/>
      <c r="GR297" s="136"/>
      <c r="GS297" s="136"/>
      <c r="GT297" s="136"/>
      <c r="GU297" s="136"/>
      <c r="GV297" s="136"/>
      <c r="GW297" s="136"/>
      <c r="GX297" s="136"/>
      <c r="GY297" s="136"/>
      <c r="GZ297" s="136"/>
      <c r="HA297" s="136"/>
      <c r="HB297" s="136"/>
      <c r="HC297" s="136"/>
      <c r="HD297" s="136"/>
      <c r="HE297" s="136"/>
      <c r="HF297" s="136"/>
      <c r="HG297" s="136"/>
      <c r="HH297" s="136"/>
      <c r="HI297" s="136"/>
      <c r="HJ297" s="136"/>
      <c r="HK297" s="136"/>
      <c r="HL297" s="136"/>
      <c r="HM297" s="136"/>
      <c r="HN297" s="136"/>
      <c r="HO297" s="136"/>
      <c r="HP297" s="136"/>
      <c r="HQ297" s="136"/>
      <c r="HR297" s="136"/>
      <c r="HS297" s="136"/>
      <c r="HT297" s="136"/>
      <c r="HU297" s="136"/>
      <c r="HV297" s="136"/>
      <c r="HW297" s="136"/>
      <c r="HX297" s="136"/>
      <c r="HY297" s="136"/>
      <c r="HZ297" s="136"/>
      <c r="IA297" s="136"/>
      <c r="IB297" s="136"/>
      <c r="IC297" s="136"/>
      <c r="ID297" s="136"/>
      <c r="IE297" s="136"/>
      <c r="IF297" s="136"/>
      <c r="IG297" s="136"/>
      <c r="IH297" s="136"/>
      <c r="II297" s="136"/>
      <c r="IJ297" s="136"/>
      <c r="IK297" s="136"/>
      <c r="IL297" s="136"/>
      <c r="IM297" s="136"/>
      <c r="IN297" s="136"/>
      <c r="IO297" s="136"/>
      <c r="IP297" s="136"/>
      <c r="IQ297" s="136"/>
      <c r="IR297" s="136"/>
      <c r="IS297" s="136"/>
      <c r="IT297" s="136"/>
      <c r="IU297" s="136"/>
    </row>
    <row r="298" spans="1:255" ht="48" customHeight="1" x14ac:dyDescent="0.2">
      <c r="A298" s="242" t="str">
        <f>'HECVAT - Full'!A298</f>
        <v>HIPA-30</v>
      </c>
      <c r="B298" s="242" t="str">
        <f>VLOOKUP(A298,'HECVAT - Full'!A$24:B$312,2,FALSE)</f>
        <v>Are you willing to enter into a Business Associate Agreement (BAA)?</v>
      </c>
      <c r="C298" s="243" t="s">
        <v>615</v>
      </c>
      <c r="D298" s="253" t="s">
        <v>2979</v>
      </c>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c r="AC298" s="136"/>
      <c r="AD298" s="136"/>
      <c r="AE298" s="136"/>
      <c r="AF298" s="136"/>
      <c r="AG298" s="136"/>
      <c r="AH298" s="136"/>
      <c r="AI298" s="136"/>
      <c r="AJ298" s="136"/>
      <c r="AK298" s="136"/>
      <c r="AL298" s="136"/>
      <c r="AM298" s="136"/>
      <c r="AN298" s="136"/>
      <c r="AO298" s="136"/>
      <c r="AP298" s="136"/>
      <c r="AQ298" s="136"/>
      <c r="AR298" s="136"/>
      <c r="AS298" s="136"/>
      <c r="AT298" s="136"/>
      <c r="AU298" s="136"/>
      <c r="AV298" s="136"/>
      <c r="AW298" s="136"/>
      <c r="AX298" s="136"/>
      <c r="AY298" s="136"/>
      <c r="AZ298" s="136"/>
      <c r="BA298" s="136"/>
      <c r="BB298" s="136"/>
      <c r="BC298" s="136"/>
      <c r="BD298" s="136"/>
      <c r="BE298" s="136"/>
      <c r="BF298" s="136"/>
      <c r="BG298" s="136"/>
      <c r="BH298" s="136"/>
      <c r="BI298" s="136"/>
      <c r="BJ298" s="136"/>
      <c r="BK298" s="136"/>
      <c r="BL298" s="136"/>
      <c r="BM298" s="136"/>
      <c r="BN298" s="136"/>
      <c r="BO298" s="136"/>
      <c r="BP298" s="136"/>
      <c r="BQ298" s="136"/>
      <c r="BR298" s="136"/>
      <c r="BS298" s="136"/>
      <c r="BT298" s="136"/>
      <c r="BU298" s="136"/>
      <c r="BV298" s="136"/>
      <c r="BW298" s="136"/>
      <c r="BX298" s="136"/>
      <c r="BY298" s="136"/>
      <c r="BZ298" s="136"/>
      <c r="CA298" s="136"/>
      <c r="CB298" s="136"/>
      <c r="CC298" s="136"/>
      <c r="CD298" s="136"/>
      <c r="CE298" s="136"/>
      <c r="CF298" s="136"/>
      <c r="CG298" s="136"/>
      <c r="CH298" s="136"/>
      <c r="CI298" s="136"/>
      <c r="CJ298" s="136"/>
      <c r="CK298" s="136"/>
      <c r="CL298" s="136"/>
      <c r="CM298" s="136"/>
      <c r="CN298" s="136"/>
      <c r="CO298" s="136"/>
      <c r="CP298" s="136"/>
      <c r="CQ298" s="136"/>
      <c r="CR298" s="136"/>
      <c r="CS298" s="136"/>
      <c r="CT298" s="136"/>
      <c r="CU298" s="136"/>
      <c r="CV298" s="136"/>
      <c r="CW298" s="136"/>
      <c r="CX298" s="136"/>
      <c r="CY298" s="136"/>
      <c r="CZ298" s="136"/>
      <c r="DA298" s="136"/>
      <c r="DB298" s="136"/>
      <c r="DC298" s="136"/>
      <c r="DD298" s="136"/>
      <c r="DE298" s="136"/>
      <c r="DF298" s="136"/>
      <c r="DG298" s="136"/>
      <c r="DH298" s="136"/>
      <c r="DI298" s="136"/>
      <c r="DJ298" s="136"/>
      <c r="DK298" s="136"/>
      <c r="DL298" s="136"/>
      <c r="DM298" s="136"/>
      <c r="DN298" s="136"/>
      <c r="DO298" s="136"/>
      <c r="DP298" s="136"/>
      <c r="DQ298" s="136"/>
      <c r="DR298" s="136"/>
      <c r="DS298" s="136"/>
      <c r="DT298" s="136"/>
      <c r="DU298" s="136"/>
      <c r="DV298" s="136"/>
      <c r="DW298" s="136"/>
      <c r="DX298" s="136"/>
      <c r="DY298" s="136"/>
      <c r="DZ298" s="136"/>
      <c r="EA298" s="136"/>
      <c r="EB298" s="136"/>
      <c r="EC298" s="136"/>
      <c r="ED298" s="136"/>
      <c r="EE298" s="136"/>
      <c r="EF298" s="136"/>
      <c r="EG298" s="136"/>
      <c r="EH298" s="136"/>
      <c r="EI298" s="136"/>
      <c r="EJ298" s="136"/>
      <c r="EK298" s="136"/>
      <c r="EL298" s="136"/>
      <c r="EM298" s="136"/>
      <c r="EN298" s="136"/>
      <c r="EO298" s="136"/>
      <c r="EP298" s="136"/>
      <c r="EQ298" s="136"/>
      <c r="ER298" s="136"/>
      <c r="ES298" s="136"/>
      <c r="ET298" s="136"/>
      <c r="EU298" s="136"/>
      <c r="EV298" s="136"/>
      <c r="EW298" s="136"/>
      <c r="EX298" s="136"/>
      <c r="EY298" s="136"/>
      <c r="EZ298" s="136"/>
      <c r="FA298" s="136"/>
      <c r="FB298" s="136"/>
      <c r="FC298" s="136"/>
      <c r="FD298" s="136"/>
      <c r="FE298" s="136"/>
      <c r="FF298" s="136"/>
      <c r="FG298" s="136"/>
      <c r="FH298" s="136"/>
      <c r="FI298" s="136"/>
      <c r="FJ298" s="136"/>
      <c r="FK298" s="136"/>
      <c r="FL298" s="136"/>
      <c r="FM298" s="136"/>
      <c r="FN298" s="136"/>
      <c r="FO298" s="136"/>
      <c r="FP298" s="136"/>
      <c r="FQ298" s="136"/>
      <c r="FR298" s="136"/>
      <c r="FS298" s="136"/>
      <c r="FT298" s="136"/>
      <c r="FU298" s="136"/>
      <c r="FV298" s="136"/>
      <c r="FW298" s="136"/>
      <c r="FX298" s="136"/>
      <c r="FY298" s="136"/>
      <c r="FZ298" s="136"/>
      <c r="GA298" s="136"/>
      <c r="GB298" s="136"/>
      <c r="GC298" s="136"/>
      <c r="GD298" s="136"/>
      <c r="GE298" s="136"/>
      <c r="GF298" s="136"/>
      <c r="GG298" s="136"/>
      <c r="GH298" s="136"/>
      <c r="GI298" s="136"/>
      <c r="GJ298" s="136"/>
      <c r="GK298" s="136"/>
      <c r="GL298" s="136"/>
      <c r="GM298" s="136"/>
      <c r="GN298" s="136"/>
      <c r="GO298" s="136"/>
      <c r="GP298" s="136"/>
      <c r="GQ298" s="136"/>
      <c r="GR298" s="136"/>
      <c r="GS298" s="136"/>
      <c r="GT298" s="136"/>
      <c r="GU298" s="136"/>
      <c r="GV298" s="136"/>
      <c r="GW298" s="136"/>
      <c r="GX298" s="136"/>
      <c r="GY298" s="136"/>
      <c r="GZ298" s="136"/>
      <c r="HA298" s="136"/>
      <c r="HB298" s="136"/>
      <c r="HC298" s="136"/>
      <c r="HD298" s="136"/>
      <c r="HE298" s="136"/>
      <c r="HF298" s="136"/>
      <c r="HG298" s="136"/>
      <c r="HH298" s="136"/>
      <c r="HI298" s="136"/>
      <c r="HJ298" s="136"/>
      <c r="HK298" s="136"/>
      <c r="HL298" s="136"/>
      <c r="HM298" s="136"/>
      <c r="HN298" s="136"/>
      <c r="HO298" s="136"/>
      <c r="HP298" s="136"/>
      <c r="HQ298" s="136"/>
      <c r="HR298" s="136"/>
      <c r="HS298" s="136"/>
      <c r="HT298" s="136"/>
      <c r="HU298" s="136"/>
      <c r="HV298" s="136"/>
      <c r="HW298" s="136"/>
      <c r="HX298" s="136"/>
      <c r="HY298" s="136"/>
      <c r="HZ298" s="136"/>
      <c r="IA298" s="136"/>
      <c r="IB298" s="136"/>
      <c r="IC298" s="136"/>
      <c r="ID298" s="136"/>
      <c r="IE298" s="136"/>
      <c r="IF298" s="136"/>
      <c r="IG298" s="136"/>
      <c r="IH298" s="136"/>
      <c r="II298" s="136"/>
      <c r="IJ298" s="136"/>
      <c r="IK298" s="136"/>
      <c r="IL298" s="136"/>
      <c r="IM298" s="136"/>
      <c r="IN298" s="136"/>
      <c r="IO298" s="136"/>
      <c r="IP298" s="136"/>
      <c r="IQ298" s="136"/>
      <c r="IR298" s="136"/>
      <c r="IS298" s="136"/>
      <c r="IT298" s="136"/>
      <c r="IU298" s="136"/>
    </row>
    <row r="299" spans="1:255" ht="47" customHeight="1" x14ac:dyDescent="0.2">
      <c r="A299" s="242" t="str">
        <f>'HECVAT - Full'!A299</f>
        <v>HIPA-31</v>
      </c>
      <c r="B299" s="242" t="str">
        <f>VLOOKUP(A299,'HECVAT - Full'!A$24:B$312,2,FALSE)</f>
        <v>Have you entered into a BAA with all subcontractors who may have access to protected health information (PHI)?</v>
      </c>
      <c r="C299" s="243" t="s">
        <v>695</v>
      </c>
      <c r="D299" s="253" t="s">
        <v>2979</v>
      </c>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c r="AC299" s="136"/>
      <c r="AD299" s="136"/>
      <c r="AE299" s="136"/>
      <c r="AF299" s="136"/>
      <c r="AG299" s="136"/>
      <c r="AH299" s="136"/>
      <c r="AI299" s="136"/>
      <c r="AJ299" s="136"/>
      <c r="AK299" s="136"/>
      <c r="AL299" s="136"/>
      <c r="AM299" s="136"/>
      <c r="AN299" s="136"/>
      <c r="AO299" s="136"/>
      <c r="AP299" s="136"/>
      <c r="AQ299" s="136"/>
      <c r="AR299" s="136"/>
      <c r="AS299" s="136"/>
      <c r="AT299" s="136"/>
      <c r="AU299" s="136"/>
      <c r="AV299" s="136"/>
      <c r="AW299" s="136"/>
      <c r="AX299" s="136"/>
      <c r="AY299" s="136"/>
      <c r="AZ299" s="136"/>
      <c r="BA299" s="136"/>
      <c r="BB299" s="136"/>
      <c r="BC299" s="136"/>
      <c r="BD299" s="136"/>
      <c r="BE299" s="136"/>
      <c r="BF299" s="136"/>
      <c r="BG299" s="136"/>
      <c r="BH299" s="136"/>
      <c r="BI299" s="136"/>
      <c r="BJ299" s="136"/>
      <c r="BK299" s="136"/>
      <c r="BL299" s="136"/>
      <c r="BM299" s="136"/>
      <c r="BN299" s="136"/>
      <c r="BO299" s="136"/>
      <c r="BP299" s="136"/>
      <c r="BQ299" s="136"/>
      <c r="BR299" s="136"/>
      <c r="BS299" s="136"/>
      <c r="BT299" s="136"/>
      <c r="BU299" s="136"/>
      <c r="BV299" s="136"/>
      <c r="BW299" s="136"/>
      <c r="BX299" s="136"/>
      <c r="BY299" s="136"/>
      <c r="BZ299" s="136"/>
      <c r="CA299" s="136"/>
      <c r="CB299" s="136"/>
      <c r="CC299" s="136"/>
      <c r="CD299" s="136"/>
      <c r="CE299" s="136"/>
      <c r="CF299" s="136"/>
      <c r="CG299" s="136"/>
      <c r="CH299" s="136"/>
      <c r="CI299" s="136"/>
      <c r="CJ299" s="136"/>
      <c r="CK299" s="136"/>
      <c r="CL299" s="136"/>
      <c r="CM299" s="136"/>
      <c r="CN299" s="136"/>
      <c r="CO299" s="136"/>
      <c r="CP299" s="136"/>
      <c r="CQ299" s="136"/>
      <c r="CR299" s="136"/>
      <c r="CS299" s="136"/>
      <c r="CT299" s="136"/>
      <c r="CU299" s="136"/>
      <c r="CV299" s="136"/>
      <c r="CW299" s="136"/>
      <c r="CX299" s="136"/>
      <c r="CY299" s="136"/>
      <c r="CZ299" s="136"/>
      <c r="DA299" s="136"/>
      <c r="DB299" s="136"/>
      <c r="DC299" s="136"/>
      <c r="DD299" s="136"/>
      <c r="DE299" s="136"/>
      <c r="DF299" s="136"/>
      <c r="DG299" s="136"/>
      <c r="DH299" s="136"/>
      <c r="DI299" s="136"/>
      <c r="DJ299" s="136"/>
      <c r="DK299" s="136"/>
      <c r="DL299" s="136"/>
      <c r="DM299" s="136"/>
      <c r="DN299" s="136"/>
      <c r="DO299" s="136"/>
      <c r="DP299" s="136"/>
      <c r="DQ299" s="136"/>
      <c r="DR299" s="136"/>
      <c r="DS299" s="136"/>
      <c r="DT299" s="136"/>
      <c r="DU299" s="136"/>
      <c r="DV299" s="136"/>
      <c r="DW299" s="136"/>
      <c r="DX299" s="136"/>
      <c r="DY299" s="136"/>
      <c r="DZ299" s="136"/>
      <c r="EA299" s="136"/>
      <c r="EB299" s="136"/>
      <c r="EC299" s="136"/>
      <c r="ED299" s="136"/>
      <c r="EE299" s="136"/>
      <c r="EF299" s="136"/>
      <c r="EG299" s="136"/>
      <c r="EH299" s="136"/>
      <c r="EI299" s="136"/>
      <c r="EJ299" s="136"/>
      <c r="EK299" s="136"/>
      <c r="EL299" s="136"/>
      <c r="EM299" s="136"/>
      <c r="EN299" s="136"/>
      <c r="EO299" s="136"/>
      <c r="EP299" s="136"/>
      <c r="EQ299" s="136"/>
      <c r="ER299" s="136"/>
      <c r="ES299" s="136"/>
      <c r="ET299" s="136"/>
      <c r="EU299" s="136"/>
      <c r="EV299" s="136"/>
      <c r="EW299" s="136"/>
      <c r="EX299" s="136"/>
      <c r="EY299" s="136"/>
      <c r="EZ299" s="136"/>
      <c r="FA299" s="136"/>
      <c r="FB299" s="136"/>
      <c r="FC299" s="136"/>
      <c r="FD299" s="136"/>
      <c r="FE299" s="136"/>
      <c r="FF299" s="136"/>
      <c r="FG299" s="136"/>
      <c r="FH299" s="136"/>
      <c r="FI299" s="136"/>
      <c r="FJ299" s="136"/>
      <c r="FK299" s="136"/>
      <c r="FL299" s="136"/>
      <c r="FM299" s="136"/>
      <c r="FN299" s="136"/>
      <c r="FO299" s="136"/>
      <c r="FP299" s="136"/>
      <c r="FQ299" s="136"/>
      <c r="FR299" s="136"/>
      <c r="FS299" s="136"/>
      <c r="FT299" s="136"/>
      <c r="FU299" s="136"/>
      <c r="FV299" s="136"/>
      <c r="FW299" s="136"/>
      <c r="FX299" s="136"/>
      <c r="FY299" s="136"/>
      <c r="FZ299" s="136"/>
      <c r="GA299" s="136"/>
      <c r="GB299" s="136"/>
      <c r="GC299" s="136"/>
      <c r="GD299" s="136"/>
      <c r="GE299" s="136"/>
      <c r="GF299" s="136"/>
      <c r="GG299" s="136"/>
      <c r="GH299" s="136"/>
      <c r="GI299" s="136"/>
      <c r="GJ299" s="136"/>
      <c r="GK299" s="136"/>
      <c r="GL299" s="136"/>
      <c r="GM299" s="136"/>
      <c r="GN299" s="136"/>
      <c r="GO299" s="136"/>
      <c r="GP299" s="136"/>
      <c r="GQ299" s="136"/>
      <c r="GR299" s="136"/>
      <c r="GS299" s="136"/>
      <c r="GT299" s="136"/>
      <c r="GU299" s="136"/>
      <c r="GV299" s="136"/>
      <c r="GW299" s="136"/>
      <c r="GX299" s="136"/>
      <c r="GY299" s="136"/>
      <c r="GZ299" s="136"/>
      <c r="HA299" s="136"/>
      <c r="HB299" s="136"/>
      <c r="HC299" s="136"/>
      <c r="HD299" s="136"/>
      <c r="HE299" s="136"/>
      <c r="HF299" s="136"/>
      <c r="HG299" s="136"/>
      <c r="HH299" s="136"/>
      <c r="HI299" s="136"/>
      <c r="HJ299" s="136"/>
      <c r="HK299" s="136"/>
      <c r="HL299" s="136"/>
      <c r="HM299" s="136"/>
      <c r="HN299" s="136"/>
      <c r="HO299" s="136"/>
      <c r="HP299" s="136"/>
      <c r="HQ299" s="136"/>
      <c r="HR299" s="136"/>
      <c r="HS299" s="136"/>
      <c r="HT299" s="136"/>
      <c r="HU299" s="136"/>
      <c r="HV299" s="136"/>
      <c r="HW299" s="136"/>
      <c r="HX299" s="136"/>
      <c r="HY299" s="136"/>
      <c r="HZ299" s="136"/>
      <c r="IA299" s="136"/>
      <c r="IB299" s="136"/>
      <c r="IC299" s="136"/>
      <c r="ID299" s="136"/>
      <c r="IE299" s="136"/>
      <c r="IF299" s="136"/>
      <c r="IG299" s="136"/>
      <c r="IH299" s="136"/>
      <c r="II299" s="136"/>
      <c r="IJ299" s="136"/>
      <c r="IK299" s="136"/>
      <c r="IL299" s="136"/>
      <c r="IM299" s="136"/>
      <c r="IN299" s="136"/>
      <c r="IO299" s="136"/>
      <c r="IP299" s="136"/>
      <c r="IQ299" s="136"/>
      <c r="IR299" s="136"/>
      <c r="IS299" s="136"/>
      <c r="IT299" s="136"/>
      <c r="IU299" s="136"/>
    </row>
    <row r="300" spans="1:255" ht="36" customHeight="1" x14ac:dyDescent="0.2">
      <c r="A300" s="335" t="str">
        <f>IF(OR($C$29="No",$C$30="Yes"),"PCI DSS - Optional based on QUALIFIER response.","PCI DSS")</f>
        <v>PCI DSS</v>
      </c>
      <c r="B300" s="335"/>
      <c r="C300" s="240" t="str">
        <f>$C$22</f>
        <v>Reason for Question</v>
      </c>
      <c r="D300" s="240" t="str">
        <f>$D$22</f>
        <v>Follow-up Inquiries/Responses</v>
      </c>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c r="AC300" s="136"/>
      <c r="AD300" s="136"/>
      <c r="AE300" s="136"/>
      <c r="AF300" s="136"/>
      <c r="AG300" s="136"/>
      <c r="AH300" s="136"/>
      <c r="AI300" s="136"/>
      <c r="AJ300" s="136"/>
      <c r="AK300" s="136"/>
      <c r="AL300" s="136"/>
      <c r="AM300" s="136"/>
      <c r="AN300" s="136"/>
      <c r="AO300" s="136"/>
      <c r="AP300" s="136"/>
      <c r="AQ300" s="136"/>
      <c r="AR300" s="136"/>
      <c r="AS300" s="136"/>
      <c r="AT300" s="136"/>
      <c r="AU300" s="136"/>
      <c r="AV300" s="136"/>
      <c r="AW300" s="136"/>
      <c r="AX300" s="136"/>
      <c r="AY300" s="136"/>
      <c r="AZ300" s="136"/>
      <c r="BA300" s="136"/>
      <c r="BB300" s="136"/>
      <c r="BC300" s="136"/>
      <c r="BD300" s="136"/>
      <c r="BE300" s="136"/>
      <c r="BF300" s="136"/>
      <c r="BG300" s="136"/>
      <c r="BH300" s="136"/>
      <c r="BI300" s="136"/>
      <c r="BJ300" s="136"/>
      <c r="BK300" s="136"/>
      <c r="BL300" s="136"/>
      <c r="BM300" s="136"/>
      <c r="BN300" s="136"/>
      <c r="BO300" s="136"/>
      <c r="BP300" s="136"/>
      <c r="BQ300" s="136"/>
      <c r="BR300" s="136"/>
      <c r="BS300" s="136"/>
      <c r="BT300" s="136"/>
      <c r="BU300" s="136"/>
      <c r="BV300" s="136"/>
      <c r="BW300" s="136"/>
      <c r="BX300" s="136"/>
      <c r="BY300" s="136"/>
      <c r="BZ300" s="136"/>
      <c r="CA300" s="136"/>
      <c r="CB300" s="136"/>
      <c r="CC300" s="136"/>
      <c r="CD300" s="136"/>
      <c r="CE300" s="136"/>
      <c r="CF300" s="136"/>
      <c r="CG300" s="136"/>
      <c r="CH300" s="136"/>
      <c r="CI300" s="136"/>
      <c r="CJ300" s="136"/>
      <c r="CK300" s="136"/>
      <c r="CL300" s="136"/>
      <c r="CM300" s="136"/>
      <c r="CN300" s="136"/>
      <c r="CO300" s="136"/>
      <c r="CP300" s="136"/>
      <c r="CQ300" s="136"/>
      <c r="CR300" s="136"/>
      <c r="CS300" s="136"/>
      <c r="CT300" s="136"/>
      <c r="CU300" s="136"/>
      <c r="CV300" s="136"/>
      <c r="CW300" s="136"/>
      <c r="CX300" s="136"/>
      <c r="CY300" s="136"/>
      <c r="CZ300" s="136"/>
      <c r="DA300" s="136"/>
      <c r="DB300" s="136"/>
      <c r="DC300" s="136"/>
      <c r="DD300" s="136"/>
      <c r="DE300" s="136"/>
      <c r="DF300" s="136"/>
      <c r="DG300" s="136"/>
      <c r="DH300" s="136"/>
      <c r="DI300" s="136"/>
      <c r="DJ300" s="136"/>
      <c r="DK300" s="136"/>
      <c r="DL300" s="136"/>
      <c r="DM300" s="136"/>
      <c r="DN300" s="136"/>
      <c r="DO300" s="136"/>
      <c r="DP300" s="136"/>
      <c r="DQ300" s="136"/>
      <c r="DR300" s="136"/>
      <c r="DS300" s="136"/>
      <c r="DT300" s="136"/>
      <c r="DU300" s="136"/>
      <c r="DV300" s="136"/>
      <c r="DW300" s="136"/>
      <c r="DX300" s="136"/>
      <c r="DY300" s="136"/>
      <c r="DZ300" s="136"/>
      <c r="EA300" s="136"/>
      <c r="EB300" s="136"/>
      <c r="EC300" s="136"/>
      <c r="ED300" s="136"/>
      <c r="EE300" s="136"/>
      <c r="EF300" s="136"/>
      <c r="EG300" s="136"/>
      <c r="EH300" s="136"/>
      <c r="EI300" s="136"/>
      <c r="EJ300" s="136"/>
      <c r="EK300" s="136"/>
      <c r="EL300" s="136"/>
      <c r="EM300" s="136"/>
      <c r="EN300" s="136"/>
      <c r="EO300" s="136"/>
      <c r="EP300" s="136"/>
      <c r="EQ300" s="136"/>
      <c r="ER300" s="136"/>
      <c r="ES300" s="136"/>
      <c r="ET300" s="136"/>
      <c r="EU300" s="136"/>
      <c r="EV300" s="136"/>
      <c r="EW300" s="136"/>
      <c r="EX300" s="136"/>
      <c r="EY300" s="136"/>
      <c r="EZ300" s="136"/>
      <c r="FA300" s="136"/>
      <c r="FB300" s="136"/>
      <c r="FC300" s="136"/>
      <c r="FD300" s="136"/>
      <c r="FE300" s="136"/>
      <c r="FF300" s="136"/>
      <c r="FG300" s="136"/>
      <c r="FH300" s="136"/>
      <c r="FI300" s="136"/>
      <c r="FJ300" s="136"/>
      <c r="FK300" s="136"/>
      <c r="FL300" s="136"/>
      <c r="FM300" s="136"/>
      <c r="FN300" s="136"/>
      <c r="FO300" s="136"/>
      <c r="FP300" s="136"/>
      <c r="FQ300" s="136"/>
      <c r="FR300" s="136"/>
      <c r="FS300" s="136"/>
      <c r="FT300" s="136"/>
      <c r="FU300" s="136"/>
      <c r="FV300" s="136"/>
      <c r="FW300" s="136"/>
      <c r="FX300" s="136"/>
      <c r="FY300" s="136"/>
      <c r="FZ300" s="136"/>
      <c r="GA300" s="136"/>
      <c r="GB300" s="136"/>
      <c r="GC300" s="136"/>
      <c r="GD300" s="136"/>
      <c r="GE300" s="136"/>
      <c r="GF300" s="136"/>
      <c r="GG300" s="136"/>
      <c r="GH300" s="136"/>
      <c r="GI300" s="136"/>
      <c r="GJ300" s="136"/>
      <c r="GK300" s="136"/>
      <c r="GL300" s="136"/>
      <c r="GM300" s="136"/>
      <c r="GN300" s="136"/>
      <c r="GO300" s="136"/>
      <c r="GP300" s="136"/>
      <c r="GQ300" s="136"/>
      <c r="GR300" s="136"/>
      <c r="GS300" s="136"/>
      <c r="GT300" s="136"/>
      <c r="GU300" s="136"/>
      <c r="GV300" s="136"/>
      <c r="GW300" s="136"/>
      <c r="GX300" s="136"/>
      <c r="GY300" s="136"/>
      <c r="GZ300" s="136"/>
      <c r="HA300" s="136"/>
      <c r="HB300" s="136"/>
      <c r="HC300" s="136"/>
      <c r="HD300" s="136"/>
      <c r="HE300" s="136"/>
      <c r="HF300" s="136"/>
      <c r="HG300" s="136"/>
      <c r="HH300" s="136"/>
      <c r="HI300" s="136"/>
      <c r="HJ300" s="136"/>
      <c r="HK300" s="136"/>
      <c r="HL300" s="136"/>
      <c r="HM300" s="136"/>
      <c r="HN300" s="136"/>
      <c r="HO300" s="136"/>
      <c r="HP300" s="136"/>
      <c r="HQ300" s="136"/>
      <c r="HR300" s="136"/>
      <c r="HS300" s="136"/>
      <c r="HT300" s="136"/>
      <c r="HU300" s="136"/>
      <c r="HV300" s="136"/>
      <c r="HW300" s="136"/>
      <c r="HX300" s="136"/>
      <c r="HY300" s="136"/>
      <c r="HZ300" s="136"/>
      <c r="IA300" s="136"/>
      <c r="IB300" s="136"/>
      <c r="IC300" s="136"/>
      <c r="ID300" s="136"/>
      <c r="IE300" s="136"/>
      <c r="IF300" s="136"/>
      <c r="IG300" s="136"/>
      <c r="IH300" s="136"/>
      <c r="II300" s="136"/>
      <c r="IJ300" s="136"/>
      <c r="IK300" s="136"/>
      <c r="IL300" s="136"/>
      <c r="IM300" s="136"/>
      <c r="IN300" s="136"/>
      <c r="IO300" s="136"/>
      <c r="IP300" s="136"/>
      <c r="IQ300" s="136"/>
      <c r="IR300" s="136"/>
      <c r="IS300" s="136"/>
      <c r="IT300" s="136"/>
      <c r="IU300" s="136"/>
    </row>
    <row r="301" spans="1:255" ht="48" customHeight="1" x14ac:dyDescent="0.2">
      <c r="A301" s="242" t="str">
        <f>'HECVAT - Full'!A301</f>
        <v>PCID-01</v>
      </c>
      <c r="B301" s="242" t="str">
        <f>VLOOKUP(A301,'HECVAT - Full'!A$24:B$312,2,FALSE)</f>
        <v>Do your systems or products store, process, or transmit cardholder (payment/credit/debt card) data?</v>
      </c>
      <c r="C301" s="243">
        <v>12.8</v>
      </c>
      <c r="D301" s="253" t="s">
        <v>2982</v>
      </c>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c r="AC301" s="136"/>
      <c r="AD301" s="136"/>
      <c r="AE301" s="136"/>
      <c r="AF301" s="136"/>
      <c r="AG301" s="136"/>
      <c r="AH301" s="136"/>
      <c r="AI301" s="136"/>
      <c r="AJ301" s="136"/>
      <c r="AK301" s="136"/>
      <c r="AL301" s="136"/>
      <c r="AM301" s="136"/>
      <c r="AN301" s="136"/>
      <c r="AO301" s="136"/>
      <c r="AP301" s="136"/>
      <c r="AQ301" s="136"/>
      <c r="AR301" s="136"/>
      <c r="AS301" s="136"/>
      <c r="AT301" s="136"/>
      <c r="AU301" s="136"/>
      <c r="AV301" s="136"/>
      <c r="AW301" s="136"/>
      <c r="AX301" s="136"/>
      <c r="AY301" s="136"/>
      <c r="AZ301" s="136"/>
      <c r="BA301" s="136"/>
      <c r="BB301" s="136"/>
      <c r="BC301" s="136"/>
      <c r="BD301" s="136"/>
      <c r="BE301" s="136"/>
      <c r="BF301" s="136"/>
      <c r="BG301" s="136"/>
      <c r="BH301" s="136"/>
      <c r="BI301" s="136"/>
      <c r="BJ301" s="136"/>
      <c r="BK301" s="136"/>
      <c r="BL301" s="136"/>
      <c r="BM301" s="136"/>
      <c r="BN301" s="136"/>
      <c r="BO301" s="136"/>
      <c r="BP301" s="136"/>
      <c r="BQ301" s="136"/>
      <c r="BR301" s="136"/>
      <c r="BS301" s="136"/>
      <c r="BT301" s="136"/>
      <c r="BU301" s="136"/>
      <c r="BV301" s="136"/>
      <c r="BW301" s="136"/>
      <c r="BX301" s="136"/>
      <c r="BY301" s="136"/>
      <c r="BZ301" s="136"/>
      <c r="CA301" s="136"/>
      <c r="CB301" s="136"/>
      <c r="CC301" s="136"/>
      <c r="CD301" s="136"/>
      <c r="CE301" s="136"/>
      <c r="CF301" s="136"/>
      <c r="CG301" s="136"/>
      <c r="CH301" s="136"/>
      <c r="CI301" s="136"/>
      <c r="CJ301" s="136"/>
      <c r="CK301" s="136"/>
      <c r="CL301" s="136"/>
      <c r="CM301" s="136"/>
      <c r="CN301" s="136"/>
      <c r="CO301" s="136"/>
      <c r="CP301" s="136"/>
      <c r="CQ301" s="136"/>
      <c r="CR301" s="136"/>
      <c r="CS301" s="136"/>
      <c r="CT301" s="136"/>
      <c r="CU301" s="136"/>
      <c r="CV301" s="136"/>
      <c r="CW301" s="136"/>
      <c r="CX301" s="136"/>
      <c r="CY301" s="136"/>
      <c r="CZ301" s="136"/>
      <c r="DA301" s="136"/>
      <c r="DB301" s="136"/>
      <c r="DC301" s="136"/>
      <c r="DD301" s="136"/>
      <c r="DE301" s="136"/>
      <c r="DF301" s="136"/>
      <c r="DG301" s="136"/>
      <c r="DH301" s="136"/>
      <c r="DI301" s="136"/>
      <c r="DJ301" s="136"/>
      <c r="DK301" s="136"/>
      <c r="DL301" s="136"/>
      <c r="DM301" s="136"/>
      <c r="DN301" s="136"/>
      <c r="DO301" s="136"/>
      <c r="DP301" s="136"/>
      <c r="DQ301" s="136"/>
      <c r="DR301" s="136"/>
      <c r="DS301" s="136"/>
      <c r="DT301" s="136"/>
      <c r="DU301" s="136"/>
      <c r="DV301" s="136"/>
      <c r="DW301" s="136"/>
      <c r="DX301" s="136"/>
      <c r="DY301" s="136"/>
      <c r="DZ301" s="136"/>
      <c r="EA301" s="136"/>
      <c r="EB301" s="136"/>
      <c r="EC301" s="136"/>
      <c r="ED301" s="136"/>
      <c r="EE301" s="136"/>
      <c r="EF301" s="136"/>
      <c r="EG301" s="136"/>
      <c r="EH301" s="136"/>
      <c r="EI301" s="136"/>
      <c r="EJ301" s="136"/>
      <c r="EK301" s="136"/>
      <c r="EL301" s="136"/>
      <c r="EM301" s="136"/>
      <c r="EN301" s="136"/>
      <c r="EO301" s="136"/>
      <c r="EP301" s="136"/>
      <c r="EQ301" s="136"/>
      <c r="ER301" s="136"/>
      <c r="ES301" s="136"/>
      <c r="ET301" s="136"/>
      <c r="EU301" s="136"/>
      <c r="EV301" s="136"/>
      <c r="EW301" s="136"/>
      <c r="EX301" s="136"/>
      <c r="EY301" s="136"/>
      <c r="EZ301" s="136"/>
      <c r="FA301" s="136"/>
      <c r="FB301" s="136"/>
      <c r="FC301" s="136"/>
      <c r="FD301" s="136"/>
      <c r="FE301" s="136"/>
      <c r="FF301" s="136"/>
      <c r="FG301" s="136"/>
      <c r="FH301" s="136"/>
      <c r="FI301" s="136"/>
      <c r="FJ301" s="136"/>
      <c r="FK301" s="136"/>
      <c r="FL301" s="136"/>
      <c r="FM301" s="136"/>
      <c r="FN301" s="136"/>
      <c r="FO301" s="136"/>
      <c r="FP301" s="136"/>
      <c r="FQ301" s="136"/>
      <c r="FR301" s="136"/>
      <c r="FS301" s="136"/>
      <c r="FT301" s="136"/>
      <c r="FU301" s="136"/>
      <c r="FV301" s="136"/>
      <c r="FW301" s="136"/>
      <c r="FX301" s="136"/>
      <c r="FY301" s="136"/>
      <c r="FZ301" s="136"/>
      <c r="GA301" s="136"/>
      <c r="GB301" s="136"/>
      <c r="GC301" s="136"/>
      <c r="GD301" s="136"/>
      <c r="GE301" s="136"/>
      <c r="GF301" s="136"/>
      <c r="GG301" s="136"/>
      <c r="GH301" s="136"/>
      <c r="GI301" s="136"/>
      <c r="GJ301" s="136"/>
      <c r="GK301" s="136"/>
      <c r="GL301" s="136"/>
      <c r="GM301" s="136"/>
      <c r="GN301" s="136"/>
      <c r="GO301" s="136"/>
      <c r="GP301" s="136"/>
      <c r="GQ301" s="136"/>
      <c r="GR301" s="136"/>
      <c r="GS301" s="136"/>
      <c r="GT301" s="136"/>
      <c r="GU301" s="136"/>
      <c r="GV301" s="136"/>
      <c r="GW301" s="136"/>
      <c r="GX301" s="136"/>
      <c r="GY301" s="136"/>
      <c r="GZ301" s="136"/>
      <c r="HA301" s="136"/>
      <c r="HB301" s="136"/>
      <c r="HC301" s="136"/>
      <c r="HD301" s="136"/>
      <c r="HE301" s="136"/>
      <c r="HF301" s="136"/>
      <c r="HG301" s="136"/>
      <c r="HH301" s="136"/>
      <c r="HI301" s="136"/>
      <c r="HJ301" s="136"/>
      <c r="HK301" s="136"/>
      <c r="HL301" s="136"/>
      <c r="HM301" s="136"/>
      <c r="HN301" s="136"/>
      <c r="HO301" s="136"/>
      <c r="HP301" s="136"/>
      <c r="HQ301" s="136"/>
      <c r="HR301" s="136"/>
      <c r="HS301" s="136"/>
      <c r="HT301" s="136"/>
      <c r="HU301" s="136"/>
      <c r="HV301" s="136"/>
      <c r="HW301" s="136"/>
      <c r="HX301" s="136"/>
      <c r="HY301" s="136"/>
      <c r="HZ301" s="136"/>
      <c r="IA301" s="136"/>
      <c r="IB301" s="136"/>
      <c r="IC301" s="136"/>
      <c r="ID301" s="136"/>
      <c r="IE301" s="136"/>
      <c r="IF301" s="136"/>
      <c r="IG301" s="136"/>
      <c r="IH301" s="136"/>
      <c r="II301" s="136"/>
      <c r="IJ301" s="136"/>
      <c r="IK301" s="136"/>
      <c r="IL301" s="136"/>
      <c r="IM301" s="136"/>
      <c r="IN301" s="136"/>
      <c r="IO301" s="136"/>
      <c r="IP301" s="136"/>
      <c r="IQ301" s="136"/>
      <c r="IR301" s="136"/>
      <c r="IS301" s="136"/>
      <c r="IT301" s="136"/>
      <c r="IU301" s="136"/>
    </row>
    <row r="302" spans="1:255" ht="48" customHeight="1" x14ac:dyDescent="0.2">
      <c r="A302" s="242" t="str">
        <f>'HECVAT - Full'!A302</f>
        <v>PCID-02</v>
      </c>
      <c r="B302" s="242" t="str">
        <f>VLOOKUP(A302,'HECVAT - Full'!A$24:B$312,2,FALSE)</f>
        <v>Are you compliant with the Payment Card Industry Data Security Standard (PCI DSS)?</v>
      </c>
      <c r="C302" s="243">
        <v>12.8</v>
      </c>
      <c r="D302" s="253" t="s">
        <v>2982</v>
      </c>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c r="AC302" s="136"/>
      <c r="AD302" s="136"/>
      <c r="AE302" s="136"/>
      <c r="AF302" s="136"/>
      <c r="AG302" s="136"/>
      <c r="AH302" s="136"/>
      <c r="AI302" s="136"/>
      <c r="AJ302" s="136"/>
      <c r="AK302" s="136"/>
      <c r="AL302" s="136"/>
      <c r="AM302" s="136"/>
      <c r="AN302" s="136"/>
      <c r="AO302" s="136"/>
      <c r="AP302" s="136"/>
      <c r="AQ302" s="136"/>
      <c r="AR302" s="136"/>
      <c r="AS302" s="136"/>
      <c r="AT302" s="136"/>
      <c r="AU302" s="136"/>
      <c r="AV302" s="136"/>
      <c r="AW302" s="136"/>
      <c r="AX302" s="136"/>
      <c r="AY302" s="136"/>
      <c r="AZ302" s="136"/>
      <c r="BA302" s="136"/>
      <c r="BB302" s="136"/>
      <c r="BC302" s="136"/>
      <c r="BD302" s="136"/>
      <c r="BE302" s="136"/>
      <c r="BF302" s="136"/>
      <c r="BG302" s="136"/>
      <c r="BH302" s="136"/>
      <c r="BI302" s="136"/>
      <c r="BJ302" s="136"/>
      <c r="BK302" s="136"/>
      <c r="BL302" s="136"/>
      <c r="BM302" s="136"/>
      <c r="BN302" s="136"/>
      <c r="BO302" s="136"/>
      <c r="BP302" s="136"/>
      <c r="BQ302" s="136"/>
      <c r="BR302" s="136"/>
      <c r="BS302" s="136"/>
      <c r="BT302" s="136"/>
      <c r="BU302" s="136"/>
      <c r="BV302" s="136"/>
      <c r="BW302" s="136"/>
      <c r="BX302" s="136"/>
      <c r="BY302" s="136"/>
      <c r="BZ302" s="136"/>
      <c r="CA302" s="136"/>
      <c r="CB302" s="136"/>
      <c r="CC302" s="136"/>
      <c r="CD302" s="136"/>
      <c r="CE302" s="136"/>
      <c r="CF302" s="136"/>
      <c r="CG302" s="136"/>
      <c r="CH302" s="136"/>
      <c r="CI302" s="136"/>
      <c r="CJ302" s="136"/>
      <c r="CK302" s="136"/>
      <c r="CL302" s="136"/>
      <c r="CM302" s="136"/>
      <c r="CN302" s="136"/>
      <c r="CO302" s="136"/>
      <c r="CP302" s="136"/>
      <c r="CQ302" s="136"/>
      <c r="CR302" s="136"/>
      <c r="CS302" s="136"/>
      <c r="CT302" s="136"/>
      <c r="CU302" s="136"/>
      <c r="CV302" s="136"/>
      <c r="CW302" s="136"/>
      <c r="CX302" s="136"/>
      <c r="CY302" s="136"/>
      <c r="CZ302" s="136"/>
      <c r="DA302" s="136"/>
      <c r="DB302" s="136"/>
      <c r="DC302" s="136"/>
      <c r="DD302" s="136"/>
      <c r="DE302" s="136"/>
      <c r="DF302" s="136"/>
      <c r="DG302" s="136"/>
      <c r="DH302" s="136"/>
      <c r="DI302" s="136"/>
      <c r="DJ302" s="136"/>
      <c r="DK302" s="136"/>
      <c r="DL302" s="136"/>
      <c r="DM302" s="136"/>
      <c r="DN302" s="136"/>
      <c r="DO302" s="136"/>
      <c r="DP302" s="136"/>
      <c r="DQ302" s="136"/>
      <c r="DR302" s="136"/>
      <c r="DS302" s="136"/>
      <c r="DT302" s="136"/>
      <c r="DU302" s="136"/>
      <c r="DV302" s="136"/>
      <c r="DW302" s="136"/>
      <c r="DX302" s="136"/>
      <c r="DY302" s="136"/>
      <c r="DZ302" s="136"/>
      <c r="EA302" s="136"/>
      <c r="EB302" s="136"/>
      <c r="EC302" s="136"/>
      <c r="ED302" s="136"/>
      <c r="EE302" s="136"/>
      <c r="EF302" s="136"/>
      <c r="EG302" s="136"/>
      <c r="EH302" s="136"/>
      <c r="EI302" s="136"/>
      <c r="EJ302" s="136"/>
      <c r="EK302" s="136"/>
      <c r="EL302" s="136"/>
      <c r="EM302" s="136"/>
      <c r="EN302" s="136"/>
      <c r="EO302" s="136"/>
      <c r="EP302" s="136"/>
      <c r="EQ302" s="136"/>
      <c r="ER302" s="136"/>
      <c r="ES302" s="136"/>
      <c r="ET302" s="136"/>
      <c r="EU302" s="136"/>
      <c r="EV302" s="136"/>
      <c r="EW302" s="136"/>
      <c r="EX302" s="136"/>
      <c r="EY302" s="136"/>
      <c r="EZ302" s="136"/>
      <c r="FA302" s="136"/>
      <c r="FB302" s="136"/>
      <c r="FC302" s="136"/>
      <c r="FD302" s="136"/>
      <c r="FE302" s="136"/>
      <c r="FF302" s="136"/>
      <c r="FG302" s="136"/>
      <c r="FH302" s="136"/>
      <c r="FI302" s="136"/>
      <c r="FJ302" s="136"/>
      <c r="FK302" s="136"/>
      <c r="FL302" s="136"/>
      <c r="FM302" s="136"/>
      <c r="FN302" s="136"/>
      <c r="FO302" s="136"/>
      <c r="FP302" s="136"/>
      <c r="FQ302" s="136"/>
      <c r="FR302" s="136"/>
      <c r="FS302" s="136"/>
      <c r="FT302" s="136"/>
      <c r="FU302" s="136"/>
      <c r="FV302" s="136"/>
      <c r="FW302" s="136"/>
      <c r="FX302" s="136"/>
      <c r="FY302" s="136"/>
      <c r="FZ302" s="136"/>
      <c r="GA302" s="136"/>
      <c r="GB302" s="136"/>
      <c r="GC302" s="136"/>
      <c r="GD302" s="136"/>
      <c r="GE302" s="136"/>
      <c r="GF302" s="136"/>
      <c r="GG302" s="136"/>
      <c r="GH302" s="136"/>
      <c r="GI302" s="136"/>
      <c r="GJ302" s="136"/>
      <c r="GK302" s="136"/>
      <c r="GL302" s="136"/>
      <c r="GM302" s="136"/>
      <c r="GN302" s="136"/>
      <c r="GO302" s="136"/>
      <c r="GP302" s="136"/>
      <c r="GQ302" s="136"/>
      <c r="GR302" s="136"/>
      <c r="GS302" s="136"/>
      <c r="GT302" s="136"/>
      <c r="GU302" s="136"/>
      <c r="GV302" s="136"/>
      <c r="GW302" s="136"/>
      <c r="GX302" s="136"/>
      <c r="GY302" s="136"/>
      <c r="GZ302" s="136"/>
      <c r="HA302" s="136"/>
      <c r="HB302" s="136"/>
      <c r="HC302" s="136"/>
      <c r="HD302" s="136"/>
      <c r="HE302" s="136"/>
      <c r="HF302" s="136"/>
      <c r="HG302" s="136"/>
      <c r="HH302" s="136"/>
      <c r="HI302" s="136"/>
      <c r="HJ302" s="136"/>
      <c r="HK302" s="136"/>
      <c r="HL302" s="136"/>
      <c r="HM302" s="136"/>
      <c r="HN302" s="136"/>
      <c r="HO302" s="136"/>
      <c r="HP302" s="136"/>
      <c r="HQ302" s="136"/>
      <c r="HR302" s="136"/>
      <c r="HS302" s="136"/>
      <c r="HT302" s="136"/>
      <c r="HU302" s="136"/>
      <c r="HV302" s="136"/>
      <c r="HW302" s="136"/>
      <c r="HX302" s="136"/>
      <c r="HY302" s="136"/>
      <c r="HZ302" s="136"/>
      <c r="IA302" s="136"/>
      <c r="IB302" s="136"/>
      <c r="IC302" s="136"/>
      <c r="ID302" s="136"/>
      <c r="IE302" s="136"/>
      <c r="IF302" s="136"/>
      <c r="IG302" s="136"/>
      <c r="IH302" s="136"/>
      <c r="II302" s="136"/>
      <c r="IJ302" s="136"/>
      <c r="IK302" s="136"/>
      <c r="IL302" s="136"/>
      <c r="IM302" s="136"/>
      <c r="IN302" s="136"/>
      <c r="IO302" s="136"/>
      <c r="IP302" s="136"/>
      <c r="IQ302" s="136"/>
      <c r="IR302" s="136"/>
      <c r="IS302" s="136"/>
      <c r="IT302" s="136"/>
      <c r="IU302" s="136"/>
    </row>
    <row r="303" spans="1:255" ht="48" customHeight="1" x14ac:dyDescent="0.2">
      <c r="A303" s="242" t="str">
        <f>'HECVAT - Full'!A303</f>
        <v>PCID-03</v>
      </c>
      <c r="B303" s="242" t="str">
        <f>VLOOKUP(A303,'HECVAT - Full'!A$24:B$312,2,FALSE)</f>
        <v>Do you have a current, executed within the past year, Attestation of Compliance (AoC) or Report on Compliance (RoC)?</v>
      </c>
      <c r="C303" s="243">
        <v>12.8</v>
      </c>
      <c r="D303" s="253" t="s">
        <v>2982</v>
      </c>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c r="AC303" s="136"/>
      <c r="AD303" s="136"/>
      <c r="AE303" s="136"/>
      <c r="AF303" s="136"/>
      <c r="AG303" s="136"/>
      <c r="AH303" s="136"/>
      <c r="AI303" s="136"/>
      <c r="AJ303" s="136"/>
      <c r="AK303" s="136"/>
      <c r="AL303" s="136"/>
      <c r="AM303" s="136"/>
      <c r="AN303" s="136"/>
      <c r="AO303" s="136"/>
      <c r="AP303" s="136"/>
      <c r="AQ303" s="136"/>
      <c r="AR303" s="136"/>
      <c r="AS303" s="136"/>
      <c r="AT303" s="136"/>
      <c r="AU303" s="136"/>
      <c r="AV303" s="136"/>
      <c r="AW303" s="136"/>
      <c r="AX303" s="136"/>
      <c r="AY303" s="136"/>
      <c r="AZ303" s="136"/>
      <c r="BA303" s="136"/>
      <c r="BB303" s="136"/>
      <c r="BC303" s="136"/>
      <c r="BD303" s="136"/>
      <c r="BE303" s="136"/>
      <c r="BF303" s="136"/>
      <c r="BG303" s="136"/>
      <c r="BH303" s="136"/>
      <c r="BI303" s="136"/>
      <c r="BJ303" s="136"/>
      <c r="BK303" s="136"/>
      <c r="BL303" s="136"/>
      <c r="BM303" s="136"/>
      <c r="BN303" s="136"/>
      <c r="BO303" s="136"/>
      <c r="BP303" s="136"/>
      <c r="BQ303" s="136"/>
      <c r="BR303" s="136"/>
      <c r="BS303" s="136"/>
      <c r="BT303" s="136"/>
      <c r="BU303" s="136"/>
      <c r="BV303" s="136"/>
      <c r="BW303" s="136"/>
      <c r="BX303" s="136"/>
      <c r="BY303" s="136"/>
      <c r="BZ303" s="136"/>
      <c r="CA303" s="136"/>
      <c r="CB303" s="136"/>
      <c r="CC303" s="136"/>
      <c r="CD303" s="136"/>
      <c r="CE303" s="136"/>
      <c r="CF303" s="136"/>
      <c r="CG303" s="136"/>
      <c r="CH303" s="136"/>
      <c r="CI303" s="136"/>
      <c r="CJ303" s="136"/>
      <c r="CK303" s="136"/>
      <c r="CL303" s="136"/>
      <c r="CM303" s="136"/>
      <c r="CN303" s="136"/>
      <c r="CO303" s="136"/>
      <c r="CP303" s="136"/>
      <c r="CQ303" s="136"/>
      <c r="CR303" s="136"/>
      <c r="CS303" s="136"/>
      <c r="CT303" s="136"/>
      <c r="CU303" s="136"/>
      <c r="CV303" s="136"/>
      <c r="CW303" s="136"/>
      <c r="CX303" s="136"/>
      <c r="CY303" s="136"/>
      <c r="CZ303" s="136"/>
      <c r="DA303" s="136"/>
      <c r="DB303" s="136"/>
      <c r="DC303" s="136"/>
      <c r="DD303" s="136"/>
      <c r="DE303" s="136"/>
      <c r="DF303" s="136"/>
      <c r="DG303" s="136"/>
      <c r="DH303" s="136"/>
      <c r="DI303" s="136"/>
      <c r="DJ303" s="136"/>
      <c r="DK303" s="136"/>
      <c r="DL303" s="136"/>
      <c r="DM303" s="136"/>
      <c r="DN303" s="136"/>
      <c r="DO303" s="136"/>
      <c r="DP303" s="136"/>
      <c r="DQ303" s="136"/>
      <c r="DR303" s="136"/>
      <c r="DS303" s="136"/>
      <c r="DT303" s="136"/>
      <c r="DU303" s="136"/>
      <c r="DV303" s="136"/>
      <c r="DW303" s="136"/>
      <c r="DX303" s="136"/>
      <c r="DY303" s="136"/>
      <c r="DZ303" s="136"/>
      <c r="EA303" s="136"/>
      <c r="EB303" s="136"/>
      <c r="EC303" s="136"/>
      <c r="ED303" s="136"/>
      <c r="EE303" s="136"/>
      <c r="EF303" s="136"/>
      <c r="EG303" s="136"/>
      <c r="EH303" s="136"/>
      <c r="EI303" s="136"/>
      <c r="EJ303" s="136"/>
      <c r="EK303" s="136"/>
      <c r="EL303" s="136"/>
      <c r="EM303" s="136"/>
      <c r="EN303" s="136"/>
      <c r="EO303" s="136"/>
      <c r="EP303" s="136"/>
      <c r="EQ303" s="136"/>
      <c r="ER303" s="136"/>
      <c r="ES303" s="136"/>
      <c r="ET303" s="136"/>
      <c r="EU303" s="136"/>
      <c r="EV303" s="136"/>
      <c r="EW303" s="136"/>
      <c r="EX303" s="136"/>
      <c r="EY303" s="136"/>
      <c r="EZ303" s="136"/>
      <c r="FA303" s="136"/>
      <c r="FB303" s="136"/>
      <c r="FC303" s="136"/>
      <c r="FD303" s="136"/>
      <c r="FE303" s="136"/>
      <c r="FF303" s="136"/>
      <c r="FG303" s="136"/>
      <c r="FH303" s="136"/>
      <c r="FI303" s="136"/>
      <c r="FJ303" s="136"/>
      <c r="FK303" s="136"/>
      <c r="FL303" s="136"/>
      <c r="FM303" s="136"/>
      <c r="FN303" s="136"/>
      <c r="FO303" s="136"/>
      <c r="FP303" s="136"/>
      <c r="FQ303" s="136"/>
      <c r="FR303" s="136"/>
      <c r="FS303" s="136"/>
      <c r="FT303" s="136"/>
      <c r="FU303" s="136"/>
      <c r="FV303" s="136"/>
      <c r="FW303" s="136"/>
      <c r="FX303" s="136"/>
      <c r="FY303" s="136"/>
      <c r="FZ303" s="136"/>
      <c r="GA303" s="136"/>
      <c r="GB303" s="136"/>
      <c r="GC303" s="136"/>
      <c r="GD303" s="136"/>
      <c r="GE303" s="136"/>
      <c r="GF303" s="136"/>
      <c r="GG303" s="136"/>
      <c r="GH303" s="136"/>
      <c r="GI303" s="136"/>
      <c r="GJ303" s="136"/>
      <c r="GK303" s="136"/>
      <c r="GL303" s="136"/>
      <c r="GM303" s="136"/>
      <c r="GN303" s="136"/>
      <c r="GO303" s="136"/>
      <c r="GP303" s="136"/>
      <c r="GQ303" s="136"/>
      <c r="GR303" s="136"/>
      <c r="GS303" s="136"/>
      <c r="GT303" s="136"/>
      <c r="GU303" s="136"/>
      <c r="GV303" s="136"/>
      <c r="GW303" s="136"/>
      <c r="GX303" s="136"/>
      <c r="GY303" s="136"/>
      <c r="GZ303" s="136"/>
      <c r="HA303" s="136"/>
      <c r="HB303" s="136"/>
      <c r="HC303" s="136"/>
      <c r="HD303" s="136"/>
      <c r="HE303" s="136"/>
      <c r="HF303" s="136"/>
      <c r="HG303" s="136"/>
      <c r="HH303" s="136"/>
      <c r="HI303" s="136"/>
      <c r="HJ303" s="136"/>
      <c r="HK303" s="136"/>
      <c r="HL303" s="136"/>
      <c r="HM303" s="136"/>
      <c r="HN303" s="136"/>
      <c r="HO303" s="136"/>
      <c r="HP303" s="136"/>
      <c r="HQ303" s="136"/>
      <c r="HR303" s="136"/>
      <c r="HS303" s="136"/>
      <c r="HT303" s="136"/>
      <c r="HU303" s="136"/>
      <c r="HV303" s="136"/>
      <c r="HW303" s="136"/>
      <c r="HX303" s="136"/>
      <c r="HY303" s="136"/>
      <c r="HZ303" s="136"/>
      <c r="IA303" s="136"/>
      <c r="IB303" s="136"/>
      <c r="IC303" s="136"/>
      <c r="ID303" s="136"/>
      <c r="IE303" s="136"/>
      <c r="IF303" s="136"/>
      <c r="IG303" s="136"/>
      <c r="IH303" s="136"/>
      <c r="II303" s="136"/>
      <c r="IJ303" s="136"/>
      <c r="IK303" s="136"/>
      <c r="IL303" s="136"/>
      <c r="IM303" s="136"/>
      <c r="IN303" s="136"/>
      <c r="IO303" s="136"/>
      <c r="IP303" s="136"/>
      <c r="IQ303" s="136"/>
      <c r="IR303" s="136"/>
      <c r="IS303" s="136"/>
      <c r="IT303" s="136"/>
      <c r="IU303" s="136"/>
    </row>
    <row r="304" spans="1:255" ht="48" customHeight="1" x14ac:dyDescent="0.2">
      <c r="A304" s="242" t="str">
        <f>'HECVAT - Full'!A304</f>
        <v>PCID-04</v>
      </c>
      <c r="B304" s="242" t="str">
        <f>VLOOKUP(A304,'HECVAT - Full'!A$24:B$312,2,FALSE)</f>
        <v>Are you classified as a service provider?</v>
      </c>
      <c r="C304" s="243">
        <v>12.8</v>
      </c>
      <c r="D304" s="253" t="s">
        <v>2982</v>
      </c>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c r="AC304" s="136"/>
      <c r="AD304" s="136"/>
      <c r="AE304" s="136"/>
      <c r="AF304" s="136"/>
      <c r="AG304" s="136"/>
      <c r="AH304" s="136"/>
      <c r="AI304" s="136"/>
      <c r="AJ304" s="136"/>
      <c r="AK304" s="136"/>
      <c r="AL304" s="136"/>
      <c r="AM304" s="136"/>
      <c r="AN304" s="136"/>
      <c r="AO304" s="136"/>
      <c r="AP304" s="136"/>
      <c r="AQ304" s="136"/>
      <c r="AR304" s="136"/>
      <c r="AS304" s="136"/>
      <c r="AT304" s="136"/>
      <c r="AU304" s="136"/>
      <c r="AV304" s="136"/>
      <c r="AW304" s="136"/>
      <c r="AX304" s="136"/>
      <c r="AY304" s="136"/>
      <c r="AZ304" s="136"/>
      <c r="BA304" s="136"/>
      <c r="BB304" s="136"/>
      <c r="BC304" s="136"/>
      <c r="BD304" s="136"/>
      <c r="BE304" s="136"/>
      <c r="BF304" s="136"/>
      <c r="BG304" s="136"/>
      <c r="BH304" s="136"/>
      <c r="BI304" s="136"/>
      <c r="BJ304" s="136"/>
      <c r="BK304" s="136"/>
      <c r="BL304" s="136"/>
      <c r="BM304" s="136"/>
      <c r="BN304" s="136"/>
      <c r="BO304" s="136"/>
      <c r="BP304" s="136"/>
      <c r="BQ304" s="136"/>
      <c r="BR304" s="136"/>
      <c r="BS304" s="136"/>
      <c r="BT304" s="136"/>
      <c r="BU304" s="136"/>
      <c r="BV304" s="136"/>
      <c r="BW304" s="136"/>
      <c r="BX304" s="136"/>
      <c r="BY304" s="136"/>
      <c r="BZ304" s="136"/>
      <c r="CA304" s="136"/>
      <c r="CB304" s="136"/>
      <c r="CC304" s="136"/>
      <c r="CD304" s="136"/>
      <c r="CE304" s="136"/>
      <c r="CF304" s="136"/>
      <c r="CG304" s="136"/>
      <c r="CH304" s="136"/>
      <c r="CI304" s="136"/>
      <c r="CJ304" s="136"/>
      <c r="CK304" s="136"/>
      <c r="CL304" s="136"/>
      <c r="CM304" s="136"/>
      <c r="CN304" s="136"/>
      <c r="CO304" s="136"/>
      <c r="CP304" s="136"/>
      <c r="CQ304" s="136"/>
      <c r="CR304" s="136"/>
      <c r="CS304" s="136"/>
      <c r="CT304" s="136"/>
      <c r="CU304" s="136"/>
      <c r="CV304" s="136"/>
      <c r="CW304" s="136"/>
      <c r="CX304" s="136"/>
      <c r="CY304" s="136"/>
      <c r="CZ304" s="136"/>
      <c r="DA304" s="136"/>
      <c r="DB304" s="136"/>
      <c r="DC304" s="136"/>
      <c r="DD304" s="136"/>
      <c r="DE304" s="136"/>
      <c r="DF304" s="136"/>
      <c r="DG304" s="136"/>
      <c r="DH304" s="136"/>
      <c r="DI304" s="136"/>
      <c r="DJ304" s="136"/>
      <c r="DK304" s="136"/>
      <c r="DL304" s="136"/>
      <c r="DM304" s="136"/>
      <c r="DN304" s="136"/>
      <c r="DO304" s="136"/>
      <c r="DP304" s="136"/>
      <c r="DQ304" s="136"/>
      <c r="DR304" s="136"/>
      <c r="DS304" s="136"/>
      <c r="DT304" s="136"/>
      <c r="DU304" s="136"/>
      <c r="DV304" s="136"/>
      <c r="DW304" s="136"/>
      <c r="DX304" s="136"/>
      <c r="DY304" s="136"/>
      <c r="DZ304" s="136"/>
      <c r="EA304" s="136"/>
      <c r="EB304" s="136"/>
      <c r="EC304" s="136"/>
      <c r="ED304" s="136"/>
      <c r="EE304" s="136"/>
      <c r="EF304" s="136"/>
      <c r="EG304" s="136"/>
      <c r="EH304" s="136"/>
      <c r="EI304" s="136"/>
      <c r="EJ304" s="136"/>
      <c r="EK304" s="136"/>
      <c r="EL304" s="136"/>
      <c r="EM304" s="136"/>
      <c r="EN304" s="136"/>
      <c r="EO304" s="136"/>
      <c r="EP304" s="136"/>
      <c r="EQ304" s="136"/>
      <c r="ER304" s="136"/>
      <c r="ES304" s="136"/>
      <c r="ET304" s="136"/>
      <c r="EU304" s="136"/>
      <c r="EV304" s="136"/>
      <c r="EW304" s="136"/>
      <c r="EX304" s="136"/>
      <c r="EY304" s="136"/>
      <c r="EZ304" s="136"/>
      <c r="FA304" s="136"/>
      <c r="FB304" s="136"/>
      <c r="FC304" s="136"/>
      <c r="FD304" s="136"/>
      <c r="FE304" s="136"/>
      <c r="FF304" s="136"/>
      <c r="FG304" s="136"/>
      <c r="FH304" s="136"/>
      <c r="FI304" s="136"/>
      <c r="FJ304" s="136"/>
      <c r="FK304" s="136"/>
      <c r="FL304" s="136"/>
      <c r="FM304" s="136"/>
      <c r="FN304" s="136"/>
      <c r="FO304" s="136"/>
      <c r="FP304" s="136"/>
      <c r="FQ304" s="136"/>
      <c r="FR304" s="136"/>
      <c r="FS304" s="136"/>
      <c r="FT304" s="136"/>
      <c r="FU304" s="136"/>
      <c r="FV304" s="136"/>
      <c r="FW304" s="136"/>
      <c r="FX304" s="136"/>
      <c r="FY304" s="136"/>
      <c r="FZ304" s="136"/>
      <c r="GA304" s="136"/>
      <c r="GB304" s="136"/>
      <c r="GC304" s="136"/>
      <c r="GD304" s="136"/>
      <c r="GE304" s="136"/>
      <c r="GF304" s="136"/>
      <c r="GG304" s="136"/>
      <c r="GH304" s="136"/>
      <c r="GI304" s="136"/>
      <c r="GJ304" s="136"/>
      <c r="GK304" s="136"/>
      <c r="GL304" s="136"/>
      <c r="GM304" s="136"/>
      <c r="GN304" s="136"/>
      <c r="GO304" s="136"/>
      <c r="GP304" s="136"/>
      <c r="GQ304" s="136"/>
      <c r="GR304" s="136"/>
      <c r="GS304" s="136"/>
      <c r="GT304" s="136"/>
      <c r="GU304" s="136"/>
      <c r="GV304" s="136"/>
      <c r="GW304" s="136"/>
      <c r="GX304" s="136"/>
      <c r="GY304" s="136"/>
      <c r="GZ304" s="136"/>
      <c r="HA304" s="136"/>
      <c r="HB304" s="136"/>
      <c r="HC304" s="136"/>
      <c r="HD304" s="136"/>
      <c r="HE304" s="136"/>
      <c r="HF304" s="136"/>
      <c r="HG304" s="136"/>
      <c r="HH304" s="136"/>
      <c r="HI304" s="136"/>
      <c r="HJ304" s="136"/>
      <c r="HK304" s="136"/>
      <c r="HL304" s="136"/>
      <c r="HM304" s="136"/>
      <c r="HN304" s="136"/>
      <c r="HO304" s="136"/>
      <c r="HP304" s="136"/>
      <c r="HQ304" s="136"/>
      <c r="HR304" s="136"/>
      <c r="HS304" s="136"/>
      <c r="HT304" s="136"/>
      <c r="HU304" s="136"/>
      <c r="HV304" s="136"/>
      <c r="HW304" s="136"/>
      <c r="HX304" s="136"/>
      <c r="HY304" s="136"/>
      <c r="HZ304" s="136"/>
      <c r="IA304" s="136"/>
      <c r="IB304" s="136"/>
      <c r="IC304" s="136"/>
      <c r="ID304" s="136"/>
      <c r="IE304" s="136"/>
      <c r="IF304" s="136"/>
      <c r="IG304" s="136"/>
      <c r="IH304" s="136"/>
      <c r="II304" s="136"/>
      <c r="IJ304" s="136"/>
      <c r="IK304" s="136"/>
      <c r="IL304" s="136"/>
      <c r="IM304" s="136"/>
      <c r="IN304" s="136"/>
      <c r="IO304" s="136"/>
      <c r="IP304" s="136"/>
      <c r="IQ304" s="136"/>
      <c r="IR304" s="136"/>
      <c r="IS304" s="136"/>
      <c r="IT304" s="136"/>
      <c r="IU304" s="136"/>
    </row>
    <row r="305" spans="1:255" ht="48" customHeight="1" x14ac:dyDescent="0.2">
      <c r="A305" s="242" t="str">
        <f>'HECVAT - Full'!A305</f>
        <v>PCID-05</v>
      </c>
      <c r="B305" s="242" t="str">
        <f>VLOOKUP(A305,'HECVAT - Full'!A$24:B$312,2,FALSE)</f>
        <v xml:space="preserve">Are you on the list of VISA approved service providers? </v>
      </c>
      <c r="C305" s="243">
        <v>12.8</v>
      </c>
      <c r="D305" s="253" t="s">
        <v>2982</v>
      </c>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c r="AC305" s="136"/>
      <c r="AD305" s="136"/>
      <c r="AE305" s="136"/>
      <c r="AF305" s="136"/>
      <c r="AG305" s="136"/>
      <c r="AH305" s="136"/>
      <c r="AI305" s="136"/>
      <c r="AJ305" s="136"/>
      <c r="AK305" s="136"/>
      <c r="AL305" s="136"/>
      <c r="AM305" s="136"/>
      <c r="AN305" s="136"/>
      <c r="AO305" s="136"/>
      <c r="AP305" s="136"/>
      <c r="AQ305" s="136"/>
      <c r="AR305" s="136"/>
      <c r="AS305" s="136"/>
      <c r="AT305" s="136"/>
      <c r="AU305" s="136"/>
      <c r="AV305" s="136"/>
      <c r="AW305" s="136"/>
      <c r="AX305" s="136"/>
      <c r="AY305" s="136"/>
      <c r="AZ305" s="136"/>
      <c r="BA305" s="136"/>
      <c r="BB305" s="136"/>
      <c r="BC305" s="136"/>
      <c r="BD305" s="136"/>
      <c r="BE305" s="136"/>
      <c r="BF305" s="136"/>
      <c r="BG305" s="136"/>
      <c r="BH305" s="136"/>
      <c r="BI305" s="136"/>
      <c r="BJ305" s="136"/>
      <c r="BK305" s="136"/>
      <c r="BL305" s="136"/>
      <c r="BM305" s="136"/>
      <c r="BN305" s="136"/>
      <c r="BO305" s="136"/>
      <c r="BP305" s="136"/>
      <c r="BQ305" s="136"/>
      <c r="BR305" s="136"/>
      <c r="BS305" s="136"/>
      <c r="BT305" s="136"/>
      <c r="BU305" s="136"/>
      <c r="BV305" s="136"/>
      <c r="BW305" s="136"/>
      <c r="BX305" s="136"/>
      <c r="BY305" s="136"/>
      <c r="BZ305" s="136"/>
      <c r="CA305" s="136"/>
      <c r="CB305" s="136"/>
      <c r="CC305" s="136"/>
      <c r="CD305" s="136"/>
      <c r="CE305" s="136"/>
      <c r="CF305" s="136"/>
      <c r="CG305" s="136"/>
      <c r="CH305" s="136"/>
      <c r="CI305" s="136"/>
      <c r="CJ305" s="136"/>
      <c r="CK305" s="136"/>
      <c r="CL305" s="136"/>
      <c r="CM305" s="136"/>
      <c r="CN305" s="136"/>
      <c r="CO305" s="136"/>
      <c r="CP305" s="136"/>
      <c r="CQ305" s="136"/>
      <c r="CR305" s="136"/>
      <c r="CS305" s="136"/>
      <c r="CT305" s="136"/>
      <c r="CU305" s="136"/>
      <c r="CV305" s="136"/>
      <c r="CW305" s="136"/>
      <c r="CX305" s="136"/>
      <c r="CY305" s="136"/>
      <c r="CZ305" s="136"/>
      <c r="DA305" s="136"/>
      <c r="DB305" s="136"/>
      <c r="DC305" s="136"/>
      <c r="DD305" s="136"/>
      <c r="DE305" s="136"/>
      <c r="DF305" s="136"/>
      <c r="DG305" s="136"/>
      <c r="DH305" s="136"/>
      <c r="DI305" s="136"/>
      <c r="DJ305" s="136"/>
      <c r="DK305" s="136"/>
      <c r="DL305" s="136"/>
      <c r="DM305" s="136"/>
      <c r="DN305" s="136"/>
      <c r="DO305" s="136"/>
      <c r="DP305" s="136"/>
      <c r="DQ305" s="136"/>
      <c r="DR305" s="136"/>
      <c r="DS305" s="136"/>
      <c r="DT305" s="136"/>
      <c r="DU305" s="136"/>
      <c r="DV305" s="136"/>
      <c r="DW305" s="136"/>
      <c r="DX305" s="136"/>
      <c r="DY305" s="136"/>
      <c r="DZ305" s="136"/>
      <c r="EA305" s="136"/>
      <c r="EB305" s="136"/>
      <c r="EC305" s="136"/>
      <c r="ED305" s="136"/>
      <c r="EE305" s="136"/>
      <c r="EF305" s="136"/>
      <c r="EG305" s="136"/>
      <c r="EH305" s="136"/>
      <c r="EI305" s="136"/>
      <c r="EJ305" s="136"/>
      <c r="EK305" s="136"/>
      <c r="EL305" s="136"/>
      <c r="EM305" s="136"/>
      <c r="EN305" s="136"/>
      <c r="EO305" s="136"/>
      <c r="EP305" s="136"/>
      <c r="EQ305" s="136"/>
      <c r="ER305" s="136"/>
      <c r="ES305" s="136"/>
      <c r="ET305" s="136"/>
      <c r="EU305" s="136"/>
      <c r="EV305" s="136"/>
      <c r="EW305" s="136"/>
      <c r="EX305" s="136"/>
      <c r="EY305" s="136"/>
      <c r="EZ305" s="136"/>
      <c r="FA305" s="136"/>
      <c r="FB305" s="136"/>
      <c r="FC305" s="136"/>
      <c r="FD305" s="136"/>
      <c r="FE305" s="136"/>
      <c r="FF305" s="136"/>
      <c r="FG305" s="136"/>
      <c r="FH305" s="136"/>
      <c r="FI305" s="136"/>
      <c r="FJ305" s="136"/>
      <c r="FK305" s="136"/>
      <c r="FL305" s="136"/>
      <c r="FM305" s="136"/>
      <c r="FN305" s="136"/>
      <c r="FO305" s="136"/>
      <c r="FP305" s="136"/>
      <c r="FQ305" s="136"/>
      <c r="FR305" s="136"/>
      <c r="FS305" s="136"/>
      <c r="FT305" s="136"/>
      <c r="FU305" s="136"/>
      <c r="FV305" s="136"/>
      <c r="FW305" s="136"/>
      <c r="FX305" s="136"/>
      <c r="FY305" s="136"/>
      <c r="FZ305" s="136"/>
      <c r="GA305" s="136"/>
      <c r="GB305" s="136"/>
      <c r="GC305" s="136"/>
      <c r="GD305" s="136"/>
      <c r="GE305" s="136"/>
      <c r="GF305" s="136"/>
      <c r="GG305" s="136"/>
      <c r="GH305" s="136"/>
      <c r="GI305" s="136"/>
      <c r="GJ305" s="136"/>
      <c r="GK305" s="136"/>
      <c r="GL305" s="136"/>
      <c r="GM305" s="136"/>
      <c r="GN305" s="136"/>
      <c r="GO305" s="136"/>
      <c r="GP305" s="136"/>
      <c r="GQ305" s="136"/>
      <c r="GR305" s="136"/>
      <c r="GS305" s="136"/>
      <c r="GT305" s="136"/>
      <c r="GU305" s="136"/>
      <c r="GV305" s="136"/>
      <c r="GW305" s="136"/>
      <c r="GX305" s="136"/>
      <c r="GY305" s="136"/>
      <c r="GZ305" s="136"/>
      <c r="HA305" s="136"/>
      <c r="HB305" s="136"/>
      <c r="HC305" s="136"/>
      <c r="HD305" s="136"/>
      <c r="HE305" s="136"/>
      <c r="HF305" s="136"/>
      <c r="HG305" s="136"/>
      <c r="HH305" s="136"/>
      <c r="HI305" s="136"/>
      <c r="HJ305" s="136"/>
      <c r="HK305" s="136"/>
      <c r="HL305" s="136"/>
      <c r="HM305" s="136"/>
      <c r="HN305" s="136"/>
      <c r="HO305" s="136"/>
      <c r="HP305" s="136"/>
      <c r="HQ305" s="136"/>
      <c r="HR305" s="136"/>
      <c r="HS305" s="136"/>
      <c r="HT305" s="136"/>
      <c r="HU305" s="136"/>
      <c r="HV305" s="136"/>
      <c r="HW305" s="136"/>
      <c r="HX305" s="136"/>
      <c r="HY305" s="136"/>
      <c r="HZ305" s="136"/>
      <c r="IA305" s="136"/>
      <c r="IB305" s="136"/>
      <c r="IC305" s="136"/>
      <c r="ID305" s="136"/>
      <c r="IE305" s="136"/>
      <c r="IF305" s="136"/>
      <c r="IG305" s="136"/>
      <c r="IH305" s="136"/>
      <c r="II305" s="136"/>
      <c r="IJ305" s="136"/>
      <c r="IK305" s="136"/>
      <c r="IL305" s="136"/>
      <c r="IM305" s="136"/>
      <c r="IN305" s="136"/>
      <c r="IO305" s="136"/>
      <c r="IP305" s="136"/>
      <c r="IQ305" s="136"/>
      <c r="IR305" s="136"/>
      <c r="IS305" s="136"/>
      <c r="IT305" s="136"/>
      <c r="IU305" s="136"/>
    </row>
    <row r="306" spans="1:255" ht="48" customHeight="1" x14ac:dyDescent="0.2">
      <c r="A306" s="242" t="str">
        <f>'HECVAT - Full'!A306</f>
        <v>PCID-06</v>
      </c>
      <c r="B306" s="242" t="str">
        <f>VLOOKUP(A306,'HECVAT - Full'!A$24:B$312,2,FALSE)</f>
        <v>Are you classified as a merchant?  If so, what level (1, 2, 3, 4)?</v>
      </c>
      <c r="C306" s="243">
        <v>12.8</v>
      </c>
      <c r="D306" s="253" t="s">
        <v>2982</v>
      </c>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c r="AC306" s="136"/>
      <c r="AD306" s="136"/>
      <c r="AE306" s="136"/>
      <c r="AF306" s="136"/>
      <c r="AG306" s="136"/>
      <c r="AH306" s="136"/>
      <c r="AI306" s="136"/>
      <c r="AJ306" s="136"/>
      <c r="AK306" s="136"/>
      <c r="AL306" s="136"/>
      <c r="AM306" s="136"/>
      <c r="AN306" s="136"/>
      <c r="AO306" s="136"/>
      <c r="AP306" s="136"/>
      <c r="AQ306" s="136"/>
      <c r="AR306" s="136"/>
      <c r="AS306" s="136"/>
      <c r="AT306" s="136"/>
      <c r="AU306" s="136"/>
      <c r="AV306" s="136"/>
      <c r="AW306" s="136"/>
      <c r="AX306" s="136"/>
      <c r="AY306" s="136"/>
      <c r="AZ306" s="136"/>
      <c r="BA306" s="136"/>
      <c r="BB306" s="136"/>
      <c r="BC306" s="136"/>
      <c r="BD306" s="136"/>
      <c r="BE306" s="136"/>
      <c r="BF306" s="136"/>
      <c r="BG306" s="136"/>
      <c r="BH306" s="136"/>
      <c r="BI306" s="136"/>
      <c r="BJ306" s="136"/>
      <c r="BK306" s="136"/>
      <c r="BL306" s="136"/>
      <c r="BM306" s="136"/>
      <c r="BN306" s="136"/>
      <c r="BO306" s="136"/>
      <c r="BP306" s="136"/>
      <c r="BQ306" s="136"/>
      <c r="BR306" s="136"/>
      <c r="BS306" s="136"/>
      <c r="BT306" s="136"/>
      <c r="BU306" s="136"/>
      <c r="BV306" s="136"/>
      <c r="BW306" s="136"/>
      <c r="BX306" s="136"/>
      <c r="BY306" s="136"/>
      <c r="BZ306" s="136"/>
      <c r="CA306" s="136"/>
      <c r="CB306" s="136"/>
      <c r="CC306" s="136"/>
      <c r="CD306" s="136"/>
      <c r="CE306" s="136"/>
      <c r="CF306" s="136"/>
      <c r="CG306" s="136"/>
      <c r="CH306" s="136"/>
      <c r="CI306" s="136"/>
      <c r="CJ306" s="136"/>
      <c r="CK306" s="136"/>
      <c r="CL306" s="136"/>
      <c r="CM306" s="136"/>
      <c r="CN306" s="136"/>
      <c r="CO306" s="136"/>
      <c r="CP306" s="136"/>
      <c r="CQ306" s="136"/>
      <c r="CR306" s="136"/>
      <c r="CS306" s="136"/>
      <c r="CT306" s="136"/>
      <c r="CU306" s="136"/>
      <c r="CV306" s="136"/>
      <c r="CW306" s="136"/>
      <c r="CX306" s="136"/>
      <c r="CY306" s="136"/>
      <c r="CZ306" s="136"/>
      <c r="DA306" s="136"/>
      <c r="DB306" s="136"/>
      <c r="DC306" s="136"/>
      <c r="DD306" s="136"/>
      <c r="DE306" s="136"/>
      <c r="DF306" s="136"/>
      <c r="DG306" s="136"/>
      <c r="DH306" s="136"/>
      <c r="DI306" s="136"/>
      <c r="DJ306" s="136"/>
      <c r="DK306" s="136"/>
      <c r="DL306" s="136"/>
      <c r="DM306" s="136"/>
      <c r="DN306" s="136"/>
      <c r="DO306" s="136"/>
      <c r="DP306" s="136"/>
      <c r="DQ306" s="136"/>
      <c r="DR306" s="136"/>
      <c r="DS306" s="136"/>
      <c r="DT306" s="136"/>
      <c r="DU306" s="136"/>
      <c r="DV306" s="136"/>
      <c r="DW306" s="136"/>
      <c r="DX306" s="136"/>
      <c r="DY306" s="136"/>
      <c r="DZ306" s="136"/>
      <c r="EA306" s="136"/>
      <c r="EB306" s="136"/>
      <c r="EC306" s="136"/>
      <c r="ED306" s="136"/>
      <c r="EE306" s="136"/>
      <c r="EF306" s="136"/>
      <c r="EG306" s="136"/>
      <c r="EH306" s="136"/>
      <c r="EI306" s="136"/>
      <c r="EJ306" s="136"/>
      <c r="EK306" s="136"/>
      <c r="EL306" s="136"/>
      <c r="EM306" s="136"/>
      <c r="EN306" s="136"/>
      <c r="EO306" s="136"/>
      <c r="EP306" s="136"/>
      <c r="EQ306" s="136"/>
      <c r="ER306" s="136"/>
      <c r="ES306" s="136"/>
      <c r="ET306" s="136"/>
      <c r="EU306" s="136"/>
      <c r="EV306" s="136"/>
      <c r="EW306" s="136"/>
      <c r="EX306" s="136"/>
      <c r="EY306" s="136"/>
      <c r="EZ306" s="136"/>
      <c r="FA306" s="136"/>
      <c r="FB306" s="136"/>
      <c r="FC306" s="136"/>
      <c r="FD306" s="136"/>
      <c r="FE306" s="136"/>
      <c r="FF306" s="136"/>
      <c r="FG306" s="136"/>
      <c r="FH306" s="136"/>
      <c r="FI306" s="136"/>
      <c r="FJ306" s="136"/>
      <c r="FK306" s="136"/>
      <c r="FL306" s="136"/>
      <c r="FM306" s="136"/>
      <c r="FN306" s="136"/>
      <c r="FO306" s="136"/>
      <c r="FP306" s="136"/>
      <c r="FQ306" s="136"/>
      <c r="FR306" s="136"/>
      <c r="FS306" s="136"/>
      <c r="FT306" s="136"/>
      <c r="FU306" s="136"/>
      <c r="FV306" s="136"/>
      <c r="FW306" s="136"/>
      <c r="FX306" s="136"/>
      <c r="FY306" s="136"/>
      <c r="FZ306" s="136"/>
      <c r="GA306" s="136"/>
      <c r="GB306" s="136"/>
      <c r="GC306" s="136"/>
      <c r="GD306" s="136"/>
      <c r="GE306" s="136"/>
      <c r="GF306" s="136"/>
      <c r="GG306" s="136"/>
      <c r="GH306" s="136"/>
      <c r="GI306" s="136"/>
      <c r="GJ306" s="136"/>
      <c r="GK306" s="136"/>
      <c r="GL306" s="136"/>
      <c r="GM306" s="136"/>
      <c r="GN306" s="136"/>
      <c r="GO306" s="136"/>
      <c r="GP306" s="136"/>
      <c r="GQ306" s="136"/>
      <c r="GR306" s="136"/>
      <c r="GS306" s="136"/>
      <c r="GT306" s="136"/>
      <c r="GU306" s="136"/>
      <c r="GV306" s="136"/>
      <c r="GW306" s="136"/>
      <c r="GX306" s="136"/>
      <c r="GY306" s="136"/>
      <c r="GZ306" s="136"/>
      <c r="HA306" s="136"/>
      <c r="HB306" s="136"/>
      <c r="HC306" s="136"/>
      <c r="HD306" s="136"/>
      <c r="HE306" s="136"/>
      <c r="HF306" s="136"/>
      <c r="HG306" s="136"/>
      <c r="HH306" s="136"/>
      <c r="HI306" s="136"/>
      <c r="HJ306" s="136"/>
      <c r="HK306" s="136"/>
      <c r="HL306" s="136"/>
      <c r="HM306" s="136"/>
      <c r="HN306" s="136"/>
      <c r="HO306" s="136"/>
      <c r="HP306" s="136"/>
      <c r="HQ306" s="136"/>
      <c r="HR306" s="136"/>
      <c r="HS306" s="136"/>
      <c r="HT306" s="136"/>
      <c r="HU306" s="136"/>
      <c r="HV306" s="136"/>
      <c r="HW306" s="136"/>
      <c r="HX306" s="136"/>
      <c r="HY306" s="136"/>
      <c r="HZ306" s="136"/>
      <c r="IA306" s="136"/>
      <c r="IB306" s="136"/>
      <c r="IC306" s="136"/>
      <c r="ID306" s="136"/>
      <c r="IE306" s="136"/>
      <c r="IF306" s="136"/>
      <c r="IG306" s="136"/>
      <c r="IH306" s="136"/>
      <c r="II306" s="136"/>
      <c r="IJ306" s="136"/>
      <c r="IK306" s="136"/>
      <c r="IL306" s="136"/>
      <c r="IM306" s="136"/>
      <c r="IN306" s="136"/>
      <c r="IO306" s="136"/>
      <c r="IP306" s="136"/>
      <c r="IQ306" s="136"/>
      <c r="IR306" s="136"/>
      <c r="IS306" s="136"/>
      <c r="IT306" s="136"/>
      <c r="IU306" s="136"/>
    </row>
    <row r="307" spans="1:255" ht="64.25" customHeight="1" x14ac:dyDescent="0.2">
      <c r="A307" s="242" t="str">
        <f>'HECVAT - Full'!A307</f>
        <v>PCID-07</v>
      </c>
      <c r="B307" s="242" t="str">
        <f>VLOOKUP(A307,'HECVAT - Full'!A$24:B$312,2,FALSE)</f>
        <v>Describe the architecture employed by the system to verify and authorize credit card transactions.</v>
      </c>
      <c r="C307" s="243" t="s">
        <v>2110</v>
      </c>
      <c r="D307" s="253" t="s">
        <v>2982</v>
      </c>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c r="AC307" s="136"/>
      <c r="AD307" s="136"/>
      <c r="AE307" s="136"/>
      <c r="AF307" s="136"/>
      <c r="AG307" s="136"/>
      <c r="AH307" s="136"/>
      <c r="AI307" s="136"/>
      <c r="AJ307" s="136"/>
      <c r="AK307" s="136"/>
      <c r="AL307" s="136"/>
      <c r="AM307" s="136"/>
      <c r="AN307" s="136"/>
      <c r="AO307" s="136"/>
      <c r="AP307" s="136"/>
      <c r="AQ307" s="136"/>
      <c r="AR307" s="136"/>
      <c r="AS307" s="136"/>
      <c r="AT307" s="136"/>
      <c r="AU307" s="136"/>
      <c r="AV307" s="136"/>
      <c r="AW307" s="136"/>
      <c r="AX307" s="136"/>
      <c r="AY307" s="136"/>
      <c r="AZ307" s="136"/>
      <c r="BA307" s="136"/>
      <c r="BB307" s="136"/>
      <c r="BC307" s="136"/>
      <c r="BD307" s="136"/>
      <c r="BE307" s="136"/>
      <c r="BF307" s="136"/>
      <c r="BG307" s="136"/>
      <c r="BH307" s="136"/>
      <c r="BI307" s="136"/>
      <c r="BJ307" s="136"/>
      <c r="BK307" s="136"/>
      <c r="BL307" s="136"/>
      <c r="BM307" s="136"/>
      <c r="BN307" s="136"/>
      <c r="BO307" s="136"/>
      <c r="BP307" s="136"/>
      <c r="BQ307" s="136"/>
      <c r="BR307" s="136"/>
      <c r="BS307" s="136"/>
      <c r="BT307" s="136"/>
      <c r="BU307" s="136"/>
      <c r="BV307" s="136"/>
      <c r="BW307" s="136"/>
      <c r="BX307" s="136"/>
      <c r="BY307" s="136"/>
      <c r="BZ307" s="136"/>
      <c r="CA307" s="136"/>
      <c r="CB307" s="136"/>
      <c r="CC307" s="136"/>
      <c r="CD307" s="136"/>
      <c r="CE307" s="136"/>
      <c r="CF307" s="136"/>
      <c r="CG307" s="136"/>
      <c r="CH307" s="136"/>
      <c r="CI307" s="136"/>
      <c r="CJ307" s="136"/>
      <c r="CK307" s="136"/>
      <c r="CL307" s="136"/>
      <c r="CM307" s="136"/>
      <c r="CN307" s="136"/>
      <c r="CO307" s="136"/>
      <c r="CP307" s="136"/>
      <c r="CQ307" s="136"/>
      <c r="CR307" s="136"/>
      <c r="CS307" s="136"/>
      <c r="CT307" s="136"/>
      <c r="CU307" s="136"/>
      <c r="CV307" s="136"/>
      <c r="CW307" s="136"/>
      <c r="CX307" s="136"/>
      <c r="CY307" s="136"/>
      <c r="CZ307" s="136"/>
      <c r="DA307" s="136"/>
      <c r="DB307" s="136"/>
      <c r="DC307" s="136"/>
      <c r="DD307" s="136"/>
      <c r="DE307" s="136"/>
      <c r="DF307" s="136"/>
      <c r="DG307" s="136"/>
      <c r="DH307" s="136"/>
      <c r="DI307" s="136"/>
      <c r="DJ307" s="136"/>
      <c r="DK307" s="136"/>
      <c r="DL307" s="136"/>
      <c r="DM307" s="136"/>
      <c r="DN307" s="136"/>
      <c r="DO307" s="136"/>
      <c r="DP307" s="136"/>
      <c r="DQ307" s="136"/>
      <c r="DR307" s="136"/>
      <c r="DS307" s="136"/>
      <c r="DT307" s="136"/>
      <c r="DU307" s="136"/>
      <c r="DV307" s="136"/>
      <c r="DW307" s="136"/>
      <c r="DX307" s="136"/>
      <c r="DY307" s="136"/>
      <c r="DZ307" s="136"/>
      <c r="EA307" s="136"/>
      <c r="EB307" s="136"/>
      <c r="EC307" s="136"/>
      <c r="ED307" s="136"/>
      <c r="EE307" s="136"/>
      <c r="EF307" s="136"/>
      <c r="EG307" s="136"/>
      <c r="EH307" s="136"/>
      <c r="EI307" s="136"/>
      <c r="EJ307" s="136"/>
      <c r="EK307" s="136"/>
      <c r="EL307" s="136"/>
      <c r="EM307" s="136"/>
      <c r="EN307" s="136"/>
      <c r="EO307" s="136"/>
      <c r="EP307" s="136"/>
      <c r="EQ307" s="136"/>
      <c r="ER307" s="136"/>
      <c r="ES307" s="136"/>
      <c r="ET307" s="136"/>
      <c r="EU307" s="136"/>
      <c r="EV307" s="136"/>
      <c r="EW307" s="136"/>
      <c r="EX307" s="136"/>
      <c r="EY307" s="136"/>
      <c r="EZ307" s="136"/>
      <c r="FA307" s="136"/>
      <c r="FB307" s="136"/>
      <c r="FC307" s="136"/>
      <c r="FD307" s="136"/>
      <c r="FE307" s="136"/>
      <c r="FF307" s="136"/>
      <c r="FG307" s="136"/>
      <c r="FH307" s="136"/>
      <c r="FI307" s="136"/>
      <c r="FJ307" s="136"/>
      <c r="FK307" s="136"/>
      <c r="FL307" s="136"/>
      <c r="FM307" s="136"/>
      <c r="FN307" s="136"/>
      <c r="FO307" s="136"/>
      <c r="FP307" s="136"/>
      <c r="FQ307" s="136"/>
      <c r="FR307" s="136"/>
      <c r="FS307" s="136"/>
      <c r="FT307" s="136"/>
      <c r="FU307" s="136"/>
      <c r="FV307" s="136"/>
      <c r="FW307" s="136"/>
      <c r="FX307" s="136"/>
      <c r="FY307" s="136"/>
      <c r="FZ307" s="136"/>
      <c r="GA307" s="136"/>
      <c r="GB307" s="136"/>
      <c r="GC307" s="136"/>
      <c r="GD307" s="136"/>
      <c r="GE307" s="136"/>
      <c r="GF307" s="136"/>
      <c r="GG307" s="136"/>
      <c r="GH307" s="136"/>
      <c r="GI307" s="136"/>
      <c r="GJ307" s="136"/>
      <c r="GK307" s="136"/>
      <c r="GL307" s="136"/>
      <c r="GM307" s="136"/>
      <c r="GN307" s="136"/>
      <c r="GO307" s="136"/>
      <c r="GP307" s="136"/>
      <c r="GQ307" s="136"/>
      <c r="GR307" s="136"/>
      <c r="GS307" s="136"/>
      <c r="GT307" s="136"/>
      <c r="GU307" s="136"/>
      <c r="GV307" s="136"/>
      <c r="GW307" s="136"/>
      <c r="GX307" s="136"/>
      <c r="GY307" s="136"/>
      <c r="GZ307" s="136"/>
      <c r="HA307" s="136"/>
      <c r="HB307" s="136"/>
      <c r="HC307" s="136"/>
      <c r="HD307" s="136"/>
      <c r="HE307" s="136"/>
      <c r="HF307" s="136"/>
      <c r="HG307" s="136"/>
      <c r="HH307" s="136"/>
      <c r="HI307" s="136"/>
      <c r="HJ307" s="136"/>
      <c r="HK307" s="136"/>
      <c r="HL307" s="136"/>
      <c r="HM307" s="136"/>
      <c r="HN307" s="136"/>
      <c r="HO307" s="136"/>
      <c r="HP307" s="136"/>
      <c r="HQ307" s="136"/>
      <c r="HR307" s="136"/>
      <c r="HS307" s="136"/>
      <c r="HT307" s="136"/>
      <c r="HU307" s="136"/>
      <c r="HV307" s="136"/>
      <c r="HW307" s="136"/>
      <c r="HX307" s="136"/>
      <c r="HY307" s="136"/>
      <c r="HZ307" s="136"/>
      <c r="IA307" s="136"/>
      <c r="IB307" s="136"/>
      <c r="IC307" s="136"/>
      <c r="ID307" s="136"/>
      <c r="IE307" s="136"/>
      <c r="IF307" s="136"/>
      <c r="IG307" s="136"/>
      <c r="IH307" s="136"/>
      <c r="II307" s="136"/>
      <c r="IJ307" s="136"/>
      <c r="IK307" s="136"/>
      <c r="IL307" s="136"/>
      <c r="IM307" s="136"/>
      <c r="IN307" s="136"/>
      <c r="IO307" s="136"/>
      <c r="IP307" s="136"/>
      <c r="IQ307" s="136"/>
      <c r="IR307" s="136"/>
      <c r="IS307" s="136"/>
      <c r="IT307" s="136"/>
      <c r="IU307" s="136"/>
    </row>
    <row r="308" spans="1:255" ht="64.25" customHeight="1" x14ac:dyDescent="0.2">
      <c r="A308" s="242" t="str">
        <f>'HECVAT - Full'!A308</f>
        <v>PCID-08</v>
      </c>
      <c r="B308" s="242" t="str">
        <f>VLOOKUP(A308,'HECVAT - Full'!A$24:B$312,2,FALSE)</f>
        <v xml:space="preserve">What payment processors/gateways does the system support? </v>
      </c>
      <c r="C308" s="243">
        <v>12.8</v>
      </c>
      <c r="D308" s="253" t="s">
        <v>2982</v>
      </c>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c r="AC308" s="136"/>
      <c r="AD308" s="136"/>
      <c r="AE308" s="136"/>
      <c r="AF308" s="136"/>
      <c r="AG308" s="136"/>
      <c r="AH308" s="136"/>
      <c r="AI308" s="136"/>
      <c r="AJ308" s="136"/>
      <c r="AK308" s="136"/>
      <c r="AL308" s="136"/>
      <c r="AM308" s="136"/>
      <c r="AN308" s="136"/>
      <c r="AO308" s="136"/>
      <c r="AP308" s="136"/>
      <c r="AQ308" s="136"/>
      <c r="AR308" s="136"/>
      <c r="AS308" s="136"/>
      <c r="AT308" s="136"/>
      <c r="AU308" s="136"/>
      <c r="AV308" s="136"/>
      <c r="AW308" s="136"/>
      <c r="AX308" s="136"/>
      <c r="AY308" s="136"/>
      <c r="AZ308" s="136"/>
      <c r="BA308" s="136"/>
      <c r="BB308" s="136"/>
      <c r="BC308" s="136"/>
      <c r="BD308" s="136"/>
      <c r="BE308" s="136"/>
      <c r="BF308" s="136"/>
      <c r="BG308" s="136"/>
      <c r="BH308" s="136"/>
      <c r="BI308" s="136"/>
      <c r="BJ308" s="136"/>
      <c r="BK308" s="136"/>
      <c r="BL308" s="136"/>
      <c r="BM308" s="136"/>
      <c r="BN308" s="136"/>
      <c r="BO308" s="136"/>
      <c r="BP308" s="136"/>
      <c r="BQ308" s="136"/>
      <c r="BR308" s="136"/>
      <c r="BS308" s="136"/>
      <c r="BT308" s="136"/>
      <c r="BU308" s="136"/>
      <c r="BV308" s="136"/>
      <c r="BW308" s="136"/>
      <c r="BX308" s="136"/>
      <c r="BY308" s="136"/>
      <c r="BZ308" s="136"/>
      <c r="CA308" s="136"/>
      <c r="CB308" s="136"/>
      <c r="CC308" s="136"/>
      <c r="CD308" s="136"/>
      <c r="CE308" s="136"/>
      <c r="CF308" s="136"/>
      <c r="CG308" s="136"/>
      <c r="CH308" s="136"/>
      <c r="CI308" s="136"/>
      <c r="CJ308" s="136"/>
      <c r="CK308" s="136"/>
      <c r="CL308" s="136"/>
      <c r="CM308" s="136"/>
      <c r="CN308" s="136"/>
      <c r="CO308" s="136"/>
      <c r="CP308" s="136"/>
      <c r="CQ308" s="136"/>
      <c r="CR308" s="136"/>
      <c r="CS308" s="136"/>
      <c r="CT308" s="136"/>
      <c r="CU308" s="136"/>
      <c r="CV308" s="136"/>
      <c r="CW308" s="136"/>
      <c r="CX308" s="136"/>
      <c r="CY308" s="136"/>
      <c r="CZ308" s="136"/>
      <c r="DA308" s="136"/>
      <c r="DB308" s="136"/>
      <c r="DC308" s="136"/>
      <c r="DD308" s="136"/>
      <c r="DE308" s="136"/>
      <c r="DF308" s="136"/>
      <c r="DG308" s="136"/>
      <c r="DH308" s="136"/>
      <c r="DI308" s="136"/>
      <c r="DJ308" s="136"/>
      <c r="DK308" s="136"/>
      <c r="DL308" s="136"/>
      <c r="DM308" s="136"/>
      <c r="DN308" s="136"/>
      <c r="DO308" s="136"/>
      <c r="DP308" s="136"/>
      <c r="DQ308" s="136"/>
      <c r="DR308" s="136"/>
      <c r="DS308" s="136"/>
      <c r="DT308" s="136"/>
      <c r="DU308" s="136"/>
      <c r="DV308" s="136"/>
      <c r="DW308" s="136"/>
      <c r="DX308" s="136"/>
      <c r="DY308" s="136"/>
      <c r="DZ308" s="136"/>
      <c r="EA308" s="136"/>
      <c r="EB308" s="136"/>
      <c r="EC308" s="136"/>
      <c r="ED308" s="136"/>
      <c r="EE308" s="136"/>
      <c r="EF308" s="136"/>
      <c r="EG308" s="136"/>
      <c r="EH308" s="136"/>
      <c r="EI308" s="136"/>
      <c r="EJ308" s="136"/>
      <c r="EK308" s="136"/>
      <c r="EL308" s="136"/>
      <c r="EM308" s="136"/>
      <c r="EN308" s="136"/>
      <c r="EO308" s="136"/>
      <c r="EP308" s="136"/>
      <c r="EQ308" s="136"/>
      <c r="ER308" s="136"/>
      <c r="ES308" s="136"/>
      <c r="ET308" s="136"/>
      <c r="EU308" s="136"/>
      <c r="EV308" s="136"/>
      <c r="EW308" s="136"/>
      <c r="EX308" s="136"/>
      <c r="EY308" s="136"/>
      <c r="EZ308" s="136"/>
      <c r="FA308" s="136"/>
      <c r="FB308" s="136"/>
      <c r="FC308" s="136"/>
      <c r="FD308" s="136"/>
      <c r="FE308" s="136"/>
      <c r="FF308" s="136"/>
      <c r="FG308" s="136"/>
      <c r="FH308" s="136"/>
      <c r="FI308" s="136"/>
      <c r="FJ308" s="136"/>
      <c r="FK308" s="136"/>
      <c r="FL308" s="136"/>
      <c r="FM308" s="136"/>
      <c r="FN308" s="136"/>
      <c r="FO308" s="136"/>
      <c r="FP308" s="136"/>
      <c r="FQ308" s="136"/>
      <c r="FR308" s="136"/>
      <c r="FS308" s="136"/>
      <c r="FT308" s="136"/>
      <c r="FU308" s="136"/>
      <c r="FV308" s="136"/>
      <c r="FW308" s="136"/>
      <c r="FX308" s="136"/>
      <c r="FY308" s="136"/>
      <c r="FZ308" s="136"/>
      <c r="GA308" s="136"/>
      <c r="GB308" s="136"/>
      <c r="GC308" s="136"/>
      <c r="GD308" s="136"/>
      <c r="GE308" s="136"/>
      <c r="GF308" s="136"/>
      <c r="GG308" s="136"/>
      <c r="GH308" s="136"/>
      <c r="GI308" s="136"/>
      <c r="GJ308" s="136"/>
      <c r="GK308" s="136"/>
      <c r="GL308" s="136"/>
      <c r="GM308" s="136"/>
      <c r="GN308" s="136"/>
      <c r="GO308" s="136"/>
      <c r="GP308" s="136"/>
      <c r="GQ308" s="136"/>
      <c r="GR308" s="136"/>
      <c r="GS308" s="136"/>
      <c r="GT308" s="136"/>
      <c r="GU308" s="136"/>
      <c r="GV308" s="136"/>
      <c r="GW308" s="136"/>
      <c r="GX308" s="136"/>
      <c r="GY308" s="136"/>
      <c r="GZ308" s="136"/>
      <c r="HA308" s="136"/>
      <c r="HB308" s="136"/>
      <c r="HC308" s="136"/>
      <c r="HD308" s="136"/>
      <c r="HE308" s="136"/>
      <c r="HF308" s="136"/>
      <c r="HG308" s="136"/>
      <c r="HH308" s="136"/>
      <c r="HI308" s="136"/>
      <c r="HJ308" s="136"/>
      <c r="HK308" s="136"/>
      <c r="HL308" s="136"/>
      <c r="HM308" s="136"/>
      <c r="HN308" s="136"/>
      <c r="HO308" s="136"/>
      <c r="HP308" s="136"/>
      <c r="HQ308" s="136"/>
      <c r="HR308" s="136"/>
      <c r="HS308" s="136"/>
      <c r="HT308" s="136"/>
      <c r="HU308" s="136"/>
      <c r="HV308" s="136"/>
      <c r="HW308" s="136"/>
      <c r="HX308" s="136"/>
      <c r="HY308" s="136"/>
      <c r="HZ308" s="136"/>
      <c r="IA308" s="136"/>
      <c r="IB308" s="136"/>
      <c r="IC308" s="136"/>
      <c r="ID308" s="136"/>
      <c r="IE308" s="136"/>
      <c r="IF308" s="136"/>
      <c r="IG308" s="136"/>
      <c r="IH308" s="136"/>
      <c r="II308" s="136"/>
      <c r="IJ308" s="136"/>
      <c r="IK308" s="136"/>
      <c r="IL308" s="136"/>
      <c r="IM308" s="136"/>
      <c r="IN308" s="136"/>
      <c r="IO308" s="136"/>
      <c r="IP308" s="136"/>
      <c r="IQ308" s="136"/>
      <c r="IR308" s="136"/>
      <c r="IS308" s="136"/>
      <c r="IT308" s="136"/>
      <c r="IU308" s="136"/>
    </row>
    <row r="309" spans="1:255" ht="48" customHeight="1" x14ac:dyDescent="0.2">
      <c r="A309" s="242" t="str">
        <f>'HECVAT - Full'!A309</f>
        <v>PCID-09</v>
      </c>
      <c r="B309" s="242" t="str">
        <f>VLOOKUP(A309,'HECVAT - Full'!A$24:B$312,2,FALSE)</f>
        <v>Can the application be installed in a PCI DSS compliant manner ?</v>
      </c>
      <c r="C309" s="243">
        <v>12.8</v>
      </c>
      <c r="D309" s="253" t="s">
        <v>2982</v>
      </c>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c r="AC309" s="136"/>
      <c r="AD309" s="136"/>
      <c r="AE309" s="136"/>
      <c r="AF309" s="136"/>
      <c r="AG309" s="136"/>
      <c r="AH309" s="136"/>
      <c r="AI309" s="136"/>
      <c r="AJ309" s="136"/>
      <c r="AK309" s="136"/>
      <c r="AL309" s="136"/>
      <c r="AM309" s="136"/>
      <c r="AN309" s="136"/>
      <c r="AO309" s="136"/>
      <c r="AP309" s="136"/>
      <c r="AQ309" s="136"/>
      <c r="AR309" s="136"/>
      <c r="AS309" s="136"/>
      <c r="AT309" s="136"/>
      <c r="AU309" s="136"/>
      <c r="AV309" s="136"/>
      <c r="AW309" s="136"/>
      <c r="AX309" s="136"/>
      <c r="AY309" s="136"/>
      <c r="AZ309" s="136"/>
      <c r="BA309" s="136"/>
      <c r="BB309" s="136"/>
      <c r="BC309" s="136"/>
      <c r="BD309" s="136"/>
      <c r="BE309" s="136"/>
      <c r="BF309" s="136"/>
      <c r="BG309" s="136"/>
      <c r="BH309" s="136"/>
      <c r="BI309" s="136"/>
      <c r="BJ309" s="136"/>
      <c r="BK309" s="136"/>
      <c r="BL309" s="136"/>
      <c r="BM309" s="136"/>
      <c r="BN309" s="136"/>
      <c r="BO309" s="136"/>
      <c r="BP309" s="136"/>
      <c r="BQ309" s="136"/>
      <c r="BR309" s="136"/>
      <c r="BS309" s="136"/>
      <c r="BT309" s="136"/>
      <c r="BU309" s="136"/>
      <c r="BV309" s="136"/>
      <c r="BW309" s="136"/>
      <c r="BX309" s="136"/>
      <c r="BY309" s="136"/>
      <c r="BZ309" s="136"/>
      <c r="CA309" s="136"/>
      <c r="CB309" s="136"/>
      <c r="CC309" s="136"/>
      <c r="CD309" s="136"/>
      <c r="CE309" s="136"/>
      <c r="CF309" s="136"/>
      <c r="CG309" s="136"/>
      <c r="CH309" s="136"/>
      <c r="CI309" s="136"/>
      <c r="CJ309" s="136"/>
      <c r="CK309" s="136"/>
      <c r="CL309" s="136"/>
      <c r="CM309" s="136"/>
      <c r="CN309" s="136"/>
      <c r="CO309" s="136"/>
      <c r="CP309" s="136"/>
      <c r="CQ309" s="136"/>
      <c r="CR309" s="136"/>
      <c r="CS309" s="136"/>
      <c r="CT309" s="136"/>
      <c r="CU309" s="136"/>
      <c r="CV309" s="136"/>
      <c r="CW309" s="136"/>
      <c r="CX309" s="136"/>
      <c r="CY309" s="136"/>
      <c r="CZ309" s="136"/>
      <c r="DA309" s="136"/>
      <c r="DB309" s="136"/>
      <c r="DC309" s="136"/>
      <c r="DD309" s="136"/>
      <c r="DE309" s="136"/>
      <c r="DF309" s="136"/>
      <c r="DG309" s="136"/>
      <c r="DH309" s="136"/>
      <c r="DI309" s="136"/>
      <c r="DJ309" s="136"/>
      <c r="DK309" s="136"/>
      <c r="DL309" s="136"/>
      <c r="DM309" s="136"/>
      <c r="DN309" s="136"/>
      <c r="DO309" s="136"/>
      <c r="DP309" s="136"/>
      <c r="DQ309" s="136"/>
      <c r="DR309" s="136"/>
      <c r="DS309" s="136"/>
      <c r="DT309" s="136"/>
      <c r="DU309" s="136"/>
      <c r="DV309" s="136"/>
      <c r="DW309" s="136"/>
      <c r="DX309" s="136"/>
      <c r="DY309" s="136"/>
      <c r="DZ309" s="136"/>
      <c r="EA309" s="136"/>
      <c r="EB309" s="136"/>
      <c r="EC309" s="136"/>
      <c r="ED309" s="136"/>
      <c r="EE309" s="136"/>
      <c r="EF309" s="136"/>
      <c r="EG309" s="136"/>
      <c r="EH309" s="136"/>
      <c r="EI309" s="136"/>
      <c r="EJ309" s="136"/>
      <c r="EK309" s="136"/>
      <c r="EL309" s="136"/>
      <c r="EM309" s="136"/>
      <c r="EN309" s="136"/>
      <c r="EO309" s="136"/>
      <c r="EP309" s="136"/>
      <c r="EQ309" s="136"/>
      <c r="ER309" s="136"/>
      <c r="ES309" s="136"/>
      <c r="ET309" s="136"/>
      <c r="EU309" s="136"/>
      <c r="EV309" s="136"/>
      <c r="EW309" s="136"/>
      <c r="EX309" s="136"/>
      <c r="EY309" s="136"/>
      <c r="EZ309" s="136"/>
      <c r="FA309" s="136"/>
      <c r="FB309" s="136"/>
      <c r="FC309" s="136"/>
      <c r="FD309" s="136"/>
      <c r="FE309" s="136"/>
      <c r="FF309" s="136"/>
      <c r="FG309" s="136"/>
      <c r="FH309" s="136"/>
      <c r="FI309" s="136"/>
      <c r="FJ309" s="136"/>
      <c r="FK309" s="136"/>
      <c r="FL309" s="136"/>
      <c r="FM309" s="136"/>
      <c r="FN309" s="136"/>
      <c r="FO309" s="136"/>
      <c r="FP309" s="136"/>
      <c r="FQ309" s="136"/>
      <c r="FR309" s="136"/>
      <c r="FS309" s="136"/>
      <c r="FT309" s="136"/>
      <c r="FU309" s="136"/>
      <c r="FV309" s="136"/>
      <c r="FW309" s="136"/>
      <c r="FX309" s="136"/>
      <c r="FY309" s="136"/>
      <c r="FZ309" s="136"/>
      <c r="GA309" s="136"/>
      <c r="GB309" s="136"/>
      <c r="GC309" s="136"/>
      <c r="GD309" s="136"/>
      <c r="GE309" s="136"/>
      <c r="GF309" s="136"/>
      <c r="GG309" s="136"/>
      <c r="GH309" s="136"/>
      <c r="GI309" s="136"/>
      <c r="GJ309" s="136"/>
      <c r="GK309" s="136"/>
      <c r="GL309" s="136"/>
      <c r="GM309" s="136"/>
      <c r="GN309" s="136"/>
      <c r="GO309" s="136"/>
      <c r="GP309" s="136"/>
      <c r="GQ309" s="136"/>
      <c r="GR309" s="136"/>
      <c r="GS309" s="136"/>
      <c r="GT309" s="136"/>
      <c r="GU309" s="136"/>
      <c r="GV309" s="136"/>
      <c r="GW309" s="136"/>
      <c r="GX309" s="136"/>
      <c r="GY309" s="136"/>
      <c r="GZ309" s="136"/>
      <c r="HA309" s="136"/>
      <c r="HB309" s="136"/>
      <c r="HC309" s="136"/>
      <c r="HD309" s="136"/>
      <c r="HE309" s="136"/>
      <c r="HF309" s="136"/>
      <c r="HG309" s="136"/>
      <c r="HH309" s="136"/>
      <c r="HI309" s="136"/>
      <c r="HJ309" s="136"/>
      <c r="HK309" s="136"/>
      <c r="HL309" s="136"/>
      <c r="HM309" s="136"/>
      <c r="HN309" s="136"/>
      <c r="HO309" s="136"/>
      <c r="HP309" s="136"/>
      <c r="HQ309" s="136"/>
      <c r="HR309" s="136"/>
      <c r="HS309" s="136"/>
      <c r="HT309" s="136"/>
      <c r="HU309" s="136"/>
      <c r="HV309" s="136"/>
      <c r="HW309" s="136"/>
      <c r="HX309" s="136"/>
      <c r="HY309" s="136"/>
      <c r="HZ309" s="136"/>
      <c r="IA309" s="136"/>
      <c r="IB309" s="136"/>
      <c r="IC309" s="136"/>
      <c r="ID309" s="136"/>
      <c r="IE309" s="136"/>
      <c r="IF309" s="136"/>
      <c r="IG309" s="136"/>
      <c r="IH309" s="136"/>
      <c r="II309" s="136"/>
      <c r="IJ309" s="136"/>
      <c r="IK309" s="136"/>
      <c r="IL309" s="136"/>
      <c r="IM309" s="136"/>
      <c r="IN309" s="136"/>
      <c r="IO309" s="136"/>
      <c r="IP309" s="136"/>
      <c r="IQ309" s="136"/>
      <c r="IR309" s="136"/>
      <c r="IS309" s="136"/>
      <c r="IT309" s="136"/>
      <c r="IU309" s="136"/>
    </row>
    <row r="310" spans="1:255" ht="48" customHeight="1" x14ac:dyDescent="0.2">
      <c r="A310" s="242" t="str">
        <f>'HECVAT - Full'!A310</f>
        <v>PCID-10</v>
      </c>
      <c r="B310" s="242" t="str">
        <f>VLOOKUP(A310,'HECVAT - Full'!A$24:B$312,2,FALSE)</f>
        <v xml:space="preserve">Is the application listed as an approved PA-DSS application? </v>
      </c>
      <c r="C310" s="243">
        <v>12.8</v>
      </c>
      <c r="D310" s="253" t="s">
        <v>2982</v>
      </c>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c r="AC310" s="136"/>
      <c r="AD310" s="136"/>
      <c r="AE310" s="136"/>
      <c r="AF310" s="136"/>
      <c r="AG310" s="136"/>
      <c r="AH310" s="136"/>
      <c r="AI310" s="136"/>
      <c r="AJ310" s="136"/>
      <c r="AK310" s="136"/>
      <c r="AL310" s="136"/>
      <c r="AM310" s="136"/>
      <c r="AN310" s="136"/>
      <c r="AO310" s="136"/>
      <c r="AP310" s="136"/>
      <c r="AQ310" s="136"/>
      <c r="AR310" s="136"/>
      <c r="AS310" s="136"/>
      <c r="AT310" s="136"/>
      <c r="AU310" s="136"/>
      <c r="AV310" s="136"/>
      <c r="AW310" s="136"/>
      <c r="AX310" s="136"/>
      <c r="AY310" s="136"/>
      <c r="AZ310" s="136"/>
      <c r="BA310" s="136"/>
      <c r="BB310" s="136"/>
      <c r="BC310" s="136"/>
      <c r="BD310" s="136"/>
      <c r="BE310" s="136"/>
      <c r="BF310" s="136"/>
      <c r="BG310" s="136"/>
      <c r="BH310" s="136"/>
      <c r="BI310" s="136"/>
      <c r="BJ310" s="136"/>
      <c r="BK310" s="136"/>
      <c r="BL310" s="136"/>
      <c r="BM310" s="136"/>
      <c r="BN310" s="136"/>
      <c r="BO310" s="136"/>
      <c r="BP310" s="136"/>
      <c r="BQ310" s="136"/>
      <c r="BR310" s="136"/>
      <c r="BS310" s="136"/>
      <c r="BT310" s="136"/>
      <c r="BU310" s="136"/>
      <c r="BV310" s="136"/>
      <c r="BW310" s="136"/>
      <c r="BX310" s="136"/>
      <c r="BY310" s="136"/>
      <c r="BZ310" s="136"/>
      <c r="CA310" s="136"/>
      <c r="CB310" s="136"/>
      <c r="CC310" s="136"/>
      <c r="CD310" s="136"/>
      <c r="CE310" s="136"/>
      <c r="CF310" s="136"/>
      <c r="CG310" s="136"/>
      <c r="CH310" s="136"/>
      <c r="CI310" s="136"/>
      <c r="CJ310" s="136"/>
      <c r="CK310" s="136"/>
      <c r="CL310" s="136"/>
      <c r="CM310" s="136"/>
      <c r="CN310" s="136"/>
      <c r="CO310" s="136"/>
      <c r="CP310" s="136"/>
      <c r="CQ310" s="136"/>
      <c r="CR310" s="136"/>
      <c r="CS310" s="136"/>
      <c r="CT310" s="136"/>
      <c r="CU310" s="136"/>
      <c r="CV310" s="136"/>
      <c r="CW310" s="136"/>
      <c r="CX310" s="136"/>
      <c r="CY310" s="136"/>
      <c r="CZ310" s="136"/>
      <c r="DA310" s="136"/>
      <c r="DB310" s="136"/>
      <c r="DC310" s="136"/>
      <c r="DD310" s="136"/>
      <c r="DE310" s="136"/>
      <c r="DF310" s="136"/>
      <c r="DG310" s="136"/>
      <c r="DH310" s="136"/>
      <c r="DI310" s="136"/>
      <c r="DJ310" s="136"/>
      <c r="DK310" s="136"/>
      <c r="DL310" s="136"/>
      <c r="DM310" s="136"/>
      <c r="DN310" s="136"/>
      <c r="DO310" s="136"/>
      <c r="DP310" s="136"/>
      <c r="DQ310" s="136"/>
      <c r="DR310" s="136"/>
      <c r="DS310" s="136"/>
      <c r="DT310" s="136"/>
      <c r="DU310" s="136"/>
      <c r="DV310" s="136"/>
      <c r="DW310" s="136"/>
      <c r="DX310" s="136"/>
      <c r="DY310" s="136"/>
      <c r="DZ310" s="136"/>
      <c r="EA310" s="136"/>
      <c r="EB310" s="136"/>
      <c r="EC310" s="136"/>
      <c r="ED310" s="136"/>
      <c r="EE310" s="136"/>
      <c r="EF310" s="136"/>
      <c r="EG310" s="136"/>
      <c r="EH310" s="136"/>
      <c r="EI310" s="136"/>
      <c r="EJ310" s="136"/>
      <c r="EK310" s="136"/>
      <c r="EL310" s="136"/>
      <c r="EM310" s="136"/>
      <c r="EN310" s="136"/>
      <c r="EO310" s="136"/>
      <c r="EP310" s="136"/>
      <c r="EQ310" s="136"/>
      <c r="ER310" s="136"/>
      <c r="ES310" s="136"/>
      <c r="ET310" s="136"/>
      <c r="EU310" s="136"/>
      <c r="EV310" s="136"/>
      <c r="EW310" s="136"/>
      <c r="EX310" s="136"/>
      <c r="EY310" s="136"/>
      <c r="EZ310" s="136"/>
      <c r="FA310" s="136"/>
      <c r="FB310" s="136"/>
      <c r="FC310" s="136"/>
      <c r="FD310" s="136"/>
      <c r="FE310" s="136"/>
      <c r="FF310" s="136"/>
      <c r="FG310" s="136"/>
      <c r="FH310" s="136"/>
      <c r="FI310" s="136"/>
      <c r="FJ310" s="136"/>
      <c r="FK310" s="136"/>
      <c r="FL310" s="136"/>
      <c r="FM310" s="136"/>
      <c r="FN310" s="136"/>
      <c r="FO310" s="136"/>
      <c r="FP310" s="136"/>
      <c r="FQ310" s="136"/>
      <c r="FR310" s="136"/>
      <c r="FS310" s="136"/>
      <c r="FT310" s="136"/>
      <c r="FU310" s="136"/>
      <c r="FV310" s="136"/>
      <c r="FW310" s="136"/>
      <c r="FX310" s="136"/>
      <c r="FY310" s="136"/>
      <c r="FZ310" s="136"/>
      <c r="GA310" s="136"/>
      <c r="GB310" s="136"/>
      <c r="GC310" s="136"/>
      <c r="GD310" s="136"/>
      <c r="GE310" s="136"/>
      <c r="GF310" s="136"/>
      <c r="GG310" s="136"/>
      <c r="GH310" s="136"/>
      <c r="GI310" s="136"/>
      <c r="GJ310" s="136"/>
      <c r="GK310" s="136"/>
      <c r="GL310" s="136"/>
      <c r="GM310" s="136"/>
      <c r="GN310" s="136"/>
      <c r="GO310" s="136"/>
      <c r="GP310" s="136"/>
      <c r="GQ310" s="136"/>
      <c r="GR310" s="136"/>
      <c r="GS310" s="136"/>
      <c r="GT310" s="136"/>
      <c r="GU310" s="136"/>
      <c r="GV310" s="136"/>
      <c r="GW310" s="136"/>
      <c r="GX310" s="136"/>
      <c r="GY310" s="136"/>
      <c r="GZ310" s="136"/>
      <c r="HA310" s="136"/>
      <c r="HB310" s="136"/>
      <c r="HC310" s="136"/>
      <c r="HD310" s="136"/>
      <c r="HE310" s="136"/>
      <c r="HF310" s="136"/>
      <c r="HG310" s="136"/>
      <c r="HH310" s="136"/>
      <c r="HI310" s="136"/>
      <c r="HJ310" s="136"/>
      <c r="HK310" s="136"/>
      <c r="HL310" s="136"/>
      <c r="HM310" s="136"/>
      <c r="HN310" s="136"/>
      <c r="HO310" s="136"/>
      <c r="HP310" s="136"/>
      <c r="HQ310" s="136"/>
      <c r="HR310" s="136"/>
      <c r="HS310" s="136"/>
      <c r="HT310" s="136"/>
      <c r="HU310" s="136"/>
      <c r="HV310" s="136"/>
      <c r="HW310" s="136"/>
      <c r="HX310" s="136"/>
      <c r="HY310" s="136"/>
      <c r="HZ310" s="136"/>
      <c r="IA310" s="136"/>
      <c r="IB310" s="136"/>
      <c r="IC310" s="136"/>
      <c r="ID310" s="136"/>
      <c r="IE310" s="136"/>
      <c r="IF310" s="136"/>
      <c r="IG310" s="136"/>
      <c r="IH310" s="136"/>
      <c r="II310" s="136"/>
      <c r="IJ310" s="136"/>
      <c r="IK310" s="136"/>
      <c r="IL310" s="136"/>
      <c r="IM310" s="136"/>
      <c r="IN310" s="136"/>
      <c r="IO310" s="136"/>
      <c r="IP310" s="136"/>
      <c r="IQ310" s="136"/>
      <c r="IR310" s="136"/>
      <c r="IS310" s="136"/>
      <c r="IT310" s="136"/>
      <c r="IU310" s="136"/>
    </row>
    <row r="311" spans="1:255" ht="54" customHeight="1" x14ac:dyDescent="0.2">
      <c r="A311" s="242" t="str">
        <f>'HECVAT - Full'!A311</f>
        <v>PCID-11</v>
      </c>
      <c r="B311" s="242" t="str">
        <f>VLOOKUP(A311,'HECVAT - Full'!A$24:B$312,2,FALSE)</f>
        <v>Does the system or products use a third party to collect, store, process, or transmit cardholder (payment/credit/debt card) data?</v>
      </c>
      <c r="C311" s="243">
        <v>12.8</v>
      </c>
      <c r="D311" s="253" t="s">
        <v>2982</v>
      </c>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c r="AC311" s="136"/>
      <c r="AD311" s="136"/>
      <c r="AE311" s="136"/>
      <c r="AF311" s="136"/>
      <c r="AG311" s="136"/>
      <c r="AH311" s="136"/>
      <c r="AI311" s="136"/>
      <c r="AJ311" s="136"/>
      <c r="AK311" s="136"/>
      <c r="AL311" s="136"/>
      <c r="AM311" s="136"/>
      <c r="AN311" s="136"/>
      <c r="AO311" s="136"/>
      <c r="AP311" s="136"/>
      <c r="AQ311" s="136"/>
      <c r="AR311" s="136"/>
      <c r="AS311" s="136"/>
      <c r="AT311" s="136"/>
      <c r="AU311" s="136"/>
      <c r="AV311" s="136"/>
      <c r="AW311" s="136"/>
      <c r="AX311" s="136"/>
      <c r="AY311" s="136"/>
      <c r="AZ311" s="136"/>
      <c r="BA311" s="136"/>
      <c r="BB311" s="136"/>
      <c r="BC311" s="136"/>
      <c r="BD311" s="136"/>
      <c r="BE311" s="136"/>
      <c r="BF311" s="136"/>
      <c r="BG311" s="136"/>
      <c r="BH311" s="136"/>
      <c r="BI311" s="136"/>
      <c r="BJ311" s="136"/>
      <c r="BK311" s="136"/>
      <c r="BL311" s="136"/>
      <c r="BM311" s="136"/>
      <c r="BN311" s="136"/>
      <c r="BO311" s="136"/>
      <c r="BP311" s="136"/>
      <c r="BQ311" s="136"/>
      <c r="BR311" s="136"/>
      <c r="BS311" s="136"/>
      <c r="BT311" s="136"/>
      <c r="BU311" s="136"/>
      <c r="BV311" s="136"/>
      <c r="BW311" s="136"/>
      <c r="BX311" s="136"/>
      <c r="BY311" s="136"/>
      <c r="BZ311" s="136"/>
      <c r="CA311" s="136"/>
      <c r="CB311" s="136"/>
      <c r="CC311" s="136"/>
      <c r="CD311" s="136"/>
      <c r="CE311" s="136"/>
      <c r="CF311" s="136"/>
      <c r="CG311" s="136"/>
      <c r="CH311" s="136"/>
      <c r="CI311" s="136"/>
      <c r="CJ311" s="136"/>
      <c r="CK311" s="136"/>
      <c r="CL311" s="136"/>
      <c r="CM311" s="136"/>
      <c r="CN311" s="136"/>
      <c r="CO311" s="136"/>
      <c r="CP311" s="136"/>
      <c r="CQ311" s="136"/>
      <c r="CR311" s="136"/>
      <c r="CS311" s="136"/>
      <c r="CT311" s="136"/>
      <c r="CU311" s="136"/>
      <c r="CV311" s="136"/>
      <c r="CW311" s="136"/>
      <c r="CX311" s="136"/>
      <c r="CY311" s="136"/>
      <c r="CZ311" s="136"/>
      <c r="DA311" s="136"/>
      <c r="DB311" s="136"/>
      <c r="DC311" s="136"/>
      <c r="DD311" s="136"/>
      <c r="DE311" s="136"/>
      <c r="DF311" s="136"/>
      <c r="DG311" s="136"/>
      <c r="DH311" s="136"/>
      <c r="DI311" s="136"/>
      <c r="DJ311" s="136"/>
      <c r="DK311" s="136"/>
      <c r="DL311" s="136"/>
      <c r="DM311" s="136"/>
      <c r="DN311" s="136"/>
      <c r="DO311" s="136"/>
      <c r="DP311" s="136"/>
      <c r="DQ311" s="136"/>
      <c r="DR311" s="136"/>
      <c r="DS311" s="136"/>
      <c r="DT311" s="136"/>
      <c r="DU311" s="136"/>
      <c r="DV311" s="136"/>
      <c r="DW311" s="136"/>
      <c r="DX311" s="136"/>
      <c r="DY311" s="136"/>
      <c r="DZ311" s="136"/>
      <c r="EA311" s="136"/>
      <c r="EB311" s="136"/>
      <c r="EC311" s="136"/>
      <c r="ED311" s="136"/>
      <c r="EE311" s="136"/>
      <c r="EF311" s="136"/>
      <c r="EG311" s="136"/>
      <c r="EH311" s="136"/>
      <c r="EI311" s="136"/>
      <c r="EJ311" s="136"/>
      <c r="EK311" s="136"/>
      <c r="EL311" s="136"/>
      <c r="EM311" s="136"/>
      <c r="EN311" s="136"/>
      <c r="EO311" s="136"/>
      <c r="EP311" s="136"/>
      <c r="EQ311" s="136"/>
      <c r="ER311" s="136"/>
      <c r="ES311" s="136"/>
      <c r="ET311" s="136"/>
      <c r="EU311" s="136"/>
      <c r="EV311" s="136"/>
      <c r="EW311" s="136"/>
      <c r="EX311" s="136"/>
      <c r="EY311" s="136"/>
      <c r="EZ311" s="136"/>
      <c r="FA311" s="136"/>
      <c r="FB311" s="136"/>
      <c r="FC311" s="136"/>
      <c r="FD311" s="136"/>
      <c r="FE311" s="136"/>
      <c r="FF311" s="136"/>
      <c r="FG311" s="136"/>
      <c r="FH311" s="136"/>
      <c r="FI311" s="136"/>
      <c r="FJ311" s="136"/>
      <c r="FK311" s="136"/>
      <c r="FL311" s="136"/>
      <c r="FM311" s="136"/>
      <c r="FN311" s="136"/>
      <c r="FO311" s="136"/>
      <c r="FP311" s="136"/>
      <c r="FQ311" s="136"/>
      <c r="FR311" s="136"/>
      <c r="FS311" s="136"/>
      <c r="FT311" s="136"/>
      <c r="FU311" s="136"/>
      <c r="FV311" s="136"/>
      <c r="FW311" s="136"/>
      <c r="FX311" s="136"/>
      <c r="FY311" s="136"/>
      <c r="FZ311" s="136"/>
      <c r="GA311" s="136"/>
      <c r="GB311" s="136"/>
      <c r="GC311" s="136"/>
      <c r="GD311" s="136"/>
      <c r="GE311" s="136"/>
      <c r="GF311" s="136"/>
      <c r="GG311" s="136"/>
      <c r="GH311" s="136"/>
      <c r="GI311" s="136"/>
      <c r="GJ311" s="136"/>
      <c r="GK311" s="136"/>
      <c r="GL311" s="136"/>
      <c r="GM311" s="136"/>
      <c r="GN311" s="136"/>
      <c r="GO311" s="136"/>
      <c r="GP311" s="136"/>
      <c r="GQ311" s="136"/>
      <c r="GR311" s="136"/>
      <c r="GS311" s="136"/>
      <c r="GT311" s="136"/>
      <c r="GU311" s="136"/>
      <c r="GV311" s="136"/>
      <c r="GW311" s="136"/>
      <c r="GX311" s="136"/>
      <c r="GY311" s="136"/>
      <c r="GZ311" s="136"/>
      <c r="HA311" s="136"/>
      <c r="HB311" s="136"/>
      <c r="HC311" s="136"/>
      <c r="HD311" s="136"/>
      <c r="HE311" s="136"/>
      <c r="HF311" s="136"/>
      <c r="HG311" s="136"/>
      <c r="HH311" s="136"/>
      <c r="HI311" s="136"/>
      <c r="HJ311" s="136"/>
      <c r="HK311" s="136"/>
      <c r="HL311" s="136"/>
      <c r="HM311" s="136"/>
      <c r="HN311" s="136"/>
      <c r="HO311" s="136"/>
      <c r="HP311" s="136"/>
      <c r="HQ311" s="136"/>
      <c r="HR311" s="136"/>
      <c r="HS311" s="136"/>
      <c r="HT311" s="136"/>
      <c r="HU311" s="136"/>
      <c r="HV311" s="136"/>
      <c r="HW311" s="136"/>
      <c r="HX311" s="136"/>
      <c r="HY311" s="136"/>
      <c r="HZ311" s="136"/>
      <c r="IA311" s="136"/>
      <c r="IB311" s="136"/>
      <c r="IC311" s="136"/>
      <c r="ID311" s="136"/>
      <c r="IE311" s="136"/>
      <c r="IF311" s="136"/>
      <c r="IG311" s="136"/>
      <c r="IH311" s="136"/>
      <c r="II311" s="136"/>
      <c r="IJ311" s="136"/>
      <c r="IK311" s="136"/>
      <c r="IL311" s="136"/>
      <c r="IM311" s="136"/>
      <c r="IN311" s="136"/>
      <c r="IO311" s="136"/>
      <c r="IP311" s="136"/>
      <c r="IQ311" s="136"/>
      <c r="IR311" s="136"/>
      <c r="IS311" s="136"/>
      <c r="IT311" s="136"/>
      <c r="IU311" s="136"/>
    </row>
    <row r="312" spans="1:255" ht="64.25" customHeight="1" x14ac:dyDescent="0.2">
      <c r="A312" s="242" t="str">
        <f>'HECVAT - Full'!A312</f>
        <v>PCID-12</v>
      </c>
      <c r="B312" s="242" t="str">
        <f>VLOOKUP(A312,'HECVAT - Full'!A$24:B$312,2,FALSE)</f>
        <v xml:space="preserve">Include documentation describing the systems' abilities to comply with the PCI DSS and any features or capabilities of the system that must be added or changed in order to operate in compliance with the standards. </v>
      </c>
      <c r="C312" s="243">
        <v>12.8</v>
      </c>
      <c r="D312" s="253" t="s">
        <v>2982</v>
      </c>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c r="AC312" s="136"/>
      <c r="AD312" s="136"/>
      <c r="AE312" s="136"/>
      <c r="AF312" s="136"/>
      <c r="AG312" s="136"/>
      <c r="AH312" s="136"/>
      <c r="AI312" s="136"/>
      <c r="AJ312" s="136"/>
      <c r="AK312" s="136"/>
      <c r="AL312" s="136"/>
      <c r="AM312" s="136"/>
      <c r="AN312" s="136"/>
      <c r="AO312" s="136"/>
      <c r="AP312" s="136"/>
      <c r="AQ312" s="136"/>
      <c r="AR312" s="136"/>
      <c r="AS312" s="136"/>
      <c r="AT312" s="136"/>
      <c r="AU312" s="136"/>
      <c r="AV312" s="136"/>
      <c r="AW312" s="136"/>
      <c r="AX312" s="136"/>
      <c r="AY312" s="136"/>
      <c r="AZ312" s="136"/>
      <c r="BA312" s="136"/>
      <c r="BB312" s="136"/>
      <c r="BC312" s="136"/>
      <c r="BD312" s="136"/>
      <c r="BE312" s="136"/>
      <c r="BF312" s="136"/>
      <c r="BG312" s="136"/>
      <c r="BH312" s="136"/>
      <c r="BI312" s="136"/>
      <c r="BJ312" s="136"/>
      <c r="BK312" s="136"/>
      <c r="BL312" s="136"/>
      <c r="BM312" s="136"/>
      <c r="BN312" s="136"/>
      <c r="BO312" s="136"/>
      <c r="BP312" s="136"/>
      <c r="BQ312" s="136"/>
      <c r="BR312" s="136"/>
      <c r="BS312" s="136"/>
      <c r="BT312" s="136"/>
      <c r="BU312" s="136"/>
      <c r="BV312" s="136"/>
      <c r="BW312" s="136"/>
      <c r="BX312" s="136"/>
      <c r="BY312" s="136"/>
      <c r="BZ312" s="136"/>
      <c r="CA312" s="136"/>
      <c r="CB312" s="136"/>
      <c r="CC312" s="136"/>
      <c r="CD312" s="136"/>
      <c r="CE312" s="136"/>
      <c r="CF312" s="136"/>
      <c r="CG312" s="136"/>
      <c r="CH312" s="136"/>
      <c r="CI312" s="136"/>
      <c r="CJ312" s="136"/>
      <c r="CK312" s="136"/>
      <c r="CL312" s="136"/>
      <c r="CM312" s="136"/>
      <c r="CN312" s="136"/>
      <c r="CO312" s="136"/>
      <c r="CP312" s="136"/>
      <c r="CQ312" s="136"/>
      <c r="CR312" s="136"/>
      <c r="CS312" s="136"/>
      <c r="CT312" s="136"/>
      <c r="CU312" s="136"/>
      <c r="CV312" s="136"/>
      <c r="CW312" s="136"/>
      <c r="CX312" s="136"/>
      <c r="CY312" s="136"/>
      <c r="CZ312" s="136"/>
      <c r="DA312" s="136"/>
      <c r="DB312" s="136"/>
      <c r="DC312" s="136"/>
      <c r="DD312" s="136"/>
      <c r="DE312" s="136"/>
      <c r="DF312" s="136"/>
      <c r="DG312" s="136"/>
      <c r="DH312" s="136"/>
      <c r="DI312" s="136"/>
      <c r="DJ312" s="136"/>
      <c r="DK312" s="136"/>
      <c r="DL312" s="136"/>
      <c r="DM312" s="136"/>
      <c r="DN312" s="136"/>
      <c r="DO312" s="136"/>
      <c r="DP312" s="136"/>
      <c r="DQ312" s="136"/>
      <c r="DR312" s="136"/>
      <c r="DS312" s="136"/>
      <c r="DT312" s="136"/>
      <c r="DU312" s="136"/>
      <c r="DV312" s="136"/>
      <c r="DW312" s="136"/>
      <c r="DX312" s="136"/>
      <c r="DY312" s="136"/>
      <c r="DZ312" s="136"/>
      <c r="EA312" s="136"/>
      <c r="EB312" s="136"/>
      <c r="EC312" s="136"/>
      <c r="ED312" s="136"/>
      <c r="EE312" s="136"/>
      <c r="EF312" s="136"/>
      <c r="EG312" s="136"/>
      <c r="EH312" s="136"/>
      <c r="EI312" s="136"/>
      <c r="EJ312" s="136"/>
      <c r="EK312" s="136"/>
      <c r="EL312" s="136"/>
      <c r="EM312" s="136"/>
      <c r="EN312" s="136"/>
      <c r="EO312" s="136"/>
      <c r="EP312" s="136"/>
      <c r="EQ312" s="136"/>
      <c r="ER312" s="136"/>
      <c r="ES312" s="136"/>
      <c r="ET312" s="136"/>
      <c r="EU312" s="136"/>
      <c r="EV312" s="136"/>
      <c r="EW312" s="136"/>
      <c r="EX312" s="136"/>
      <c r="EY312" s="136"/>
      <c r="EZ312" s="136"/>
      <c r="FA312" s="136"/>
      <c r="FB312" s="136"/>
      <c r="FC312" s="136"/>
      <c r="FD312" s="136"/>
      <c r="FE312" s="136"/>
      <c r="FF312" s="136"/>
      <c r="FG312" s="136"/>
      <c r="FH312" s="136"/>
      <c r="FI312" s="136"/>
      <c r="FJ312" s="136"/>
      <c r="FK312" s="136"/>
      <c r="FL312" s="136"/>
      <c r="FM312" s="136"/>
      <c r="FN312" s="136"/>
      <c r="FO312" s="136"/>
      <c r="FP312" s="136"/>
      <c r="FQ312" s="136"/>
      <c r="FR312" s="136"/>
      <c r="FS312" s="136"/>
      <c r="FT312" s="136"/>
      <c r="FU312" s="136"/>
      <c r="FV312" s="136"/>
      <c r="FW312" s="136"/>
      <c r="FX312" s="136"/>
      <c r="FY312" s="136"/>
      <c r="FZ312" s="136"/>
      <c r="GA312" s="136"/>
      <c r="GB312" s="136"/>
      <c r="GC312" s="136"/>
      <c r="GD312" s="136"/>
      <c r="GE312" s="136"/>
      <c r="GF312" s="136"/>
      <c r="GG312" s="136"/>
      <c r="GH312" s="136"/>
      <c r="GI312" s="136"/>
      <c r="GJ312" s="136"/>
      <c r="GK312" s="136"/>
      <c r="GL312" s="136"/>
      <c r="GM312" s="136"/>
      <c r="GN312" s="136"/>
      <c r="GO312" s="136"/>
      <c r="GP312" s="136"/>
      <c r="GQ312" s="136"/>
      <c r="GR312" s="136"/>
      <c r="GS312" s="136"/>
      <c r="GT312" s="136"/>
      <c r="GU312" s="136"/>
      <c r="GV312" s="136"/>
      <c r="GW312" s="136"/>
      <c r="GX312" s="136"/>
      <c r="GY312" s="136"/>
      <c r="GZ312" s="136"/>
      <c r="HA312" s="136"/>
      <c r="HB312" s="136"/>
      <c r="HC312" s="136"/>
      <c r="HD312" s="136"/>
      <c r="HE312" s="136"/>
      <c r="HF312" s="136"/>
      <c r="HG312" s="136"/>
      <c r="HH312" s="136"/>
      <c r="HI312" s="136"/>
      <c r="HJ312" s="136"/>
      <c r="HK312" s="136"/>
      <c r="HL312" s="136"/>
      <c r="HM312" s="136"/>
      <c r="HN312" s="136"/>
      <c r="HO312" s="136"/>
      <c r="HP312" s="136"/>
      <c r="HQ312" s="136"/>
      <c r="HR312" s="136"/>
      <c r="HS312" s="136"/>
      <c r="HT312" s="136"/>
      <c r="HU312" s="136"/>
      <c r="HV312" s="136"/>
      <c r="HW312" s="136"/>
      <c r="HX312" s="136"/>
      <c r="HY312" s="136"/>
      <c r="HZ312" s="136"/>
      <c r="IA312" s="136"/>
      <c r="IB312" s="136"/>
      <c r="IC312" s="136"/>
      <c r="ID312" s="136"/>
      <c r="IE312" s="136"/>
      <c r="IF312" s="136"/>
      <c r="IG312" s="136"/>
      <c r="IH312" s="136"/>
      <c r="II312" s="136"/>
      <c r="IJ312" s="136"/>
      <c r="IK312" s="136"/>
      <c r="IL312" s="136"/>
      <c r="IM312" s="136"/>
      <c r="IN312" s="136"/>
      <c r="IO312" s="136"/>
      <c r="IP312" s="136"/>
      <c r="IQ312" s="136"/>
      <c r="IR312" s="136"/>
      <c r="IS312" s="136"/>
      <c r="IT312" s="136"/>
      <c r="IU312" s="136"/>
    </row>
  </sheetData>
  <mergeCells count="28">
    <mergeCell ref="A79:B79"/>
    <mergeCell ref="A2:D2"/>
    <mergeCell ref="A97:B97"/>
    <mergeCell ref="A110:B110"/>
    <mergeCell ref="A126:B126"/>
    <mergeCell ref="A31:B31"/>
    <mergeCell ref="A38:B38"/>
    <mergeCell ref="A46:B46"/>
    <mergeCell ref="A51:B51"/>
    <mergeCell ref="A61:B61"/>
    <mergeCell ref="A1:D1"/>
    <mergeCell ref="A20:B20"/>
    <mergeCell ref="A21:D21"/>
    <mergeCell ref="A22:B22"/>
    <mergeCell ref="A23:D23"/>
    <mergeCell ref="A155:B155"/>
    <mergeCell ref="A158:B158"/>
    <mergeCell ref="A253:B253"/>
    <mergeCell ref="A258:B258"/>
    <mergeCell ref="A268:B268"/>
    <mergeCell ref="A178:B178"/>
    <mergeCell ref="A300:B300"/>
    <mergeCell ref="A192:B192"/>
    <mergeCell ref="A205:B205"/>
    <mergeCell ref="A217:B217"/>
    <mergeCell ref="A223:B223"/>
    <mergeCell ref="A244:B244"/>
    <mergeCell ref="A247:B247"/>
  </mergeCells>
  <conditionalFormatting sqref="A205">
    <cfRule type="expression" dxfId="2467" priority="33">
      <formula>$C$25="No"</formula>
    </cfRule>
  </conditionalFormatting>
  <conditionalFormatting sqref="A268">
    <cfRule type="expression" dxfId="2466" priority="32">
      <formula>$C$24="No"</formula>
    </cfRule>
  </conditionalFormatting>
  <conditionalFormatting sqref="A46">
    <cfRule type="expression" dxfId="2465" priority="31">
      <formula>$C$26="No"</formula>
    </cfRule>
  </conditionalFormatting>
  <conditionalFormatting sqref="A178">
    <cfRule type="expression" dxfId="2464" priority="30">
      <formula>$C$28="No"</formula>
    </cfRule>
  </conditionalFormatting>
  <conditionalFormatting sqref="D90">
    <cfRule type="expression" dxfId="2463" priority="19">
      <formula>$C$89="No"</formula>
    </cfRule>
  </conditionalFormatting>
  <conditionalFormatting sqref="D92:D93">
    <cfRule type="expression" dxfId="2462" priority="29">
      <formula>$C$91="No"</formula>
    </cfRule>
  </conditionalFormatting>
  <conditionalFormatting sqref="A300">
    <cfRule type="expression" dxfId="2461" priority="28">
      <formula>$C$29="No"</formula>
    </cfRule>
  </conditionalFormatting>
  <conditionalFormatting sqref="C293">
    <cfRule type="expression" dxfId="2460" priority="24">
      <formula>$C$292="No"</formula>
    </cfRule>
  </conditionalFormatting>
  <conditionalFormatting sqref="C60:D60">
    <cfRule type="expression" dxfId="2459" priority="27">
      <formula>$C$59="No"</formula>
    </cfRule>
  </conditionalFormatting>
  <conditionalFormatting sqref="A51">
    <cfRule type="expression" dxfId="2458" priority="26">
      <formula>$C$30="No"</formula>
    </cfRule>
  </conditionalFormatting>
  <conditionalFormatting sqref="C112:D112">
    <cfRule type="expression" dxfId="2457" priority="18">
      <formula>$C$111="No"</formula>
    </cfRule>
  </conditionalFormatting>
  <conditionalFormatting sqref="C203:D203">
    <cfRule type="expression" dxfId="2456" priority="17">
      <formula>$C$202="No"</formula>
    </cfRule>
  </conditionalFormatting>
  <conditionalFormatting sqref="A97">
    <cfRule type="expression" dxfId="2455" priority="25">
      <formula>$C$27="No"</formula>
    </cfRule>
  </conditionalFormatting>
  <conditionalFormatting sqref="A61:B61 A79:B79 A97:B97 A110:B110 A126:B126 A158:B158 A178:B178 A192:B192 A205:B205 A223:B223 A244:B244 A247:B247 A253:B253 A268:B268 A300:B300">
    <cfRule type="expression" dxfId="2454" priority="23">
      <formula>$C$30="Yes"</formula>
    </cfRule>
  </conditionalFormatting>
  <conditionalFormatting sqref="A155:B155">
    <cfRule type="expression" dxfId="2453" priority="22">
      <formula>$C$30="Yes"</formula>
    </cfRule>
  </conditionalFormatting>
  <conditionalFormatting sqref="A217:B217">
    <cfRule type="expression" dxfId="2452" priority="21">
      <formula>$C$30="Yes"</formula>
    </cfRule>
  </conditionalFormatting>
  <conditionalFormatting sqref="A258:B258">
    <cfRule type="expression" dxfId="2451" priority="20">
      <formula>$C$30="Yes"</formula>
    </cfRule>
  </conditionalFormatting>
  <conditionalFormatting sqref="C296">
    <cfRule type="expression" dxfId="2450" priority="16">
      <formula>$C$295="No"</formula>
    </cfRule>
  </conditionalFormatting>
  <conditionalFormatting sqref="C90">
    <cfRule type="expression" dxfId="2449" priority="15">
      <formula>$C$89="No"</formula>
    </cfRule>
  </conditionalFormatting>
  <conditionalFormatting sqref="C92:C93">
    <cfRule type="expression" dxfId="2448" priority="14">
      <formula>$C$91="No"</formula>
    </cfRule>
  </conditionalFormatting>
  <conditionalFormatting sqref="D179">
    <cfRule type="expression" dxfId="2447" priority="13">
      <formula>#REF!="No"</formula>
    </cfRule>
  </conditionalFormatting>
  <conditionalFormatting sqref="D190">
    <cfRule type="expression" dxfId="2446" priority="12">
      <formula>#REF!="No"</formula>
    </cfRule>
  </conditionalFormatting>
  <conditionalFormatting sqref="D259">
    <cfRule type="expression" dxfId="2445" priority="11">
      <formula>#REF!="No"</formula>
    </cfRule>
  </conditionalFormatting>
  <conditionalFormatting sqref="D260">
    <cfRule type="expression" dxfId="2444" priority="10">
      <formula>#REF!="No"</formula>
    </cfRule>
  </conditionalFormatting>
  <conditionalFormatting sqref="D262">
    <cfRule type="expression" dxfId="2443" priority="9">
      <formula>#REF!="No"</formula>
    </cfRule>
  </conditionalFormatting>
  <conditionalFormatting sqref="D263">
    <cfRule type="expression" dxfId="2442" priority="8">
      <formula>#REF!="No"</formula>
    </cfRule>
  </conditionalFormatting>
  <conditionalFormatting sqref="D215">
    <cfRule type="expression" dxfId="2441" priority="7">
      <formula>#REF!="No"</formula>
    </cfRule>
  </conditionalFormatting>
  <conditionalFormatting sqref="D216">
    <cfRule type="expression" dxfId="2440" priority="6">
      <formula>#REF!="No"</formula>
    </cfRule>
  </conditionalFormatting>
  <conditionalFormatting sqref="D213">
    <cfRule type="expression" dxfId="2439" priority="5">
      <formula>$C$89="No"</formula>
    </cfRule>
  </conditionalFormatting>
  <conditionalFormatting sqref="C213">
    <cfRule type="expression" dxfId="2438" priority="4">
      <formula>$C$89="No"</formula>
    </cfRule>
  </conditionalFormatting>
  <conditionalFormatting sqref="D184">
    <cfRule type="expression" dxfId="2437" priority="3">
      <formula>#REF!="No"</formula>
    </cfRule>
  </conditionalFormatting>
  <conditionalFormatting sqref="D187">
    <cfRule type="expression" dxfId="2436" priority="2">
      <formula>#REF!="No"</formula>
    </cfRule>
  </conditionalFormatting>
  <conditionalFormatting sqref="D188">
    <cfRule type="expression" dxfId="2435" priority="1">
      <formula>#REF!="No"</formula>
    </cfRule>
  </conditionalFormatting>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0070C0"/>
  </sheetPr>
  <dimension ref="A1:H316"/>
  <sheetViews>
    <sheetView workbookViewId="0">
      <selection activeCell="M1" sqref="M1"/>
    </sheetView>
  </sheetViews>
  <sheetFormatPr baseColWidth="10" defaultColWidth="8.5" defaultRowHeight="16" x14ac:dyDescent="0.2"/>
  <cols>
    <col min="1" max="1" width="14" style="142" customWidth="1"/>
    <col min="2" max="2" width="8.625" style="142" customWidth="1"/>
    <col min="3" max="3" width="36.125" style="142" customWidth="1"/>
    <col min="4" max="4" width="14.25" style="142" customWidth="1"/>
    <col min="5" max="5" width="11.5" style="142" customWidth="1"/>
    <col min="6" max="6" width="8.5" style="142"/>
    <col min="7" max="7" width="13.5" style="142" customWidth="1"/>
    <col min="8" max="8" width="24.25" style="142" customWidth="1"/>
    <col min="9" max="16384" width="8.5" style="142"/>
  </cols>
  <sheetData>
    <row r="1" spans="1:8" s="141" customFormat="1" ht="36" customHeight="1" x14ac:dyDescent="0.2">
      <c r="A1" s="347" t="s">
        <v>2992</v>
      </c>
      <c r="B1" s="347"/>
      <c r="C1" s="347"/>
      <c r="D1" s="347"/>
      <c r="E1" s="347"/>
      <c r="F1" s="347"/>
      <c r="G1" s="348"/>
      <c r="H1" s="182" t="str">
        <f>'HECVAT - Full'!E1</f>
        <v>Version 2.10</v>
      </c>
    </row>
    <row r="2" spans="1:8" s="141" customFormat="1" ht="26" customHeight="1" x14ac:dyDescent="0.2">
      <c r="A2" s="349"/>
      <c r="B2" s="349"/>
      <c r="C2" s="349"/>
      <c r="D2" s="349"/>
      <c r="E2" s="349"/>
      <c r="F2" s="349"/>
      <c r="G2" s="349"/>
      <c r="H2" s="349"/>
    </row>
    <row r="3" spans="1:8" s="140" customFormat="1" ht="36" customHeight="1" x14ac:dyDescent="0.2">
      <c r="A3" s="135" t="s">
        <v>2618</v>
      </c>
      <c r="B3" s="287" t="str">
        <f>'HECVAT - Full'!C7</f>
        <v>Vendor Name</v>
      </c>
      <c r="C3" s="287"/>
      <c r="D3" s="135" t="s">
        <v>2620</v>
      </c>
      <c r="E3" s="287" t="str">
        <f>'HECVAT - Full'!C8</f>
        <v>Product Name and Version Information</v>
      </c>
      <c r="F3" s="287"/>
      <c r="G3" s="287"/>
      <c r="H3" s="287"/>
    </row>
    <row r="4" spans="1:8" s="141" customFormat="1" ht="48" customHeight="1" x14ac:dyDescent="0.2">
      <c r="A4" s="163" t="s">
        <v>2619</v>
      </c>
      <c r="B4" s="350" t="str">
        <f>'HECVAT - Full'!C9</f>
        <v>Brief Description of the Product</v>
      </c>
      <c r="C4" s="350"/>
      <c r="D4" s="350"/>
      <c r="E4" s="350"/>
      <c r="F4" s="350"/>
      <c r="G4" s="350"/>
      <c r="H4" s="350"/>
    </row>
    <row r="5" spans="1:8" s="141" customFormat="1" ht="36" customHeight="1" x14ac:dyDescent="0.2">
      <c r="A5" s="219"/>
      <c r="B5" s="220"/>
      <c r="C5" s="220"/>
      <c r="D5" s="337" t="s">
        <v>2063</v>
      </c>
      <c r="E5" s="338"/>
      <c r="F5" s="220"/>
      <c r="G5" s="220"/>
      <c r="H5" s="221"/>
    </row>
    <row r="6" spans="1:8" ht="36" customHeight="1" x14ac:dyDescent="0.2">
      <c r="A6" s="222"/>
      <c r="B6" s="223"/>
      <c r="C6" s="223"/>
      <c r="D6" s="144">
        <f>Questions!W23</f>
        <v>0</v>
      </c>
      <c r="E6" s="168" t="str">
        <f>Questions!X23</f>
        <v>F</v>
      </c>
      <c r="F6" s="223"/>
      <c r="G6" s="223"/>
      <c r="H6" s="224"/>
    </row>
    <row r="7" spans="1:8" x14ac:dyDescent="0.2">
      <c r="A7" s="225"/>
      <c r="B7" s="226"/>
      <c r="C7" s="226"/>
      <c r="D7" s="226"/>
      <c r="E7" s="226"/>
      <c r="F7" s="226"/>
      <c r="G7" s="226"/>
      <c r="H7" s="227"/>
    </row>
    <row r="8" spans="1:8" x14ac:dyDescent="0.2">
      <c r="A8" s="225"/>
      <c r="B8" s="226"/>
      <c r="C8" s="226"/>
      <c r="D8" s="226"/>
      <c r="E8" s="226"/>
      <c r="F8" s="226"/>
      <c r="G8" s="226"/>
      <c r="H8" s="227"/>
    </row>
    <row r="9" spans="1:8" x14ac:dyDescent="0.2">
      <c r="A9" s="225"/>
      <c r="B9" s="226"/>
      <c r="C9" s="226"/>
      <c r="D9" s="226"/>
      <c r="E9" s="226"/>
      <c r="F9" s="226"/>
      <c r="G9" s="226"/>
      <c r="H9" s="227"/>
    </row>
    <row r="10" spans="1:8" x14ac:dyDescent="0.2">
      <c r="A10" s="225"/>
      <c r="B10" s="226"/>
      <c r="C10" s="226"/>
      <c r="D10" s="226"/>
      <c r="E10" s="226"/>
      <c r="F10" s="226"/>
      <c r="G10" s="226"/>
      <c r="H10" s="227"/>
    </row>
    <row r="11" spans="1:8" x14ac:dyDescent="0.2">
      <c r="A11" s="225"/>
      <c r="B11" s="226"/>
      <c r="C11" s="226"/>
      <c r="D11" s="226"/>
      <c r="E11" s="226"/>
      <c r="F11" s="226"/>
      <c r="G11" s="226"/>
      <c r="H11" s="227"/>
    </row>
    <row r="12" spans="1:8" x14ac:dyDescent="0.2">
      <c r="A12" s="225"/>
      <c r="B12" s="226"/>
      <c r="C12" s="226"/>
      <c r="D12" s="226"/>
      <c r="E12" s="226"/>
      <c r="F12" s="226"/>
      <c r="G12" s="226"/>
      <c r="H12" s="227"/>
    </row>
    <row r="13" spans="1:8" x14ac:dyDescent="0.2">
      <c r="A13" s="225"/>
      <c r="B13" s="226"/>
      <c r="C13" s="226"/>
      <c r="D13" s="226"/>
      <c r="E13" s="226"/>
      <c r="F13" s="226"/>
      <c r="G13" s="226"/>
      <c r="H13" s="227"/>
    </row>
    <row r="14" spans="1:8" x14ac:dyDescent="0.2">
      <c r="A14" s="225"/>
      <c r="B14" s="226"/>
      <c r="C14" s="226"/>
      <c r="D14" s="226"/>
      <c r="E14" s="226"/>
      <c r="F14" s="226"/>
      <c r="G14" s="226"/>
      <c r="H14" s="227"/>
    </row>
    <row r="15" spans="1:8" x14ac:dyDescent="0.2">
      <c r="A15" s="225"/>
      <c r="B15" s="226"/>
      <c r="C15" s="226"/>
      <c r="D15" s="226"/>
      <c r="E15" s="226"/>
      <c r="F15" s="226"/>
      <c r="G15" s="226"/>
      <c r="H15" s="227"/>
    </row>
    <row r="16" spans="1:8" x14ac:dyDescent="0.2">
      <c r="A16" s="225"/>
      <c r="B16" s="226"/>
      <c r="C16" s="226"/>
      <c r="D16" s="226"/>
      <c r="E16" s="226"/>
      <c r="F16" s="226"/>
      <c r="G16" s="226"/>
      <c r="H16" s="227"/>
    </row>
    <row r="17" spans="1:8" x14ac:dyDescent="0.2">
      <c r="A17" s="225"/>
      <c r="B17" s="226"/>
      <c r="C17" s="226"/>
      <c r="D17" s="226"/>
      <c r="E17" s="226"/>
      <c r="F17" s="226"/>
      <c r="G17" s="226"/>
      <c r="H17" s="227"/>
    </row>
    <row r="18" spans="1:8" x14ac:dyDescent="0.2">
      <c r="A18" s="225"/>
      <c r="B18" s="226"/>
      <c r="C18" s="226"/>
      <c r="D18" s="226"/>
      <c r="E18" s="226"/>
      <c r="F18" s="226"/>
      <c r="G18" s="226"/>
      <c r="H18" s="227"/>
    </row>
    <row r="19" spans="1:8" x14ac:dyDescent="0.2">
      <c r="A19" s="225"/>
      <c r="B19" s="226"/>
      <c r="C19" s="226"/>
      <c r="D19" s="226"/>
      <c r="E19" s="226"/>
      <c r="F19" s="226"/>
      <c r="G19" s="226"/>
      <c r="H19" s="227"/>
    </row>
    <row r="20" spans="1:8" x14ac:dyDescent="0.2">
      <c r="A20" s="225"/>
      <c r="B20" s="226"/>
      <c r="C20" s="226"/>
      <c r="D20" s="226"/>
      <c r="E20" s="226"/>
      <c r="F20" s="226"/>
      <c r="G20" s="226"/>
      <c r="H20" s="227"/>
    </row>
    <row r="21" spans="1:8" x14ac:dyDescent="0.2">
      <c r="A21" s="225"/>
      <c r="B21" s="226"/>
      <c r="C21" s="226"/>
      <c r="D21" s="226"/>
      <c r="E21" s="226"/>
      <c r="F21" s="226"/>
      <c r="G21" s="226"/>
      <c r="H21" s="227"/>
    </row>
    <row r="22" spans="1:8" x14ac:dyDescent="0.2">
      <c r="A22" s="225"/>
      <c r="B22" s="226"/>
      <c r="C22" s="226"/>
      <c r="D22" s="226"/>
      <c r="E22" s="226"/>
      <c r="F22" s="226"/>
      <c r="G22" s="226"/>
      <c r="H22" s="227"/>
    </row>
    <row r="23" spans="1:8" x14ac:dyDescent="0.2">
      <c r="A23" s="225"/>
      <c r="B23" s="226"/>
      <c r="C23" s="226"/>
      <c r="D23" s="226"/>
      <c r="E23" s="226"/>
      <c r="F23" s="226"/>
      <c r="G23" s="226"/>
      <c r="H23" s="227"/>
    </row>
    <row r="24" spans="1:8" x14ac:dyDescent="0.2">
      <c r="A24" s="225"/>
      <c r="B24" s="226"/>
      <c r="C24" s="226"/>
      <c r="D24" s="226"/>
      <c r="E24" s="226"/>
      <c r="F24" s="226"/>
      <c r="G24" s="226"/>
      <c r="H24" s="227"/>
    </row>
    <row r="25" spans="1:8" x14ac:dyDescent="0.2">
      <c r="A25" s="225"/>
      <c r="B25" s="226"/>
      <c r="C25" s="226"/>
      <c r="D25" s="226"/>
      <c r="E25" s="226"/>
      <c r="F25" s="226"/>
      <c r="G25" s="226"/>
      <c r="H25" s="227"/>
    </row>
    <row r="26" spans="1:8" x14ac:dyDescent="0.2">
      <c r="A26" s="225"/>
      <c r="B26" s="226"/>
      <c r="C26" s="226"/>
      <c r="D26" s="226"/>
      <c r="E26" s="226"/>
      <c r="F26" s="226"/>
      <c r="G26" s="226"/>
      <c r="H26" s="227"/>
    </row>
    <row r="27" spans="1:8" x14ac:dyDescent="0.2">
      <c r="A27" s="225"/>
      <c r="B27" s="226"/>
      <c r="C27" s="226"/>
      <c r="D27" s="226"/>
      <c r="E27" s="226"/>
      <c r="F27" s="226"/>
      <c r="G27" s="226"/>
      <c r="H27" s="227"/>
    </row>
    <row r="28" spans="1:8" x14ac:dyDescent="0.2">
      <c r="A28" s="225"/>
      <c r="B28" s="226"/>
      <c r="C28" s="226"/>
      <c r="D28" s="226"/>
      <c r="E28" s="226"/>
      <c r="F28" s="226"/>
      <c r="G28" s="226"/>
      <c r="H28" s="227"/>
    </row>
    <row r="29" spans="1:8" x14ac:dyDescent="0.2">
      <c r="A29" s="225"/>
      <c r="B29" s="226"/>
      <c r="C29" s="226"/>
      <c r="D29" s="226"/>
      <c r="E29" s="226"/>
      <c r="F29" s="226"/>
      <c r="G29" s="226"/>
      <c r="H29" s="227"/>
    </row>
    <row r="30" spans="1:8" x14ac:dyDescent="0.2">
      <c r="A30" s="225"/>
      <c r="B30" s="226"/>
      <c r="C30" s="226"/>
      <c r="D30" s="226"/>
      <c r="E30" s="226"/>
      <c r="F30" s="226"/>
      <c r="G30" s="226"/>
      <c r="H30" s="227"/>
    </row>
    <row r="31" spans="1:8" x14ac:dyDescent="0.2">
      <c r="A31" s="225"/>
      <c r="B31" s="226"/>
      <c r="C31" s="226"/>
      <c r="D31" s="226"/>
      <c r="E31" s="226"/>
      <c r="F31" s="226"/>
      <c r="G31" s="226"/>
      <c r="H31" s="227"/>
    </row>
    <row r="32" spans="1:8" x14ac:dyDescent="0.2">
      <c r="A32" s="225"/>
      <c r="B32" s="226"/>
      <c r="C32" s="226"/>
      <c r="D32" s="226"/>
      <c r="E32" s="226"/>
      <c r="F32" s="226"/>
      <c r="G32" s="226"/>
      <c r="H32" s="227"/>
    </row>
    <row r="33" spans="1:8" x14ac:dyDescent="0.2">
      <c r="A33" s="225"/>
      <c r="B33" s="226"/>
      <c r="C33" s="226"/>
      <c r="D33" s="226"/>
      <c r="E33" s="226"/>
      <c r="F33" s="226"/>
      <c r="G33" s="226"/>
      <c r="H33" s="227"/>
    </row>
    <row r="34" spans="1:8" x14ac:dyDescent="0.2">
      <c r="A34" s="225"/>
      <c r="B34" s="226"/>
      <c r="C34" s="226"/>
      <c r="D34" s="226"/>
      <c r="E34" s="226"/>
      <c r="F34" s="226"/>
      <c r="G34" s="226"/>
      <c r="H34" s="227"/>
    </row>
    <row r="35" spans="1:8" x14ac:dyDescent="0.2">
      <c r="A35" s="225"/>
      <c r="B35" s="226"/>
      <c r="C35" s="226"/>
      <c r="D35" s="226"/>
      <c r="E35" s="226"/>
      <c r="F35" s="226"/>
      <c r="G35" s="226"/>
      <c r="H35" s="227"/>
    </row>
    <row r="36" spans="1:8" x14ac:dyDescent="0.2">
      <c r="A36" s="225"/>
      <c r="B36" s="226"/>
      <c r="C36" s="226"/>
      <c r="D36" s="226"/>
      <c r="E36" s="226"/>
      <c r="F36" s="226"/>
      <c r="G36" s="226"/>
      <c r="H36" s="227"/>
    </row>
    <row r="37" spans="1:8" x14ac:dyDescent="0.2">
      <c r="A37" s="225"/>
      <c r="B37" s="226"/>
      <c r="C37" s="226"/>
      <c r="D37" s="226"/>
      <c r="E37" s="226"/>
      <c r="F37" s="226"/>
      <c r="G37" s="226"/>
      <c r="H37" s="227"/>
    </row>
    <row r="38" spans="1:8" x14ac:dyDescent="0.2">
      <c r="A38" s="225"/>
      <c r="B38" s="226"/>
      <c r="C38" s="226"/>
      <c r="D38" s="226"/>
      <c r="E38" s="226"/>
      <c r="F38" s="226"/>
      <c r="G38" s="226"/>
      <c r="H38" s="227"/>
    </row>
    <row r="39" spans="1:8" x14ac:dyDescent="0.2">
      <c r="A39" s="225"/>
      <c r="B39" s="226"/>
      <c r="C39" s="226"/>
      <c r="D39" s="226"/>
      <c r="E39" s="226"/>
      <c r="F39" s="226"/>
      <c r="G39" s="226"/>
      <c r="H39" s="227"/>
    </row>
    <row r="40" spans="1:8" x14ac:dyDescent="0.2">
      <c r="A40" s="225"/>
      <c r="B40" s="226"/>
      <c r="C40" s="226"/>
      <c r="D40" s="226"/>
      <c r="E40" s="226"/>
      <c r="F40" s="226"/>
      <c r="G40" s="226"/>
      <c r="H40" s="227"/>
    </row>
    <row r="41" spans="1:8" x14ac:dyDescent="0.2">
      <c r="A41" s="225"/>
      <c r="B41" s="226"/>
      <c r="C41" s="226"/>
      <c r="D41" s="226"/>
      <c r="E41" s="226"/>
      <c r="F41" s="226"/>
      <c r="G41" s="226"/>
      <c r="H41" s="227"/>
    </row>
    <row r="42" spans="1:8" x14ac:dyDescent="0.2">
      <c r="A42" s="225"/>
      <c r="B42" s="226"/>
      <c r="C42" s="226"/>
      <c r="D42" s="226"/>
      <c r="E42" s="226"/>
      <c r="F42" s="226"/>
      <c r="G42" s="226"/>
      <c r="H42" s="227"/>
    </row>
    <row r="43" spans="1:8" x14ac:dyDescent="0.2">
      <c r="A43" s="225"/>
      <c r="B43" s="226"/>
      <c r="C43" s="226"/>
      <c r="D43" s="226"/>
      <c r="E43" s="226"/>
      <c r="F43" s="226"/>
      <c r="G43" s="226"/>
      <c r="H43" s="227"/>
    </row>
    <row r="44" spans="1:8" x14ac:dyDescent="0.2">
      <c r="A44" s="225"/>
      <c r="B44" s="226"/>
      <c r="C44" s="226"/>
      <c r="D44" s="226"/>
      <c r="E44" s="226"/>
      <c r="F44" s="226"/>
      <c r="G44" s="226"/>
      <c r="H44" s="227"/>
    </row>
    <row r="45" spans="1:8" x14ac:dyDescent="0.2">
      <c r="A45" s="228"/>
      <c r="B45" s="229"/>
      <c r="C45" s="229"/>
      <c r="D45" s="229"/>
      <c r="E45" s="229"/>
      <c r="F45" s="229"/>
      <c r="G45" s="229"/>
      <c r="H45" s="230"/>
    </row>
    <row r="46" spans="1:8" ht="48" customHeight="1" x14ac:dyDescent="0.2">
      <c r="A46" s="339" t="s">
        <v>2089</v>
      </c>
      <c r="B46" s="340"/>
      <c r="C46" s="340"/>
      <c r="D46" s="340"/>
      <c r="E46" s="340"/>
      <c r="F46" s="340"/>
      <c r="G46" s="340"/>
      <c r="H46" s="341"/>
    </row>
    <row r="47" spans="1:8" s="141" customFormat="1" ht="36" customHeight="1" x14ac:dyDescent="0.2">
      <c r="A47" s="342"/>
      <c r="B47" s="343"/>
      <c r="C47" s="343"/>
      <c r="D47" s="343"/>
      <c r="E47" s="343"/>
      <c r="F47" s="344"/>
      <c r="G47" s="345" t="s">
        <v>2621</v>
      </c>
      <c r="H47" s="346"/>
    </row>
    <row r="48" spans="1:8" s="143" customFormat="1" ht="60" customHeight="1" x14ac:dyDescent="0.2">
      <c r="A48" s="146" t="str">
        <f>'High Risk Non-Compliant'!B4</f>
        <v>ID</v>
      </c>
      <c r="B48" s="352" t="str">
        <f>'High Risk Non-Compliant'!C4</f>
        <v>Question</v>
      </c>
      <c r="C48" s="352"/>
      <c r="D48" s="353" t="str">
        <f>'High Risk Non-Compliant'!D4</f>
        <v>Additional Info</v>
      </c>
      <c r="E48" s="353"/>
      <c r="F48" s="353"/>
      <c r="G48" s="177">
        <f>'Analyst Report'!B10</f>
        <v>0</v>
      </c>
      <c r="H48" s="176" t="e">
        <f>VLOOKUP('Analyst Report'!B10,'Standards Crosswalk'!A317:B323,2)</f>
        <v>#N/A</v>
      </c>
    </row>
    <row r="49" spans="1:8" ht="144" customHeight="1" x14ac:dyDescent="0.2">
      <c r="A49" s="148" t="str">
        <f>'High Risk Non-Compliant'!B5</f>
        <v>DOCU-04</v>
      </c>
      <c r="B49" s="355" t="str">
        <f>'High Risk Non-Compliant'!C5</f>
        <v>Do you conform with a specific industry standard security framework? (e.g. NIST Cybersecurity Framework, ISO 27001, etc.)</v>
      </c>
      <c r="C49" s="355"/>
      <c r="D49" s="354">
        <f>'High Risk Non-Compliant'!D5</f>
        <v>0</v>
      </c>
      <c r="E49" s="354"/>
      <c r="F49" s="354"/>
      <c r="G49" s="147" t="e">
        <f>IF(VLOOKUP(A49,'High Risk Non-Compliant'!B:K,$H$48,FALSE)=0,"N/A",VLOOKUP(A49,'High Risk Non-Compliant'!B:K,$H$48,FALSE))</f>
        <v>#REF!</v>
      </c>
      <c r="H49" s="147" t="e">
        <f>IF(G49="N/A","N/A",VLOOKUP(G49,'Crosswalk Detail'!A:B,2,FALSE))</f>
        <v>#REF!</v>
      </c>
    </row>
    <row r="50" spans="1:8" ht="144" customHeight="1" x14ac:dyDescent="0.2">
      <c r="A50" s="148" t="str">
        <f>'High Risk Non-Compliant'!B6</f>
        <v>DOCU-06</v>
      </c>
      <c r="B50" s="355" t="str">
        <f>'High Risk Non-Compliant'!C6</f>
        <v>Does your organization have a data privacy policy?</v>
      </c>
      <c r="C50" s="355"/>
      <c r="D50" s="354">
        <f>'High Risk Non-Compliant'!D6</f>
        <v>0</v>
      </c>
      <c r="E50" s="354"/>
      <c r="F50" s="354"/>
      <c r="G50" s="147" t="e">
        <f>IF(VLOOKUP(A50,'High Risk Non-Compliant'!B:K,$H$48,FALSE)=0,"N/A",VLOOKUP(A50,'High Risk Non-Compliant'!B:K,$H$48,FALSE))</f>
        <v>#REF!</v>
      </c>
      <c r="H50" s="147" t="e">
        <f>IF(G50="N/A","N/A",VLOOKUP(G50,'Crosswalk Detail'!A:B,2,FALSE))</f>
        <v>#REF!</v>
      </c>
    </row>
    <row r="51" spans="1:8" ht="144" customHeight="1" x14ac:dyDescent="0.2">
      <c r="A51" s="148" t="str">
        <f>'High Risk Non-Compliant'!B7</f>
        <v>THRD-01</v>
      </c>
      <c r="B51" s="355" t="str">
        <f>'High Risk Non-Compliant'!C7</f>
        <v>Describe how you perform security assessments of third party companies with which you share data (i.e. hosting providers, cloud services, PaaS, IaaS, SaaS, etc.). Provide a summary of your practices that assures that the third party will be subject to the appropriate standards regarding security, service recoverability, and confidentiality.</v>
      </c>
      <c r="C51" s="355"/>
      <c r="D51" s="354">
        <f>'High Risk Non-Compliant'!D7</f>
        <v>0</v>
      </c>
      <c r="E51" s="354"/>
      <c r="F51" s="354"/>
      <c r="G51" s="147" t="e">
        <f>IF(VLOOKUP(A51,'High Risk Non-Compliant'!B:K,$H$48,FALSE)=0,"N/A",VLOOKUP(A51,'High Risk Non-Compliant'!B:K,$H$48,FALSE))</f>
        <v>#REF!</v>
      </c>
      <c r="H51" s="147" t="e">
        <f>IF(G51="N/A","N/A",VLOOKUP(G51,'Crosswalk Detail'!A:B,2,FALSE))</f>
        <v>#REF!</v>
      </c>
    </row>
    <row r="52" spans="1:8" ht="144" customHeight="1" x14ac:dyDescent="0.2">
      <c r="A52" s="148" t="str">
        <f>'High Risk Non-Compliant'!B8</f>
        <v>THRD-02</v>
      </c>
      <c r="B52" s="355" t="str">
        <f>'High Risk Non-Compliant'!C8</f>
        <v>Provide a brief description for why each of these third parties will have access to institution data.</v>
      </c>
      <c r="C52" s="355"/>
      <c r="D52" s="354">
        <f>'High Risk Non-Compliant'!D8</f>
        <v>0</v>
      </c>
      <c r="E52" s="354"/>
      <c r="F52" s="354"/>
      <c r="G52" s="147" t="e">
        <f>IF(VLOOKUP(A52,'High Risk Non-Compliant'!B:K,$H$48,FALSE)=0,"N/A",VLOOKUP(A52,'High Risk Non-Compliant'!B:K,$H$48,FALSE))</f>
        <v>#REF!</v>
      </c>
      <c r="H52" s="147" t="e">
        <f>IF(G52="N/A","N/A",VLOOKUP(G52,'Crosswalk Detail'!A:B,2,FALSE))</f>
        <v>#REF!</v>
      </c>
    </row>
    <row r="53" spans="1:8" ht="144" customHeight="1" x14ac:dyDescent="0.2">
      <c r="A53" s="148" t="str">
        <f>'High Risk Non-Compliant'!B9</f>
        <v>THRD-03</v>
      </c>
      <c r="B53" s="355" t="str">
        <f>'High Risk Non-Compliant'!C9</f>
        <v>What legal agreements (i.e. contracts) do you have in place with these third parties that address liability in the event of a data breach?</v>
      </c>
      <c r="C53" s="355"/>
      <c r="D53" s="354">
        <f>'High Risk Non-Compliant'!D9</f>
        <v>0</v>
      </c>
      <c r="E53" s="354"/>
      <c r="F53" s="354"/>
      <c r="G53" s="147" t="e">
        <f>IF(VLOOKUP(A53,'High Risk Non-Compliant'!B:K,$H$48,FALSE)=0,"N/A",VLOOKUP(A53,'High Risk Non-Compliant'!B:K,$H$48,FALSE))</f>
        <v>#REF!</v>
      </c>
      <c r="H53" s="147" t="e">
        <f>IF(G53="N/A","N/A",VLOOKUP(G53,'Crosswalk Detail'!A:B,2,FALSE))</f>
        <v>#REF!</v>
      </c>
    </row>
    <row r="54" spans="1:8" ht="144" customHeight="1" x14ac:dyDescent="0.2">
      <c r="A54" s="148" t="str">
        <f>'High Risk Non-Compliant'!B10</f>
        <v>THRD-04</v>
      </c>
      <c r="B54" s="356" t="str">
        <f>'High Risk Non-Compliant'!C10</f>
        <v>Describe or provide references to your third party management strategy or provide additional information that may help analysts better understand your environment and how it relates to third-party solutions.</v>
      </c>
      <c r="C54" s="356"/>
      <c r="D54" s="354">
        <f>'High Risk Non-Compliant'!D10</f>
        <v>0</v>
      </c>
      <c r="E54" s="354"/>
      <c r="F54" s="354"/>
      <c r="G54" s="147" t="e">
        <f>IF(VLOOKUP(A54,'High Risk Non-Compliant'!B:K,$H$48,FALSE)=0,"N/A",VLOOKUP(A54,'High Risk Non-Compliant'!B:K,$H$48,FALSE))</f>
        <v>#REF!</v>
      </c>
      <c r="H54" s="147" t="e">
        <f>IF(G54="N/A","N/A",VLOOKUP(G54,'Crosswalk Detail'!A:B,2,FALSE))</f>
        <v>#REF!</v>
      </c>
    </row>
    <row r="55" spans="1:8" ht="144" customHeight="1" x14ac:dyDescent="0.2">
      <c r="A55" s="148" t="str">
        <f>'High Risk Non-Compliant'!B11</f>
        <v>CONS-03</v>
      </c>
      <c r="B55" s="355" t="str">
        <f>'High Risk Non-Compliant'!C11</f>
        <v>Will the consultant require access to hardware in the Institution's data centers?</v>
      </c>
      <c r="C55" s="355"/>
      <c r="D55" s="354">
        <f>'High Risk Non-Compliant'!D11</f>
        <v>0</v>
      </c>
      <c r="E55" s="354"/>
      <c r="F55" s="354"/>
      <c r="G55" s="147" t="e">
        <f>IF(VLOOKUP(A55,'High Risk Non-Compliant'!B:K,$H$48,FALSE)=0,"N/A",VLOOKUP(A55,'High Risk Non-Compliant'!B:K,$H$48,FALSE))</f>
        <v>#REF!</v>
      </c>
      <c r="H55" s="147" t="e">
        <f>IF(G55="N/A","N/A",VLOOKUP(G55,'Crosswalk Detail'!A:B,2,FALSE))</f>
        <v>#REF!</v>
      </c>
    </row>
    <row r="56" spans="1:8" ht="144" customHeight="1" x14ac:dyDescent="0.2">
      <c r="A56" s="148" t="str">
        <f>'High Risk Non-Compliant'!B12</f>
        <v>CONS-06</v>
      </c>
      <c r="B56" s="355" t="str">
        <f>'High Risk Non-Compliant'!C12</f>
        <v>Will any data be transferred to the consultant's possession?</v>
      </c>
      <c r="C56" s="355"/>
      <c r="D56" s="354">
        <f>'High Risk Non-Compliant'!D12</f>
        <v>0</v>
      </c>
      <c r="E56" s="354"/>
      <c r="F56" s="354"/>
      <c r="G56" s="147" t="e">
        <f>IF(VLOOKUP(A56,'High Risk Non-Compliant'!B:K,$H$48,FALSE)=0,"N/A",VLOOKUP(A56,'High Risk Non-Compliant'!B:K,$H$48,FALSE))</f>
        <v>#REF!</v>
      </c>
      <c r="H56" s="147" t="e">
        <f>IF(G56="N/A","N/A",VLOOKUP(G56,'Crosswalk Detail'!A:B,2,FALSE))</f>
        <v>#REF!</v>
      </c>
    </row>
    <row r="57" spans="1:8" ht="144" customHeight="1" x14ac:dyDescent="0.2">
      <c r="A57" s="148" t="str">
        <f>'High Risk Non-Compliant'!B13</f>
        <v>CONS-08</v>
      </c>
      <c r="B57" s="355" t="str">
        <f>'High Risk Non-Compliant'!C13</f>
        <v>Will the consultant need remote access to the Institution's network or systems?</v>
      </c>
      <c r="C57" s="355"/>
      <c r="D57" s="354">
        <f>'High Risk Non-Compliant'!D13</f>
        <v>0</v>
      </c>
      <c r="E57" s="354"/>
      <c r="F57" s="354"/>
      <c r="G57" s="147" t="e">
        <f>IF(VLOOKUP(A57,'High Risk Non-Compliant'!B:K,$H$48,FALSE)=0,"N/A",VLOOKUP(A57,'High Risk Non-Compliant'!B:K,$H$48,FALSE))</f>
        <v>#REF!</v>
      </c>
      <c r="H57" s="147" t="e">
        <f>IF(G57="N/A","N/A",VLOOKUP(G57,'Crosswalk Detail'!A:B,2,FALSE))</f>
        <v>#REF!</v>
      </c>
    </row>
    <row r="58" spans="1:8" ht="144" customHeight="1" x14ac:dyDescent="0.2">
      <c r="A58" s="148" t="str">
        <f>'High Risk Non-Compliant'!B14</f>
        <v>APPL-01</v>
      </c>
      <c r="B58" s="355" t="str">
        <f>'High Risk Non-Compliant'!C14</f>
        <v>Do you support role-based access control (RBAC) for end-users?</v>
      </c>
      <c r="C58" s="355"/>
      <c r="D58" s="354">
        <f>'High Risk Non-Compliant'!D14</f>
        <v>0</v>
      </c>
      <c r="E58" s="354"/>
      <c r="F58" s="354"/>
      <c r="G58" s="147" t="e">
        <f>IF(VLOOKUP(A58,'High Risk Non-Compliant'!B:K,$H$48,FALSE)=0,"N/A",VLOOKUP(A58,'High Risk Non-Compliant'!B:K,$H$48,FALSE))</f>
        <v>#REF!</v>
      </c>
      <c r="H58" s="147" t="e">
        <f>IF(G58="N/A","N/A",VLOOKUP(G58,'Crosswalk Detail'!A:B,2,FALSE))</f>
        <v>#REF!</v>
      </c>
    </row>
    <row r="59" spans="1:8" ht="144" customHeight="1" x14ac:dyDescent="0.2">
      <c r="A59" s="148" t="str">
        <f>'High Risk Non-Compliant'!B15</f>
        <v>APPL-02</v>
      </c>
      <c r="B59" s="355" t="str">
        <f>'High Risk Non-Compliant'!C15</f>
        <v>Do you support role-based access control (RBAC) for system administrators?</v>
      </c>
      <c r="C59" s="355"/>
      <c r="D59" s="354">
        <f>'High Risk Non-Compliant'!D15</f>
        <v>0</v>
      </c>
      <c r="E59" s="354"/>
      <c r="F59" s="354"/>
      <c r="G59" s="147" t="e">
        <f>IF(VLOOKUP(A59,'High Risk Non-Compliant'!B:K,$H$48,FALSE)=0,"N/A",VLOOKUP(A59,'High Risk Non-Compliant'!B:K,$H$48,FALSE))</f>
        <v>#REF!</v>
      </c>
      <c r="H59" s="147" t="e">
        <f>IF(G59="N/A","N/A",VLOOKUP(G59,'Crosswalk Detail'!A:B,2,FALSE))</f>
        <v>#REF!</v>
      </c>
    </row>
    <row r="60" spans="1:8" ht="144" customHeight="1" x14ac:dyDescent="0.2">
      <c r="A60" s="148" t="str">
        <f>'High Risk Non-Compliant'!B16</f>
        <v>APPL-06</v>
      </c>
      <c r="B60" s="355" t="str">
        <f>'High Risk Non-Compliant'!C16</f>
        <v xml:space="preserve">Do you employ a single-tenant environment? </v>
      </c>
      <c r="C60" s="355"/>
      <c r="D60" s="354">
        <f>'High Risk Non-Compliant'!D16</f>
        <v>0</v>
      </c>
      <c r="E60" s="354"/>
      <c r="F60" s="354"/>
      <c r="G60" s="147" t="e">
        <f>IF(VLOOKUP(A60,'High Risk Non-Compliant'!B:K,$H$48,FALSE)=0,"N/A",VLOOKUP(A60,'High Risk Non-Compliant'!B:K,$H$48,FALSE))</f>
        <v>#REF!</v>
      </c>
      <c r="H60" s="147" t="e">
        <f>IF(G60="N/A","N/A",VLOOKUP(G60,'Crosswalk Detail'!A:B,2,FALSE))</f>
        <v>#REF!</v>
      </c>
    </row>
    <row r="61" spans="1:8" ht="144" customHeight="1" x14ac:dyDescent="0.2">
      <c r="A61" s="148" t="str">
        <f>'High Risk Non-Compliant'!B17</f>
        <v>APPL-08</v>
      </c>
      <c r="B61" s="355" t="str">
        <f>'High Risk Non-Compliant'!C17</f>
        <v>Have you or any third party you contract with that may have access or allow access to the institution's data experienced a breach?</v>
      </c>
      <c r="C61" s="355"/>
      <c r="D61" s="354">
        <f>'High Risk Non-Compliant'!D17</f>
        <v>0</v>
      </c>
      <c r="E61" s="354"/>
      <c r="F61" s="354"/>
      <c r="G61" s="147" t="e">
        <f>IF(VLOOKUP(A61,'High Risk Non-Compliant'!B:K,$H$48,FALSE)=0,"N/A",VLOOKUP(A61,'High Risk Non-Compliant'!B:K,$H$48,FALSE))</f>
        <v>#REF!</v>
      </c>
      <c r="H61" s="147" t="e">
        <f>IF(G61="N/A","N/A",VLOOKUP(G61,'Crosswalk Detail'!A:B,2,FALSE))</f>
        <v>#REF!</v>
      </c>
    </row>
    <row r="62" spans="1:8" ht="144" customHeight="1" x14ac:dyDescent="0.2">
      <c r="A62" s="148" t="str">
        <f>'High Risk Non-Compliant'!B18</f>
        <v>APPL-10</v>
      </c>
      <c r="B62" s="355" t="str">
        <f>'High Risk Non-Compliant'!C18</f>
        <v xml:space="preserve">Describe or provide a reference to the overall system and/or application architecture(s), including appropriate diagrams. Include a full description of the data communications architecture for all components of the system. </v>
      </c>
      <c r="C62" s="355"/>
      <c r="D62" s="354">
        <f>'High Risk Non-Compliant'!D18</f>
        <v>0</v>
      </c>
      <c r="E62" s="354"/>
      <c r="F62" s="354"/>
      <c r="G62" s="147" t="e">
        <f>IF(VLOOKUP(A62,'High Risk Non-Compliant'!B:K,$H$48,FALSE)=0,"N/A",VLOOKUP(A62,'High Risk Non-Compliant'!B:K,$H$48,FALSE))</f>
        <v>#REF!</v>
      </c>
      <c r="H62" s="147" t="e">
        <f>IF(G62="N/A","N/A",VLOOKUP(G62,'Crosswalk Detail'!A:B,2,FALSE))</f>
        <v>#REF!</v>
      </c>
    </row>
    <row r="63" spans="1:8" ht="144" customHeight="1" x14ac:dyDescent="0.2">
      <c r="A63" s="148" t="str">
        <f>'High Risk Non-Compliant'!B19</f>
        <v>APPL-11</v>
      </c>
      <c r="B63" s="355" t="str">
        <f>'High Risk Non-Compliant'!C19</f>
        <v>Are databases used in the system segregated from front-end systems? (e.g. web and application servers)</v>
      </c>
      <c r="C63" s="355"/>
      <c r="D63" s="354">
        <f>'High Risk Non-Compliant'!D19</f>
        <v>0</v>
      </c>
      <c r="E63" s="354"/>
      <c r="F63" s="354"/>
      <c r="G63" s="147" t="e">
        <f>IF(VLOOKUP(A63,'High Risk Non-Compliant'!B:K,$H$48,FALSE)=0,"N/A",VLOOKUP(A63,'High Risk Non-Compliant'!B:K,$H$48,FALSE))</f>
        <v>#REF!</v>
      </c>
      <c r="H63" s="147" t="e">
        <f>IF(G63="N/A","N/A",VLOOKUP(G63,'Crosswalk Detail'!A:B,2,FALSE))</f>
        <v>#REF!</v>
      </c>
    </row>
    <row r="64" spans="1:8" ht="144" customHeight="1" x14ac:dyDescent="0.2">
      <c r="A64" s="148" t="str">
        <f>'High Risk Non-Compliant'!B20</f>
        <v>APPL-14</v>
      </c>
      <c r="B64" s="355" t="str">
        <f>'High Risk Non-Compliant'!C20</f>
        <v xml:space="preserve">Can your system take advantage of mobile and/or GPS enabled mobile devices?  </v>
      </c>
      <c r="C64" s="355"/>
      <c r="D64" s="354">
        <f>'High Risk Non-Compliant'!D20</f>
        <v>0</v>
      </c>
      <c r="E64" s="354"/>
      <c r="F64" s="354"/>
      <c r="G64" s="147" t="e">
        <f>IF(VLOOKUP(A64,'High Risk Non-Compliant'!B:K,$H$48,FALSE)=0,"N/A",VLOOKUP(A64,'High Risk Non-Compliant'!B:K,$H$48,FALSE))</f>
        <v>#REF!</v>
      </c>
      <c r="H64" s="147" t="e">
        <f>IF(G64="N/A","N/A",VLOOKUP(G64,'Crosswalk Detail'!A:B,2,FALSE))</f>
        <v>#REF!</v>
      </c>
    </row>
    <row r="65" spans="1:8" ht="144" customHeight="1" x14ac:dyDescent="0.2">
      <c r="A65" s="148" t="str">
        <f>'High Risk Non-Compliant'!B21</f>
        <v>APPL-15</v>
      </c>
      <c r="B65" s="355" t="str">
        <f>'High Risk Non-Compliant'!C21</f>
        <v>Describe or provide a reference to the facilities available in the system to provide separation of duties between security administration and system administration functions.</v>
      </c>
      <c r="C65" s="355"/>
      <c r="D65" s="354">
        <f>'High Risk Non-Compliant'!D21</f>
        <v>0</v>
      </c>
      <c r="E65" s="354"/>
      <c r="F65" s="354"/>
      <c r="G65" s="147" t="e">
        <f>IF(VLOOKUP(A65,'High Risk Non-Compliant'!B:K,$H$48,FALSE)=0,"N/A",VLOOKUP(A65,'High Risk Non-Compliant'!B:K,$H$48,FALSE))</f>
        <v>#REF!</v>
      </c>
      <c r="H65" s="147" t="e">
        <f>IF(G65="N/A","N/A",VLOOKUP(G65,'Crosswalk Detail'!A:B,2,FALSE))</f>
        <v>#REF!</v>
      </c>
    </row>
    <row r="66" spans="1:8" ht="144" customHeight="1" x14ac:dyDescent="0.2">
      <c r="A66" s="148" t="str">
        <f>'High Risk Non-Compliant'!B22</f>
        <v>APPL-16</v>
      </c>
      <c r="B66" s="355" t="str">
        <f>'High Risk Non-Compliant'!C22</f>
        <v>Describe or provide a reference that details how administrator access is handled (e.g. provisioning, principle of least privilege, deprovisioning, etc.)</v>
      </c>
      <c r="C66" s="355"/>
      <c r="D66" s="354">
        <f>'High Risk Non-Compliant'!D22</f>
        <v>0</v>
      </c>
      <c r="E66" s="354"/>
      <c r="F66" s="354"/>
      <c r="G66" s="147" t="e">
        <f>IF(VLOOKUP(A66,'High Risk Non-Compliant'!B:K,$H$48,FALSE)=0,"N/A",VLOOKUP(A66,'High Risk Non-Compliant'!B:K,$H$48,FALSE))</f>
        <v>#REF!</v>
      </c>
      <c r="H66" s="147" t="e">
        <f>IF(G66="N/A","N/A",VLOOKUP(G66,'Crosswalk Detail'!A:B,2,FALSE))</f>
        <v>#REF!</v>
      </c>
    </row>
    <row r="67" spans="1:8" ht="144" customHeight="1" x14ac:dyDescent="0.2">
      <c r="A67" s="148" t="str">
        <f>'High Risk Non-Compliant'!B23</f>
        <v>AAAI-01</v>
      </c>
      <c r="B67" s="355" t="str">
        <f>'High Risk Non-Compliant'!C23</f>
        <v>Can you enforce password/passphrase aging requirements?</v>
      </c>
      <c r="C67" s="355"/>
      <c r="D67" s="354">
        <f>'High Risk Non-Compliant'!D23</f>
        <v>0</v>
      </c>
      <c r="E67" s="354"/>
      <c r="F67" s="354"/>
      <c r="G67" s="147" t="e">
        <f>IF(VLOOKUP(A67,'High Risk Non-Compliant'!B:K,$H$48,FALSE)=0,"N/A",VLOOKUP(A67,'High Risk Non-Compliant'!B:K,$H$48,FALSE))</f>
        <v>#REF!</v>
      </c>
      <c r="H67" s="147" t="e">
        <f>IF(G67="N/A","N/A",VLOOKUP(G67,'Crosswalk Detail'!A:B,2,FALSE))</f>
        <v>#REF!</v>
      </c>
    </row>
    <row r="68" spans="1:8" ht="144" customHeight="1" x14ac:dyDescent="0.2">
      <c r="A68" s="148" t="str">
        <f>'High Risk Non-Compliant'!B24</f>
        <v>AAAI-02</v>
      </c>
      <c r="B68" s="355" t="str">
        <f>'High Risk Non-Compliant'!C24</f>
        <v>Can you enforce password/passphrase complexity requirements [provided by the institution]?</v>
      </c>
      <c r="C68" s="355"/>
      <c r="D68" s="354">
        <f>'High Risk Non-Compliant'!D24</f>
        <v>0</v>
      </c>
      <c r="E68" s="354"/>
      <c r="F68" s="354"/>
      <c r="G68" s="147" t="e">
        <f>IF(VLOOKUP(A68,'High Risk Non-Compliant'!B:K,$H$48,FALSE)=0,"N/A",VLOOKUP(A68,'High Risk Non-Compliant'!B:K,$H$48,FALSE))</f>
        <v>#REF!</v>
      </c>
      <c r="H68" s="147" t="e">
        <f>IF(G68="N/A","N/A",VLOOKUP(G68,'Crosswalk Detail'!A:B,2,FALSE))</f>
        <v>#REF!</v>
      </c>
    </row>
    <row r="69" spans="1:8" ht="144" customHeight="1" x14ac:dyDescent="0.2">
      <c r="A69" s="148" t="str">
        <f>'High Risk Non-Compliant'!B25</f>
        <v>AAAI-03</v>
      </c>
      <c r="B69" s="355" t="str">
        <f>'High Risk Non-Compliant'!C25</f>
        <v>Does the system have password complexity or length limitations and/or restrictions?</v>
      </c>
      <c r="C69" s="355"/>
      <c r="D69" s="354">
        <f>'High Risk Non-Compliant'!D25</f>
        <v>0</v>
      </c>
      <c r="E69" s="354"/>
      <c r="F69" s="354"/>
      <c r="G69" s="147" t="e">
        <f>IF(VLOOKUP(A69,'High Risk Non-Compliant'!B:K,$H$48,FALSE)=0,"N/A",VLOOKUP(A69,'High Risk Non-Compliant'!B:K,$H$48,FALSE))</f>
        <v>#REF!</v>
      </c>
      <c r="H69" s="147" t="e">
        <f>IF(G69="N/A","N/A",VLOOKUP(G69,'Crosswalk Detail'!A:B,2,FALSE))</f>
        <v>#REF!</v>
      </c>
    </row>
    <row r="70" spans="1:8" ht="144" customHeight="1" x14ac:dyDescent="0.2">
      <c r="A70" s="148" t="str">
        <f>'High Risk Non-Compliant'!B26</f>
        <v>AAAI-05</v>
      </c>
      <c r="B70" s="355" t="str">
        <f>'High Risk Non-Compliant'!C26</f>
        <v>Does your web-based interface support authentication, including standards-based single-sign-on? (e.g. InCommon)</v>
      </c>
      <c r="C70" s="355"/>
      <c r="D70" s="354">
        <f>'High Risk Non-Compliant'!D26</f>
        <v>0</v>
      </c>
      <c r="E70" s="354"/>
      <c r="F70" s="354"/>
      <c r="G70" s="147" t="e">
        <f>IF(VLOOKUP(A70,'High Risk Non-Compliant'!B:K,$H$48,FALSE)=0,"N/A",VLOOKUP(A70,'High Risk Non-Compliant'!B:K,$H$48,FALSE))</f>
        <v>#REF!</v>
      </c>
      <c r="H70" s="147" t="e">
        <f>IF(G70="N/A","N/A",VLOOKUP(G70,'Crosswalk Detail'!A:B,2,FALSE))</f>
        <v>#REF!</v>
      </c>
    </row>
    <row r="71" spans="1:8" ht="144" customHeight="1" x14ac:dyDescent="0.2">
      <c r="A71" s="148" t="str">
        <f>'High Risk Non-Compliant'!B27</f>
        <v>AAAI-06</v>
      </c>
      <c r="B71" s="355" t="str">
        <f>'High Risk Non-Compliant'!C27</f>
        <v>Are there any passwords/passphrases hard coded into your systems or products?</v>
      </c>
      <c r="C71" s="355"/>
      <c r="D71" s="354">
        <f>'High Risk Non-Compliant'!D27</f>
        <v>0</v>
      </c>
      <c r="E71" s="354"/>
      <c r="F71" s="354"/>
      <c r="G71" s="147" t="e">
        <f>IF(VLOOKUP(A71,'High Risk Non-Compliant'!B:K,$H$48,FALSE)=0,"N/A",VLOOKUP(A71,'High Risk Non-Compliant'!B:K,$H$48,FALSE))</f>
        <v>#REF!</v>
      </c>
      <c r="H71" s="147" t="e">
        <f>IF(G71="N/A","N/A",VLOOKUP(G71,'Crosswalk Detail'!A:B,2,FALSE))</f>
        <v>#REF!</v>
      </c>
    </row>
    <row r="72" spans="1:8" ht="144" customHeight="1" x14ac:dyDescent="0.2">
      <c r="A72" s="148" t="str">
        <f>'High Risk Non-Compliant'!B28</f>
        <v>AAAI-07</v>
      </c>
      <c r="B72" s="355" t="str">
        <f>'High Risk Non-Compliant'!C28</f>
        <v>Are user account passwords/passphrases visible in administration modules?</v>
      </c>
      <c r="C72" s="355"/>
      <c r="D72" s="354">
        <f>'High Risk Non-Compliant'!D28</f>
        <v>0</v>
      </c>
      <c r="E72" s="354"/>
      <c r="F72" s="354"/>
      <c r="G72" s="147" t="e">
        <f>IF(VLOOKUP(A72,'High Risk Non-Compliant'!B:K,$H$48,FALSE)=0,"N/A",VLOOKUP(A72,'High Risk Non-Compliant'!B:K,$H$48,FALSE))</f>
        <v>#REF!</v>
      </c>
      <c r="H72" s="147" t="e">
        <f>IF(G72="N/A","N/A",VLOOKUP(G72,'Crosswalk Detail'!A:B,2,FALSE))</f>
        <v>#REF!</v>
      </c>
    </row>
    <row r="73" spans="1:8" ht="144" customHeight="1" x14ac:dyDescent="0.2">
      <c r="A73" s="148" t="str">
        <f>'High Risk Non-Compliant'!B29</f>
        <v>AAAI-08</v>
      </c>
      <c r="B73" s="355" t="str">
        <f>'High Risk Non-Compliant'!C29</f>
        <v>Are user account passwords/passphrases stored encrypted?</v>
      </c>
      <c r="C73" s="355"/>
      <c r="D73" s="354">
        <f>'High Risk Non-Compliant'!D29</f>
        <v>0</v>
      </c>
      <c r="E73" s="354"/>
      <c r="F73" s="354"/>
      <c r="G73" s="147" t="e">
        <f>IF(VLOOKUP(A73,'High Risk Non-Compliant'!B:K,$H$48,FALSE)=0,"N/A",VLOOKUP(A73,'High Risk Non-Compliant'!B:K,$H$48,FALSE))</f>
        <v>#REF!</v>
      </c>
      <c r="H73" s="147" t="e">
        <f>IF(G73="N/A","N/A",VLOOKUP(G73,'Crosswalk Detail'!A:B,2,FALSE))</f>
        <v>#REF!</v>
      </c>
    </row>
    <row r="74" spans="1:8" ht="144" customHeight="1" x14ac:dyDescent="0.2">
      <c r="A74" s="148" t="str">
        <f>'High Risk Non-Compliant'!B30</f>
        <v>AAAI-11</v>
      </c>
      <c r="B74" s="355" t="str">
        <f>'High Risk Non-Compliant'!C30</f>
        <v>Will any external authentication or authorization system be utilized by an application with access to the institution's data?</v>
      </c>
      <c r="C74" s="355"/>
      <c r="D74" s="354">
        <f>'High Risk Non-Compliant'!D30</f>
        <v>0</v>
      </c>
      <c r="E74" s="354"/>
      <c r="F74" s="354"/>
      <c r="G74" s="147" t="e">
        <f>IF(VLOOKUP(A74,'High Risk Non-Compliant'!B:K,$H$48,FALSE)=0,"N/A",VLOOKUP(A74,'High Risk Non-Compliant'!B:K,$H$48,FALSE))</f>
        <v>#REF!</v>
      </c>
      <c r="H74" s="147" t="e">
        <f>IF(G74="N/A","N/A",VLOOKUP(G74,'Crosswalk Detail'!A:B,2,FALSE))</f>
        <v>#REF!</v>
      </c>
    </row>
    <row r="75" spans="1:8" ht="144" customHeight="1" x14ac:dyDescent="0.2">
      <c r="A75" s="148" t="str">
        <f>'High Risk Non-Compliant'!B31</f>
        <v>AAAI-13</v>
      </c>
      <c r="B75" s="355" t="str">
        <f>'High Risk Non-Compliant'!C31</f>
        <v>Does the system operate in a mixed authentication mode (i.e. external and local authentication)?</v>
      </c>
      <c r="C75" s="355"/>
      <c r="D75" s="354">
        <f>'High Risk Non-Compliant'!D31</f>
        <v>0</v>
      </c>
      <c r="E75" s="354"/>
      <c r="F75" s="354"/>
      <c r="G75" s="147" t="e">
        <f>IF(VLOOKUP(A75,'High Risk Non-Compliant'!B:K,$H$48,FALSE)=0,"N/A",VLOOKUP(A75,'High Risk Non-Compliant'!B:K,$H$48,FALSE))</f>
        <v>#REF!</v>
      </c>
      <c r="H75" s="147" t="e">
        <f>IF(G75="N/A","N/A",VLOOKUP(G75,'Crosswalk Detail'!A:B,2,FALSE))</f>
        <v>#REF!</v>
      </c>
    </row>
    <row r="76" spans="1:8" ht="144" customHeight="1" x14ac:dyDescent="0.2">
      <c r="A76" s="148" t="str">
        <f>'High Risk Non-Compliant'!B32</f>
        <v>AAAI-14</v>
      </c>
      <c r="B76" s="355" t="str">
        <f>'High Risk Non-Compliant'!C32</f>
        <v>Will any external authentication or authorization system be utilized by a system with access to institution data?</v>
      </c>
      <c r="C76" s="355"/>
      <c r="D76" s="354">
        <f>'High Risk Non-Compliant'!D32</f>
        <v>0</v>
      </c>
      <c r="E76" s="354"/>
      <c r="F76" s="354"/>
      <c r="G76" s="147" t="e">
        <f>IF(VLOOKUP(A76,'High Risk Non-Compliant'!B:K,$H$48,FALSE)=0,"N/A",VLOOKUP(A76,'High Risk Non-Compliant'!B:K,$H$48,FALSE))</f>
        <v>#REF!</v>
      </c>
      <c r="H76" s="147" t="e">
        <f>IF(G76="N/A","N/A",VLOOKUP(G76,'Crosswalk Detail'!A:B,2,FALSE))</f>
        <v>#REF!</v>
      </c>
    </row>
    <row r="77" spans="1:8" ht="144" customHeight="1" x14ac:dyDescent="0.2">
      <c r="A77" s="148" t="str">
        <f>'High Risk Non-Compliant'!B33</f>
        <v>AAAI-15</v>
      </c>
      <c r="B77" s="355" t="str">
        <f>'High Risk Non-Compliant'!C33</f>
        <v>Are audit logs available that include AT LEAST all of the following; login, logout, actions performed, and source IP address?</v>
      </c>
      <c r="C77" s="355"/>
      <c r="D77" s="354">
        <f>'High Risk Non-Compliant'!D33</f>
        <v>0</v>
      </c>
      <c r="E77" s="354"/>
      <c r="F77" s="354"/>
      <c r="G77" s="147" t="e">
        <f>IF(VLOOKUP(A77,'High Risk Non-Compliant'!B:K,$H$48,FALSE)=0,"N/A",VLOOKUP(A77,'High Risk Non-Compliant'!B:K,$H$48,FALSE))</f>
        <v>#REF!</v>
      </c>
      <c r="H77" s="147" t="e">
        <f>IF(G77="N/A","N/A",VLOOKUP(G77,'Crosswalk Detail'!A:B,2,FALSE))</f>
        <v>#REF!</v>
      </c>
    </row>
    <row r="78" spans="1:8" ht="144" customHeight="1" x14ac:dyDescent="0.2">
      <c r="A78" s="148" t="str">
        <f>'High Risk Non-Compliant'!B34</f>
        <v>AAAI-16</v>
      </c>
      <c r="B78" s="355" t="str">
        <f>'High Risk Non-Compliant'!C34</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C78" s="355"/>
      <c r="D78" s="354">
        <f>'High Risk Non-Compliant'!D34</f>
        <v>0</v>
      </c>
      <c r="E78" s="354"/>
      <c r="F78" s="354"/>
      <c r="G78" s="147" t="e">
        <f>IF(VLOOKUP(A78,'High Risk Non-Compliant'!B:K,$H$48,FALSE)=0,"N/A",VLOOKUP(A78,'High Risk Non-Compliant'!B:K,$H$48,FALSE))</f>
        <v>#REF!</v>
      </c>
      <c r="H78" s="147" t="e">
        <f>IF(G78="N/A","N/A",VLOOKUP(G78,'Crosswalk Detail'!A:B,2,FALSE))</f>
        <v>#REF!</v>
      </c>
    </row>
    <row r="79" spans="1:8" ht="144" customHeight="1" x14ac:dyDescent="0.2">
      <c r="A79" s="148" t="str">
        <f>'High Risk Non-Compliant'!B35</f>
        <v>BCPL-01</v>
      </c>
      <c r="B79" s="355" t="str">
        <f>'High Risk Non-Compliant'!C35</f>
        <v>Describe or provide a reference to your Business Continuity Plan (BCP).</v>
      </c>
      <c r="C79" s="355"/>
      <c r="D79" s="354">
        <f>'High Risk Non-Compliant'!D35</f>
        <v>0</v>
      </c>
      <c r="E79" s="354"/>
      <c r="F79" s="354"/>
      <c r="G79" s="147" t="e">
        <f>IF(VLOOKUP(A79,'High Risk Non-Compliant'!B:K,$H$48,FALSE)=0,"N/A",VLOOKUP(A79,'High Risk Non-Compliant'!B:K,$H$48,FALSE))</f>
        <v>#REF!</v>
      </c>
      <c r="H79" s="147" t="e">
        <f>IF(G79="N/A","N/A",VLOOKUP(G79,'Crosswalk Detail'!A:B,2,FALSE))</f>
        <v>#REF!</v>
      </c>
    </row>
    <row r="80" spans="1:8" ht="144" customHeight="1" x14ac:dyDescent="0.2">
      <c r="A80" s="148" t="str">
        <f>'High Risk Non-Compliant'!B36</f>
        <v>BCPL-06</v>
      </c>
      <c r="B80" s="355" t="str">
        <f>'High Risk Non-Compliant'!C36</f>
        <v xml:space="preserve">Are all components of the BCP reviewed at least annually and updated as needed to reflect change? </v>
      </c>
      <c r="C80" s="355"/>
      <c r="D80" s="354">
        <f>'High Risk Non-Compliant'!D36</f>
        <v>0</v>
      </c>
      <c r="E80" s="354"/>
      <c r="F80" s="354"/>
      <c r="G80" s="147" t="e">
        <f>IF(VLOOKUP(A80,'High Risk Non-Compliant'!B:K,$H$48,FALSE)=0,"N/A",VLOOKUP(A80,'High Risk Non-Compliant'!B:K,$H$48,FALSE))</f>
        <v>#REF!</v>
      </c>
      <c r="H80" s="147" t="e">
        <f>IF(G80="N/A","N/A",VLOOKUP(G80,'Crosswalk Detail'!A:B,2,FALSE))</f>
        <v>#REF!</v>
      </c>
    </row>
    <row r="81" spans="1:8" ht="144" customHeight="1" x14ac:dyDescent="0.2">
      <c r="A81" s="148" t="str">
        <f>'High Risk Non-Compliant'!B37</f>
        <v>BCPL-07</v>
      </c>
      <c r="B81" s="355" t="str">
        <f>'High Risk Non-Compliant'!C37</f>
        <v xml:space="preserve">Has your BCP been tested in the last year? </v>
      </c>
      <c r="C81" s="355"/>
      <c r="D81" s="354">
        <f>'High Risk Non-Compliant'!D37</f>
        <v>0</v>
      </c>
      <c r="E81" s="354"/>
      <c r="F81" s="354"/>
      <c r="G81" s="147" t="e">
        <f>IF(VLOOKUP(A81,'High Risk Non-Compliant'!B:K,$H$48,FALSE)=0,"N/A",VLOOKUP(A81,'High Risk Non-Compliant'!B:K,$H$48,FALSE))</f>
        <v>#REF!</v>
      </c>
      <c r="H81" s="147" t="e">
        <f>IF(G81="N/A","N/A",VLOOKUP(G81,'Crosswalk Detail'!A:B,2,FALSE))</f>
        <v>#REF!</v>
      </c>
    </row>
    <row r="82" spans="1:8" ht="144" customHeight="1" x14ac:dyDescent="0.2">
      <c r="A82" s="148" t="str">
        <f>'High Risk Non-Compliant'!B38</f>
        <v>CHNG-01</v>
      </c>
      <c r="B82" s="355" t="str">
        <f>'High Risk Non-Compliant'!C38</f>
        <v xml:space="preserve">Do you have a documented and currently followed change management process (CMP)? </v>
      </c>
      <c r="C82" s="355"/>
      <c r="D82" s="354">
        <f>'High Risk Non-Compliant'!D38</f>
        <v>0</v>
      </c>
      <c r="E82" s="354"/>
      <c r="F82" s="354"/>
      <c r="G82" s="147" t="e">
        <f>IF(VLOOKUP(A82,'High Risk Non-Compliant'!B:K,$H$48,FALSE)=0,"N/A",VLOOKUP(A82,'High Risk Non-Compliant'!B:K,$H$48,FALSE))</f>
        <v>#REF!</v>
      </c>
      <c r="H82" s="147" t="e">
        <f>IF(G82="N/A","N/A",VLOOKUP(G82,'Crosswalk Detail'!A:B,2,FALSE))</f>
        <v>#REF!</v>
      </c>
    </row>
    <row r="83" spans="1:8" ht="144" customHeight="1" x14ac:dyDescent="0.2">
      <c r="A83" s="148" t="str">
        <f>'High Risk Non-Compliant'!B39</f>
        <v>CHNG-05</v>
      </c>
      <c r="B83" s="355" t="str">
        <f>'High Risk Non-Compliant'!C39</f>
        <v>Describe or provide a reference to your solution support strategy in relation to maintaining software currency. (i.e. how many concurrent versions are you willing to run and support?)</v>
      </c>
      <c r="C83" s="355"/>
      <c r="D83" s="354">
        <f>'High Risk Non-Compliant'!D39</f>
        <v>0</v>
      </c>
      <c r="E83" s="354"/>
      <c r="F83" s="354"/>
      <c r="G83" s="147" t="e">
        <f>IF(VLOOKUP(A83,'High Risk Non-Compliant'!B:K,$H$48,FALSE)=0,"N/A",VLOOKUP(A83,'High Risk Non-Compliant'!B:K,$H$48,FALSE))</f>
        <v>#REF!</v>
      </c>
      <c r="H83" s="147" t="e">
        <f>IF(G83="N/A","N/A",VLOOKUP(G83,'Crosswalk Detail'!A:B,2,FALSE))</f>
        <v>#REF!</v>
      </c>
    </row>
    <row r="84" spans="1:8" ht="144" customHeight="1" x14ac:dyDescent="0.2">
      <c r="A84" s="148" t="str">
        <f>'High Risk Non-Compliant'!B40</f>
        <v>CHNG-08</v>
      </c>
      <c r="B84" s="355" t="str">
        <f>'High Risk Non-Compliant'!C40</f>
        <v>Does your organization ensure through policy and procedure (that is currently implemented) that only application software verifiable as authorized, tested, and approved for production, and having met all other requirements and reviews necessary for commissioning, is placed into production?</v>
      </c>
      <c r="C84" s="355"/>
      <c r="D84" s="354">
        <f>'High Risk Non-Compliant'!D40</f>
        <v>0</v>
      </c>
      <c r="E84" s="354"/>
      <c r="F84" s="354"/>
      <c r="G84" s="147" t="e">
        <f>IF(VLOOKUP(A84,'High Risk Non-Compliant'!B:K,$H$48,FALSE)=0,"N/A",VLOOKUP(A84,'High Risk Non-Compliant'!B:K,$H$48,FALSE))</f>
        <v>#REF!</v>
      </c>
      <c r="H84" s="147" t="e">
        <f>IF(G84="N/A","N/A",VLOOKUP(G84,'Crosswalk Detail'!A:B,2,FALSE))</f>
        <v>#REF!</v>
      </c>
    </row>
    <row r="85" spans="1:8" ht="144" customHeight="1" x14ac:dyDescent="0.2">
      <c r="A85" s="148" t="str">
        <f>'High Risk Non-Compliant'!B41</f>
        <v>DATA-01</v>
      </c>
      <c r="B85" s="355" t="str">
        <f>'High Risk Non-Compliant'!C41</f>
        <v>Do you physically and logically separate Institution's data from that of other customers?</v>
      </c>
      <c r="C85" s="355"/>
      <c r="D85" s="354">
        <f>'High Risk Non-Compliant'!D41</f>
        <v>0</v>
      </c>
      <c r="E85" s="354"/>
      <c r="F85" s="354"/>
      <c r="G85" s="147" t="e">
        <f>IF(VLOOKUP(A85,'High Risk Non-Compliant'!B:K,$H$48,FALSE)=0,"N/A",VLOOKUP(A85,'High Risk Non-Compliant'!B:K,$H$48,FALSE))</f>
        <v>#REF!</v>
      </c>
      <c r="H85" s="147" t="e">
        <f>IF(G85="N/A","N/A",VLOOKUP(G85,'Crosswalk Detail'!A:B,2,FALSE))</f>
        <v>#REF!</v>
      </c>
    </row>
    <row r="86" spans="1:8" ht="144" customHeight="1" x14ac:dyDescent="0.2">
      <c r="A86" s="148" t="str">
        <f>'High Risk Non-Compliant'!B42</f>
        <v>DATA-03</v>
      </c>
      <c r="B86" s="355" t="str">
        <f>'High Risk Non-Compliant'!C42</f>
        <v>Is sensitive data encrypted in transport? (e.g. system-to-client)</v>
      </c>
      <c r="C86" s="355"/>
      <c r="D86" s="354">
        <f>'High Risk Non-Compliant'!D42</f>
        <v>0</v>
      </c>
      <c r="E86" s="354"/>
      <c r="F86" s="354"/>
      <c r="G86" s="147" t="e">
        <f>IF(VLOOKUP(A86,'High Risk Non-Compliant'!B:K,$H$48,FALSE)=0,"N/A",VLOOKUP(A86,'High Risk Non-Compliant'!B:K,$H$48,FALSE))</f>
        <v>#REF!</v>
      </c>
      <c r="H86" s="147" t="e">
        <f>IF(G86="N/A","N/A",VLOOKUP(G86,'Crosswalk Detail'!A:B,2,FALSE))</f>
        <v>#REF!</v>
      </c>
    </row>
    <row r="87" spans="1:8" ht="144" customHeight="1" x14ac:dyDescent="0.2">
      <c r="A87" s="148" t="str">
        <f>'High Risk Non-Compliant'!B43</f>
        <v>DATA-04</v>
      </c>
      <c r="B87" s="355" t="str">
        <f>'High Risk Non-Compliant'!C43</f>
        <v>Is sensitive data encrypted in storage (e.g. disk encryption, at-rest)?</v>
      </c>
      <c r="C87" s="355"/>
      <c r="D87" s="354">
        <f>'High Risk Non-Compliant'!D43</f>
        <v>0</v>
      </c>
      <c r="E87" s="354"/>
      <c r="F87" s="354"/>
      <c r="G87" s="147" t="e">
        <f>IF(VLOOKUP(A87,'High Risk Non-Compliant'!B:K,$H$48,FALSE)=0,"N/A",VLOOKUP(A87,'High Risk Non-Compliant'!B:K,$H$48,FALSE))</f>
        <v>#REF!</v>
      </c>
      <c r="H87" s="147" t="e">
        <f>IF(G87="N/A","N/A",VLOOKUP(G87,'Crosswalk Detail'!A:B,2,FALSE))</f>
        <v>#REF!</v>
      </c>
    </row>
    <row r="88" spans="1:8" ht="144" customHeight="1" x14ac:dyDescent="0.2">
      <c r="A88" s="148" t="str">
        <f>'High Risk Non-Compliant'!B44</f>
        <v>DATA-05</v>
      </c>
      <c r="B88" s="355" t="str">
        <f>'High Risk Non-Compliant'!C44</f>
        <v>Do you employ or allow any cryptographic modules that do not conform to the Federal Information Processing Standards (FIPS PUB 140-2)?</v>
      </c>
      <c r="C88" s="355"/>
      <c r="D88" s="354">
        <f>'High Risk Non-Compliant'!D44</f>
        <v>0</v>
      </c>
      <c r="E88" s="354"/>
      <c r="F88" s="354"/>
      <c r="G88" s="147" t="e">
        <f>IF(VLOOKUP(A88,'High Risk Non-Compliant'!B:K,$H$48,FALSE)=0,"N/A",VLOOKUP(A88,'High Risk Non-Compliant'!B:K,$H$48,FALSE))</f>
        <v>#REF!</v>
      </c>
      <c r="H88" s="147" t="e">
        <f>IF(G88="N/A","N/A",VLOOKUP(G88,'Crosswalk Detail'!A:B,2,FALSE))</f>
        <v>#REF!</v>
      </c>
    </row>
    <row r="89" spans="1:8" ht="144" customHeight="1" x14ac:dyDescent="0.2">
      <c r="A89" s="148" t="str">
        <f>'High Risk Non-Compliant'!B45</f>
        <v>DATA-06</v>
      </c>
      <c r="B89" s="355" t="str">
        <f>'High Risk Non-Compliant'!C45</f>
        <v>Does your system employ encryption technologies when transmitting sensitive information over TCP/IP networks (e.g., SSH, SSL/TLS, VPN)? (e.g. system-to-system and system-to-client)</v>
      </c>
      <c r="C89" s="355"/>
      <c r="D89" s="354">
        <f>'High Risk Non-Compliant'!D45</f>
        <v>0</v>
      </c>
      <c r="E89" s="354"/>
      <c r="F89" s="354"/>
      <c r="G89" s="147" t="e">
        <f>IF(VLOOKUP(A89,'High Risk Non-Compliant'!B:K,$H$48,FALSE)=0,"N/A",VLOOKUP(A89,'High Risk Non-Compliant'!B:K,$H$48,FALSE))</f>
        <v>#REF!</v>
      </c>
      <c r="H89" s="147" t="e">
        <f>IF(G89="N/A","N/A",VLOOKUP(G89,'Crosswalk Detail'!A:B,2,FALSE))</f>
        <v>#REF!</v>
      </c>
    </row>
    <row r="90" spans="1:8" ht="144" customHeight="1" x14ac:dyDescent="0.2">
      <c r="A90" s="148" t="str">
        <f>'High Risk Non-Compliant'!B46</f>
        <v>DATA-08</v>
      </c>
      <c r="B90" s="355" t="str">
        <f>'High Risk Non-Compliant'!C46</f>
        <v>At the completion of this contract, will data be returned to the institution?</v>
      </c>
      <c r="C90" s="355"/>
      <c r="D90" s="354">
        <f>'High Risk Non-Compliant'!D46</f>
        <v>0</v>
      </c>
      <c r="E90" s="354"/>
      <c r="F90" s="354"/>
      <c r="G90" s="147" t="e">
        <f>IF(VLOOKUP(A90,'High Risk Non-Compliant'!B:K,$H$48,FALSE)=0,"N/A",VLOOKUP(A90,'High Risk Non-Compliant'!B:K,$H$48,FALSE))</f>
        <v>#REF!</v>
      </c>
      <c r="H90" s="147" t="e">
        <f>IF(G90="N/A","N/A",VLOOKUP(G90,'Crosswalk Detail'!A:B,2,FALSE))</f>
        <v>#REF!</v>
      </c>
    </row>
    <row r="91" spans="1:8" ht="144" customHeight="1" x14ac:dyDescent="0.2">
      <c r="A91" s="148" t="str">
        <f>'High Risk Non-Compliant'!B47</f>
        <v>DATA-11</v>
      </c>
      <c r="B91" s="355" t="str">
        <f>'High Risk Non-Compliant'!C47</f>
        <v>Are ownership rights to all data, inputs, outputs, and metadata retained by the institution?</v>
      </c>
      <c r="C91" s="355"/>
      <c r="D91" s="354">
        <f>'High Risk Non-Compliant'!D47</f>
        <v>0</v>
      </c>
      <c r="E91" s="354"/>
      <c r="F91" s="354"/>
      <c r="G91" s="147" t="e">
        <f>IF(VLOOKUP(A91,'High Risk Non-Compliant'!B:K,$H$48,FALSE)=0,"N/A",VLOOKUP(A91,'High Risk Non-Compliant'!B:K,$H$48,FALSE))</f>
        <v>#REF!</v>
      </c>
      <c r="H91" s="147" t="e">
        <f>IF(G91="N/A","N/A",VLOOKUP(G91,'Crosswalk Detail'!A:B,2,FALSE))</f>
        <v>#REF!</v>
      </c>
    </row>
    <row r="92" spans="1:8" ht="144" customHeight="1" x14ac:dyDescent="0.2">
      <c r="A92" s="148" t="str">
        <f>'High Risk Non-Compliant'!B48</f>
        <v>DATA-17</v>
      </c>
      <c r="B92" s="355" t="str">
        <f>'High Risk Non-Compliant'!C48</f>
        <v>Are data backups encrypted?</v>
      </c>
      <c r="C92" s="355"/>
      <c r="D92" s="354">
        <f>'High Risk Non-Compliant'!D48</f>
        <v>0</v>
      </c>
      <c r="E92" s="354"/>
      <c r="F92" s="354"/>
      <c r="G92" s="147" t="e">
        <f>IF(VLOOKUP(A92,'High Risk Non-Compliant'!B:K,$H$48,FALSE)=0,"N/A",VLOOKUP(A92,'High Risk Non-Compliant'!B:K,$H$48,FALSE))</f>
        <v>#REF!</v>
      </c>
      <c r="H92" s="147" t="e">
        <f>IF(G92="N/A","N/A",VLOOKUP(G92,'Crosswalk Detail'!A:B,2,FALSE))</f>
        <v>#REF!</v>
      </c>
    </row>
    <row r="93" spans="1:8" ht="144" customHeight="1" x14ac:dyDescent="0.2">
      <c r="A93" s="148" t="str">
        <f>'High Risk Non-Compliant'!B49</f>
        <v>DATA-23</v>
      </c>
      <c r="B93" s="355" t="str">
        <f>'High Risk Non-Compliant'!C49</f>
        <v>Do you have a media handling process, that is documented and currently implemented, including end-of-life, repurposing, and data sanitization procedures?</v>
      </c>
      <c r="C93" s="355"/>
      <c r="D93" s="354">
        <f>'High Risk Non-Compliant'!D49</f>
        <v>0</v>
      </c>
      <c r="E93" s="354"/>
      <c r="F93" s="354"/>
      <c r="G93" s="147" t="e">
        <f>IF(VLOOKUP(A93,'High Risk Non-Compliant'!B:K,$H$48,FALSE)=0,"N/A",VLOOKUP(A93,'High Risk Non-Compliant'!B:K,$H$48,FALSE))</f>
        <v>#REF!</v>
      </c>
      <c r="H93" s="147" t="e">
        <f>IF(G93="N/A","N/A",VLOOKUP(G93,'Crosswalk Detail'!A:B,2,FALSE))</f>
        <v>#REF!</v>
      </c>
    </row>
    <row r="94" spans="1:8" ht="144" customHeight="1" x14ac:dyDescent="0.2">
      <c r="A94" s="148" t="str">
        <f>'High Risk Non-Compliant'!B50</f>
        <v>DATA-28</v>
      </c>
      <c r="B94" s="355" t="str">
        <f>'High Risk Non-Compliant'!C50</f>
        <v>Is any institution data visible in system administration modules/tools?</v>
      </c>
      <c r="C94" s="355"/>
      <c r="D94" s="354">
        <f>'High Risk Non-Compliant'!D50</f>
        <v>0</v>
      </c>
      <c r="E94" s="354"/>
      <c r="F94" s="354"/>
      <c r="G94" s="147" t="e">
        <f>IF(VLOOKUP(A94,'High Risk Non-Compliant'!B:K,$H$48,FALSE)=0,"N/A",VLOOKUP(A94,'High Risk Non-Compliant'!B:K,$H$48,FALSE))</f>
        <v>#REF!</v>
      </c>
      <c r="H94" s="147" t="e">
        <f>IF(G94="N/A","N/A",VLOOKUP(G94,'Crosswalk Detail'!A:B,2,FALSE))</f>
        <v>#REF!</v>
      </c>
    </row>
    <row r="95" spans="1:8" ht="144" customHeight="1" x14ac:dyDescent="0.2">
      <c r="A95" s="148" t="str">
        <f>'High Risk Non-Compliant'!B51</f>
        <v>DBAS-01</v>
      </c>
      <c r="B95" s="355" t="str">
        <f>'High Risk Non-Compliant'!C51</f>
        <v>Does the database support encryption of specified data elements in storage?</v>
      </c>
      <c r="C95" s="355"/>
      <c r="D95" s="354">
        <f>'High Risk Non-Compliant'!D51</f>
        <v>0</v>
      </c>
      <c r="E95" s="354"/>
      <c r="F95" s="354"/>
      <c r="G95" s="147" t="e">
        <f>IF(VLOOKUP(A95,'High Risk Non-Compliant'!B:K,$H$48,FALSE)=0,"N/A",VLOOKUP(A95,'High Risk Non-Compliant'!B:K,$H$48,FALSE))</f>
        <v>#REF!</v>
      </c>
      <c r="H95" s="147" t="e">
        <f>IF(G95="N/A","N/A",VLOOKUP(G95,'Crosswalk Detail'!A:B,2,FALSE))</f>
        <v>#REF!</v>
      </c>
    </row>
    <row r="96" spans="1:8" ht="144" customHeight="1" x14ac:dyDescent="0.2">
      <c r="A96" s="148" t="str">
        <f>'High Risk Non-Compliant'!B52</f>
        <v>DBAS-02</v>
      </c>
      <c r="B96" s="355" t="str">
        <f>'High Risk Non-Compliant'!C52</f>
        <v>Do you currently use encryption in your database(s)?</v>
      </c>
      <c r="C96" s="355"/>
      <c r="D96" s="354">
        <f>'High Risk Non-Compliant'!D52</f>
        <v>0</v>
      </c>
      <c r="E96" s="354"/>
      <c r="F96" s="354"/>
      <c r="G96" s="147" t="e">
        <f>IF(VLOOKUP(A96,'High Risk Non-Compliant'!B:K,$H$48,FALSE)=0,"N/A",VLOOKUP(A96,'High Risk Non-Compliant'!B:K,$H$48,FALSE))</f>
        <v>#REF!</v>
      </c>
      <c r="H96" s="147" t="e">
        <f>IF(G96="N/A","N/A",VLOOKUP(G96,'Crosswalk Detail'!A:B,2,FALSE))</f>
        <v>#REF!</v>
      </c>
    </row>
    <row r="97" spans="1:8" ht="144" customHeight="1" x14ac:dyDescent="0.2">
      <c r="A97" s="148" t="str">
        <f>'High Risk Non-Compliant'!B53</f>
        <v>DCTR-04</v>
      </c>
      <c r="B97" s="355" t="str">
        <f>'High Risk Non-Compliant'!C53</f>
        <v>Do any of your servers reside in a co-located data center?</v>
      </c>
      <c r="C97" s="355"/>
      <c r="D97" s="354">
        <f>'High Risk Non-Compliant'!D53</f>
        <v>0</v>
      </c>
      <c r="E97" s="354"/>
      <c r="F97" s="354"/>
      <c r="G97" s="147" t="e">
        <f>IF(VLOOKUP(A97,'High Risk Non-Compliant'!B:K,$H$48,FALSE)=0,"N/A",VLOOKUP(A97,'High Risk Non-Compliant'!B:K,$H$48,FALSE))</f>
        <v>#REF!</v>
      </c>
      <c r="H97" s="147" t="e">
        <f>IF(G97="N/A","N/A",VLOOKUP(G97,'Crosswalk Detail'!A:B,2,FALSE))</f>
        <v>#REF!</v>
      </c>
    </row>
    <row r="98" spans="1:8" ht="144" customHeight="1" x14ac:dyDescent="0.2">
      <c r="A98" s="148" t="str">
        <f>'High Risk Non-Compliant'!B54</f>
        <v>DCTR-09</v>
      </c>
      <c r="B98" s="355" t="str">
        <f>'High Risk Non-Compliant'!C54</f>
        <v>Will any institution data leave the Institution's Data Zone?</v>
      </c>
      <c r="C98" s="355"/>
      <c r="D98" s="354">
        <f>'High Risk Non-Compliant'!D54</f>
        <v>0</v>
      </c>
      <c r="E98" s="354"/>
      <c r="F98" s="354"/>
      <c r="G98" s="147" t="e">
        <f>IF(VLOOKUP(A98,'High Risk Non-Compliant'!B:K,$H$48,FALSE)=0,"N/A",VLOOKUP(A98,'High Risk Non-Compliant'!B:K,$H$48,FALSE))</f>
        <v>#REF!</v>
      </c>
      <c r="H98" s="147" t="e">
        <f>IF(G98="N/A","N/A",VLOOKUP(G98,'Crosswalk Detail'!A:B,2,FALSE))</f>
        <v>#REF!</v>
      </c>
    </row>
    <row r="99" spans="1:8" ht="144" customHeight="1" x14ac:dyDescent="0.2">
      <c r="A99" s="148" t="str">
        <f>'High Risk Non-Compliant'!B55</f>
        <v>DRPL-01</v>
      </c>
      <c r="B99" s="355" t="str">
        <f>'High Risk Non-Compliant'!C55</f>
        <v>Describe or provide a reference to your Disaster Recovery Plan (DRP).</v>
      </c>
      <c r="C99" s="355"/>
      <c r="D99" s="354">
        <f>'High Risk Non-Compliant'!D55</f>
        <v>0</v>
      </c>
      <c r="E99" s="354"/>
      <c r="F99" s="354"/>
      <c r="G99" s="147" t="e">
        <f>IF(VLOOKUP(A99,'High Risk Non-Compliant'!B:K,$H$48,FALSE)=0,"N/A",VLOOKUP(A99,'High Risk Non-Compliant'!B:K,$H$48,FALSE))</f>
        <v>#REF!</v>
      </c>
      <c r="H99" s="147" t="e">
        <f>IF(G99="N/A","N/A",VLOOKUP(G99,'Crosswalk Detail'!A:B,2,FALSE))</f>
        <v>#REF!</v>
      </c>
    </row>
    <row r="100" spans="1:8" ht="144" customHeight="1" x14ac:dyDescent="0.2">
      <c r="A100" s="148" t="str">
        <f>'High Risk Non-Compliant'!B56</f>
        <v>DRPL-07</v>
      </c>
      <c r="B100" s="355" t="str">
        <f>'High Risk Non-Compliant'!C56</f>
        <v>Is there a defined problem/issue escalation plan in your DRP for impacted clients?</v>
      </c>
      <c r="C100" s="355"/>
      <c r="D100" s="354">
        <f>'High Risk Non-Compliant'!D56</f>
        <v>0</v>
      </c>
      <c r="E100" s="354"/>
      <c r="F100" s="354"/>
      <c r="G100" s="147" t="e">
        <f>IF(VLOOKUP(A100,'High Risk Non-Compliant'!B:K,$H$48,FALSE)=0,"N/A",VLOOKUP(A100,'High Risk Non-Compliant'!B:K,$H$48,FALSE))</f>
        <v>#REF!</v>
      </c>
      <c r="H100" s="147" t="e">
        <f>IF(G100="N/A","N/A",VLOOKUP(G100,'Crosswalk Detail'!A:B,2,FALSE))</f>
        <v>#REF!</v>
      </c>
    </row>
    <row r="101" spans="1:8" ht="144" customHeight="1" x14ac:dyDescent="0.2">
      <c r="A101" s="148" t="str">
        <f>'High Risk Non-Compliant'!B57</f>
        <v>FIDP-01</v>
      </c>
      <c r="B101" s="355" t="str">
        <f>'High Risk Non-Compliant'!C57</f>
        <v>Are you utilizing a web application firewall (WAF)?</v>
      </c>
      <c r="C101" s="355"/>
      <c r="D101" s="354">
        <f>'High Risk Non-Compliant'!D57</f>
        <v>0</v>
      </c>
      <c r="E101" s="354"/>
      <c r="F101" s="354"/>
      <c r="G101" s="147" t="e">
        <f>IF(VLOOKUP(A101,'High Risk Non-Compliant'!B:K,$H$48,FALSE)=0,"N/A",VLOOKUP(A101,'High Risk Non-Compliant'!B:K,$H$48,FALSE))</f>
        <v>#REF!</v>
      </c>
      <c r="H101" s="147" t="e">
        <f>IF(G101="N/A","N/A",VLOOKUP(G101,'Crosswalk Detail'!A:B,2,FALSE))</f>
        <v>#REF!</v>
      </c>
    </row>
    <row r="102" spans="1:8" ht="144" customHeight="1" x14ac:dyDescent="0.2">
      <c r="A102" s="148" t="str">
        <f>'High Risk Non-Compliant'!B58</f>
        <v>FIDP-02</v>
      </c>
      <c r="B102" s="355" t="str">
        <f>'High Risk Non-Compliant'!C58</f>
        <v>Are you utilizing a stateful packet inspection (SPI) firewall?</v>
      </c>
      <c r="C102" s="355"/>
      <c r="D102" s="354">
        <f>'High Risk Non-Compliant'!D58</f>
        <v>0</v>
      </c>
      <c r="E102" s="354"/>
      <c r="F102" s="354"/>
      <c r="G102" s="147" t="e">
        <f>IF(VLOOKUP(A102,'High Risk Non-Compliant'!B:K,$H$48,FALSE)=0,"N/A",VLOOKUP(A102,'High Risk Non-Compliant'!B:K,$H$48,FALSE))</f>
        <v>#REF!</v>
      </c>
      <c r="H102" s="147" t="e">
        <f>IF(G102="N/A","N/A",VLOOKUP(G102,'Crosswalk Detail'!A:B,2,FALSE))</f>
        <v>#REF!</v>
      </c>
    </row>
    <row r="103" spans="1:8" ht="144" customHeight="1" x14ac:dyDescent="0.2">
      <c r="A103" s="148" t="str">
        <f>'High Risk Non-Compliant'!B59</f>
        <v>FIDP-04</v>
      </c>
      <c r="B103" s="355" t="str">
        <f>'High Risk Non-Compliant'!C59</f>
        <v>Do you have a documented policy for firewall change requests?</v>
      </c>
      <c r="C103" s="355"/>
      <c r="D103" s="354">
        <f>'High Risk Non-Compliant'!D59</f>
        <v>0</v>
      </c>
      <c r="E103" s="354"/>
      <c r="F103" s="354"/>
      <c r="G103" s="147" t="e">
        <f>IF(VLOOKUP(A103,'High Risk Non-Compliant'!B:K,$H$48,FALSE)=0,"N/A",VLOOKUP(A103,'High Risk Non-Compliant'!B:K,$H$48,FALSE))</f>
        <v>#REF!</v>
      </c>
      <c r="H103" s="147" t="e">
        <f>IF(G103="N/A","N/A",VLOOKUP(G103,'Crosswalk Detail'!A:B,2,FALSE))</f>
        <v>#REF!</v>
      </c>
    </row>
    <row r="104" spans="1:8" ht="144" customHeight="1" x14ac:dyDescent="0.2">
      <c r="A104" s="148" t="str">
        <f>'High Risk Non-Compliant'!B60</f>
        <v>FIDP-05</v>
      </c>
      <c r="B104" s="355" t="str">
        <f>'High Risk Non-Compliant'!C60</f>
        <v>Have you implemented an Intrusion Detection System (network-based)?</v>
      </c>
      <c r="C104" s="355"/>
      <c r="D104" s="354">
        <f>'High Risk Non-Compliant'!D60</f>
        <v>0</v>
      </c>
      <c r="E104" s="354"/>
      <c r="F104" s="354"/>
      <c r="G104" s="147" t="e">
        <f>IF(VLOOKUP(A104,'High Risk Non-Compliant'!B:K,$H$48,FALSE)=0,"N/A",VLOOKUP(A104,'High Risk Non-Compliant'!B:K,$H$48,FALSE))</f>
        <v>#REF!</v>
      </c>
      <c r="H104" s="147" t="e">
        <f>IF(G104="N/A","N/A",VLOOKUP(G104,'Crosswalk Detail'!A:B,2,FALSE))</f>
        <v>#REF!</v>
      </c>
    </row>
    <row r="105" spans="1:8" ht="144" customHeight="1" x14ac:dyDescent="0.2">
      <c r="A105" s="148" t="str">
        <f>'High Risk Non-Compliant'!B61</f>
        <v>FIDP-07</v>
      </c>
      <c r="B105" s="355" t="str">
        <f>'High Risk Non-Compliant'!C61</f>
        <v>Do you employ host-based intrusion detection?</v>
      </c>
      <c r="C105" s="355"/>
      <c r="D105" s="354">
        <f>'High Risk Non-Compliant'!D61</f>
        <v>0</v>
      </c>
      <c r="E105" s="354"/>
      <c r="F105" s="354"/>
      <c r="G105" s="147" t="e">
        <f>IF(VLOOKUP(A105,'High Risk Non-Compliant'!B:K,$H$48,FALSE)=0,"N/A",VLOOKUP(A105,'High Risk Non-Compliant'!B:K,$H$48,FALSE))</f>
        <v>#REF!</v>
      </c>
      <c r="H105" s="147" t="e">
        <f>IF(G105="N/A","N/A",VLOOKUP(G105,'Crosswalk Detail'!A:B,2,FALSE))</f>
        <v>#REF!</v>
      </c>
    </row>
    <row r="106" spans="1:8" ht="144" customHeight="1" x14ac:dyDescent="0.2">
      <c r="A106" s="148" t="str">
        <f>'High Risk Non-Compliant'!B62</f>
        <v>FIDP-12</v>
      </c>
      <c r="B106" s="355" t="str">
        <f>'High Risk Non-Compliant'!C62</f>
        <v>Are audit logs available for all changes to the network, firewall, IDS, and IPS systems?</v>
      </c>
      <c r="C106" s="355"/>
      <c r="D106" s="354">
        <f>'High Risk Non-Compliant'!D62</f>
        <v>0</v>
      </c>
      <c r="E106" s="354"/>
      <c r="F106" s="354"/>
      <c r="G106" s="147" t="e">
        <f>IF(VLOOKUP(A106,'High Risk Non-Compliant'!B:K,$H$48,FALSE)=0,"N/A",VLOOKUP(A106,'High Risk Non-Compliant'!B:K,$H$48,FALSE))</f>
        <v>#REF!</v>
      </c>
      <c r="H106" s="147" t="e">
        <f>IF(G106="N/A","N/A",VLOOKUP(G106,'Crosswalk Detail'!A:B,2,FALSE))</f>
        <v>#REF!</v>
      </c>
    </row>
    <row r="107" spans="1:8" ht="144" customHeight="1" x14ac:dyDescent="0.2">
      <c r="A107" s="148" t="str">
        <f>'High Risk Non-Compliant'!B63</f>
        <v>MAPP-03</v>
      </c>
      <c r="B107" s="355" t="str">
        <f>'High Risk Non-Compliant'!C63</f>
        <v>Is the application available from a trusted source (e.g., iTunes App Store, Android Market, BB World)?</v>
      </c>
      <c r="C107" s="355"/>
      <c r="D107" s="354">
        <f>'High Risk Non-Compliant'!D63</f>
        <v>0</v>
      </c>
      <c r="E107" s="354"/>
      <c r="F107" s="354"/>
      <c r="G107" s="147" t="e">
        <f>IF(VLOOKUP(A107,'High Risk Non-Compliant'!B:K,$H$48,FALSE)=0,"N/A",VLOOKUP(A107,'High Risk Non-Compliant'!B:K,$H$48,FALSE))</f>
        <v>#REF!</v>
      </c>
      <c r="H107" s="147" t="e">
        <f>IF(G107="N/A","N/A",VLOOKUP(G107,'Crosswalk Detail'!A:B,2,FALSE))</f>
        <v>#REF!</v>
      </c>
    </row>
    <row r="108" spans="1:8" ht="144" customHeight="1" x14ac:dyDescent="0.2">
      <c r="A108" s="148" t="str">
        <f>'High Risk Non-Compliant'!B64</f>
        <v>MAPP-05</v>
      </c>
      <c r="B108" s="355" t="str">
        <f>'High Risk Non-Compliant'!C64</f>
        <v>Is Institution's data encrypted in transport?</v>
      </c>
      <c r="C108" s="355"/>
      <c r="D108" s="354">
        <f>'High Risk Non-Compliant'!D64</f>
        <v>0</v>
      </c>
      <c r="E108" s="354"/>
      <c r="F108" s="354"/>
      <c r="G108" s="147" t="e">
        <f>IF(VLOOKUP(A108,'High Risk Non-Compliant'!B:K,$H$48,FALSE)=0,"N/A",VLOOKUP(A108,'High Risk Non-Compliant'!B:K,$H$48,FALSE))</f>
        <v>#REF!</v>
      </c>
      <c r="H108" s="147" t="e">
        <f>IF(G108="N/A","N/A",VLOOKUP(G108,'Crosswalk Detail'!A:B,2,FALSE))</f>
        <v>#REF!</v>
      </c>
    </row>
    <row r="109" spans="1:8" ht="144" customHeight="1" x14ac:dyDescent="0.2">
      <c r="A109" s="148" t="str">
        <f>'High Risk Non-Compliant'!B65</f>
        <v>MAPP-06</v>
      </c>
      <c r="B109" s="355" t="str">
        <f>'High Risk Non-Compliant'!C65</f>
        <v>Is Institution's data encrypted in storage? (e.g. disk encryption, at-rest)</v>
      </c>
      <c r="C109" s="355"/>
      <c r="D109" s="354">
        <f>'High Risk Non-Compliant'!D65</f>
        <v>0</v>
      </c>
      <c r="E109" s="354"/>
      <c r="F109" s="354"/>
      <c r="G109" s="147" t="e">
        <f>IF(VLOOKUP(A109,'High Risk Non-Compliant'!B:K,$H$48,FALSE)=0,"N/A",VLOOKUP(A109,'High Risk Non-Compliant'!B:K,$H$48,FALSE))</f>
        <v>#REF!</v>
      </c>
      <c r="H109" s="147" t="e">
        <f>IF(G109="N/A","N/A",VLOOKUP(G109,'Crosswalk Detail'!A:B,2,FALSE))</f>
        <v>#REF!</v>
      </c>
    </row>
    <row r="110" spans="1:8" ht="144" customHeight="1" x14ac:dyDescent="0.2">
      <c r="A110" s="148" t="str">
        <f>'High Risk Non-Compliant'!B66</f>
        <v>MAPP-07</v>
      </c>
      <c r="B110" s="355" t="str">
        <f>'High Risk Non-Compliant'!C66</f>
        <v>Does the mobile application support Kerberos, CAS, or Active Directory authentication?</v>
      </c>
      <c r="C110" s="355"/>
      <c r="D110" s="354">
        <f>'High Risk Non-Compliant'!D66</f>
        <v>0</v>
      </c>
      <c r="E110" s="354"/>
      <c r="F110" s="354"/>
      <c r="G110" s="147" t="e">
        <f>IF(VLOOKUP(A110,'High Risk Non-Compliant'!B:K,$H$48,FALSE)=0,"N/A",VLOOKUP(A110,'High Risk Non-Compliant'!B:K,$H$48,FALSE))</f>
        <v>#REF!</v>
      </c>
      <c r="H110" s="147" t="e">
        <f>IF(G110="N/A","N/A",VLOOKUP(G110,'Crosswalk Detail'!A:B,2,FALSE))</f>
        <v>#REF!</v>
      </c>
    </row>
    <row r="111" spans="1:8" ht="144" customHeight="1" x14ac:dyDescent="0.2">
      <c r="A111" s="148" t="str">
        <f>'High Risk Non-Compliant'!B67</f>
        <v>MAPP-09</v>
      </c>
      <c r="B111" s="355" t="str">
        <f>'High Risk Non-Compliant'!C67</f>
        <v>Does the application adhere to secure coding practices (e.g. OWASP, etc.)?</v>
      </c>
      <c r="C111" s="355"/>
      <c r="D111" s="354">
        <f>'High Risk Non-Compliant'!D67</f>
        <v>0</v>
      </c>
      <c r="E111" s="354"/>
      <c r="F111" s="354"/>
      <c r="G111" s="147" t="e">
        <f>IF(VLOOKUP(A111,'High Risk Non-Compliant'!B:K,$H$48,FALSE)=0,"N/A",VLOOKUP(A111,'High Risk Non-Compliant'!B:K,$H$48,FALSE))</f>
        <v>#REF!</v>
      </c>
      <c r="H111" s="147" t="e">
        <f>IF(G111="N/A","N/A",VLOOKUP(G111,'Crosswalk Detail'!A:B,2,FALSE))</f>
        <v>#REF!</v>
      </c>
    </row>
    <row r="112" spans="1:8" ht="144" customHeight="1" x14ac:dyDescent="0.2">
      <c r="A112" s="148" t="str">
        <f>'High Risk Non-Compliant'!B68</f>
        <v>MAPP-10</v>
      </c>
      <c r="B112" s="355" t="str">
        <f>'High Risk Non-Compliant'!C68</f>
        <v>Has the application been tested for vulnerabilities by a third party?</v>
      </c>
      <c r="C112" s="355"/>
      <c r="D112" s="354">
        <f>'High Risk Non-Compliant'!D68</f>
        <v>0</v>
      </c>
      <c r="E112" s="354"/>
      <c r="F112" s="354"/>
      <c r="G112" s="147" t="e">
        <f>IF(VLOOKUP(A112,'High Risk Non-Compliant'!B:K,$H$48,FALSE)=0,"N/A",VLOOKUP(A112,'High Risk Non-Compliant'!B:K,$H$48,FALSE))</f>
        <v>#REF!</v>
      </c>
      <c r="H112" s="147" t="e">
        <f>IF(G112="N/A","N/A",VLOOKUP(G112,'Crosswalk Detail'!A:B,2,FALSE))</f>
        <v>#REF!</v>
      </c>
    </row>
    <row r="113" spans="1:8" ht="144" customHeight="1" x14ac:dyDescent="0.2">
      <c r="A113" s="148" t="str">
        <f>'High Risk Non-Compliant'!B69</f>
        <v>MAPP-11</v>
      </c>
      <c r="B113" s="355" t="str">
        <f>'High Risk Non-Compliant'!C69</f>
        <v>State the party that performed the vulnerability test and the date it was conducted?</v>
      </c>
      <c r="C113" s="355"/>
      <c r="D113" s="354">
        <f>'High Risk Non-Compliant'!D69</f>
        <v>0</v>
      </c>
      <c r="E113" s="354"/>
      <c r="F113" s="354"/>
      <c r="G113" s="147" t="e">
        <f>IF(VLOOKUP(A113,'High Risk Non-Compliant'!B:K,$H$48,FALSE)=0,"N/A",VLOOKUP(A113,'High Risk Non-Compliant'!B:K,$H$48,FALSE))</f>
        <v>#REF!</v>
      </c>
      <c r="H113" s="147" t="e">
        <f>IF(G113="N/A","N/A",VLOOKUP(G113,'Crosswalk Detail'!A:B,2,FALSE))</f>
        <v>#REF!</v>
      </c>
    </row>
    <row r="114" spans="1:8" ht="144" customHeight="1" x14ac:dyDescent="0.2">
      <c r="A114" s="148" t="str">
        <f>'High Risk Non-Compliant'!B70</f>
        <v>PHYS-02</v>
      </c>
      <c r="B114" s="355" t="str">
        <f>'High Risk Non-Compliant'!C70</f>
        <v>Are employees allowed to take home Institution's data in any form?</v>
      </c>
      <c r="C114" s="355"/>
      <c r="D114" s="354">
        <f>'High Risk Non-Compliant'!D70</f>
        <v>0</v>
      </c>
      <c r="E114" s="354"/>
      <c r="F114" s="354"/>
      <c r="G114" s="147" t="e">
        <f>IF(VLOOKUP(A114,'High Risk Non-Compliant'!B:K,$H$48,FALSE)=0,"N/A",VLOOKUP(A114,'High Risk Non-Compliant'!B:K,$H$48,FALSE))</f>
        <v>#REF!</v>
      </c>
      <c r="H114" s="147" t="e">
        <f>IF(G114="N/A","N/A",VLOOKUP(G114,'Crosswalk Detail'!A:B,2,FALSE))</f>
        <v>#REF!</v>
      </c>
    </row>
    <row r="115" spans="1:8" ht="144" customHeight="1" x14ac:dyDescent="0.2">
      <c r="A115" s="148" t="str">
        <f>'High Risk Non-Compliant'!B71</f>
        <v>PPPR-02</v>
      </c>
      <c r="B115" s="355" t="str">
        <f>'High Risk Non-Compliant'!C71</f>
        <v>Do you have a documented patch management process?</v>
      </c>
      <c r="C115" s="355"/>
      <c r="D115" s="354">
        <f>'High Risk Non-Compliant'!D71</f>
        <v>0</v>
      </c>
      <c r="E115" s="354"/>
      <c r="F115" s="354"/>
      <c r="G115" s="147" t="e">
        <f>IF(VLOOKUP(A115,'High Risk Non-Compliant'!B:K,$H$48,FALSE)=0,"N/A",VLOOKUP(A115,'High Risk Non-Compliant'!B:K,$H$48,FALSE))</f>
        <v>#REF!</v>
      </c>
      <c r="H115" s="147" t="e">
        <f>IF(G115="N/A","N/A",VLOOKUP(G115,'Crosswalk Detail'!A:B,2,FALSE))</f>
        <v>#REF!</v>
      </c>
    </row>
    <row r="116" spans="1:8" ht="144" customHeight="1" x14ac:dyDescent="0.2">
      <c r="A116" s="148" t="str">
        <f>'High Risk Non-Compliant'!B72</f>
        <v>PPPR-04</v>
      </c>
      <c r="B116" s="355" t="str">
        <f>'High Risk Non-Compliant'!C72</f>
        <v>Have your developers been trained in secure coding techniques?</v>
      </c>
      <c r="C116" s="355"/>
      <c r="D116" s="354">
        <f>'High Risk Non-Compliant'!D72</f>
        <v>0</v>
      </c>
      <c r="E116" s="354"/>
      <c r="F116" s="354"/>
      <c r="G116" s="147" t="e">
        <f>IF(VLOOKUP(A116,'High Risk Non-Compliant'!B:K,$H$48,FALSE)=0,"N/A",VLOOKUP(A116,'High Risk Non-Compliant'!B:K,$H$48,FALSE))</f>
        <v>#REF!</v>
      </c>
      <c r="H116" s="147" t="e">
        <f>IF(G116="N/A","N/A",VLOOKUP(G116,'Crosswalk Detail'!A:B,2,FALSE))</f>
        <v>#REF!</v>
      </c>
    </row>
    <row r="117" spans="1:8" ht="144" customHeight="1" x14ac:dyDescent="0.2">
      <c r="A117" s="148" t="str">
        <f>'High Risk Non-Compliant'!B73</f>
        <v>PPPR-06</v>
      </c>
      <c r="B117" s="355" t="str">
        <f>'High Risk Non-Compliant'!C73</f>
        <v>Do you subject your code to static code analysis and/or static application security testing prior to release?</v>
      </c>
      <c r="C117" s="355"/>
      <c r="D117" s="354">
        <f>'High Risk Non-Compliant'!D73</f>
        <v>0</v>
      </c>
      <c r="E117" s="354"/>
      <c r="F117" s="354"/>
      <c r="G117" s="147" t="e">
        <f>IF(VLOOKUP(A117,'High Risk Non-Compliant'!B:K,$H$48,FALSE)=0,"N/A",VLOOKUP(A117,'High Risk Non-Compliant'!B:K,$H$48,FALSE))</f>
        <v>#REF!</v>
      </c>
      <c r="H117" s="147" t="e">
        <f>IF(G117="N/A","N/A",VLOOKUP(G117,'Crosswalk Detail'!A:B,2,FALSE))</f>
        <v>#REF!</v>
      </c>
    </row>
    <row r="118" spans="1:8" ht="144" customHeight="1" x14ac:dyDescent="0.2">
      <c r="A118" s="148" t="str">
        <f>'High Risk Non-Compliant'!B74</f>
        <v>PPPR-10</v>
      </c>
      <c r="B118" s="355" t="str">
        <f>'High Risk Non-Compliant'!C74</f>
        <v>Do you have a formal incident response plan?</v>
      </c>
      <c r="C118" s="355"/>
      <c r="D118" s="354">
        <f>'High Risk Non-Compliant'!D74</f>
        <v>0</v>
      </c>
      <c r="E118" s="354"/>
      <c r="F118" s="354"/>
      <c r="G118" s="147" t="e">
        <f>IF(VLOOKUP(A118,'High Risk Non-Compliant'!B:K,$H$48,FALSE)=0,"N/A",VLOOKUP(A118,'High Risk Non-Compliant'!B:K,$H$48,FALSE))</f>
        <v>#REF!</v>
      </c>
      <c r="H118" s="147" t="e">
        <f>IF(G118="N/A","N/A",VLOOKUP(G118,'Crosswalk Detail'!A:B,2,FALSE))</f>
        <v>#REF!</v>
      </c>
    </row>
    <row r="119" spans="1:8" ht="144" customHeight="1" x14ac:dyDescent="0.2">
      <c r="A119" s="148" t="str">
        <f>'High Risk Non-Compliant'!B75</f>
        <v>PPPR-11</v>
      </c>
      <c r="B119" s="355" t="str">
        <f>'High Risk Non-Compliant'!C75</f>
        <v>Will you comply with applicable breach notification laws?</v>
      </c>
      <c r="C119" s="355"/>
      <c r="D119" s="354">
        <f>'High Risk Non-Compliant'!D75</f>
        <v>0</v>
      </c>
      <c r="E119" s="354"/>
      <c r="F119" s="354"/>
      <c r="G119" s="147" t="e">
        <f>IF(VLOOKUP(A119,'High Risk Non-Compliant'!B:K,$H$48,FALSE)=0,"N/A",VLOOKUP(A119,'High Risk Non-Compliant'!B:K,$H$48,FALSE))</f>
        <v>#REF!</v>
      </c>
      <c r="H119" s="147" t="e">
        <f>IF(G119="N/A","N/A",VLOOKUP(G119,'Crosswalk Detail'!A:B,2,FALSE))</f>
        <v>#REF!</v>
      </c>
    </row>
    <row r="120" spans="1:8" ht="144" customHeight="1" x14ac:dyDescent="0.2">
      <c r="A120" s="148" t="str">
        <f>'High Risk Non-Compliant'!B76</f>
        <v>PPPR-16</v>
      </c>
      <c r="B120" s="355" t="str">
        <f>'High Risk Non-Compliant'!C76</f>
        <v>Do you have documented information security policy?</v>
      </c>
      <c r="C120" s="355"/>
      <c r="D120" s="354">
        <f>'High Risk Non-Compliant'!D76</f>
        <v>0</v>
      </c>
      <c r="E120" s="354"/>
      <c r="F120" s="354"/>
      <c r="G120" s="147" t="e">
        <f>IF(VLOOKUP(A120,'High Risk Non-Compliant'!B:K,$H$48,FALSE)=0,"N/A",VLOOKUP(A120,'High Risk Non-Compliant'!B:K,$H$48,FALSE))</f>
        <v>#REF!</v>
      </c>
      <c r="H120" s="147" t="e">
        <f>IF(G120="N/A","N/A",VLOOKUP(G120,'Crosswalk Detail'!A:B,2,FALSE))</f>
        <v>#REF!</v>
      </c>
    </row>
    <row r="121" spans="1:8" ht="144" customHeight="1" x14ac:dyDescent="0.2">
      <c r="A121" s="148" t="str">
        <f>'High Risk Non-Compliant'!B77</f>
        <v>PPPR-17</v>
      </c>
      <c r="B121" s="355" t="str">
        <f>'High Risk Non-Compliant'!C77</f>
        <v>Do you have an information security awareness program?</v>
      </c>
      <c r="C121" s="355"/>
      <c r="D121" s="354">
        <f>'High Risk Non-Compliant'!D77</f>
        <v>0</v>
      </c>
      <c r="E121" s="354"/>
      <c r="F121" s="354"/>
      <c r="G121" s="147" t="e">
        <f>IF(VLOOKUP(A121,'High Risk Non-Compliant'!B:K,$H$48,FALSE)=0,"N/A",VLOOKUP(A121,'High Risk Non-Compliant'!B:K,$H$48,FALSE))</f>
        <v>#REF!</v>
      </c>
      <c r="H121" s="147" t="e">
        <f>IF(G121="N/A","N/A",VLOOKUP(G121,'Crosswalk Detail'!A:B,2,FALSE))</f>
        <v>#REF!</v>
      </c>
    </row>
    <row r="122" spans="1:8" ht="144" customHeight="1" x14ac:dyDescent="0.2">
      <c r="A122" s="148" t="str">
        <f>'High Risk Non-Compliant'!B78</f>
        <v>SYST-01</v>
      </c>
      <c r="B122" s="355" t="str">
        <f>'High Risk Non-Compliant'!C78</f>
        <v>Are systems that support this service managed via a separate management network?</v>
      </c>
      <c r="C122" s="355"/>
      <c r="D122" s="354">
        <f>'High Risk Non-Compliant'!D78</f>
        <v>0</v>
      </c>
      <c r="E122" s="354"/>
      <c r="F122" s="354"/>
      <c r="G122" s="147" t="e">
        <f>IF(VLOOKUP(A122,'High Risk Non-Compliant'!B:K,$H$48,FALSE)=0,"N/A",VLOOKUP(A122,'High Risk Non-Compliant'!B:K,$H$48,FALSE))</f>
        <v>#REF!</v>
      </c>
      <c r="H122" s="147" t="e">
        <f>IF(G122="N/A","N/A",VLOOKUP(G122,'Crosswalk Detail'!A:B,2,FALSE))</f>
        <v>#REF!</v>
      </c>
    </row>
    <row r="123" spans="1:8" ht="144" customHeight="1" x14ac:dyDescent="0.2">
      <c r="A123" s="148" t="str">
        <f>'High Risk Non-Compliant'!B79</f>
        <v>VULN-01</v>
      </c>
      <c r="B123" s="355" t="str">
        <f>'High Risk Non-Compliant'!C79</f>
        <v>Are your applications scanned externally for vulnerabilities?</v>
      </c>
      <c r="C123" s="355"/>
      <c r="D123" s="354">
        <f>'High Risk Non-Compliant'!D79</f>
        <v>0</v>
      </c>
      <c r="E123" s="354"/>
      <c r="F123" s="354"/>
      <c r="G123" s="147" t="e">
        <f>IF(VLOOKUP(A123,'High Risk Non-Compliant'!B:K,$H$48,FALSE)=0,"N/A",VLOOKUP(A123,'High Risk Non-Compliant'!B:K,$H$48,FALSE))</f>
        <v>#REF!</v>
      </c>
      <c r="H123" s="147" t="e">
        <f>IF(G123="N/A","N/A",VLOOKUP(G123,'Crosswalk Detail'!A:B,2,FALSE))</f>
        <v>#REF!</v>
      </c>
    </row>
    <row r="124" spans="1:8" ht="144" customHeight="1" x14ac:dyDescent="0.2">
      <c r="A124" s="148" t="str">
        <f>'High Risk Non-Compliant'!B80</f>
        <v>VULN-04</v>
      </c>
      <c r="B124" s="355" t="str">
        <f>'High Risk Non-Compliant'!C80</f>
        <v>Are your systems scanned externally for vulnerabilities?</v>
      </c>
      <c r="C124" s="355"/>
      <c r="D124" s="354">
        <f>'High Risk Non-Compliant'!D80</f>
        <v>0</v>
      </c>
      <c r="E124" s="354"/>
      <c r="F124" s="354"/>
      <c r="G124" s="147" t="e">
        <f>IF(VLOOKUP(A124,'High Risk Non-Compliant'!B:K,$H$48,FALSE)=0,"N/A",VLOOKUP(A124,'High Risk Non-Compliant'!B:K,$H$48,FALSE))</f>
        <v>#REF!</v>
      </c>
      <c r="H124" s="147" t="e">
        <f>IF(G124="N/A","N/A",VLOOKUP(G124,'Crosswalk Detail'!A:B,2,FALSE))</f>
        <v>#REF!</v>
      </c>
    </row>
    <row r="125" spans="1:8" ht="144" customHeight="1" x14ac:dyDescent="0.2">
      <c r="A125" s="148" t="str">
        <f>'High Risk Non-Compliant'!B81</f>
        <v>VULN-05</v>
      </c>
      <c r="B125" s="355" t="str">
        <f>'High Risk Non-Compliant'!C81</f>
        <v>Have your systems had an external vulnerability assessment in the last year?</v>
      </c>
      <c r="C125" s="355"/>
      <c r="D125" s="354">
        <f>'High Risk Non-Compliant'!D81</f>
        <v>0</v>
      </c>
      <c r="E125" s="354"/>
      <c r="F125" s="354"/>
      <c r="G125" s="147" t="e">
        <f>IF(VLOOKUP(A125,'High Risk Non-Compliant'!B:K,$H$48,FALSE)=0,"N/A",VLOOKUP(A125,'High Risk Non-Compliant'!B:K,$H$48,FALSE))</f>
        <v>#REF!</v>
      </c>
      <c r="H125" s="147" t="e">
        <f>IF(G125="N/A","N/A",VLOOKUP(G125,'Crosswalk Detail'!A:B,2,FALSE))</f>
        <v>#REF!</v>
      </c>
    </row>
    <row r="126" spans="1:8" ht="144" customHeight="1" x14ac:dyDescent="0.2">
      <c r="A126" s="148" t="str">
        <f>'High Risk Non-Compliant'!B82</f>
        <v>VULN-09</v>
      </c>
      <c r="B126" s="355" t="str">
        <f>'High Risk Non-Compliant'!C82</f>
        <v>Will you allow the institution to perform its own security testing of your systems and/or application provided that testing is performed at a mutually agreed upon time and date?</v>
      </c>
      <c r="C126" s="355"/>
      <c r="D126" s="354">
        <f>'High Risk Non-Compliant'!D82</f>
        <v>0</v>
      </c>
      <c r="E126" s="354"/>
      <c r="F126" s="354"/>
      <c r="G126" s="147" t="e">
        <f>IF(VLOOKUP(A126,'High Risk Non-Compliant'!B:K,$H$48,FALSE)=0,"N/A",VLOOKUP(A126,'High Risk Non-Compliant'!B:K,$H$48,FALSE))</f>
        <v>#REF!</v>
      </c>
      <c r="H126" s="147" t="e">
        <f>IF(G126="N/A","N/A",VLOOKUP(G126,'Crosswalk Detail'!A:B,2,FALSE))</f>
        <v>#REF!</v>
      </c>
    </row>
    <row r="127" spans="1:8" ht="144" customHeight="1" x14ac:dyDescent="0.2">
      <c r="A127" s="148" t="str">
        <f>'High Risk Non-Compliant'!B83</f>
        <v>HIPA-03</v>
      </c>
      <c r="B127" s="355" t="str">
        <f>'High Risk Non-Compliant'!C83</f>
        <v>Has your organization designated HIPAA Privacy and Security officers as required by the Rules?</v>
      </c>
      <c r="C127" s="355"/>
      <c r="D127" s="354">
        <f>'High Risk Non-Compliant'!D83</f>
        <v>0</v>
      </c>
      <c r="E127" s="354"/>
      <c r="F127" s="354"/>
      <c r="G127" s="147" t="e">
        <f>IF(VLOOKUP(A127,'High Risk Non-Compliant'!B:K,$H$48,FALSE)=0,"N/A",VLOOKUP(A127,'High Risk Non-Compliant'!B:K,$H$48,FALSE))</f>
        <v>#REF!</v>
      </c>
      <c r="H127" s="147" t="e">
        <f>IF(G127="N/A","N/A",VLOOKUP(G127,'Crosswalk Detail'!A:B,2,FALSE))</f>
        <v>#REF!</v>
      </c>
    </row>
    <row r="128" spans="1:8" ht="144" customHeight="1" x14ac:dyDescent="0.2">
      <c r="A128" s="148" t="str">
        <f>'High Risk Non-Compliant'!B84</f>
        <v>HIPA-04</v>
      </c>
      <c r="B128" s="355" t="str">
        <f>'High Risk Non-Compliant'!C84</f>
        <v>Do you comply with the requirements of the Health Information Technology for Economic and Clinical Health Act (HITECH)?</v>
      </c>
      <c r="C128" s="355"/>
      <c r="D128" s="354">
        <f>'High Risk Non-Compliant'!D84</f>
        <v>0</v>
      </c>
      <c r="E128" s="354"/>
      <c r="F128" s="354"/>
      <c r="G128" s="147" t="e">
        <f>IF(VLOOKUP(A128,'High Risk Non-Compliant'!B:K,$H$48,FALSE)=0,"N/A",VLOOKUP(A128,'High Risk Non-Compliant'!B:K,$H$48,FALSE))</f>
        <v>#REF!</v>
      </c>
      <c r="H128" s="147" t="e">
        <f>IF(G128="N/A","N/A",VLOOKUP(G128,'Crosswalk Detail'!A:B,2,FALSE))</f>
        <v>#REF!</v>
      </c>
    </row>
    <row r="129" spans="1:8" ht="144" customHeight="1" x14ac:dyDescent="0.2">
      <c r="A129" s="148" t="str">
        <f>'High Risk Non-Compliant'!B85</f>
        <v>HIPA-06</v>
      </c>
      <c r="B129" s="355" t="str">
        <f>'High Risk Non-Compliant'!C85</f>
        <v>Do you have a plan to comply with the Breach Notification requirements if there is a breach of data?</v>
      </c>
      <c r="C129" s="355"/>
      <c r="D129" s="354">
        <f>'High Risk Non-Compliant'!D85</f>
        <v>0</v>
      </c>
      <c r="E129" s="354"/>
      <c r="F129" s="354"/>
      <c r="G129" s="147" t="e">
        <f>IF(VLOOKUP(A129,'High Risk Non-Compliant'!B:K,$H$48,FALSE)=0,"N/A",VLOOKUP(A129,'High Risk Non-Compliant'!B:K,$H$48,FALSE))</f>
        <v>#REF!</v>
      </c>
      <c r="H129" s="147" t="e">
        <f>IF(G129="N/A","N/A",VLOOKUP(G129,'Crosswalk Detail'!A:B,2,FALSE))</f>
        <v>#REF!</v>
      </c>
    </row>
    <row r="130" spans="1:8" ht="144" customHeight="1" x14ac:dyDescent="0.2">
      <c r="A130" s="148" t="str">
        <f>'High Risk Non-Compliant'!B86</f>
        <v>HIPA-07</v>
      </c>
      <c r="B130" s="355" t="str">
        <f>'High Risk Non-Compliant'!C86</f>
        <v>Have you conducted a risk analysis as required under the Security Rule?</v>
      </c>
      <c r="C130" s="355"/>
      <c r="D130" s="354">
        <f>'High Risk Non-Compliant'!D86</f>
        <v>0</v>
      </c>
      <c r="E130" s="354"/>
      <c r="F130" s="354"/>
      <c r="G130" s="147" t="e">
        <f>IF(VLOOKUP(A130,'High Risk Non-Compliant'!B:K,$H$48,FALSE)=0,"N/A",VLOOKUP(A130,'High Risk Non-Compliant'!B:K,$H$48,FALSE))</f>
        <v>#REF!</v>
      </c>
      <c r="H130" s="147" t="e">
        <f>IF(G130="N/A","N/A",VLOOKUP(G130,'Crosswalk Detail'!A:B,2,FALSE))</f>
        <v>#REF!</v>
      </c>
    </row>
    <row r="131" spans="1:8" ht="144" customHeight="1" x14ac:dyDescent="0.2">
      <c r="A131" s="148" t="str">
        <f>'High Risk Non-Compliant'!B87</f>
        <v>HIPA-14</v>
      </c>
      <c r="B131" s="355" t="str">
        <f>'High Risk Non-Compliant'!C87</f>
        <v>Are passwords visible in plain text, whether when stored or entered, including service level accounts (i.e. database accounts, etc.)?</v>
      </c>
      <c r="C131" s="355"/>
      <c r="D131" s="354">
        <f>'High Risk Non-Compliant'!D87</f>
        <v>0</v>
      </c>
      <c r="E131" s="354"/>
      <c r="F131" s="354"/>
      <c r="G131" s="147" t="e">
        <f>IF(VLOOKUP(A131,'High Risk Non-Compliant'!B:K,$H$48,FALSE)=0,"N/A",VLOOKUP(A131,'High Risk Non-Compliant'!B:K,$H$48,FALSE))</f>
        <v>#REF!</v>
      </c>
      <c r="H131" s="147" t="e">
        <f>IF(G131="N/A","N/A",VLOOKUP(G131,'Crosswalk Detail'!A:B,2,FALSE))</f>
        <v>#REF!</v>
      </c>
    </row>
    <row r="132" spans="1:8" ht="144" customHeight="1" x14ac:dyDescent="0.2">
      <c r="A132" s="148" t="str">
        <f>'High Risk Non-Compliant'!B88</f>
        <v>PCID-03</v>
      </c>
      <c r="B132" s="355" t="str">
        <f>'High Risk Non-Compliant'!C88</f>
        <v>Do you have a current, executed within the past year, Attestation of Compliance (AoC) or Report on Compliance (RoC)?</v>
      </c>
      <c r="C132" s="355"/>
      <c r="D132" s="354">
        <f>'High Risk Non-Compliant'!D88</f>
        <v>0</v>
      </c>
      <c r="E132" s="354"/>
      <c r="F132" s="354"/>
      <c r="G132" s="147" t="e">
        <f>IF(VLOOKUP(A132,'High Risk Non-Compliant'!B:K,$H$48,FALSE)=0,"N/A",VLOOKUP(A132,'High Risk Non-Compliant'!B:K,$H$48,FALSE))</f>
        <v>#REF!</v>
      </c>
      <c r="H132" s="147" t="e">
        <f>IF(G132="N/A","N/A",VLOOKUP(G132,'Crosswalk Detail'!A:B,2,FALSE))</f>
        <v>#REF!</v>
      </c>
    </row>
    <row r="133" spans="1:8" ht="144" customHeight="1" x14ac:dyDescent="0.2">
      <c r="A133" s="148" t="str">
        <f>'High Risk Non-Compliant'!B89</f>
        <v>PCID-06</v>
      </c>
      <c r="B133" s="355" t="str">
        <f>'High Risk Non-Compliant'!C89</f>
        <v>Are you classified as a merchant?  If so, what level (1, 2, 3, 4)?</v>
      </c>
      <c r="C133" s="355"/>
      <c r="D133" s="354">
        <f>'High Risk Non-Compliant'!D89</f>
        <v>0</v>
      </c>
      <c r="E133" s="354"/>
      <c r="F133" s="354"/>
      <c r="G133" s="147" t="e">
        <f>IF(VLOOKUP(A133,'High Risk Non-Compliant'!B:K,$H$48,FALSE)=0,"N/A",VLOOKUP(A133,'High Risk Non-Compliant'!B:K,$H$48,FALSE))</f>
        <v>#REF!</v>
      </c>
      <c r="H133" s="147" t="e">
        <f>IF(G133="N/A","N/A",VLOOKUP(G133,'Crosswalk Detail'!A:B,2,FALSE))</f>
        <v>#REF!</v>
      </c>
    </row>
    <row r="134" spans="1:8" ht="144" customHeight="1" x14ac:dyDescent="0.2">
      <c r="A134" s="148" t="str">
        <f>'High Risk Non-Compliant'!B90</f>
        <v>PCID-09</v>
      </c>
      <c r="B134" s="355" t="str">
        <f>'High Risk Non-Compliant'!C90</f>
        <v>Can the application be installed in a PCI DSS compliant manner ?</v>
      </c>
      <c r="C134" s="355"/>
      <c r="D134" s="354">
        <f>'High Risk Non-Compliant'!D90</f>
        <v>0</v>
      </c>
      <c r="E134" s="354"/>
      <c r="F134" s="354"/>
      <c r="G134" s="147" t="e">
        <f>IF(VLOOKUP(A134,'High Risk Non-Compliant'!B:K,$H$48,FALSE)=0,"N/A",VLOOKUP(A134,'High Risk Non-Compliant'!B:K,$H$48,FALSE))</f>
        <v>#REF!</v>
      </c>
      <c r="H134" s="147" t="e">
        <f>IF(G134="N/A","N/A",VLOOKUP(G134,'Crosswalk Detail'!A:B,2,FALSE))</f>
        <v>#REF!</v>
      </c>
    </row>
    <row r="135" spans="1:8" ht="144" customHeight="1" x14ac:dyDescent="0.2">
      <c r="A135" s="148" t="str">
        <f>'High Risk Non-Compliant'!B91</f>
        <v>COMP-04</v>
      </c>
      <c r="B135" s="355" t="str">
        <f>'High Risk Non-Compliant'!C91</f>
        <v>Have you had a significant breach in the last 5 years?</v>
      </c>
      <c r="C135" s="355"/>
      <c r="D135" s="354">
        <f>'High Risk Non-Compliant'!D91</f>
        <v>0</v>
      </c>
      <c r="E135" s="354"/>
      <c r="F135" s="354"/>
      <c r="G135" s="147" t="e">
        <f>IF(VLOOKUP(A135,'High Risk Non-Compliant'!B:K,$H$48,FALSE)=0,"N/A",VLOOKUP(A135,'High Risk Non-Compliant'!B:K,$H$48,FALSE))</f>
        <v>#REF!</v>
      </c>
      <c r="H135" s="147" t="e">
        <f>IF(G135="N/A","N/A",VLOOKUP(G135,'Crosswalk Detail'!A:B,2,FALSE))</f>
        <v>#REF!</v>
      </c>
    </row>
    <row r="136" spans="1:8" ht="144" customHeight="1" x14ac:dyDescent="0.2">
      <c r="A136" s="148" t="str">
        <f>'High Risk Non-Compliant'!B92</f>
        <v>COMP-05</v>
      </c>
      <c r="B136" s="355" t="str">
        <f>'High Risk Non-Compliant'!C92</f>
        <v>Do you have a dedicated Information Security staff or office?</v>
      </c>
      <c r="C136" s="355"/>
      <c r="D136" s="354">
        <f>'High Risk Non-Compliant'!D92</f>
        <v>0</v>
      </c>
      <c r="E136" s="354"/>
      <c r="F136" s="354"/>
      <c r="G136" s="147" t="e">
        <f>IF(VLOOKUP(A136,'High Risk Non-Compliant'!B:K,$H$48,FALSE)=0,"N/A",VLOOKUP(A136,'High Risk Non-Compliant'!B:K,$H$48,FALSE))</f>
        <v>#REF!</v>
      </c>
      <c r="H136" s="147" t="e">
        <f>IF(G136="N/A","N/A",VLOOKUP(G136,'Crosswalk Detail'!A:B,2,FALSE))</f>
        <v>#REF!</v>
      </c>
    </row>
    <row r="137" spans="1:8" ht="144" customHeight="1" x14ac:dyDescent="0.2">
      <c r="A137" s="148" t="str">
        <f>'High Risk Non-Compliant'!B93</f>
        <v>COMP-07</v>
      </c>
      <c r="B137" s="355" t="str">
        <f>'High Risk Non-Compliant'!C93</f>
        <v>Use this area to share information about your environment that will assist those who are assessing your company data security program.</v>
      </c>
      <c r="C137" s="355"/>
      <c r="D137" s="354">
        <f>'High Risk Non-Compliant'!D93</f>
        <v>0</v>
      </c>
      <c r="E137" s="354"/>
      <c r="F137" s="354"/>
      <c r="G137" s="147" t="e">
        <f>IF(VLOOKUP(A137,'High Risk Non-Compliant'!B:K,$H$48,FALSE)=0,"N/A",VLOOKUP(A137,'High Risk Non-Compliant'!B:K,$H$48,FALSE))</f>
        <v>#REF!</v>
      </c>
      <c r="H137" s="147" t="e">
        <f>IF(G137="N/A","N/A",VLOOKUP(G137,'Crosswalk Detail'!A:B,2,FALSE))</f>
        <v>#REF!</v>
      </c>
    </row>
    <row r="138" spans="1:8" ht="144" customHeight="1" x14ac:dyDescent="0.2">
      <c r="A138" s="148">
        <f>'High Risk Non-Compliant'!B94</f>
        <v>0</v>
      </c>
      <c r="B138" s="355">
        <f>'High Risk Non-Compliant'!C94</f>
        <v>0</v>
      </c>
      <c r="C138" s="355"/>
      <c r="D138" s="354">
        <f>'High Risk Non-Compliant'!D94</f>
        <v>0</v>
      </c>
      <c r="E138" s="354"/>
      <c r="F138" s="354"/>
      <c r="G138" s="147" t="e">
        <f>IF(VLOOKUP(A138,'High Risk Non-Compliant'!B:K,$H$48,FALSE)=0,"N/A",VLOOKUP(A138,'High Risk Non-Compliant'!B:K,$H$48,FALSE))</f>
        <v>#REF!</v>
      </c>
      <c r="H138" s="147" t="e">
        <f>IF(G138="N/A","N/A",VLOOKUP(G138,'Crosswalk Detail'!A:B,2,FALSE))</f>
        <v>#REF!</v>
      </c>
    </row>
    <row r="139" spans="1:8" ht="144" customHeight="1" x14ac:dyDescent="0.2">
      <c r="A139" s="148">
        <f>'High Risk Non-Compliant'!B95</f>
        <v>0</v>
      </c>
      <c r="B139" s="355">
        <f>'High Risk Non-Compliant'!C95</f>
        <v>0</v>
      </c>
      <c r="C139" s="355"/>
      <c r="D139" s="354">
        <f>'High Risk Non-Compliant'!D95</f>
        <v>0</v>
      </c>
      <c r="E139" s="354"/>
      <c r="F139" s="354"/>
      <c r="G139" s="147" t="e">
        <f>IF(VLOOKUP(A139,'High Risk Non-Compliant'!B:K,$H$48,FALSE)=0,"N/A",VLOOKUP(A139,'High Risk Non-Compliant'!B:K,$H$48,FALSE))</f>
        <v>#REF!</v>
      </c>
      <c r="H139" s="147" t="e">
        <f>IF(G139="N/A","N/A",VLOOKUP(G139,'Crosswalk Detail'!A:B,2,FALSE))</f>
        <v>#REF!</v>
      </c>
    </row>
    <row r="140" spans="1:8" ht="144" customHeight="1" x14ac:dyDescent="0.2">
      <c r="A140" s="148">
        <f>'High Risk Non-Compliant'!B96</f>
        <v>0</v>
      </c>
      <c r="B140" s="355">
        <f>'High Risk Non-Compliant'!C96</f>
        <v>0</v>
      </c>
      <c r="C140" s="355"/>
      <c r="D140" s="354">
        <f>'High Risk Non-Compliant'!D96</f>
        <v>0</v>
      </c>
      <c r="E140" s="354"/>
      <c r="F140" s="354"/>
      <c r="G140" s="147" t="e">
        <f>IF(VLOOKUP(A140,'High Risk Non-Compliant'!B:K,$H$48,FALSE)=0,"N/A",VLOOKUP(A140,'High Risk Non-Compliant'!B:K,$H$48,FALSE))</f>
        <v>#REF!</v>
      </c>
      <c r="H140" s="147" t="e">
        <f>IF(G140="N/A","N/A",VLOOKUP(G140,'Crosswalk Detail'!A:B,2,FALSE))</f>
        <v>#REF!</v>
      </c>
    </row>
    <row r="141" spans="1:8" ht="144" customHeight="1" x14ac:dyDescent="0.2">
      <c r="A141" s="148">
        <f>'High Risk Non-Compliant'!B97</f>
        <v>0</v>
      </c>
      <c r="B141" s="355">
        <f>'High Risk Non-Compliant'!C97</f>
        <v>0</v>
      </c>
      <c r="C141" s="355"/>
      <c r="D141" s="354">
        <f>'High Risk Non-Compliant'!D97</f>
        <v>0</v>
      </c>
      <c r="E141" s="354"/>
      <c r="F141" s="354"/>
      <c r="G141" s="147" t="e">
        <f>IF(VLOOKUP(A141,'High Risk Non-Compliant'!B:K,$H$48,FALSE)=0,"N/A",VLOOKUP(A141,'High Risk Non-Compliant'!B:K,$H$48,FALSE))</f>
        <v>#REF!</v>
      </c>
      <c r="H141" s="147" t="e">
        <f>IF(G141="N/A","N/A",VLOOKUP(G141,'Crosswalk Detail'!A:B,2,FALSE))</f>
        <v>#REF!</v>
      </c>
    </row>
    <row r="142" spans="1:8" ht="144" customHeight="1" x14ac:dyDescent="0.2">
      <c r="A142" s="148">
        <f>'High Risk Non-Compliant'!B98</f>
        <v>0</v>
      </c>
      <c r="B142" s="355">
        <f>'High Risk Non-Compliant'!C98</f>
        <v>0</v>
      </c>
      <c r="C142" s="355"/>
      <c r="D142" s="354">
        <f>'High Risk Non-Compliant'!D98</f>
        <v>0</v>
      </c>
      <c r="E142" s="354"/>
      <c r="F142" s="354"/>
      <c r="G142" s="147" t="e">
        <f>IF(VLOOKUP(A142,'High Risk Non-Compliant'!B:K,$H$48,FALSE)=0,"N/A",VLOOKUP(A142,'High Risk Non-Compliant'!B:K,$H$48,FALSE))</f>
        <v>#REF!</v>
      </c>
      <c r="H142" s="147" t="e">
        <f>IF(G142="N/A","N/A",VLOOKUP(G142,'Crosswalk Detail'!A:B,2,FALSE))</f>
        <v>#REF!</v>
      </c>
    </row>
    <row r="143" spans="1:8" ht="144" customHeight="1" x14ac:dyDescent="0.2">
      <c r="A143" s="148">
        <f>'High Risk Non-Compliant'!B99</f>
        <v>0</v>
      </c>
      <c r="B143" s="355">
        <f>'High Risk Non-Compliant'!C99</f>
        <v>0</v>
      </c>
      <c r="C143" s="355"/>
      <c r="D143" s="354">
        <f>'High Risk Non-Compliant'!D99</f>
        <v>0</v>
      </c>
      <c r="E143" s="354"/>
      <c r="F143" s="354"/>
      <c r="G143" s="147" t="e">
        <f>IF(VLOOKUP(A143,'High Risk Non-Compliant'!B:K,$H$48,FALSE)=0,"N/A",VLOOKUP(A143,'High Risk Non-Compliant'!B:K,$H$48,FALSE))</f>
        <v>#REF!</v>
      </c>
      <c r="H143" s="147" t="e">
        <f>IF(G143="N/A","N/A",VLOOKUP(G143,'Crosswalk Detail'!A:B,2,FALSE))</f>
        <v>#REF!</v>
      </c>
    </row>
    <row r="144" spans="1:8" ht="144" customHeight="1" x14ac:dyDescent="0.2">
      <c r="A144" s="148">
        <f>'High Risk Non-Compliant'!B100</f>
        <v>0</v>
      </c>
      <c r="B144" s="355">
        <f>'High Risk Non-Compliant'!C100</f>
        <v>0</v>
      </c>
      <c r="C144" s="355"/>
      <c r="D144" s="354">
        <f>'High Risk Non-Compliant'!D100</f>
        <v>0</v>
      </c>
      <c r="E144" s="354"/>
      <c r="F144" s="354"/>
      <c r="G144" s="147" t="e">
        <f>IF(VLOOKUP(A144,'High Risk Non-Compliant'!B:K,$H$48,FALSE)=0,"N/A",VLOOKUP(A144,'High Risk Non-Compliant'!B:K,$H$48,FALSE))</f>
        <v>#REF!</v>
      </c>
      <c r="H144" s="147" t="e">
        <f>IF(G144="N/A","N/A",VLOOKUP(G144,'Crosswalk Detail'!A:B,2,FALSE))</f>
        <v>#REF!</v>
      </c>
    </row>
    <row r="145" spans="1:8" ht="144" customHeight="1" x14ac:dyDescent="0.2">
      <c r="A145" s="148">
        <f>'High Risk Non-Compliant'!B101</f>
        <v>0</v>
      </c>
      <c r="B145" s="355">
        <f>'High Risk Non-Compliant'!C101</f>
        <v>0</v>
      </c>
      <c r="C145" s="355"/>
      <c r="D145" s="354">
        <f>'High Risk Non-Compliant'!D101</f>
        <v>0</v>
      </c>
      <c r="E145" s="354"/>
      <c r="F145" s="354"/>
      <c r="G145" s="147" t="e">
        <f>IF(VLOOKUP(A145,'High Risk Non-Compliant'!B:K,$H$48,FALSE)=0,"N/A",VLOOKUP(A145,'High Risk Non-Compliant'!B:K,$H$48,FALSE))</f>
        <v>#REF!</v>
      </c>
      <c r="H145" s="147" t="e">
        <f>IF(G145="N/A","N/A",VLOOKUP(G145,'Crosswalk Detail'!A:B,2,FALSE))</f>
        <v>#REF!</v>
      </c>
    </row>
    <row r="146" spans="1:8" ht="144" customHeight="1" x14ac:dyDescent="0.2">
      <c r="A146" s="148">
        <f>'High Risk Non-Compliant'!B102</f>
        <v>0</v>
      </c>
      <c r="B146" s="355">
        <f>'High Risk Non-Compliant'!C102</f>
        <v>0</v>
      </c>
      <c r="C146" s="355"/>
      <c r="D146" s="354">
        <f>'High Risk Non-Compliant'!D102</f>
        <v>0</v>
      </c>
      <c r="E146" s="354"/>
      <c r="F146" s="354"/>
      <c r="G146" s="147" t="e">
        <f>IF(VLOOKUP(A146,'High Risk Non-Compliant'!B:K,$H$48,FALSE)=0,"N/A",VLOOKUP(A146,'High Risk Non-Compliant'!B:K,$H$48,FALSE))</f>
        <v>#REF!</v>
      </c>
      <c r="H146" s="147" t="e">
        <f>IF(G146="N/A","N/A",VLOOKUP(G146,'Crosswalk Detail'!A:B,2,FALSE))</f>
        <v>#REF!</v>
      </c>
    </row>
    <row r="147" spans="1:8" ht="144" customHeight="1" x14ac:dyDescent="0.2">
      <c r="A147" s="148">
        <f>'High Risk Non-Compliant'!B103</f>
        <v>0</v>
      </c>
      <c r="B147" s="355">
        <f>'High Risk Non-Compliant'!C103</f>
        <v>0</v>
      </c>
      <c r="C147" s="355"/>
      <c r="D147" s="354">
        <f>'High Risk Non-Compliant'!D103</f>
        <v>0</v>
      </c>
      <c r="E147" s="354"/>
      <c r="F147" s="354"/>
      <c r="G147" s="147" t="e">
        <f>IF(VLOOKUP(A147,'High Risk Non-Compliant'!B:K,$H$48,FALSE)=0,"N/A",VLOOKUP(A147,'High Risk Non-Compliant'!B:K,$H$48,FALSE))</f>
        <v>#REF!</v>
      </c>
      <c r="H147" s="147" t="e">
        <f>IF(G147="N/A","N/A",VLOOKUP(G147,'Crosswalk Detail'!A:B,2,FALSE))</f>
        <v>#REF!</v>
      </c>
    </row>
    <row r="148" spans="1:8" ht="144" customHeight="1" x14ac:dyDescent="0.2">
      <c r="A148" s="148">
        <f>'High Risk Non-Compliant'!B104</f>
        <v>0</v>
      </c>
      <c r="B148" s="355">
        <f>'High Risk Non-Compliant'!C104</f>
        <v>0</v>
      </c>
      <c r="C148" s="355"/>
      <c r="D148" s="354">
        <f>'High Risk Non-Compliant'!D104</f>
        <v>0</v>
      </c>
      <c r="E148" s="354"/>
      <c r="F148" s="354"/>
      <c r="G148" s="147" t="e">
        <f>IF(VLOOKUP(A148,'High Risk Non-Compliant'!B:K,$H$48,FALSE)=0,"N/A",VLOOKUP(A148,'High Risk Non-Compliant'!B:K,$H$48,FALSE))</f>
        <v>#REF!</v>
      </c>
      <c r="H148" s="147" t="e">
        <f>IF(G148="N/A","N/A",VLOOKUP(G148,'Crosswalk Detail'!A:B,2,FALSE))</f>
        <v>#REF!</v>
      </c>
    </row>
    <row r="149" spans="1:8" ht="144" customHeight="1" x14ac:dyDescent="0.2">
      <c r="A149" s="148">
        <f>'High Risk Non-Compliant'!B105</f>
        <v>0</v>
      </c>
      <c r="B149" s="355">
        <f>'High Risk Non-Compliant'!C105</f>
        <v>0</v>
      </c>
      <c r="C149" s="355"/>
      <c r="D149" s="354">
        <f>'High Risk Non-Compliant'!D105</f>
        <v>0</v>
      </c>
      <c r="E149" s="354"/>
      <c r="F149" s="354"/>
      <c r="G149" s="147" t="e">
        <f>IF(VLOOKUP(A149,'High Risk Non-Compliant'!B:K,$H$48,FALSE)=0,"N/A",VLOOKUP(A149,'High Risk Non-Compliant'!B:K,$H$48,FALSE))</f>
        <v>#REF!</v>
      </c>
      <c r="H149" s="147" t="e">
        <f>IF(G149="N/A","N/A",VLOOKUP(G149,'Crosswalk Detail'!A:B,2,FALSE))</f>
        <v>#REF!</v>
      </c>
    </row>
    <row r="150" spans="1:8" ht="144" customHeight="1" x14ac:dyDescent="0.2">
      <c r="A150" s="148">
        <f>'High Risk Non-Compliant'!B106</f>
        <v>0</v>
      </c>
      <c r="B150" s="355">
        <f>'High Risk Non-Compliant'!C106</f>
        <v>0</v>
      </c>
      <c r="C150" s="355"/>
      <c r="D150" s="354">
        <f>'High Risk Non-Compliant'!D106</f>
        <v>0</v>
      </c>
      <c r="E150" s="354"/>
      <c r="F150" s="354"/>
      <c r="G150" s="147" t="e">
        <f>IF(VLOOKUP(A150,'High Risk Non-Compliant'!B:K,$H$48,FALSE)=0,"N/A",VLOOKUP(A150,'High Risk Non-Compliant'!B:K,$H$48,FALSE))</f>
        <v>#REF!</v>
      </c>
      <c r="H150" s="147" t="e">
        <f>IF(G150="N/A","N/A",VLOOKUP(G150,'Crosswalk Detail'!A:B,2,FALSE))</f>
        <v>#REF!</v>
      </c>
    </row>
    <row r="151" spans="1:8" ht="144" customHeight="1" x14ac:dyDescent="0.2">
      <c r="A151" s="148">
        <f>'High Risk Non-Compliant'!B107</f>
        <v>0</v>
      </c>
      <c r="B151" s="355">
        <f>'High Risk Non-Compliant'!C107</f>
        <v>0</v>
      </c>
      <c r="C151" s="355"/>
      <c r="D151" s="354">
        <f>'High Risk Non-Compliant'!D107</f>
        <v>0</v>
      </c>
      <c r="E151" s="354"/>
      <c r="F151" s="354"/>
      <c r="G151" s="147" t="e">
        <f>IF(VLOOKUP(A151,'High Risk Non-Compliant'!B:K,$H$48,FALSE)=0,"N/A",VLOOKUP(A151,'High Risk Non-Compliant'!B:K,$H$48,FALSE))</f>
        <v>#REF!</v>
      </c>
      <c r="H151" s="147" t="e">
        <f>IF(G151="N/A","N/A",VLOOKUP(G151,'Crosswalk Detail'!A:B,2,FALSE))</f>
        <v>#REF!</v>
      </c>
    </row>
    <row r="152" spans="1:8" ht="144" customHeight="1" x14ac:dyDescent="0.2">
      <c r="A152" s="148">
        <f>'High Risk Non-Compliant'!B108</f>
        <v>0</v>
      </c>
      <c r="B152" s="355">
        <f>'High Risk Non-Compliant'!C108</f>
        <v>0</v>
      </c>
      <c r="C152" s="355"/>
      <c r="D152" s="354">
        <f>'High Risk Non-Compliant'!D108</f>
        <v>0</v>
      </c>
      <c r="E152" s="354"/>
      <c r="F152" s="354"/>
      <c r="G152" s="147" t="e">
        <f>IF(VLOOKUP(A152,'High Risk Non-Compliant'!B:K,$H$48,FALSE)=0,"N/A",VLOOKUP(A152,'High Risk Non-Compliant'!B:K,$H$48,FALSE))</f>
        <v>#REF!</v>
      </c>
      <c r="H152" s="147" t="e">
        <f>IF(G152="N/A","N/A",VLOOKUP(G152,'Crosswalk Detail'!A:B,2,FALSE))</f>
        <v>#REF!</v>
      </c>
    </row>
    <row r="153" spans="1:8" ht="144" customHeight="1" x14ac:dyDescent="0.2">
      <c r="A153" s="148">
        <f>'High Risk Non-Compliant'!B109</f>
        <v>0</v>
      </c>
      <c r="B153" s="355">
        <f>'High Risk Non-Compliant'!C109</f>
        <v>0</v>
      </c>
      <c r="C153" s="355"/>
      <c r="D153" s="354">
        <f>'High Risk Non-Compliant'!D109</f>
        <v>0</v>
      </c>
      <c r="E153" s="354"/>
      <c r="F153" s="354"/>
      <c r="G153" s="147" t="e">
        <f>IF(VLOOKUP(A153,'High Risk Non-Compliant'!B:K,$H$48,FALSE)=0,"N/A",VLOOKUP(A153,'High Risk Non-Compliant'!B:K,$H$48,FALSE))</f>
        <v>#REF!</v>
      </c>
      <c r="H153" s="147" t="e">
        <f>IF(G153="N/A","N/A",VLOOKUP(G153,'Crosswalk Detail'!A:B,2,FALSE))</f>
        <v>#REF!</v>
      </c>
    </row>
    <row r="154" spans="1:8" ht="144" customHeight="1" x14ac:dyDescent="0.2">
      <c r="A154" s="148">
        <f>'High Risk Non-Compliant'!B110</f>
        <v>0</v>
      </c>
      <c r="B154" s="355">
        <f>'High Risk Non-Compliant'!C110</f>
        <v>0</v>
      </c>
      <c r="C154" s="355"/>
      <c r="D154" s="354">
        <f>'High Risk Non-Compliant'!D110</f>
        <v>0</v>
      </c>
      <c r="E154" s="354"/>
      <c r="F154" s="354"/>
      <c r="G154" s="147" t="e">
        <f>IF(VLOOKUP(A154,'High Risk Non-Compliant'!B:K,$H$48,FALSE)=0,"N/A",VLOOKUP(A154,'High Risk Non-Compliant'!B:K,$H$48,FALSE))</f>
        <v>#REF!</v>
      </c>
      <c r="H154" s="147" t="e">
        <f>IF(G154="N/A","N/A",VLOOKUP(G154,'Crosswalk Detail'!A:B,2,FALSE))</f>
        <v>#REF!</v>
      </c>
    </row>
    <row r="155" spans="1:8" ht="144" customHeight="1" x14ac:dyDescent="0.2">
      <c r="A155" s="148">
        <f>'High Risk Non-Compliant'!B111</f>
        <v>0</v>
      </c>
      <c r="B155" s="355">
        <f>'High Risk Non-Compliant'!C111</f>
        <v>0</v>
      </c>
      <c r="C155" s="355"/>
      <c r="D155" s="354">
        <f>'High Risk Non-Compliant'!D111</f>
        <v>0</v>
      </c>
      <c r="E155" s="354"/>
      <c r="F155" s="354"/>
      <c r="G155" s="147" t="e">
        <f>IF(VLOOKUP(A155,'High Risk Non-Compliant'!B:K,$H$48,FALSE)=0,"N/A",VLOOKUP(A155,'High Risk Non-Compliant'!B:K,$H$48,FALSE))</f>
        <v>#REF!</v>
      </c>
      <c r="H155" s="147" t="e">
        <f>IF(G155="N/A","N/A",VLOOKUP(G155,'Crosswalk Detail'!A:B,2,FALSE))</f>
        <v>#REF!</v>
      </c>
    </row>
    <row r="156" spans="1:8" ht="144" customHeight="1" x14ac:dyDescent="0.2">
      <c r="A156" s="148">
        <f>'High Risk Non-Compliant'!B112</f>
        <v>0</v>
      </c>
      <c r="B156" s="355">
        <f>'High Risk Non-Compliant'!C112</f>
        <v>0</v>
      </c>
      <c r="C156" s="355"/>
      <c r="D156" s="354">
        <f>'High Risk Non-Compliant'!D112</f>
        <v>0</v>
      </c>
      <c r="E156" s="354"/>
      <c r="F156" s="354"/>
      <c r="G156" s="147" t="e">
        <f>IF(VLOOKUP(A156,'High Risk Non-Compliant'!B:K,$H$48,FALSE)=0,"N/A",VLOOKUP(A156,'High Risk Non-Compliant'!B:K,$H$48,FALSE))</f>
        <v>#REF!</v>
      </c>
      <c r="H156" s="147" t="e">
        <f>IF(G156="N/A","N/A",VLOOKUP(G156,'Crosswalk Detail'!A:B,2,FALSE))</f>
        <v>#REF!</v>
      </c>
    </row>
    <row r="157" spans="1:8" ht="144" customHeight="1" x14ac:dyDescent="0.2">
      <c r="A157" s="148">
        <f>'High Risk Non-Compliant'!B113</f>
        <v>0</v>
      </c>
      <c r="B157" s="355">
        <f>'High Risk Non-Compliant'!C113</f>
        <v>0</v>
      </c>
      <c r="C157" s="355"/>
      <c r="D157" s="354">
        <f>'High Risk Non-Compliant'!D113</f>
        <v>0</v>
      </c>
      <c r="E157" s="354"/>
      <c r="F157" s="354"/>
      <c r="G157" s="147" t="e">
        <f>IF(VLOOKUP(A157,'High Risk Non-Compliant'!B:K,$H$48,FALSE)=0,"N/A",VLOOKUP(A157,'High Risk Non-Compliant'!B:K,$H$48,FALSE))</f>
        <v>#REF!</v>
      </c>
      <c r="H157" s="147" t="e">
        <f>IF(G157="N/A","N/A",VLOOKUP(G157,'Crosswalk Detail'!A:B,2,FALSE))</f>
        <v>#REF!</v>
      </c>
    </row>
    <row r="158" spans="1:8" ht="144" customHeight="1" x14ac:dyDescent="0.2">
      <c r="A158" s="148">
        <f>'High Risk Non-Compliant'!B114</f>
        <v>0</v>
      </c>
      <c r="B158" s="355">
        <f>'High Risk Non-Compliant'!C114</f>
        <v>0</v>
      </c>
      <c r="C158" s="355"/>
      <c r="D158" s="354">
        <f>'High Risk Non-Compliant'!D114</f>
        <v>0</v>
      </c>
      <c r="E158" s="354"/>
      <c r="F158" s="354"/>
      <c r="G158" s="147" t="e">
        <f>IF(VLOOKUP(A158,'High Risk Non-Compliant'!B:K,$H$48,FALSE)=0,"N/A",VLOOKUP(A158,'High Risk Non-Compliant'!B:K,$H$48,FALSE))</f>
        <v>#REF!</v>
      </c>
      <c r="H158" s="147" t="e">
        <f>IF(G158="N/A","N/A",VLOOKUP(G158,'Crosswalk Detail'!A:B,2,FALSE))</f>
        <v>#REF!</v>
      </c>
    </row>
    <row r="159" spans="1:8" ht="144" customHeight="1" x14ac:dyDescent="0.2">
      <c r="A159" s="148">
        <f>'High Risk Non-Compliant'!B115</f>
        <v>0</v>
      </c>
      <c r="B159" s="355">
        <f>'High Risk Non-Compliant'!C115</f>
        <v>0</v>
      </c>
      <c r="C159" s="355"/>
      <c r="D159" s="354">
        <f>'High Risk Non-Compliant'!D115</f>
        <v>0</v>
      </c>
      <c r="E159" s="354"/>
      <c r="F159" s="354"/>
      <c r="G159" s="147" t="e">
        <f>IF(VLOOKUP(A159,'High Risk Non-Compliant'!B:K,$H$48,FALSE)=0,"N/A",VLOOKUP(A159,'High Risk Non-Compliant'!B:K,$H$48,FALSE))</f>
        <v>#REF!</v>
      </c>
      <c r="H159" s="147" t="e">
        <f>IF(G159="N/A","N/A",VLOOKUP(G159,'Crosswalk Detail'!A:B,2,FALSE))</f>
        <v>#REF!</v>
      </c>
    </row>
    <row r="160" spans="1:8" ht="144" customHeight="1" x14ac:dyDescent="0.2">
      <c r="A160" s="148">
        <f>'High Risk Non-Compliant'!B116</f>
        <v>0</v>
      </c>
      <c r="B160" s="355">
        <f>'High Risk Non-Compliant'!C116</f>
        <v>0</v>
      </c>
      <c r="C160" s="355"/>
      <c r="D160" s="354">
        <f>'High Risk Non-Compliant'!D116</f>
        <v>0</v>
      </c>
      <c r="E160" s="354"/>
      <c r="F160" s="354"/>
      <c r="G160" s="147" t="e">
        <f>IF(VLOOKUP(A160,'High Risk Non-Compliant'!B:K,$H$48,FALSE)=0,"N/A",VLOOKUP(A160,'High Risk Non-Compliant'!B:K,$H$48,FALSE))</f>
        <v>#REF!</v>
      </c>
      <c r="H160" s="147" t="e">
        <f>IF(G160="N/A","N/A",VLOOKUP(G160,'Crosswalk Detail'!A:B,2,FALSE))</f>
        <v>#REF!</v>
      </c>
    </row>
    <row r="161" spans="1:8" ht="144" customHeight="1" x14ac:dyDescent="0.2">
      <c r="A161" s="148">
        <f>'High Risk Non-Compliant'!B117</f>
        <v>0</v>
      </c>
      <c r="B161" s="355">
        <f>'High Risk Non-Compliant'!C117</f>
        <v>0</v>
      </c>
      <c r="C161" s="355"/>
      <c r="D161" s="354">
        <f>'High Risk Non-Compliant'!D117</f>
        <v>0</v>
      </c>
      <c r="E161" s="354"/>
      <c r="F161" s="354"/>
      <c r="G161" s="147" t="e">
        <f>IF(VLOOKUP(A161,'High Risk Non-Compliant'!B:K,$H$48,FALSE)=0,"N/A",VLOOKUP(A161,'High Risk Non-Compliant'!B:K,$H$48,FALSE))</f>
        <v>#REF!</v>
      </c>
      <c r="H161" s="147" t="e">
        <f>IF(G161="N/A","N/A",VLOOKUP(G161,'Crosswalk Detail'!A:B,2,FALSE))</f>
        <v>#REF!</v>
      </c>
    </row>
    <row r="162" spans="1:8" ht="144" customHeight="1" x14ac:dyDescent="0.2">
      <c r="A162" s="148">
        <f>'High Risk Non-Compliant'!B118</f>
        <v>0</v>
      </c>
      <c r="B162" s="355">
        <f>'High Risk Non-Compliant'!C118</f>
        <v>0</v>
      </c>
      <c r="C162" s="355"/>
      <c r="D162" s="354">
        <f>'High Risk Non-Compliant'!D118</f>
        <v>0</v>
      </c>
      <c r="E162" s="354"/>
      <c r="F162" s="354"/>
      <c r="G162" s="147" t="e">
        <f>IF(VLOOKUP(A162,'High Risk Non-Compliant'!B:K,$H$48,FALSE)=0,"N/A",VLOOKUP(A162,'High Risk Non-Compliant'!B:K,$H$48,FALSE))</f>
        <v>#REF!</v>
      </c>
      <c r="H162" s="147" t="e">
        <f>IF(G162="N/A","N/A",VLOOKUP(G162,'Crosswalk Detail'!A:B,2,FALSE))</f>
        <v>#REF!</v>
      </c>
    </row>
    <row r="163" spans="1:8" ht="144" customHeight="1" x14ac:dyDescent="0.2">
      <c r="A163" s="148">
        <f>'High Risk Non-Compliant'!B119</f>
        <v>0</v>
      </c>
      <c r="B163" s="355">
        <f>'High Risk Non-Compliant'!C119</f>
        <v>0</v>
      </c>
      <c r="C163" s="355"/>
      <c r="D163" s="354">
        <f>'High Risk Non-Compliant'!D119</f>
        <v>0</v>
      </c>
      <c r="E163" s="354"/>
      <c r="F163" s="354"/>
      <c r="G163" s="147" t="e">
        <f>IF(VLOOKUP(A163,'High Risk Non-Compliant'!B:K,$H$48,FALSE)=0,"N/A",VLOOKUP(A163,'High Risk Non-Compliant'!B:K,$H$48,FALSE))</f>
        <v>#REF!</v>
      </c>
      <c r="H163" s="147" t="e">
        <f>IF(G163="N/A","N/A",VLOOKUP(G163,'Crosswalk Detail'!A:B,2,FALSE))</f>
        <v>#REF!</v>
      </c>
    </row>
    <row r="164" spans="1:8" ht="144" customHeight="1" x14ac:dyDescent="0.2">
      <c r="A164" s="148">
        <f>'High Risk Non-Compliant'!B120</f>
        <v>0</v>
      </c>
      <c r="B164" s="355">
        <f>'High Risk Non-Compliant'!C120</f>
        <v>0</v>
      </c>
      <c r="C164" s="355"/>
      <c r="D164" s="354">
        <f>'High Risk Non-Compliant'!D120</f>
        <v>0</v>
      </c>
      <c r="E164" s="354"/>
      <c r="F164" s="354"/>
      <c r="G164" s="147" t="e">
        <f>IF(VLOOKUP(A164,'High Risk Non-Compliant'!B:K,$H$48,FALSE)=0,"N/A",VLOOKUP(A164,'High Risk Non-Compliant'!B:K,$H$48,FALSE))</f>
        <v>#REF!</v>
      </c>
      <c r="H164" s="147" t="e">
        <f>IF(G164="N/A","N/A",VLOOKUP(G164,'Crosswalk Detail'!A:B,2,FALSE))</f>
        <v>#REF!</v>
      </c>
    </row>
    <row r="165" spans="1:8" ht="144" customHeight="1" x14ac:dyDescent="0.2">
      <c r="A165" s="148">
        <f>'High Risk Non-Compliant'!B121</f>
        <v>0</v>
      </c>
      <c r="B165" s="355">
        <f>'High Risk Non-Compliant'!C121</f>
        <v>0</v>
      </c>
      <c r="C165" s="355"/>
      <c r="D165" s="354">
        <f>'High Risk Non-Compliant'!D121</f>
        <v>0</v>
      </c>
      <c r="E165" s="354"/>
      <c r="F165" s="354"/>
      <c r="G165" s="147" t="e">
        <f>IF(VLOOKUP(A165,'High Risk Non-Compliant'!B:K,$H$48,FALSE)=0,"N/A",VLOOKUP(A165,'High Risk Non-Compliant'!B:K,$H$48,FALSE))</f>
        <v>#REF!</v>
      </c>
      <c r="H165" s="147" t="e">
        <f>IF(G165="N/A","N/A",VLOOKUP(G165,'Crosswalk Detail'!A:B,2,FALSE))</f>
        <v>#REF!</v>
      </c>
    </row>
    <row r="166" spans="1:8" ht="144" customHeight="1" x14ac:dyDescent="0.2">
      <c r="A166" s="148">
        <f>'High Risk Non-Compliant'!B122</f>
        <v>0</v>
      </c>
      <c r="B166" s="355">
        <f>'High Risk Non-Compliant'!C122</f>
        <v>0</v>
      </c>
      <c r="C166" s="355"/>
      <c r="D166" s="354">
        <f>'High Risk Non-Compliant'!D122</f>
        <v>0</v>
      </c>
      <c r="E166" s="354"/>
      <c r="F166" s="354"/>
      <c r="G166" s="147" t="e">
        <f>IF(VLOOKUP(A166,'High Risk Non-Compliant'!B:K,$H$48,FALSE)=0,"N/A",VLOOKUP(A166,'High Risk Non-Compliant'!B:K,$H$48,FALSE))</f>
        <v>#REF!</v>
      </c>
      <c r="H166" s="147" t="e">
        <f>IF(G166="N/A","N/A",VLOOKUP(G166,'Crosswalk Detail'!A:B,2,FALSE))</f>
        <v>#REF!</v>
      </c>
    </row>
    <row r="167" spans="1:8" ht="144" customHeight="1" x14ac:dyDescent="0.2">
      <c r="A167" s="148">
        <f>'High Risk Non-Compliant'!B123</f>
        <v>0</v>
      </c>
      <c r="B167" s="355">
        <f>'High Risk Non-Compliant'!C123</f>
        <v>0</v>
      </c>
      <c r="C167" s="355"/>
      <c r="D167" s="354">
        <f>'High Risk Non-Compliant'!D123</f>
        <v>0</v>
      </c>
      <c r="E167" s="354"/>
      <c r="F167" s="354"/>
      <c r="G167" s="147" t="e">
        <f>IF(VLOOKUP(A167,'High Risk Non-Compliant'!B:K,$H$48,FALSE)=0,"N/A",VLOOKUP(A167,'High Risk Non-Compliant'!B:K,$H$48,FALSE))</f>
        <v>#REF!</v>
      </c>
      <c r="H167" s="147" t="e">
        <f>IF(G167="N/A","N/A",VLOOKUP(G167,'Crosswalk Detail'!A:B,2,FALSE))</f>
        <v>#REF!</v>
      </c>
    </row>
    <row r="168" spans="1:8" ht="144" customHeight="1" x14ac:dyDescent="0.2">
      <c r="A168" s="148">
        <f>'High Risk Non-Compliant'!B124</f>
        <v>0</v>
      </c>
      <c r="B168" s="355">
        <f>'High Risk Non-Compliant'!C124</f>
        <v>0</v>
      </c>
      <c r="C168" s="355"/>
      <c r="D168" s="354">
        <f>'High Risk Non-Compliant'!D124</f>
        <v>0</v>
      </c>
      <c r="E168" s="354"/>
      <c r="F168" s="354"/>
      <c r="G168" s="147" t="e">
        <f>IF(VLOOKUP(A168,'High Risk Non-Compliant'!B:K,$H$48,FALSE)=0,"N/A",VLOOKUP(A168,'High Risk Non-Compliant'!B:K,$H$48,FALSE))</f>
        <v>#REF!</v>
      </c>
      <c r="H168" s="147" t="e">
        <f>IF(G168="N/A","N/A",VLOOKUP(G168,'Crosswalk Detail'!A:B,2,FALSE))</f>
        <v>#REF!</v>
      </c>
    </row>
    <row r="169" spans="1:8" ht="144" customHeight="1" x14ac:dyDescent="0.2">
      <c r="A169" s="148">
        <f>'High Risk Non-Compliant'!B125</f>
        <v>0</v>
      </c>
      <c r="B169" s="355">
        <f>'High Risk Non-Compliant'!C125</f>
        <v>0</v>
      </c>
      <c r="C169" s="355"/>
      <c r="D169" s="354">
        <f>'High Risk Non-Compliant'!D125</f>
        <v>0</v>
      </c>
      <c r="E169" s="354"/>
      <c r="F169" s="354"/>
      <c r="G169" s="147" t="e">
        <f>IF(VLOOKUP(A169,'High Risk Non-Compliant'!B:K,$H$48,FALSE)=0,"N/A",VLOOKUP(A169,'High Risk Non-Compliant'!B:K,$H$48,FALSE))</f>
        <v>#REF!</v>
      </c>
      <c r="H169" s="147" t="e">
        <f>IF(G169="N/A","N/A",VLOOKUP(G169,'Crosswalk Detail'!A:B,2,FALSE))</f>
        <v>#REF!</v>
      </c>
    </row>
    <row r="170" spans="1:8" ht="144" customHeight="1" x14ac:dyDescent="0.2">
      <c r="A170" s="148">
        <f>'High Risk Non-Compliant'!B126</f>
        <v>0</v>
      </c>
      <c r="B170" s="355">
        <f>'High Risk Non-Compliant'!C126</f>
        <v>0</v>
      </c>
      <c r="C170" s="355"/>
      <c r="D170" s="354">
        <f>'High Risk Non-Compliant'!D126</f>
        <v>0</v>
      </c>
      <c r="E170" s="354"/>
      <c r="F170" s="354"/>
      <c r="G170" s="147" t="e">
        <f>IF(VLOOKUP(A170,'High Risk Non-Compliant'!B:K,$H$48,FALSE)=0,"N/A",VLOOKUP(A170,'High Risk Non-Compliant'!B:K,$H$48,FALSE))</f>
        <v>#REF!</v>
      </c>
      <c r="H170" s="147" t="e">
        <f>IF(G170="N/A","N/A",VLOOKUP(G170,'Crosswalk Detail'!A:B,2,FALSE))</f>
        <v>#REF!</v>
      </c>
    </row>
    <row r="171" spans="1:8" ht="144" customHeight="1" x14ac:dyDescent="0.2">
      <c r="A171" s="148">
        <f>'High Risk Non-Compliant'!B127</f>
        <v>0</v>
      </c>
      <c r="B171" s="355">
        <f>'High Risk Non-Compliant'!C127</f>
        <v>0</v>
      </c>
      <c r="C171" s="355"/>
      <c r="D171" s="354">
        <f>'High Risk Non-Compliant'!D127</f>
        <v>0</v>
      </c>
      <c r="E171" s="354"/>
      <c r="F171" s="354"/>
      <c r="G171" s="147" t="e">
        <f>IF(VLOOKUP(A171,'High Risk Non-Compliant'!B:K,$H$48,FALSE)=0,"N/A",VLOOKUP(A171,'High Risk Non-Compliant'!B:K,$H$48,FALSE))</f>
        <v>#REF!</v>
      </c>
      <c r="H171" s="147" t="e">
        <f>IF(G171="N/A","N/A",VLOOKUP(G171,'Crosswalk Detail'!A:B,2,FALSE))</f>
        <v>#REF!</v>
      </c>
    </row>
    <row r="172" spans="1:8" ht="144" customHeight="1" x14ac:dyDescent="0.2">
      <c r="A172" s="148">
        <f>'High Risk Non-Compliant'!B128</f>
        <v>0</v>
      </c>
      <c r="B172" s="355">
        <f>'High Risk Non-Compliant'!C128</f>
        <v>0</v>
      </c>
      <c r="C172" s="355"/>
      <c r="D172" s="354">
        <f>'High Risk Non-Compliant'!D128</f>
        <v>0</v>
      </c>
      <c r="E172" s="354"/>
      <c r="F172" s="354"/>
      <c r="G172" s="147" t="e">
        <f>IF(VLOOKUP(A172,'High Risk Non-Compliant'!B:K,$H$48,FALSE)=0,"N/A",VLOOKUP(A172,'High Risk Non-Compliant'!B:K,$H$48,FALSE))</f>
        <v>#REF!</v>
      </c>
      <c r="H172" s="147" t="e">
        <f>IF(G172="N/A","N/A",VLOOKUP(G172,'Crosswalk Detail'!A:B,2,FALSE))</f>
        <v>#REF!</v>
      </c>
    </row>
    <row r="173" spans="1:8" ht="144" customHeight="1" x14ac:dyDescent="0.2">
      <c r="A173" s="148">
        <f>'High Risk Non-Compliant'!B129</f>
        <v>0</v>
      </c>
      <c r="B173" s="355">
        <f>'High Risk Non-Compliant'!C129</f>
        <v>0</v>
      </c>
      <c r="C173" s="355"/>
      <c r="D173" s="354">
        <f>'High Risk Non-Compliant'!D129</f>
        <v>0</v>
      </c>
      <c r="E173" s="354"/>
      <c r="F173" s="354"/>
      <c r="G173" s="147" t="e">
        <f>IF(VLOOKUP(A173,'High Risk Non-Compliant'!B:K,$H$48,FALSE)=0,"N/A",VLOOKUP(A173,'High Risk Non-Compliant'!B:K,$H$48,FALSE))</f>
        <v>#REF!</v>
      </c>
      <c r="H173" s="147" t="e">
        <f>IF(G173="N/A","N/A",VLOOKUP(G173,'Crosswalk Detail'!A:B,2,FALSE))</f>
        <v>#REF!</v>
      </c>
    </row>
    <row r="174" spans="1:8" ht="144" customHeight="1" x14ac:dyDescent="0.2">
      <c r="A174" s="148">
        <f>'High Risk Non-Compliant'!B130</f>
        <v>0</v>
      </c>
      <c r="B174" s="355">
        <f>'High Risk Non-Compliant'!C130</f>
        <v>0</v>
      </c>
      <c r="C174" s="355"/>
      <c r="D174" s="354">
        <f>'High Risk Non-Compliant'!D130</f>
        <v>0</v>
      </c>
      <c r="E174" s="354"/>
      <c r="F174" s="354"/>
      <c r="G174" s="147" t="e">
        <f>IF(VLOOKUP(A174,'High Risk Non-Compliant'!B:K,$H$48,FALSE)=0,"N/A",VLOOKUP(A174,'High Risk Non-Compliant'!B:K,$H$48,FALSE))</f>
        <v>#REF!</v>
      </c>
      <c r="H174" s="147" t="e">
        <f>IF(G174="N/A","N/A",VLOOKUP(G174,'Crosswalk Detail'!A:B,2,FALSE))</f>
        <v>#REF!</v>
      </c>
    </row>
    <row r="175" spans="1:8" ht="144" customHeight="1" x14ac:dyDescent="0.2">
      <c r="A175" s="148">
        <f>'High Risk Non-Compliant'!B131</f>
        <v>0</v>
      </c>
      <c r="B175" s="355">
        <f>'High Risk Non-Compliant'!C131</f>
        <v>0</v>
      </c>
      <c r="C175" s="355"/>
      <c r="D175" s="354">
        <f>'High Risk Non-Compliant'!D131</f>
        <v>0</v>
      </c>
      <c r="E175" s="354"/>
      <c r="F175" s="354"/>
      <c r="G175" s="147" t="e">
        <f>IF(VLOOKUP(A175,'High Risk Non-Compliant'!B:K,$H$48,FALSE)=0,"N/A",VLOOKUP(A175,'High Risk Non-Compliant'!B:K,$H$48,FALSE))</f>
        <v>#REF!</v>
      </c>
      <c r="H175" s="147" t="e">
        <f>IF(G175="N/A","N/A",VLOOKUP(G175,'Crosswalk Detail'!A:B,2,FALSE))</f>
        <v>#REF!</v>
      </c>
    </row>
    <row r="176" spans="1:8" ht="144" customHeight="1" x14ac:dyDescent="0.2">
      <c r="A176" s="148">
        <f>'High Risk Non-Compliant'!B132</f>
        <v>0</v>
      </c>
      <c r="B176" s="355">
        <f>'High Risk Non-Compliant'!C132</f>
        <v>0</v>
      </c>
      <c r="C176" s="355"/>
      <c r="D176" s="354">
        <f>'High Risk Non-Compliant'!D132</f>
        <v>0</v>
      </c>
      <c r="E176" s="354"/>
      <c r="F176" s="354"/>
      <c r="G176" s="147" t="e">
        <f>IF(VLOOKUP(A176,'High Risk Non-Compliant'!B:K,$H$48,FALSE)=0,"N/A",VLOOKUP(A176,'High Risk Non-Compliant'!B:K,$H$48,FALSE))</f>
        <v>#REF!</v>
      </c>
      <c r="H176" s="147" t="e">
        <f>IF(G176="N/A","N/A",VLOOKUP(G176,'Crosswalk Detail'!A:B,2,FALSE))</f>
        <v>#REF!</v>
      </c>
    </row>
    <row r="177" spans="1:8" ht="144" customHeight="1" x14ac:dyDescent="0.2">
      <c r="A177" s="148">
        <f>'High Risk Non-Compliant'!B133</f>
        <v>0</v>
      </c>
      <c r="B177" s="355">
        <f>'High Risk Non-Compliant'!C133</f>
        <v>0</v>
      </c>
      <c r="C177" s="355"/>
      <c r="D177" s="354">
        <f>'High Risk Non-Compliant'!D133</f>
        <v>0</v>
      </c>
      <c r="E177" s="354"/>
      <c r="F177" s="354"/>
      <c r="G177" s="147" t="e">
        <f>IF(VLOOKUP(A177,'High Risk Non-Compliant'!B:K,$H$48,FALSE)=0,"N/A",VLOOKUP(A177,'High Risk Non-Compliant'!B:K,$H$48,FALSE))</f>
        <v>#REF!</v>
      </c>
      <c r="H177" s="147" t="e">
        <f>IF(G177="N/A","N/A",VLOOKUP(G177,'Crosswalk Detail'!A:B,2,FALSE))</f>
        <v>#REF!</v>
      </c>
    </row>
    <row r="178" spans="1:8" ht="144" customHeight="1" x14ac:dyDescent="0.2">
      <c r="A178" s="148">
        <f>'High Risk Non-Compliant'!B134</f>
        <v>0</v>
      </c>
      <c r="B178" s="355">
        <f>'High Risk Non-Compliant'!C134</f>
        <v>0</v>
      </c>
      <c r="C178" s="355"/>
      <c r="D178" s="354">
        <f>'High Risk Non-Compliant'!D134</f>
        <v>0</v>
      </c>
      <c r="E178" s="354"/>
      <c r="F178" s="354"/>
      <c r="G178" s="147" t="e">
        <f>IF(VLOOKUP(A178,'High Risk Non-Compliant'!B:K,$H$48,FALSE)=0,"N/A",VLOOKUP(A178,'High Risk Non-Compliant'!B:K,$H$48,FALSE))</f>
        <v>#REF!</v>
      </c>
      <c r="H178" s="147" t="e">
        <f>IF(G178="N/A","N/A",VLOOKUP(G178,'Crosswalk Detail'!A:B,2,FALSE))</f>
        <v>#REF!</v>
      </c>
    </row>
    <row r="179" spans="1:8" ht="144" customHeight="1" x14ac:dyDescent="0.2">
      <c r="A179" s="148">
        <f>'High Risk Non-Compliant'!B135</f>
        <v>0</v>
      </c>
      <c r="B179" s="355">
        <f>'High Risk Non-Compliant'!C135</f>
        <v>0</v>
      </c>
      <c r="C179" s="355"/>
      <c r="D179" s="354">
        <f>'High Risk Non-Compliant'!D135</f>
        <v>0</v>
      </c>
      <c r="E179" s="354"/>
      <c r="F179" s="354"/>
      <c r="G179" s="147" t="e">
        <f>IF(VLOOKUP(A179,'High Risk Non-Compliant'!B:K,$H$48,FALSE)=0,"N/A",VLOOKUP(A179,'High Risk Non-Compliant'!B:K,$H$48,FALSE))</f>
        <v>#REF!</v>
      </c>
      <c r="H179" s="147" t="e">
        <f>IF(G179="N/A","N/A",VLOOKUP(G179,'Crosswalk Detail'!A:B,2,FALSE))</f>
        <v>#REF!</v>
      </c>
    </row>
    <row r="180" spans="1:8" ht="144" customHeight="1" x14ac:dyDescent="0.2">
      <c r="A180" s="148">
        <f>'High Risk Non-Compliant'!B136</f>
        <v>0</v>
      </c>
      <c r="B180" s="355">
        <f>'High Risk Non-Compliant'!C136</f>
        <v>0</v>
      </c>
      <c r="C180" s="355"/>
      <c r="D180" s="354">
        <f>'High Risk Non-Compliant'!D136</f>
        <v>0</v>
      </c>
      <c r="E180" s="354"/>
      <c r="F180" s="354"/>
      <c r="G180" s="147" t="e">
        <f>IF(VLOOKUP(A180,'High Risk Non-Compliant'!B:K,$H$48,FALSE)=0,"N/A",VLOOKUP(A180,'High Risk Non-Compliant'!B:K,$H$48,FALSE))</f>
        <v>#REF!</v>
      </c>
      <c r="H180" s="147" t="e">
        <f>IF(G180="N/A","N/A",VLOOKUP(G180,'Crosswalk Detail'!A:B,2,FALSE))</f>
        <v>#REF!</v>
      </c>
    </row>
    <row r="181" spans="1:8" ht="144" customHeight="1" x14ac:dyDescent="0.2">
      <c r="A181" s="148">
        <f>'High Risk Non-Compliant'!B137</f>
        <v>0</v>
      </c>
      <c r="B181" s="355">
        <f>'High Risk Non-Compliant'!C137</f>
        <v>0</v>
      </c>
      <c r="C181" s="355"/>
      <c r="D181" s="354">
        <f>'High Risk Non-Compliant'!D137</f>
        <v>0</v>
      </c>
      <c r="E181" s="354"/>
      <c r="F181" s="354"/>
      <c r="G181" s="147" t="e">
        <f>IF(VLOOKUP(A181,'High Risk Non-Compliant'!B:K,$H$48,FALSE)=0,"N/A",VLOOKUP(A181,'High Risk Non-Compliant'!B:K,$H$48,FALSE))</f>
        <v>#REF!</v>
      </c>
      <c r="H181" s="147" t="e">
        <f>IF(G181="N/A","N/A",VLOOKUP(G181,'Crosswalk Detail'!A:B,2,FALSE))</f>
        <v>#REF!</v>
      </c>
    </row>
    <row r="182" spans="1:8" ht="144" customHeight="1" x14ac:dyDescent="0.2">
      <c r="A182" s="148">
        <f>'High Risk Non-Compliant'!B138</f>
        <v>0</v>
      </c>
      <c r="B182" s="355">
        <f>'High Risk Non-Compliant'!C138</f>
        <v>0</v>
      </c>
      <c r="C182" s="355"/>
      <c r="D182" s="354">
        <f>'High Risk Non-Compliant'!D138</f>
        <v>0</v>
      </c>
      <c r="E182" s="354"/>
      <c r="F182" s="354"/>
      <c r="G182" s="147" t="e">
        <f>IF(VLOOKUP(A182,'High Risk Non-Compliant'!B:K,$H$48,FALSE)=0,"N/A",VLOOKUP(A182,'High Risk Non-Compliant'!B:K,$H$48,FALSE))</f>
        <v>#REF!</v>
      </c>
      <c r="H182" s="147" t="e">
        <f>IF(G182="N/A","N/A",VLOOKUP(G182,'Crosswalk Detail'!A:B,2,FALSE))</f>
        <v>#REF!</v>
      </c>
    </row>
    <row r="183" spans="1:8" ht="144" customHeight="1" x14ac:dyDescent="0.2">
      <c r="A183" s="148">
        <f>'High Risk Non-Compliant'!B139</f>
        <v>0</v>
      </c>
      <c r="B183" s="355">
        <f>'High Risk Non-Compliant'!C139</f>
        <v>0</v>
      </c>
      <c r="C183" s="355"/>
      <c r="D183" s="354">
        <f>'High Risk Non-Compliant'!D139</f>
        <v>0</v>
      </c>
      <c r="E183" s="354"/>
      <c r="F183" s="354"/>
      <c r="G183" s="147" t="e">
        <f>IF(VLOOKUP(A183,'High Risk Non-Compliant'!B:K,$H$48,FALSE)=0,"N/A",VLOOKUP(A183,'High Risk Non-Compliant'!B:K,$H$48,FALSE))</f>
        <v>#REF!</v>
      </c>
      <c r="H183" s="147" t="e">
        <f>IF(G183="N/A","N/A",VLOOKUP(G183,'Crosswalk Detail'!A:B,2,FALSE))</f>
        <v>#REF!</v>
      </c>
    </row>
    <row r="184" spans="1:8" ht="144" customHeight="1" x14ac:dyDescent="0.2">
      <c r="A184" s="148">
        <f>'High Risk Non-Compliant'!B140</f>
        <v>0</v>
      </c>
      <c r="B184" s="355">
        <f>'High Risk Non-Compliant'!C140</f>
        <v>0</v>
      </c>
      <c r="C184" s="355"/>
      <c r="D184" s="354">
        <f>'High Risk Non-Compliant'!D140</f>
        <v>0</v>
      </c>
      <c r="E184" s="354"/>
      <c r="F184" s="354"/>
      <c r="G184" s="147" t="e">
        <f>IF(VLOOKUP(A184,'High Risk Non-Compliant'!B:K,$H$48,FALSE)=0,"N/A",VLOOKUP(A184,'High Risk Non-Compliant'!B:K,$H$48,FALSE))</f>
        <v>#REF!</v>
      </c>
      <c r="H184" s="147" t="e">
        <f>IF(G184="N/A","N/A",VLOOKUP(G184,'Crosswalk Detail'!A:B,2,FALSE))</f>
        <v>#REF!</v>
      </c>
    </row>
    <row r="185" spans="1:8" ht="144" customHeight="1" x14ac:dyDescent="0.2">
      <c r="A185" s="148">
        <f>'High Risk Non-Compliant'!B141</f>
        <v>0</v>
      </c>
      <c r="B185" s="355">
        <f>'High Risk Non-Compliant'!C141</f>
        <v>0</v>
      </c>
      <c r="C185" s="355"/>
      <c r="D185" s="354">
        <f>'High Risk Non-Compliant'!D141</f>
        <v>0</v>
      </c>
      <c r="E185" s="354"/>
      <c r="F185" s="354"/>
      <c r="G185" s="147" t="e">
        <f>IF(VLOOKUP(A185,'High Risk Non-Compliant'!B:K,$H$48,FALSE)=0,"N/A",VLOOKUP(A185,'High Risk Non-Compliant'!B:K,$H$48,FALSE))</f>
        <v>#REF!</v>
      </c>
      <c r="H185" s="147" t="e">
        <f>IF(G185="N/A","N/A",VLOOKUP(G185,'Crosswalk Detail'!A:B,2,FALSE))</f>
        <v>#REF!</v>
      </c>
    </row>
    <row r="186" spans="1:8" ht="144" customHeight="1" x14ac:dyDescent="0.2">
      <c r="A186" s="148">
        <f>'High Risk Non-Compliant'!B142</f>
        <v>0</v>
      </c>
      <c r="B186" s="355">
        <f>'High Risk Non-Compliant'!C142</f>
        <v>0</v>
      </c>
      <c r="C186" s="355"/>
      <c r="D186" s="354">
        <f>'High Risk Non-Compliant'!D142</f>
        <v>0</v>
      </c>
      <c r="E186" s="354"/>
      <c r="F186" s="354"/>
      <c r="G186" s="147" t="e">
        <f>IF(VLOOKUP(A186,'High Risk Non-Compliant'!B:K,$H$48,FALSE)=0,"N/A",VLOOKUP(A186,'High Risk Non-Compliant'!B:K,$H$48,FALSE))</f>
        <v>#REF!</v>
      </c>
      <c r="H186" s="147" t="e">
        <f>IF(G186="N/A","N/A",VLOOKUP(G186,'Crosswalk Detail'!A:B,2,FALSE))</f>
        <v>#REF!</v>
      </c>
    </row>
    <row r="187" spans="1:8" ht="144" customHeight="1" x14ac:dyDescent="0.2">
      <c r="A187" s="148">
        <f>'High Risk Non-Compliant'!B143</f>
        <v>0</v>
      </c>
      <c r="B187" s="355">
        <f>'High Risk Non-Compliant'!C143</f>
        <v>0</v>
      </c>
      <c r="C187" s="355"/>
      <c r="D187" s="354">
        <f>'High Risk Non-Compliant'!D143</f>
        <v>0</v>
      </c>
      <c r="E187" s="354"/>
      <c r="F187" s="354"/>
      <c r="G187" s="147" t="e">
        <f>IF(VLOOKUP(A187,'High Risk Non-Compliant'!B:K,$H$48,FALSE)=0,"N/A",VLOOKUP(A187,'High Risk Non-Compliant'!B:K,$H$48,FALSE))</f>
        <v>#REF!</v>
      </c>
      <c r="H187" s="147" t="e">
        <f>IF(G187="N/A","N/A",VLOOKUP(G187,'Crosswalk Detail'!A:B,2,FALSE))</f>
        <v>#REF!</v>
      </c>
    </row>
    <row r="188" spans="1:8" ht="144" customHeight="1" x14ac:dyDescent="0.2">
      <c r="A188" s="148">
        <f>'High Risk Non-Compliant'!B144</f>
        <v>0</v>
      </c>
      <c r="B188" s="355">
        <f>'High Risk Non-Compliant'!C144</f>
        <v>0</v>
      </c>
      <c r="C188" s="355"/>
      <c r="D188" s="354">
        <f>'High Risk Non-Compliant'!D144</f>
        <v>0</v>
      </c>
      <c r="E188" s="354"/>
      <c r="F188" s="354"/>
      <c r="G188" s="147" t="e">
        <f>IF(VLOOKUP(A188,'High Risk Non-Compliant'!B:K,$H$48,FALSE)=0,"N/A",VLOOKUP(A188,'High Risk Non-Compliant'!B:K,$H$48,FALSE))</f>
        <v>#REF!</v>
      </c>
      <c r="H188" s="147" t="e">
        <f>IF(G188="N/A","N/A",VLOOKUP(G188,'Crosswalk Detail'!A:B,2,FALSE))</f>
        <v>#REF!</v>
      </c>
    </row>
    <row r="189" spans="1:8" ht="144" customHeight="1" x14ac:dyDescent="0.2">
      <c r="A189" s="148">
        <f>'High Risk Non-Compliant'!B145</f>
        <v>0</v>
      </c>
      <c r="B189" s="355">
        <f>'High Risk Non-Compliant'!C145</f>
        <v>0</v>
      </c>
      <c r="C189" s="355"/>
      <c r="D189" s="354">
        <f>'High Risk Non-Compliant'!D145</f>
        <v>0</v>
      </c>
      <c r="E189" s="354"/>
      <c r="F189" s="354"/>
      <c r="G189" s="147" t="e">
        <f>IF(VLOOKUP(A189,'High Risk Non-Compliant'!B:K,$H$48,FALSE)=0,"N/A",VLOOKUP(A189,'High Risk Non-Compliant'!B:K,$H$48,FALSE))</f>
        <v>#REF!</v>
      </c>
      <c r="H189" s="147" t="e">
        <f>IF(G189="N/A","N/A",VLOOKUP(G189,'Crosswalk Detail'!A:B,2,FALSE))</f>
        <v>#REF!</v>
      </c>
    </row>
    <row r="190" spans="1:8" ht="144" customHeight="1" x14ac:dyDescent="0.2">
      <c r="A190" s="148">
        <f>'High Risk Non-Compliant'!B146</f>
        <v>0</v>
      </c>
      <c r="B190" s="355">
        <f>'High Risk Non-Compliant'!C146</f>
        <v>0</v>
      </c>
      <c r="C190" s="355"/>
      <c r="D190" s="354">
        <f>'High Risk Non-Compliant'!D146</f>
        <v>0</v>
      </c>
      <c r="E190" s="354"/>
      <c r="F190" s="354"/>
      <c r="G190" s="147" t="e">
        <f>IF(VLOOKUP(A190,'High Risk Non-Compliant'!B:K,$H$48,FALSE)=0,"N/A",VLOOKUP(A190,'High Risk Non-Compliant'!B:K,$H$48,FALSE))</f>
        <v>#REF!</v>
      </c>
      <c r="H190" s="147" t="e">
        <f>IF(G190="N/A","N/A",VLOOKUP(G190,'Crosswalk Detail'!A:B,2,FALSE))</f>
        <v>#REF!</v>
      </c>
    </row>
    <row r="191" spans="1:8" ht="144" customHeight="1" x14ac:dyDescent="0.2">
      <c r="A191" s="148">
        <f>'High Risk Non-Compliant'!B147</f>
        <v>0</v>
      </c>
      <c r="B191" s="355">
        <f>'High Risk Non-Compliant'!C147</f>
        <v>0</v>
      </c>
      <c r="C191" s="355"/>
      <c r="D191" s="354">
        <f>'High Risk Non-Compliant'!D147</f>
        <v>0</v>
      </c>
      <c r="E191" s="354"/>
      <c r="F191" s="354"/>
      <c r="G191" s="147" t="e">
        <f>IF(VLOOKUP(A191,'High Risk Non-Compliant'!B:K,$H$48,FALSE)=0,"N/A",VLOOKUP(A191,'High Risk Non-Compliant'!B:K,$H$48,FALSE))</f>
        <v>#REF!</v>
      </c>
      <c r="H191" s="147" t="e">
        <f>IF(G191="N/A","N/A",VLOOKUP(G191,'Crosswalk Detail'!A:B,2,FALSE))</f>
        <v>#REF!</v>
      </c>
    </row>
    <row r="192" spans="1:8" ht="144" customHeight="1" x14ac:dyDescent="0.2">
      <c r="A192" s="148">
        <f>'High Risk Non-Compliant'!B148</f>
        <v>0</v>
      </c>
      <c r="B192" s="355">
        <f>'High Risk Non-Compliant'!C148</f>
        <v>0</v>
      </c>
      <c r="C192" s="355"/>
      <c r="D192" s="354">
        <f>'High Risk Non-Compliant'!D148</f>
        <v>0</v>
      </c>
      <c r="E192" s="354"/>
      <c r="F192" s="354"/>
      <c r="G192" s="147" t="e">
        <f>IF(VLOOKUP(A192,'High Risk Non-Compliant'!B:K,$H$48,FALSE)=0,"N/A",VLOOKUP(A192,'High Risk Non-Compliant'!B:K,$H$48,FALSE))</f>
        <v>#REF!</v>
      </c>
      <c r="H192" s="147" t="e">
        <f>IF(G192="N/A","N/A",VLOOKUP(G192,'Crosswalk Detail'!A:B,2,FALSE))</f>
        <v>#REF!</v>
      </c>
    </row>
    <row r="193" spans="1:8" ht="144" customHeight="1" x14ac:dyDescent="0.2">
      <c r="A193" s="148">
        <f>'High Risk Non-Compliant'!B149</f>
        <v>0</v>
      </c>
      <c r="B193" s="355">
        <f>'High Risk Non-Compliant'!C149</f>
        <v>0</v>
      </c>
      <c r="C193" s="355"/>
      <c r="D193" s="354">
        <f>'High Risk Non-Compliant'!D149</f>
        <v>0</v>
      </c>
      <c r="E193" s="354"/>
      <c r="F193" s="354"/>
      <c r="G193" s="147" t="e">
        <f>IF(VLOOKUP(A193,'High Risk Non-Compliant'!B:K,$H$48,FALSE)=0,"N/A",VLOOKUP(A193,'High Risk Non-Compliant'!B:K,$H$48,FALSE))</f>
        <v>#REF!</v>
      </c>
      <c r="H193" s="147" t="e">
        <f>IF(G193="N/A","N/A",VLOOKUP(G193,'Crosswalk Detail'!A:B,2,FALSE))</f>
        <v>#REF!</v>
      </c>
    </row>
    <row r="194" spans="1:8" ht="144" customHeight="1" x14ac:dyDescent="0.2">
      <c r="A194" s="148">
        <f>'High Risk Non-Compliant'!B150</f>
        <v>0</v>
      </c>
      <c r="B194" s="355">
        <f>'High Risk Non-Compliant'!C150</f>
        <v>0</v>
      </c>
      <c r="C194" s="355"/>
      <c r="D194" s="354">
        <f>'High Risk Non-Compliant'!D150</f>
        <v>0</v>
      </c>
      <c r="E194" s="354"/>
      <c r="F194" s="354"/>
      <c r="G194" s="147" t="e">
        <f>IF(VLOOKUP(A194,'High Risk Non-Compliant'!B:K,$H$48,FALSE)=0,"N/A",VLOOKUP(A194,'High Risk Non-Compliant'!B:K,$H$48,FALSE))</f>
        <v>#REF!</v>
      </c>
      <c r="H194" s="147" t="e">
        <f>IF(G194="N/A","N/A",VLOOKUP(G194,'Crosswalk Detail'!A:B,2,FALSE))</f>
        <v>#REF!</v>
      </c>
    </row>
    <row r="195" spans="1:8" ht="144" customHeight="1" x14ac:dyDescent="0.2">
      <c r="A195" s="148">
        <f>'High Risk Non-Compliant'!B151</f>
        <v>0</v>
      </c>
      <c r="B195" s="355">
        <f>'High Risk Non-Compliant'!C151</f>
        <v>0</v>
      </c>
      <c r="C195" s="355"/>
      <c r="D195" s="354">
        <f>'High Risk Non-Compliant'!D151</f>
        <v>0</v>
      </c>
      <c r="E195" s="354"/>
      <c r="F195" s="354"/>
      <c r="G195" s="147" t="e">
        <f>IF(VLOOKUP(A195,'High Risk Non-Compliant'!B:K,$H$48,FALSE)=0,"N/A",VLOOKUP(A195,'High Risk Non-Compliant'!B:K,$H$48,FALSE))</f>
        <v>#REF!</v>
      </c>
      <c r="H195" s="147" t="e">
        <f>IF(G195="N/A","N/A",VLOOKUP(G195,'Crosswalk Detail'!A:B,2,FALSE))</f>
        <v>#REF!</v>
      </c>
    </row>
    <row r="196" spans="1:8" ht="144" customHeight="1" x14ac:dyDescent="0.2">
      <c r="A196" s="148">
        <f>'High Risk Non-Compliant'!B152</f>
        <v>0</v>
      </c>
      <c r="B196" s="355">
        <f>'High Risk Non-Compliant'!C152</f>
        <v>0</v>
      </c>
      <c r="C196" s="355"/>
      <c r="D196" s="354">
        <f>'High Risk Non-Compliant'!D152</f>
        <v>0</v>
      </c>
      <c r="E196" s="354"/>
      <c r="F196" s="354"/>
      <c r="G196" s="147" t="e">
        <f>IF(VLOOKUP(A196,'High Risk Non-Compliant'!B:K,$H$48,FALSE)=0,"N/A",VLOOKUP(A196,'High Risk Non-Compliant'!B:K,$H$48,FALSE))</f>
        <v>#REF!</v>
      </c>
      <c r="H196" s="147" t="e">
        <f>IF(G196="N/A","N/A",VLOOKUP(G196,'Crosswalk Detail'!A:B,2,FALSE))</f>
        <v>#REF!</v>
      </c>
    </row>
    <row r="197" spans="1:8" ht="144" customHeight="1" x14ac:dyDescent="0.2">
      <c r="A197" s="148">
        <f>'High Risk Non-Compliant'!B153</f>
        <v>0</v>
      </c>
      <c r="B197" s="355">
        <f>'High Risk Non-Compliant'!C153</f>
        <v>0</v>
      </c>
      <c r="C197" s="355"/>
      <c r="D197" s="354">
        <f>'High Risk Non-Compliant'!D153</f>
        <v>0</v>
      </c>
      <c r="E197" s="354"/>
      <c r="F197" s="354"/>
      <c r="G197" s="147" t="e">
        <f>IF(VLOOKUP(A197,'High Risk Non-Compliant'!B:K,$H$48,FALSE)=0,"N/A",VLOOKUP(A197,'High Risk Non-Compliant'!B:K,$H$48,FALSE))</f>
        <v>#REF!</v>
      </c>
      <c r="H197" s="147" t="e">
        <f>IF(G197="N/A","N/A",VLOOKUP(G197,'Crosswalk Detail'!A:B,2,FALSE))</f>
        <v>#REF!</v>
      </c>
    </row>
    <row r="198" spans="1:8" ht="144" customHeight="1" x14ac:dyDescent="0.2">
      <c r="A198" s="148">
        <f>'High Risk Non-Compliant'!B154</f>
        <v>0</v>
      </c>
      <c r="B198" s="355">
        <f>'High Risk Non-Compliant'!C154</f>
        <v>0</v>
      </c>
      <c r="C198" s="355"/>
      <c r="D198" s="354">
        <f>'High Risk Non-Compliant'!D154</f>
        <v>0</v>
      </c>
      <c r="E198" s="354"/>
      <c r="F198" s="354"/>
      <c r="G198" s="147" t="e">
        <f>IF(VLOOKUP(A198,'High Risk Non-Compliant'!B:K,$H$48,FALSE)=0,"N/A",VLOOKUP(A198,'High Risk Non-Compliant'!B:K,$H$48,FALSE))</f>
        <v>#REF!</v>
      </c>
      <c r="H198" s="147" t="e">
        <f>IF(G198="N/A","N/A",VLOOKUP(G198,'Crosswalk Detail'!A:B,2,FALSE))</f>
        <v>#REF!</v>
      </c>
    </row>
    <row r="199" spans="1:8" ht="144" customHeight="1" x14ac:dyDescent="0.2">
      <c r="A199" s="148">
        <f>'High Risk Non-Compliant'!B155</f>
        <v>0</v>
      </c>
      <c r="B199" s="355">
        <f>'High Risk Non-Compliant'!C155</f>
        <v>0</v>
      </c>
      <c r="C199" s="355"/>
      <c r="D199" s="354">
        <f>'High Risk Non-Compliant'!D155</f>
        <v>0</v>
      </c>
      <c r="E199" s="354"/>
      <c r="F199" s="354"/>
      <c r="G199" s="147" t="e">
        <f>IF(VLOOKUP(A199,'High Risk Non-Compliant'!B:K,$H$48,FALSE)=0,"N/A",VLOOKUP(A199,'High Risk Non-Compliant'!B:K,$H$48,FALSE))</f>
        <v>#REF!</v>
      </c>
      <c r="H199" s="147" t="e">
        <f>IF(G199="N/A","N/A",VLOOKUP(G199,'Crosswalk Detail'!A:B,2,FALSE))</f>
        <v>#REF!</v>
      </c>
    </row>
    <row r="200" spans="1:8" ht="144" customHeight="1" x14ac:dyDescent="0.2">
      <c r="A200" s="148">
        <f>'High Risk Non-Compliant'!B156</f>
        <v>0</v>
      </c>
      <c r="B200" s="355">
        <f>'High Risk Non-Compliant'!C156</f>
        <v>0</v>
      </c>
      <c r="C200" s="355"/>
      <c r="D200" s="354">
        <f>'High Risk Non-Compliant'!D156</f>
        <v>0</v>
      </c>
      <c r="E200" s="354"/>
      <c r="F200" s="354"/>
      <c r="G200" s="147" t="e">
        <f>IF(VLOOKUP(A200,'High Risk Non-Compliant'!B:K,$H$48,FALSE)=0,"N/A",VLOOKUP(A200,'High Risk Non-Compliant'!B:K,$H$48,FALSE))</f>
        <v>#REF!</v>
      </c>
      <c r="H200" s="147" t="e">
        <f>IF(G200="N/A","N/A",VLOOKUP(G200,'Crosswalk Detail'!A:B,2,FALSE))</f>
        <v>#REF!</v>
      </c>
    </row>
    <row r="201" spans="1:8" ht="144" customHeight="1" x14ac:dyDescent="0.2">
      <c r="A201" s="148">
        <f>'High Risk Non-Compliant'!B157</f>
        <v>0</v>
      </c>
      <c r="B201" s="355">
        <f>'High Risk Non-Compliant'!C157</f>
        <v>0</v>
      </c>
      <c r="C201" s="355"/>
      <c r="D201" s="354">
        <f>'High Risk Non-Compliant'!D157</f>
        <v>0</v>
      </c>
      <c r="E201" s="354"/>
      <c r="F201" s="354"/>
      <c r="G201" s="147" t="e">
        <f>IF(VLOOKUP(A201,'High Risk Non-Compliant'!B:K,$H$48,FALSE)=0,"N/A",VLOOKUP(A201,'High Risk Non-Compliant'!B:K,$H$48,FALSE))</f>
        <v>#REF!</v>
      </c>
      <c r="H201" s="147" t="e">
        <f>IF(G201="N/A","N/A",VLOOKUP(G201,'Crosswalk Detail'!A:B,2,FALSE))</f>
        <v>#REF!</v>
      </c>
    </row>
    <row r="202" spans="1:8" ht="144" customHeight="1" x14ac:dyDescent="0.2">
      <c r="A202" s="148">
        <f>'High Risk Non-Compliant'!B158</f>
        <v>0</v>
      </c>
      <c r="B202" s="355">
        <f>'High Risk Non-Compliant'!C158</f>
        <v>0</v>
      </c>
      <c r="C202" s="355"/>
      <c r="D202" s="354">
        <f>'High Risk Non-Compliant'!D158</f>
        <v>0</v>
      </c>
      <c r="E202" s="354"/>
      <c r="F202" s="354"/>
      <c r="G202" s="147" t="e">
        <f>IF(VLOOKUP(A202,'High Risk Non-Compliant'!B:K,$H$48,FALSE)=0,"N/A",VLOOKUP(A202,'High Risk Non-Compliant'!B:K,$H$48,FALSE))</f>
        <v>#REF!</v>
      </c>
      <c r="H202" s="147" t="e">
        <f>IF(G202="N/A","N/A",VLOOKUP(G202,'Crosswalk Detail'!A:B,2,FALSE))</f>
        <v>#REF!</v>
      </c>
    </row>
    <row r="203" spans="1:8" ht="144" customHeight="1" x14ac:dyDescent="0.2">
      <c r="A203" s="148">
        <f>'High Risk Non-Compliant'!B159</f>
        <v>0</v>
      </c>
      <c r="B203" s="355">
        <f>'High Risk Non-Compliant'!C159</f>
        <v>0</v>
      </c>
      <c r="C203" s="355"/>
      <c r="D203" s="354">
        <f>'High Risk Non-Compliant'!D159</f>
        <v>0</v>
      </c>
      <c r="E203" s="354"/>
      <c r="F203" s="354"/>
      <c r="G203" s="147" t="e">
        <f>IF(VLOOKUP(A203,'High Risk Non-Compliant'!B:K,$H$48,FALSE)=0,"N/A",VLOOKUP(A203,'High Risk Non-Compliant'!B:K,$H$48,FALSE))</f>
        <v>#REF!</v>
      </c>
      <c r="H203" s="147" t="e">
        <f>IF(G203="N/A","N/A",VLOOKUP(G203,'Crosswalk Detail'!A:B,2,FALSE))</f>
        <v>#REF!</v>
      </c>
    </row>
    <row r="204" spans="1:8" ht="144" customHeight="1" x14ac:dyDescent="0.2">
      <c r="A204" s="148">
        <f>'High Risk Non-Compliant'!B160</f>
        <v>0</v>
      </c>
      <c r="B204" s="355">
        <f>'High Risk Non-Compliant'!C160</f>
        <v>0</v>
      </c>
      <c r="C204" s="355"/>
      <c r="D204" s="354">
        <f>'High Risk Non-Compliant'!D160</f>
        <v>0</v>
      </c>
      <c r="E204" s="354"/>
      <c r="F204" s="354"/>
      <c r="G204" s="147" t="e">
        <f>IF(VLOOKUP(A204,'High Risk Non-Compliant'!B:K,$H$48,FALSE)=0,"N/A",VLOOKUP(A204,'High Risk Non-Compliant'!B:K,$H$48,FALSE))</f>
        <v>#REF!</v>
      </c>
      <c r="H204" s="147" t="e">
        <f>IF(G204="N/A","N/A",VLOOKUP(G204,'Crosswalk Detail'!A:B,2,FALSE))</f>
        <v>#REF!</v>
      </c>
    </row>
    <row r="205" spans="1:8" ht="144" customHeight="1" x14ac:dyDescent="0.2">
      <c r="A205" s="148">
        <f>'High Risk Non-Compliant'!B161</f>
        <v>0</v>
      </c>
      <c r="B205" s="355">
        <f>'High Risk Non-Compliant'!C161</f>
        <v>0</v>
      </c>
      <c r="C205" s="355"/>
      <c r="D205" s="354">
        <f>'High Risk Non-Compliant'!D161</f>
        <v>0</v>
      </c>
      <c r="E205" s="354"/>
      <c r="F205" s="354"/>
      <c r="G205" s="147" t="e">
        <f>IF(VLOOKUP(A205,'High Risk Non-Compliant'!B:K,$H$48,FALSE)=0,"N/A",VLOOKUP(A205,'High Risk Non-Compliant'!B:K,$H$48,FALSE))</f>
        <v>#REF!</v>
      </c>
      <c r="H205" s="147" t="e">
        <f>IF(G205="N/A","N/A",VLOOKUP(G205,'Crosswalk Detail'!A:B,2,FALSE))</f>
        <v>#REF!</v>
      </c>
    </row>
    <row r="206" spans="1:8" ht="144" customHeight="1" x14ac:dyDescent="0.2">
      <c r="A206" s="148">
        <f>'High Risk Non-Compliant'!B162</f>
        <v>0</v>
      </c>
      <c r="B206" s="355">
        <f>'High Risk Non-Compliant'!C162</f>
        <v>0</v>
      </c>
      <c r="C206" s="355"/>
      <c r="D206" s="354">
        <f>'High Risk Non-Compliant'!D162</f>
        <v>0</v>
      </c>
      <c r="E206" s="354"/>
      <c r="F206" s="354"/>
      <c r="G206" s="147" t="e">
        <f>IF(VLOOKUP(A206,'High Risk Non-Compliant'!B:K,$H$48,FALSE)=0,"N/A",VLOOKUP(A206,'High Risk Non-Compliant'!B:K,$H$48,FALSE))</f>
        <v>#REF!</v>
      </c>
      <c r="H206" s="147" t="e">
        <f>IF(G206="N/A","N/A",VLOOKUP(G206,'Crosswalk Detail'!A:B,2,FALSE))</f>
        <v>#REF!</v>
      </c>
    </row>
    <row r="207" spans="1:8" ht="144" customHeight="1" x14ac:dyDescent="0.2">
      <c r="A207" s="148">
        <f>'High Risk Non-Compliant'!B163</f>
        <v>0</v>
      </c>
      <c r="B207" s="355">
        <f>'High Risk Non-Compliant'!C163</f>
        <v>0</v>
      </c>
      <c r="C207" s="355"/>
      <c r="D207" s="354">
        <f>'High Risk Non-Compliant'!D163</f>
        <v>0</v>
      </c>
      <c r="E207" s="354"/>
      <c r="F207" s="354"/>
      <c r="G207" s="147" t="e">
        <f>IF(VLOOKUP(A207,'High Risk Non-Compliant'!B:K,$H$48,FALSE)=0,"N/A",VLOOKUP(A207,'High Risk Non-Compliant'!B:K,$H$48,FALSE))</f>
        <v>#REF!</v>
      </c>
      <c r="H207" s="147" t="e">
        <f>IF(G207="N/A","N/A",VLOOKUP(G207,'Crosswalk Detail'!A:B,2,FALSE))</f>
        <v>#REF!</v>
      </c>
    </row>
    <row r="208" spans="1:8" ht="144" customHeight="1" x14ac:dyDescent="0.2">
      <c r="A208" s="148">
        <f>'High Risk Non-Compliant'!B164</f>
        <v>0</v>
      </c>
      <c r="B208" s="355">
        <f>'High Risk Non-Compliant'!C164</f>
        <v>0</v>
      </c>
      <c r="C208" s="355"/>
      <c r="D208" s="354">
        <f>'High Risk Non-Compliant'!D164</f>
        <v>0</v>
      </c>
      <c r="E208" s="354"/>
      <c r="F208" s="354"/>
      <c r="G208" s="147" t="e">
        <f>IF(VLOOKUP(A208,'High Risk Non-Compliant'!B:K,$H$48,FALSE)=0,"N/A",VLOOKUP(A208,'High Risk Non-Compliant'!B:K,$H$48,FALSE))</f>
        <v>#REF!</v>
      </c>
      <c r="H208" s="147" t="e">
        <f>IF(G208="N/A","N/A",VLOOKUP(G208,'Crosswalk Detail'!A:B,2,FALSE))</f>
        <v>#REF!</v>
      </c>
    </row>
    <row r="209" spans="1:8" ht="144" customHeight="1" x14ac:dyDescent="0.2">
      <c r="A209" s="148">
        <f>'High Risk Non-Compliant'!B165</f>
        <v>0</v>
      </c>
      <c r="B209" s="355">
        <f>'High Risk Non-Compliant'!C165</f>
        <v>0</v>
      </c>
      <c r="C209" s="355"/>
      <c r="D209" s="354">
        <f>'High Risk Non-Compliant'!D165</f>
        <v>0</v>
      </c>
      <c r="E209" s="354"/>
      <c r="F209" s="354"/>
      <c r="G209" s="147" t="e">
        <f>IF(VLOOKUP(A209,'High Risk Non-Compliant'!B:K,$H$48,FALSE)=0,"N/A",VLOOKUP(A209,'High Risk Non-Compliant'!B:K,$H$48,FALSE))</f>
        <v>#REF!</v>
      </c>
      <c r="H209" s="147" t="e">
        <f>IF(G209="N/A","N/A",VLOOKUP(G209,'Crosswalk Detail'!A:B,2,FALSE))</f>
        <v>#REF!</v>
      </c>
    </row>
    <row r="210" spans="1:8" ht="144" customHeight="1" x14ac:dyDescent="0.2">
      <c r="A210" s="148">
        <f>'High Risk Non-Compliant'!B166</f>
        <v>0</v>
      </c>
      <c r="B210" s="355">
        <f>'High Risk Non-Compliant'!C166</f>
        <v>0</v>
      </c>
      <c r="C210" s="355"/>
      <c r="D210" s="354">
        <f>'High Risk Non-Compliant'!D166</f>
        <v>0</v>
      </c>
      <c r="E210" s="354"/>
      <c r="F210" s="354"/>
      <c r="G210" s="147" t="e">
        <f>IF(VLOOKUP(A210,'High Risk Non-Compliant'!B:K,$H$48,FALSE)=0,"N/A",VLOOKUP(A210,'High Risk Non-Compliant'!B:K,$H$48,FALSE))</f>
        <v>#REF!</v>
      </c>
      <c r="H210" s="147" t="e">
        <f>IF(G210="N/A","N/A",VLOOKUP(G210,'Crosswalk Detail'!A:B,2,FALSE))</f>
        <v>#REF!</v>
      </c>
    </row>
    <row r="211" spans="1:8" ht="144" customHeight="1" x14ac:dyDescent="0.2">
      <c r="A211" s="148">
        <f>'High Risk Non-Compliant'!B167</f>
        <v>0</v>
      </c>
      <c r="B211" s="355">
        <f>'High Risk Non-Compliant'!C167</f>
        <v>0</v>
      </c>
      <c r="C211" s="355"/>
      <c r="D211" s="354">
        <f>'High Risk Non-Compliant'!D167</f>
        <v>0</v>
      </c>
      <c r="E211" s="354"/>
      <c r="F211" s="354"/>
      <c r="G211" s="147" t="e">
        <f>IF(VLOOKUP(A211,'High Risk Non-Compliant'!B:K,$H$48,FALSE)=0,"N/A",VLOOKUP(A211,'High Risk Non-Compliant'!B:K,$H$48,FALSE))</f>
        <v>#REF!</v>
      </c>
      <c r="H211" s="147" t="e">
        <f>IF(G211="N/A","N/A",VLOOKUP(G211,'Crosswalk Detail'!A:B,2,FALSE))</f>
        <v>#REF!</v>
      </c>
    </row>
    <row r="212" spans="1:8" ht="144" customHeight="1" x14ac:dyDescent="0.2">
      <c r="A212" s="148">
        <f>'High Risk Non-Compliant'!B168</f>
        <v>0</v>
      </c>
      <c r="B212" s="355">
        <f>'High Risk Non-Compliant'!C168</f>
        <v>0</v>
      </c>
      <c r="C212" s="355"/>
      <c r="D212" s="354">
        <f>'High Risk Non-Compliant'!D168</f>
        <v>0</v>
      </c>
      <c r="E212" s="354"/>
      <c r="F212" s="354"/>
      <c r="G212" s="147" t="e">
        <f>IF(VLOOKUP(A212,'High Risk Non-Compliant'!B:K,$H$48,FALSE)=0,"N/A",VLOOKUP(A212,'High Risk Non-Compliant'!B:K,$H$48,FALSE))</f>
        <v>#REF!</v>
      </c>
      <c r="H212" s="147" t="e">
        <f>IF(G212="N/A","N/A",VLOOKUP(G212,'Crosswalk Detail'!A:B,2,FALSE))</f>
        <v>#REF!</v>
      </c>
    </row>
    <row r="213" spans="1:8" ht="144" customHeight="1" x14ac:dyDescent="0.2">
      <c r="A213" s="148">
        <f>'High Risk Non-Compliant'!B169</f>
        <v>0</v>
      </c>
      <c r="B213" s="355">
        <f>'High Risk Non-Compliant'!C169</f>
        <v>0</v>
      </c>
      <c r="C213" s="355"/>
      <c r="D213" s="354">
        <f>'High Risk Non-Compliant'!D169</f>
        <v>0</v>
      </c>
      <c r="E213" s="354"/>
      <c r="F213" s="354"/>
      <c r="G213" s="147" t="e">
        <f>IF(VLOOKUP(A213,'High Risk Non-Compliant'!B:K,$H$48,FALSE)=0,"N/A",VLOOKUP(A213,'High Risk Non-Compliant'!B:K,$H$48,FALSE))</f>
        <v>#REF!</v>
      </c>
      <c r="H213" s="147" t="e">
        <f>IF(G213="N/A","N/A",VLOOKUP(G213,'Crosswalk Detail'!A:B,2,FALSE))</f>
        <v>#REF!</v>
      </c>
    </row>
    <row r="214" spans="1:8" ht="144" customHeight="1" x14ac:dyDescent="0.2">
      <c r="A214" s="148">
        <f>'High Risk Non-Compliant'!B170</f>
        <v>0</v>
      </c>
      <c r="B214" s="355">
        <f>'High Risk Non-Compliant'!C170</f>
        <v>0</v>
      </c>
      <c r="C214" s="355"/>
      <c r="D214" s="354">
        <f>'High Risk Non-Compliant'!D170</f>
        <v>0</v>
      </c>
      <c r="E214" s="354"/>
      <c r="F214" s="354"/>
      <c r="G214" s="147" t="e">
        <f>IF(VLOOKUP(A214,'High Risk Non-Compliant'!B:K,$H$48,FALSE)=0,"N/A",VLOOKUP(A214,'High Risk Non-Compliant'!B:K,$H$48,FALSE))</f>
        <v>#REF!</v>
      </c>
      <c r="H214" s="147" t="e">
        <f>IF(G214="N/A","N/A",VLOOKUP(G214,'Crosswalk Detail'!A:B,2,FALSE))</f>
        <v>#REF!</v>
      </c>
    </row>
    <row r="215" spans="1:8" ht="144" customHeight="1" x14ac:dyDescent="0.2">
      <c r="A215" s="148">
        <f>'High Risk Non-Compliant'!B171</f>
        <v>0</v>
      </c>
      <c r="B215" s="355">
        <f>'High Risk Non-Compliant'!C171</f>
        <v>0</v>
      </c>
      <c r="C215" s="355"/>
      <c r="D215" s="354">
        <f>'High Risk Non-Compliant'!D171</f>
        <v>0</v>
      </c>
      <c r="E215" s="354"/>
      <c r="F215" s="354"/>
      <c r="G215" s="147" t="e">
        <f>IF(VLOOKUP(A215,'High Risk Non-Compliant'!B:K,$H$48,FALSE)=0,"N/A",VLOOKUP(A215,'High Risk Non-Compliant'!B:K,$H$48,FALSE))</f>
        <v>#REF!</v>
      </c>
      <c r="H215" s="147" t="e">
        <f>IF(G215="N/A","N/A",VLOOKUP(G215,'Crosswalk Detail'!A:B,2,FALSE))</f>
        <v>#REF!</v>
      </c>
    </row>
    <row r="216" spans="1:8" ht="144" customHeight="1" x14ac:dyDescent="0.2">
      <c r="A216" s="148">
        <f>'High Risk Non-Compliant'!B172</f>
        <v>0</v>
      </c>
      <c r="B216" s="355">
        <f>'High Risk Non-Compliant'!C172</f>
        <v>0</v>
      </c>
      <c r="C216" s="355"/>
      <c r="D216" s="354">
        <f>'High Risk Non-Compliant'!D172</f>
        <v>0</v>
      </c>
      <c r="E216" s="354"/>
      <c r="F216" s="354"/>
      <c r="G216" s="147" t="e">
        <f>IF(VLOOKUP(A216,'High Risk Non-Compliant'!B:K,$H$48,FALSE)=0,"N/A",VLOOKUP(A216,'High Risk Non-Compliant'!B:K,$H$48,FALSE))</f>
        <v>#REF!</v>
      </c>
      <c r="H216" s="147" t="e">
        <f>IF(G216="N/A","N/A",VLOOKUP(G216,'Crosswalk Detail'!A:B,2,FALSE))</f>
        <v>#REF!</v>
      </c>
    </row>
    <row r="217" spans="1:8" ht="144" customHeight="1" x14ac:dyDescent="0.2">
      <c r="A217" s="149">
        <f>'High Risk Non-Compliant'!B173</f>
        <v>0</v>
      </c>
      <c r="B217" s="354">
        <f>'High Risk Non-Compliant'!C173</f>
        <v>0</v>
      </c>
      <c r="C217" s="354"/>
      <c r="D217" s="354">
        <f>'High Risk Non-Compliant'!D173</f>
        <v>0</v>
      </c>
      <c r="E217" s="354"/>
      <c r="F217" s="354"/>
      <c r="G217" s="147" t="e">
        <f>IF(VLOOKUP(A217,'High Risk Non-Compliant'!B:K,$H$48,FALSE)=0,"N/A",VLOOKUP(A217,'High Risk Non-Compliant'!B:K,$H$48,FALSE))</f>
        <v>#REF!</v>
      </c>
      <c r="H217" s="147" t="e">
        <f>IF(G217="N/A","N/A",VLOOKUP(G217,'Crosswalk Detail'!A:B,2,FALSE))</f>
        <v>#REF!</v>
      </c>
    </row>
    <row r="218" spans="1:8" ht="144" customHeight="1" x14ac:dyDescent="0.2">
      <c r="A218" s="149">
        <f>'High Risk Non-Compliant'!B174</f>
        <v>0</v>
      </c>
      <c r="B218" s="354">
        <f>'High Risk Non-Compliant'!C174</f>
        <v>0</v>
      </c>
      <c r="C218" s="354"/>
      <c r="D218" s="354">
        <f>'High Risk Non-Compliant'!D174</f>
        <v>0</v>
      </c>
      <c r="E218" s="354"/>
      <c r="F218" s="354"/>
      <c r="G218" s="147" t="e">
        <f>IF(VLOOKUP(A218,'High Risk Non-Compliant'!B:K,$H$48,FALSE)=0,"N/A",VLOOKUP(A218,'High Risk Non-Compliant'!B:K,$H$48,FALSE))</f>
        <v>#REF!</v>
      </c>
      <c r="H218" s="147" t="e">
        <f>IF(G218="N/A","N/A",VLOOKUP(G218,'Crosswalk Detail'!A:B,2,FALSE))</f>
        <v>#REF!</v>
      </c>
    </row>
    <row r="219" spans="1:8" ht="144" customHeight="1" x14ac:dyDescent="0.2">
      <c r="A219" s="149">
        <f>'High Risk Non-Compliant'!B175</f>
        <v>0</v>
      </c>
      <c r="B219" s="354">
        <f>'High Risk Non-Compliant'!C175</f>
        <v>0</v>
      </c>
      <c r="C219" s="354"/>
      <c r="D219" s="354">
        <f>'High Risk Non-Compliant'!D175</f>
        <v>0</v>
      </c>
      <c r="E219" s="354"/>
      <c r="F219" s="354"/>
      <c r="G219" s="147" t="e">
        <f>IF(VLOOKUP(A219,'High Risk Non-Compliant'!B:K,$H$48,FALSE)=0,"N/A",VLOOKUP(A219,'High Risk Non-Compliant'!B:K,$H$48,FALSE))</f>
        <v>#REF!</v>
      </c>
      <c r="H219" s="147" t="e">
        <f>IF(G219="N/A","N/A",VLOOKUP(G219,'Crosswalk Detail'!A:B,2,FALSE))</f>
        <v>#REF!</v>
      </c>
    </row>
    <row r="220" spans="1:8" ht="144" customHeight="1" x14ac:dyDescent="0.2">
      <c r="A220" s="149">
        <f>'High Risk Non-Compliant'!B176</f>
        <v>0</v>
      </c>
      <c r="B220" s="354">
        <f>'High Risk Non-Compliant'!C176</f>
        <v>0</v>
      </c>
      <c r="C220" s="354"/>
      <c r="D220" s="354">
        <f>'High Risk Non-Compliant'!D176</f>
        <v>0</v>
      </c>
      <c r="E220" s="354"/>
      <c r="F220" s="354"/>
      <c r="G220" s="147" t="e">
        <f>VLOOKUP(A220,'High Risk Non-Compliant'!B:K,$H$48,FALSE)</f>
        <v>#REF!</v>
      </c>
      <c r="H220" s="147" t="e">
        <f>VLOOKUP(G220,'Crosswalk Detail'!A:B,2,FALSE)</f>
        <v>#REF!</v>
      </c>
    </row>
    <row r="221" spans="1:8" ht="144" customHeight="1" x14ac:dyDescent="0.2">
      <c r="A221" s="149">
        <f>'High Risk Non-Compliant'!B177</f>
        <v>0</v>
      </c>
      <c r="B221" s="354">
        <f>'High Risk Non-Compliant'!C177</f>
        <v>0</v>
      </c>
      <c r="C221" s="354"/>
      <c r="D221" s="354">
        <f>'High Risk Non-Compliant'!D177</f>
        <v>0</v>
      </c>
      <c r="E221" s="354"/>
      <c r="F221" s="354"/>
      <c r="G221" s="147" t="e">
        <f>VLOOKUP(A221,'High Risk Non-Compliant'!B:K,$H$48,FALSE)</f>
        <v>#REF!</v>
      </c>
      <c r="H221" s="147" t="e">
        <f>VLOOKUP(G221,'Crosswalk Detail'!A:B,2,FALSE)</f>
        <v>#REF!</v>
      </c>
    </row>
    <row r="222" spans="1:8" ht="144" customHeight="1" x14ac:dyDescent="0.2">
      <c r="A222" s="149">
        <f>'High Risk Non-Compliant'!B178</f>
        <v>0</v>
      </c>
      <c r="B222" s="354">
        <f>'High Risk Non-Compliant'!C178</f>
        <v>0</v>
      </c>
      <c r="C222" s="354"/>
      <c r="D222" s="354">
        <f>'High Risk Non-Compliant'!D178</f>
        <v>0</v>
      </c>
      <c r="E222" s="354"/>
      <c r="F222" s="354"/>
      <c r="G222" s="147" t="e">
        <f>VLOOKUP(A222,'High Risk Non-Compliant'!B:K,$H$48,FALSE)</f>
        <v>#REF!</v>
      </c>
      <c r="H222" s="147" t="e">
        <f>VLOOKUP(G222,'Crosswalk Detail'!A:B,2,FALSE)</f>
        <v>#REF!</v>
      </c>
    </row>
    <row r="223" spans="1:8" ht="144" customHeight="1" x14ac:dyDescent="0.2">
      <c r="A223" s="149">
        <f>'High Risk Non-Compliant'!B179</f>
        <v>0</v>
      </c>
      <c r="B223" s="354">
        <f>'High Risk Non-Compliant'!C179</f>
        <v>0</v>
      </c>
      <c r="C223" s="354"/>
      <c r="D223" s="354">
        <f>'High Risk Non-Compliant'!D179</f>
        <v>0</v>
      </c>
      <c r="E223" s="354"/>
      <c r="F223" s="354"/>
      <c r="G223" s="147" t="e">
        <f>VLOOKUP(A223,'High Risk Non-Compliant'!B:K,$H$48,FALSE)</f>
        <v>#REF!</v>
      </c>
      <c r="H223" s="147" t="e">
        <f>VLOOKUP(G223,'Crosswalk Detail'!A:B,2,FALSE)</f>
        <v>#REF!</v>
      </c>
    </row>
    <row r="224" spans="1:8" ht="144" customHeight="1" x14ac:dyDescent="0.2">
      <c r="A224" s="149">
        <f>'High Risk Non-Compliant'!B180</f>
        <v>0</v>
      </c>
      <c r="B224" s="354">
        <f>'High Risk Non-Compliant'!C180</f>
        <v>0</v>
      </c>
      <c r="C224" s="354"/>
      <c r="D224" s="354">
        <f>'High Risk Non-Compliant'!D180</f>
        <v>0</v>
      </c>
      <c r="E224" s="354"/>
      <c r="F224" s="354"/>
      <c r="G224" s="147" t="e">
        <f>VLOOKUP(A224,'High Risk Non-Compliant'!B:K,$H$48,FALSE)</f>
        <v>#REF!</v>
      </c>
      <c r="H224" s="147" t="e">
        <f>VLOOKUP(G224,'Crosswalk Detail'!A:B,2,FALSE)</f>
        <v>#REF!</v>
      </c>
    </row>
    <row r="225" spans="1:8" ht="144" customHeight="1" x14ac:dyDescent="0.2">
      <c r="A225" s="149">
        <f>'High Risk Non-Compliant'!B181</f>
        <v>0</v>
      </c>
      <c r="B225" s="354">
        <f>'High Risk Non-Compliant'!C181</f>
        <v>0</v>
      </c>
      <c r="C225" s="354"/>
      <c r="D225" s="354">
        <f>'High Risk Non-Compliant'!D181</f>
        <v>0</v>
      </c>
      <c r="E225" s="354"/>
      <c r="F225" s="354"/>
      <c r="G225" s="147" t="e">
        <f>VLOOKUP(A225,'High Risk Non-Compliant'!B:K,$H$48,FALSE)</f>
        <v>#REF!</v>
      </c>
      <c r="H225" s="147" t="e">
        <f>VLOOKUP(G225,'Crosswalk Detail'!A:B,2,FALSE)</f>
        <v>#REF!</v>
      </c>
    </row>
    <row r="226" spans="1:8" x14ac:dyDescent="0.2">
      <c r="A226" s="150">
        <f>'High Risk Non-Compliant'!B182</f>
        <v>0</v>
      </c>
      <c r="B226" s="351">
        <f>'High Risk Non-Compliant'!C182</f>
        <v>0</v>
      </c>
      <c r="C226" s="351"/>
      <c r="D226" s="351">
        <f>'High Risk Non-Compliant'!D182</f>
        <v>0</v>
      </c>
      <c r="E226" s="351"/>
      <c r="F226" s="351"/>
      <c r="G226" s="147"/>
      <c r="H226" s="147"/>
    </row>
    <row r="227" spans="1:8" ht="29.25" customHeight="1" x14ac:dyDescent="0.2">
      <c r="A227" s="150">
        <f>'High Risk Non-Compliant'!B183</f>
        <v>0</v>
      </c>
      <c r="B227" s="351">
        <f>'High Risk Non-Compliant'!C183</f>
        <v>0</v>
      </c>
      <c r="C227" s="351"/>
      <c r="D227" s="351">
        <f>'High Risk Non-Compliant'!D183</f>
        <v>0</v>
      </c>
      <c r="E227" s="351"/>
      <c r="F227" s="351"/>
      <c r="G227" s="147"/>
      <c r="H227" s="147"/>
    </row>
    <row r="228" spans="1:8" ht="29.25" customHeight="1" x14ac:dyDescent="0.2">
      <c r="A228" s="150">
        <f>'High Risk Non-Compliant'!B184</f>
        <v>0</v>
      </c>
      <c r="B228" s="351">
        <f>'High Risk Non-Compliant'!C184</f>
        <v>0</v>
      </c>
      <c r="C228" s="351"/>
      <c r="D228" s="351">
        <f>'High Risk Non-Compliant'!D184</f>
        <v>0</v>
      </c>
      <c r="E228" s="351"/>
      <c r="F228" s="351"/>
      <c r="G228" s="147"/>
      <c r="H228" s="147"/>
    </row>
    <row r="229" spans="1:8" x14ac:dyDescent="0.2">
      <c r="A229" s="150">
        <f>'High Risk Non-Compliant'!B185</f>
        <v>0</v>
      </c>
      <c r="B229" s="351">
        <f>'High Risk Non-Compliant'!C185</f>
        <v>0</v>
      </c>
      <c r="C229" s="351"/>
      <c r="D229" s="351">
        <f>'High Risk Non-Compliant'!D185</f>
        <v>0</v>
      </c>
      <c r="E229" s="351"/>
      <c r="F229" s="351"/>
      <c r="G229" s="147"/>
      <c r="H229" s="147"/>
    </row>
    <row r="230" spans="1:8" ht="29.25" customHeight="1" x14ac:dyDescent="0.2">
      <c r="A230" s="150">
        <f>'High Risk Non-Compliant'!B186</f>
        <v>0</v>
      </c>
      <c r="B230" s="351">
        <f>'High Risk Non-Compliant'!C186</f>
        <v>0</v>
      </c>
      <c r="C230" s="351"/>
      <c r="D230" s="351">
        <f>'High Risk Non-Compliant'!D186</f>
        <v>0</v>
      </c>
      <c r="E230" s="351"/>
      <c r="F230" s="351"/>
      <c r="G230" s="147"/>
      <c r="H230" s="147"/>
    </row>
    <row r="231" spans="1:8" ht="29.25" customHeight="1" x14ac:dyDescent="0.2">
      <c r="A231" s="150">
        <f>'High Risk Non-Compliant'!B187</f>
        <v>0</v>
      </c>
      <c r="B231" s="351">
        <f>'High Risk Non-Compliant'!C187</f>
        <v>0</v>
      </c>
      <c r="C231" s="351"/>
      <c r="D231" s="351">
        <f>'High Risk Non-Compliant'!D187</f>
        <v>0</v>
      </c>
      <c r="E231" s="351"/>
      <c r="F231" s="351"/>
      <c r="G231" s="147"/>
      <c r="H231" s="147"/>
    </row>
    <row r="232" spans="1:8" ht="44" customHeight="1" x14ac:dyDescent="0.2">
      <c r="A232" s="150">
        <f>'High Risk Non-Compliant'!B188</f>
        <v>0</v>
      </c>
      <c r="B232" s="351">
        <f>'High Risk Non-Compliant'!C188</f>
        <v>0</v>
      </c>
      <c r="C232" s="351"/>
      <c r="D232" s="351">
        <f>'High Risk Non-Compliant'!D188</f>
        <v>0</v>
      </c>
      <c r="E232" s="351"/>
      <c r="F232" s="351"/>
      <c r="G232" s="147"/>
      <c r="H232" s="147"/>
    </row>
    <row r="233" spans="1:8" x14ac:dyDescent="0.2">
      <c r="A233" s="150">
        <f>'High Risk Non-Compliant'!B189</f>
        <v>0</v>
      </c>
      <c r="B233" s="351">
        <f>'High Risk Non-Compliant'!C189</f>
        <v>0</v>
      </c>
      <c r="C233" s="351"/>
      <c r="D233" s="351">
        <f>'High Risk Non-Compliant'!D189</f>
        <v>0</v>
      </c>
      <c r="E233" s="351"/>
      <c r="F233" s="351"/>
      <c r="G233" s="147"/>
      <c r="H233" s="147"/>
    </row>
    <row r="234" spans="1:8" x14ac:dyDescent="0.2">
      <c r="A234" s="150">
        <f>'High Risk Non-Compliant'!B190</f>
        <v>0</v>
      </c>
      <c r="B234" s="351">
        <f>'High Risk Non-Compliant'!C190</f>
        <v>0</v>
      </c>
      <c r="C234" s="351"/>
      <c r="D234" s="351">
        <f>'High Risk Non-Compliant'!D190</f>
        <v>0</v>
      </c>
      <c r="E234" s="351"/>
      <c r="F234" s="351"/>
      <c r="G234" s="147"/>
      <c r="H234" s="147"/>
    </row>
    <row r="235" spans="1:8" x14ac:dyDescent="0.2">
      <c r="A235" s="150">
        <f>'High Risk Non-Compliant'!B191</f>
        <v>0</v>
      </c>
      <c r="B235" s="351">
        <f>'High Risk Non-Compliant'!C191</f>
        <v>0</v>
      </c>
      <c r="C235" s="351"/>
      <c r="D235" s="351">
        <f>'High Risk Non-Compliant'!D191</f>
        <v>0</v>
      </c>
      <c r="E235" s="351"/>
      <c r="F235" s="351"/>
      <c r="G235" s="147"/>
      <c r="H235" s="147"/>
    </row>
    <row r="236" spans="1:8" x14ac:dyDescent="0.2">
      <c r="A236" s="150">
        <f>'High Risk Non-Compliant'!B192</f>
        <v>0</v>
      </c>
      <c r="B236" s="351">
        <f>'High Risk Non-Compliant'!C192</f>
        <v>0</v>
      </c>
      <c r="C236" s="351"/>
      <c r="D236" s="351">
        <f>'High Risk Non-Compliant'!D192</f>
        <v>0</v>
      </c>
      <c r="E236" s="351"/>
      <c r="F236" s="351"/>
      <c r="G236" s="147"/>
      <c r="H236" s="147"/>
    </row>
    <row r="237" spans="1:8" x14ac:dyDescent="0.2">
      <c r="A237" s="150">
        <f>'High Risk Non-Compliant'!B193</f>
        <v>0</v>
      </c>
      <c r="B237" s="351">
        <f>'High Risk Non-Compliant'!C193</f>
        <v>0</v>
      </c>
      <c r="C237" s="351"/>
      <c r="D237" s="351">
        <f>'High Risk Non-Compliant'!D193</f>
        <v>0</v>
      </c>
      <c r="E237" s="351"/>
      <c r="F237" s="351"/>
      <c r="G237" s="147"/>
      <c r="H237" s="147"/>
    </row>
    <row r="238" spans="1:8" x14ac:dyDescent="0.2">
      <c r="A238" s="150">
        <f>'High Risk Non-Compliant'!B194</f>
        <v>0</v>
      </c>
      <c r="B238" s="351">
        <f>'High Risk Non-Compliant'!C194</f>
        <v>0</v>
      </c>
      <c r="C238" s="351"/>
      <c r="D238" s="351">
        <f>'High Risk Non-Compliant'!D194</f>
        <v>0</v>
      </c>
      <c r="E238" s="351"/>
      <c r="F238" s="351"/>
      <c r="G238" s="147"/>
      <c r="H238" s="147"/>
    </row>
    <row r="239" spans="1:8" x14ac:dyDescent="0.2">
      <c r="A239" s="150">
        <f>'High Risk Non-Compliant'!B195</f>
        <v>0</v>
      </c>
      <c r="B239" s="351">
        <f>'High Risk Non-Compliant'!C195</f>
        <v>0</v>
      </c>
      <c r="C239" s="351"/>
      <c r="D239" s="351">
        <f>'High Risk Non-Compliant'!D195</f>
        <v>0</v>
      </c>
      <c r="E239" s="351"/>
      <c r="F239" s="351"/>
      <c r="G239" s="147"/>
      <c r="H239" s="147"/>
    </row>
    <row r="240" spans="1:8" x14ac:dyDescent="0.2">
      <c r="A240" s="150">
        <f>'High Risk Non-Compliant'!B196</f>
        <v>0</v>
      </c>
      <c r="B240" s="351">
        <f>'High Risk Non-Compliant'!C196</f>
        <v>0</v>
      </c>
      <c r="C240" s="351"/>
      <c r="D240" s="351">
        <f>'High Risk Non-Compliant'!D196</f>
        <v>0</v>
      </c>
      <c r="E240" s="351"/>
      <c r="F240" s="351"/>
      <c r="G240" s="147"/>
      <c r="H240" s="147"/>
    </row>
    <row r="241" spans="1:8" x14ac:dyDescent="0.2">
      <c r="A241" s="150">
        <f>'High Risk Non-Compliant'!B197</f>
        <v>0</v>
      </c>
      <c r="B241" s="351">
        <f>'High Risk Non-Compliant'!C197</f>
        <v>0</v>
      </c>
      <c r="C241" s="351"/>
      <c r="D241" s="351">
        <f>'High Risk Non-Compliant'!D197</f>
        <v>0</v>
      </c>
      <c r="E241" s="351"/>
      <c r="F241" s="351"/>
      <c r="G241" s="147"/>
      <c r="H241" s="147"/>
    </row>
    <row r="242" spans="1:8" x14ac:dyDescent="0.2">
      <c r="A242" s="150">
        <f>'High Risk Non-Compliant'!B198</f>
        <v>0</v>
      </c>
      <c r="B242" s="351">
        <f>'High Risk Non-Compliant'!C198</f>
        <v>0</v>
      </c>
      <c r="C242" s="351"/>
      <c r="D242" s="351">
        <f>'High Risk Non-Compliant'!D198</f>
        <v>0</v>
      </c>
      <c r="E242" s="351"/>
      <c r="F242" s="351"/>
      <c r="G242" s="147"/>
      <c r="H242" s="147"/>
    </row>
    <row r="243" spans="1:8" ht="29.25" customHeight="1" x14ac:dyDescent="0.2">
      <c r="A243" s="150">
        <f>'High Risk Non-Compliant'!B199</f>
        <v>0</v>
      </c>
      <c r="B243" s="351">
        <f>'High Risk Non-Compliant'!C199</f>
        <v>0</v>
      </c>
      <c r="C243" s="351"/>
      <c r="D243" s="351">
        <f>'High Risk Non-Compliant'!D199</f>
        <v>0</v>
      </c>
      <c r="E243" s="351"/>
      <c r="F243" s="351"/>
      <c r="G243" s="147"/>
      <c r="H243" s="147"/>
    </row>
    <row r="244" spans="1:8" ht="29.25" customHeight="1" x14ac:dyDescent="0.2">
      <c r="A244" s="150">
        <f>'High Risk Non-Compliant'!B200</f>
        <v>0</v>
      </c>
      <c r="B244" s="351">
        <f>'High Risk Non-Compliant'!C200</f>
        <v>0</v>
      </c>
      <c r="C244" s="351"/>
      <c r="D244" s="351">
        <f>'High Risk Non-Compliant'!D200</f>
        <v>0</v>
      </c>
      <c r="E244" s="351"/>
      <c r="F244" s="351"/>
      <c r="G244" s="147"/>
      <c r="H244" s="147"/>
    </row>
    <row r="245" spans="1:8" ht="58.5" customHeight="1" x14ac:dyDescent="0.2">
      <c r="A245" s="150">
        <f>'High Risk Non-Compliant'!B201</f>
        <v>0</v>
      </c>
      <c r="B245" s="351">
        <f>'High Risk Non-Compliant'!C201</f>
        <v>0</v>
      </c>
      <c r="C245" s="351"/>
      <c r="D245" s="351">
        <f>'High Risk Non-Compliant'!D201</f>
        <v>0</v>
      </c>
      <c r="E245" s="351"/>
      <c r="F245" s="351"/>
      <c r="G245" s="147"/>
      <c r="H245" s="147"/>
    </row>
    <row r="246" spans="1:8" ht="44" customHeight="1" x14ac:dyDescent="0.2">
      <c r="A246" s="150">
        <f>'High Risk Non-Compliant'!B202</f>
        <v>0</v>
      </c>
      <c r="B246" s="351">
        <f>'High Risk Non-Compliant'!C202</f>
        <v>0</v>
      </c>
      <c r="C246" s="351"/>
      <c r="D246" s="351">
        <f>'High Risk Non-Compliant'!D202</f>
        <v>0</v>
      </c>
      <c r="E246" s="351"/>
      <c r="F246" s="351"/>
      <c r="G246" s="147"/>
      <c r="H246" s="147"/>
    </row>
    <row r="247" spans="1:8" ht="29.25" customHeight="1" x14ac:dyDescent="0.2">
      <c r="A247" s="150">
        <f>'High Risk Non-Compliant'!B203</f>
        <v>0</v>
      </c>
      <c r="B247" s="351">
        <f>'High Risk Non-Compliant'!C203</f>
        <v>0</v>
      </c>
      <c r="C247" s="351"/>
      <c r="D247" s="351">
        <f>'High Risk Non-Compliant'!D203</f>
        <v>0</v>
      </c>
      <c r="E247" s="351"/>
      <c r="F247" s="351"/>
      <c r="G247" s="147"/>
      <c r="H247" s="147"/>
    </row>
    <row r="248" spans="1:8" ht="44" customHeight="1" x14ac:dyDescent="0.2">
      <c r="A248" s="150">
        <f>'High Risk Non-Compliant'!B204</f>
        <v>0</v>
      </c>
      <c r="B248" s="351">
        <f>'High Risk Non-Compliant'!C204</f>
        <v>0</v>
      </c>
      <c r="C248" s="351"/>
      <c r="D248" s="351">
        <f>'High Risk Non-Compliant'!D204</f>
        <v>0</v>
      </c>
      <c r="E248" s="351"/>
      <c r="F248" s="351"/>
      <c r="G248" s="147"/>
      <c r="H248" s="147"/>
    </row>
    <row r="249" spans="1:8" ht="29.25" customHeight="1" x14ac:dyDescent="0.2">
      <c r="A249" s="150">
        <f>'High Risk Non-Compliant'!B205</f>
        <v>0</v>
      </c>
      <c r="B249" s="351">
        <f>'High Risk Non-Compliant'!C205</f>
        <v>0</v>
      </c>
      <c r="C249" s="351"/>
      <c r="D249" s="351">
        <f>'High Risk Non-Compliant'!D205</f>
        <v>0</v>
      </c>
      <c r="E249" s="351"/>
      <c r="F249" s="351"/>
      <c r="G249" s="147"/>
      <c r="H249" s="147"/>
    </row>
    <row r="250" spans="1:8" ht="175.5" customHeight="1" x14ac:dyDescent="0.2">
      <c r="A250" s="150">
        <f>'High Risk Non-Compliant'!B206</f>
        <v>0</v>
      </c>
      <c r="B250" s="351">
        <f>'High Risk Non-Compliant'!C206</f>
        <v>0</v>
      </c>
      <c r="C250" s="351"/>
      <c r="D250" s="351">
        <f>'High Risk Non-Compliant'!D206</f>
        <v>0</v>
      </c>
      <c r="E250" s="351"/>
      <c r="F250" s="351"/>
      <c r="G250" s="147"/>
      <c r="H250" s="147"/>
    </row>
    <row r="251" spans="1:8" ht="73.25" customHeight="1" x14ac:dyDescent="0.2">
      <c r="A251" s="150">
        <f>'High Risk Non-Compliant'!B207</f>
        <v>0</v>
      </c>
      <c r="B251" s="351">
        <f>'High Risk Non-Compliant'!C207</f>
        <v>0</v>
      </c>
      <c r="C251" s="351"/>
      <c r="D251" s="351">
        <f>'High Risk Non-Compliant'!D207</f>
        <v>0</v>
      </c>
      <c r="E251" s="351"/>
      <c r="F251" s="351"/>
      <c r="G251" s="147"/>
      <c r="H251" s="147"/>
    </row>
    <row r="252" spans="1:8" ht="87.75" customHeight="1" x14ac:dyDescent="0.2">
      <c r="A252" s="150">
        <f>'High Risk Non-Compliant'!B208</f>
        <v>0</v>
      </c>
      <c r="B252" s="351">
        <f>'High Risk Non-Compliant'!C208</f>
        <v>0</v>
      </c>
      <c r="C252" s="351"/>
      <c r="D252" s="351">
        <f>'High Risk Non-Compliant'!D208</f>
        <v>0</v>
      </c>
      <c r="E252" s="351"/>
      <c r="F252" s="351"/>
      <c r="G252" s="147"/>
      <c r="H252" s="147"/>
    </row>
    <row r="253" spans="1:8" x14ac:dyDescent="0.2">
      <c r="A253" s="150">
        <f>'High Risk Non-Compliant'!B209</f>
        <v>0</v>
      </c>
      <c r="B253" s="351">
        <f>'High Risk Non-Compliant'!C209</f>
        <v>0</v>
      </c>
      <c r="C253" s="351"/>
      <c r="D253" s="351">
        <f>'High Risk Non-Compliant'!D209</f>
        <v>0</v>
      </c>
      <c r="E253" s="351"/>
      <c r="F253" s="351"/>
      <c r="G253" s="147"/>
      <c r="H253" s="147"/>
    </row>
    <row r="254" spans="1:8" ht="29.25" customHeight="1" x14ac:dyDescent="0.2">
      <c r="A254" s="150">
        <f>'High Risk Non-Compliant'!B210</f>
        <v>0</v>
      </c>
      <c r="B254" s="351">
        <f>'High Risk Non-Compliant'!C210</f>
        <v>0</v>
      </c>
      <c r="C254" s="351"/>
      <c r="D254" s="351">
        <f>'High Risk Non-Compliant'!D210</f>
        <v>0</v>
      </c>
      <c r="E254" s="351"/>
      <c r="F254" s="351"/>
      <c r="G254" s="147"/>
      <c r="H254" s="147"/>
    </row>
    <row r="255" spans="1:8" x14ac:dyDescent="0.2">
      <c r="A255" s="150">
        <f>'High Risk Non-Compliant'!B211</f>
        <v>0</v>
      </c>
      <c r="B255" s="351">
        <f>'High Risk Non-Compliant'!C211</f>
        <v>0</v>
      </c>
      <c r="C255" s="351"/>
      <c r="D255" s="351">
        <f>'High Risk Non-Compliant'!D211</f>
        <v>0</v>
      </c>
      <c r="E255" s="351"/>
      <c r="F255" s="351"/>
      <c r="G255" s="147"/>
      <c r="H255" s="147"/>
    </row>
    <row r="256" spans="1:8" x14ac:dyDescent="0.2">
      <c r="A256" s="150">
        <f>'High Risk Non-Compliant'!B212</f>
        <v>0</v>
      </c>
      <c r="B256" s="351">
        <f>'High Risk Non-Compliant'!C212</f>
        <v>0</v>
      </c>
      <c r="C256" s="351"/>
      <c r="D256" s="351">
        <f>'High Risk Non-Compliant'!D212</f>
        <v>0</v>
      </c>
      <c r="E256" s="351"/>
      <c r="F256" s="351"/>
      <c r="G256" s="147"/>
      <c r="H256" s="147"/>
    </row>
    <row r="257" spans="1:8" x14ac:dyDescent="0.2">
      <c r="A257" s="150">
        <f>'High Risk Non-Compliant'!B213</f>
        <v>0</v>
      </c>
      <c r="B257" s="351">
        <f>'High Risk Non-Compliant'!C213</f>
        <v>0</v>
      </c>
      <c r="C257" s="351"/>
      <c r="D257" s="351">
        <f>'High Risk Non-Compliant'!D213</f>
        <v>0</v>
      </c>
      <c r="E257" s="351"/>
      <c r="F257" s="351"/>
      <c r="G257" s="147"/>
      <c r="H257" s="147"/>
    </row>
    <row r="258" spans="1:8" x14ac:dyDescent="0.2">
      <c r="A258" s="150">
        <f>'High Risk Non-Compliant'!B214</f>
        <v>0</v>
      </c>
      <c r="B258" s="351">
        <f>'High Risk Non-Compliant'!C214</f>
        <v>0</v>
      </c>
      <c r="C258" s="351"/>
      <c r="D258" s="351">
        <f>'High Risk Non-Compliant'!D214</f>
        <v>0</v>
      </c>
      <c r="E258" s="351"/>
      <c r="F258" s="351"/>
      <c r="G258" s="147"/>
      <c r="H258" s="147"/>
    </row>
    <row r="259" spans="1:8" x14ac:dyDescent="0.2">
      <c r="A259" s="150">
        <f>'High Risk Non-Compliant'!B215</f>
        <v>0</v>
      </c>
      <c r="B259" s="351">
        <f>'High Risk Non-Compliant'!C215</f>
        <v>0</v>
      </c>
      <c r="C259" s="351"/>
      <c r="D259" s="351">
        <f>'High Risk Non-Compliant'!D215</f>
        <v>0</v>
      </c>
      <c r="E259" s="351"/>
      <c r="F259" s="351"/>
      <c r="G259" s="147"/>
      <c r="H259" s="147"/>
    </row>
    <row r="260" spans="1:8" x14ac:dyDescent="0.2">
      <c r="A260" s="150">
        <f>'High Risk Non-Compliant'!B216</f>
        <v>0</v>
      </c>
      <c r="B260" s="351">
        <f>'High Risk Non-Compliant'!C216</f>
        <v>0</v>
      </c>
      <c r="C260" s="351"/>
      <c r="D260" s="351">
        <f>'High Risk Non-Compliant'!D216</f>
        <v>0</v>
      </c>
      <c r="E260" s="351"/>
      <c r="F260" s="351"/>
      <c r="G260" s="147"/>
      <c r="H260" s="147"/>
    </row>
    <row r="261" spans="1:8" x14ac:dyDescent="0.2">
      <c r="A261" s="150">
        <f>'High Risk Non-Compliant'!B217</f>
        <v>0</v>
      </c>
      <c r="B261" s="351">
        <f>'High Risk Non-Compliant'!C217</f>
        <v>0</v>
      </c>
      <c r="C261" s="351"/>
      <c r="D261" s="351">
        <f>'High Risk Non-Compliant'!D217</f>
        <v>0</v>
      </c>
      <c r="E261" s="351"/>
      <c r="F261" s="351"/>
      <c r="G261" s="147"/>
      <c r="H261" s="147"/>
    </row>
    <row r="262" spans="1:8" x14ac:dyDescent="0.2">
      <c r="A262" s="150">
        <f>'High Risk Non-Compliant'!B218</f>
        <v>0</v>
      </c>
      <c r="B262" s="351">
        <f>'High Risk Non-Compliant'!C218</f>
        <v>0</v>
      </c>
      <c r="C262" s="351"/>
      <c r="D262" s="351">
        <f>'High Risk Non-Compliant'!D218</f>
        <v>0</v>
      </c>
      <c r="E262" s="351"/>
      <c r="F262" s="351"/>
      <c r="G262" s="147"/>
      <c r="H262" s="147"/>
    </row>
    <row r="263" spans="1:8" x14ac:dyDescent="0.2">
      <c r="A263" s="150">
        <f>'High Risk Non-Compliant'!B219</f>
        <v>0</v>
      </c>
      <c r="B263" s="351">
        <f>'High Risk Non-Compliant'!C219</f>
        <v>0</v>
      </c>
      <c r="C263" s="351"/>
      <c r="D263" s="351">
        <f>'High Risk Non-Compliant'!D219</f>
        <v>0</v>
      </c>
      <c r="E263" s="351"/>
      <c r="F263" s="351"/>
      <c r="G263" s="147"/>
      <c r="H263" s="147"/>
    </row>
    <row r="264" spans="1:8" x14ac:dyDescent="0.2">
      <c r="A264" s="150">
        <f>'High Risk Non-Compliant'!B220</f>
        <v>0</v>
      </c>
      <c r="B264" s="351">
        <f>'High Risk Non-Compliant'!C220</f>
        <v>0</v>
      </c>
      <c r="C264" s="351"/>
      <c r="D264" s="351">
        <f>'High Risk Non-Compliant'!D220</f>
        <v>0</v>
      </c>
      <c r="E264" s="351"/>
      <c r="F264" s="351"/>
      <c r="G264" s="147"/>
      <c r="H264" s="147"/>
    </row>
    <row r="265" spans="1:8" ht="58.5" customHeight="1" x14ac:dyDescent="0.2">
      <c r="A265" s="150">
        <f>'High Risk Non-Compliant'!B221</f>
        <v>0</v>
      </c>
      <c r="B265" s="351">
        <f>'High Risk Non-Compliant'!C221</f>
        <v>0</v>
      </c>
      <c r="C265" s="351"/>
      <c r="D265" s="351">
        <f>'High Risk Non-Compliant'!D221</f>
        <v>0</v>
      </c>
      <c r="E265" s="351"/>
      <c r="F265" s="351"/>
      <c r="G265" s="147"/>
      <c r="H265" s="147"/>
    </row>
    <row r="266" spans="1:8" ht="58.5" customHeight="1" x14ac:dyDescent="0.2">
      <c r="A266" s="150">
        <f>'High Risk Non-Compliant'!B222</f>
        <v>0</v>
      </c>
      <c r="B266" s="351">
        <f>'High Risk Non-Compliant'!C222</f>
        <v>0</v>
      </c>
      <c r="C266" s="351"/>
      <c r="D266" s="351">
        <f>'High Risk Non-Compliant'!D222</f>
        <v>0</v>
      </c>
      <c r="E266" s="351"/>
      <c r="F266" s="351"/>
      <c r="G266" s="147"/>
      <c r="H266" s="147"/>
    </row>
    <row r="267" spans="1:8" ht="58.5" customHeight="1" x14ac:dyDescent="0.2">
      <c r="A267" s="150">
        <f>'High Risk Non-Compliant'!B223</f>
        <v>0</v>
      </c>
      <c r="B267" s="351">
        <f>'High Risk Non-Compliant'!C223</f>
        <v>0</v>
      </c>
      <c r="C267" s="351"/>
      <c r="D267" s="351">
        <f>'High Risk Non-Compliant'!D223</f>
        <v>0</v>
      </c>
      <c r="E267" s="351"/>
      <c r="F267" s="351"/>
      <c r="G267" s="147"/>
      <c r="H267" s="147"/>
    </row>
    <row r="268" spans="1:8" ht="58.5" customHeight="1" x14ac:dyDescent="0.2">
      <c r="A268" s="150">
        <f>'High Risk Non-Compliant'!B224</f>
        <v>0</v>
      </c>
      <c r="B268" s="351">
        <f>'High Risk Non-Compliant'!C224</f>
        <v>0</v>
      </c>
      <c r="C268" s="351"/>
      <c r="D268" s="351">
        <f>'High Risk Non-Compliant'!D224</f>
        <v>0</v>
      </c>
      <c r="E268" s="351"/>
      <c r="F268" s="351"/>
      <c r="G268" s="147"/>
      <c r="H268" s="147"/>
    </row>
    <row r="269" spans="1:8" ht="58.5" customHeight="1" x14ac:dyDescent="0.2">
      <c r="A269" s="150">
        <f>'High Risk Non-Compliant'!B225</f>
        <v>0</v>
      </c>
      <c r="B269" s="351">
        <f>'High Risk Non-Compliant'!C225</f>
        <v>0</v>
      </c>
      <c r="C269" s="351"/>
      <c r="D269" s="351">
        <f>'High Risk Non-Compliant'!D225</f>
        <v>0</v>
      </c>
      <c r="E269" s="351"/>
      <c r="F269" s="351"/>
      <c r="G269" s="147"/>
      <c r="H269" s="147"/>
    </row>
    <row r="270" spans="1:8" ht="58.5" customHeight="1" x14ac:dyDescent="0.2">
      <c r="A270" s="150">
        <f>'High Risk Non-Compliant'!B226</f>
        <v>0</v>
      </c>
      <c r="B270" s="351">
        <f>'High Risk Non-Compliant'!C226</f>
        <v>0</v>
      </c>
      <c r="C270" s="351"/>
      <c r="D270" s="351">
        <f>'High Risk Non-Compliant'!D226</f>
        <v>0</v>
      </c>
      <c r="E270" s="351"/>
      <c r="F270" s="351"/>
      <c r="G270" s="147"/>
      <c r="H270" s="147"/>
    </row>
    <row r="271" spans="1:8" ht="58.5" customHeight="1" x14ac:dyDescent="0.2">
      <c r="A271" s="150">
        <f>'High Risk Non-Compliant'!B227</f>
        <v>0</v>
      </c>
      <c r="B271" s="351">
        <f>'High Risk Non-Compliant'!C227</f>
        <v>0</v>
      </c>
      <c r="C271" s="351"/>
      <c r="D271" s="351">
        <f>'High Risk Non-Compliant'!D227</f>
        <v>0</v>
      </c>
      <c r="E271" s="351"/>
      <c r="F271" s="351"/>
      <c r="G271" s="147"/>
      <c r="H271" s="147"/>
    </row>
    <row r="272" spans="1:8" x14ac:dyDescent="0.2">
      <c r="A272" s="150">
        <f>'High Risk Non-Compliant'!B228</f>
        <v>0</v>
      </c>
      <c r="B272" s="351">
        <f>'High Risk Non-Compliant'!C228</f>
        <v>0</v>
      </c>
      <c r="C272" s="351"/>
      <c r="D272" s="351">
        <f>'High Risk Non-Compliant'!D228</f>
        <v>0</v>
      </c>
      <c r="E272" s="351"/>
      <c r="F272" s="351"/>
      <c r="G272" s="147"/>
      <c r="H272" s="147"/>
    </row>
    <row r="273" spans="1:8" x14ac:dyDescent="0.2">
      <c r="A273" s="150">
        <f>'High Risk Non-Compliant'!B229</f>
        <v>0</v>
      </c>
      <c r="B273" s="351">
        <f>'High Risk Non-Compliant'!C229</f>
        <v>0</v>
      </c>
      <c r="C273" s="351"/>
      <c r="D273" s="351">
        <f>'High Risk Non-Compliant'!D229</f>
        <v>0</v>
      </c>
      <c r="E273" s="351"/>
      <c r="F273" s="351"/>
      <c r="G273" s="147"/>
      <c r="H273" s="147"/>
    </row>
    <row r="274" spans="1:8" x14ac:dyDescent="0.2">
      <c r="A274" s="150">
        <f>'High Risk Non-Compliant'!B230</f>
        <v>0</v>
      </c>
      <c r="B274" s="351">
        <f>'High Risk Non-Compliant'!C230</f>
        <v>0</v>
      </c>
      <c r="C274" s="351"/>
      <c r="D274" s="351">
        <f>'High Risk Non-Compliant'!D230</f>
        <v>0</v>
      </c>
      <c r="E274" s="351"/>
      <c r="F274" s="351"/>
      <c r="G274" s="147"/>
      <c r="H274" s="147"/>
    </row>
    <row r="275" spans="1:8" ht="44" customHeight="1" x14ac:dyDescent="0.2">
      <c r="A275" s="150">
        <f>'High Risk Non-Compliant'!B231</f>
        <v>0</v>
      </c>
      <c r="B275" s="351">
        <f>'High Risk Non-Compliant'!C231</f>
        <v>0</v>
      </c>
      <c r="C275" s="351"/>
      <c r="D275" s="351">
        <f>'High Risk Non-Compliant'!D231</f>
        <v>0</v>
      </c>
      <c r="E275" s="351"/>
      <c r="F275" s="351"/>
      <c r="G275" s="147"/>
      <c r="H275" s="147"/>
    </row>
    <row r="276" spans="1:8" ht="44" customHeight="1" x14ac:dyDescent="0.2">
      <c r="A276" s="150">
        <f>'High Risk Non-Compliant'!B232</f>
        <v>0</v>
      </c>
      <c r="B276" s="351">
        <f>'High Risk Non-Compliant'!C232</f>
        <v>0</v>
      </c>
      <c r="C276" s="351"/>
      <c r="D276" s="351">
        <f>'High Risk Non-Compliant'!D232</f>
        <v>0</v>
      </c>
      <c r="E276" s="351"/>
      <c r="F276" s="351"/>
      <c r="G276" s="147"/>
      <c r="H276" s="147"/>
    </row>
    <row r="277" spans="1:8" ht="44" customHeight="1" x14ac:dyDescent="0.2">
      <c r="A277" s="150">
        <f>'High Risk Non-Compliant'!B233</f>
        <v>0</v>
      </c>
      <c r="B277" s="351">
        <f>'High Risk Non-Compliant'!C233</f>
        <v>0</v>
      </c>
      <c r="C277" s="351"/>
      <c r="D277" s="351">
        <f>'High Risk Non-Compliant'!D233</f>
        <v>0</v>
      </c>
      <c r="E277" s="351"/>
      <c r="F277" s="351"/>
      <c r="G277" s="147"/>
      <c r="H277" s="147"/>
    </row>
    <row r="278" spans="1:8" ht="44" customHeight="1" x14ac:dyDescent="0.2">
      <c r="A278" s="150">
        <f>'High Risk Non-Compliant'!B234</f>
        <v>0</v>
      </c>
      <c r="B278" s="351">
        <f>'High Risk Non-Compliant'!C234</f>
        <v>0</v>
      </c>
      <c r="C278" s="351"/>
      <c r="D278" s="351">
        <f>'High Risk Non-Compliant'!D234</f>
        <v>0</v>
      </c>
      <c r="E278" s="351"/>
      <c r="F278" s="351"/>
      <c r="G278" s="147"/>
      <c r="H278" s="147"/>
    </row>
    <row r="279" spans="1:8" ht="44" customHeight="1" x14ac:dyDescent="0.2">
      <c r="A279" s="150">
        <f>'High Risk Non-Compliant'!B235</f>
        <v>0</v>
      </c>
      <c r="B279" s="351">
        <f>'High Risk Non-Compliant'!C235</f>
        <v>0</v>
      </c>
      <c r="C279" s="351"/>
      <c r="D279" s="351">
        <f>'High Risk Non-Compliant'!D235</f>
        <v>0</v>
      </c>
      <c r="E279" s="351"/>
      <c r="F279" s="351"/>
      <c r="G279" s="147"/>
      <c r="H279" s="147"/>
    </row>
    <row r="280" spans="1:8" ht="44" customHeight="1" x14ac:dyDescent="0.2">
      <c r="A280" s="150">
        <f>'High Risk Non-Compliant'!B236</f>
        <v>0</v>
      </c>
      <c r="B280" s="351">
        <f>'High Risk Non-Compliant'!C236</f>
        <v>0</v>
      </c>
      <c r="C280" s="351"/>
      <c r="D280" s="351">
        <f>'High Risk Non-Compliant'!D236</f>
        <v>0</v>
      </c>
      <c r="E280" s="351"/>
      <c r="F280" s="351"/>
      <c r="G280" s="147"/>
      <c r="H280" s="147"/>
    </row>
    <row r="281" spans="1:8" ht="44" customHeight="1" x14ac:dyDescent="0.2">
      <c r="A281" s="150">
        <f>'High Risk Non-Compliant'!B237</f>
        <v>0</v>
      </c>
      <c r="B281" s="351">
        <f>'High Risk Non-Compliant'!C237</f>
        <v>0</v>
      </c>
      <c r="C281" s="351"/>
      <c r="D281" s="351">
        <f>'High Risk Non-Compliant'!D237</f>
        <v>0</v>
      </c>
      <c r="E281" s="351"/>
      <c r="F281" s="351"/>
      <c r="G281" s="147"/>
      <c r="H281" s="147"/>
    </row>
    <row r="282" spans="1:8" ht="29.25" customHeight="1" x14ac:dyDescent="0.2">
      <c r="A282" s="150">
        <f>'High Risk Non-Compliant'!B238</f>
        <v>0</v>
      </c>
      <c r="B282" s="351">
        <f>'High Risk Non-Compliant'!C238</f>
        <v>0</v>
      </c>
      <c r="C282" s="351"/>
      <c r="D282" s="351">
        <f>'High Risk Non-Compliant'!D238</f>
        <v>0</v>
      </c>
      <c r="E282" s="351"/>
      <c r="F282" s="351"/>
      <c r="G282" s="147"/>
      <c r="H282" s="147"/>
    </row>
    <row r="283" spans="1:8" ht="29.25" customHeight="1" x14ac:dyDescent="0.2">
      <c r="A283" s="150">
        <f>'High Risk Non-Compliant'!B239</f>
        <v>0</v>
      </c>
      <c r="B283" s="351">
        <f>'High Risk Non-Compliant'!C239</f>
        <v>0</v>
      </c>
      <c r="C283" s="351"/>
      <c r="D283" s="351">
        <f>'High Risk Non-Compliant'!D239</f>
        <v>0</v>
      </c>
      <c r="E283" s="351"/>
      <c r="F283" s="351"/>
      <c r="G283" s="147"/>
      <c r="H283" s="147"/>
    </row>
    <row r="284" spans="1:8" ht="29.25" customHeight="1" x14ac:dyDescent="0.2">
      <c r="A284" s="150">
        <f>'High Risk Non-Compliant'!B240</f>
        <v>0</v>
      </c>
      <c r="B284" s="351">
        <f>'High Risk Non-Compliant'!C240</f>
        <v>0</v>
      </c>
      <c r="C284" s="351"/>
      <c r="D284" s="351">
        <f>'High Risk Non-Compliant'!D240</f>
        <v>0</v>
      </c>
      <c r="E284" s="351"/>
      <c r="F284" s="351"/>
      <c r="G284" s="147"/>
      <c r="H284" s="147"/>
    </row>
    <row r="285" spans="1:8" x14ac:dyDescent="0.2">
      <c r="A285" s="150">
        <f>'High Risk Non-Compliant'!B241</f>
        <v>0</v>
      </c>
      <c r="B285" s="351">
        <f>'High Risk Non-Compliant'!C241</f>
        <v>0</v>
      </c>
      <c r="C285" s="351"/>
      <c r="D285" s="351">
        <f>'High Risk Non-Compliant'!D241</f>
        <v>0</v>
      </c>
      <c r="E285" s="351"/>
      <c r="F285" s="351"/>
      <c r="G285" s="147"/>
      <c r="H285" s="147"/>
    </row>
    <row r="286" spans="1:8" x14ac:dyDescent="0.2">
      <c r="A286" s="150">
        <f>'High Risk Non-Compliant'!B242</f>
        <v>0</v>
      </c>
      <c r="B286" s="351">
        <f>'High Risk Non-Compliant'!C242</f>
        <v>0</v>
      </c>
      <c r="C286" s="351"/>
      <c r="D286" s="351">
        <f>'High Risk Non-Compliant'!D242</f>
        <v>0</v>
      </c>
      <c r="E286" s="351"/>
      <c r="F286" s="351"/>
      <c r="G286" s="147"/>
      <c r="H286" s="147"/>
    </row>
    <row r="287" spans="1:8" ht="44" customHeight="1" x14ac:dyDescent="0.2">
      <c r="A287" s="150">
        <f>'High Risk Non-Compliant'!B243</f>
        <v>0</v>
      </c>
      <c r="B287" s="351">
        <f>'High Risk Non-Compliant'!C243</f>
        <v>0</v>
      </c>
      <c r="C287" s="351"/>
      <c r="D287" s="351">
        <f>'High Risk Non-Compliant'!D243</f>
        <v>0</v>
      </c>
      <c r="E287" s="351"/>
      <c r="F287" s="351"/>
      <c r="G287" s="147"/>
      <c r="H287" s="147"/>
    </row>
    <row r="288" spans="1:8" ht="44" customHeight="1" x14ac:dyDescent="0.2">
      <c r="A288" s="150">
        <f>'High Risk Non-Compliant'!B244</f>
        <v>0</v>
      </c>
      <c r="B288" s="351">
        <f>'High Risk Non-Compliant'!C244</f>
        <v>0</v>
      </c>
      <c r="C288" s="351"/>
      <c r="D288" s="351">
        <f>'High Risk Non-Compliant'!D244</f>
        <v>0</v>
      </c>
      <c r="E288" s="351"/>
      <c r="F288" s="351"/>
      <c r="G288" s="147"/>
      <c r="H288" s="147"/>
    </row>
    <row r="289" spans="1:8" ht="87.75" customHeight="1" x14ac:dyDescent="0.2">
      <c r="A289" s="150">
        <f>'High Risk Non-Compliant'!B245</f>
        <v>0</v>
      </c>
      <c r="B289" s="351">
        <f>'High Risk Non-Compliant'!C245</f>
        <v>0</v>
      </c>
      <c r="C289" s="351"/>
      <c r="D289" s="351">
        <f>'High Risk Non-Compliant'!D245</f>
        <v>0</v>
      </c>
      <c r="E289" s="351"/>
      <c r="F289" s="351"/>
      <c r="G289" s="147"/>
      <c r="H289" s="147"/>
    </row>
    <row r="290" spans="1:8" ht="73.25" customHeight="1" x14ac:dyDescent="0.2">
      <c r="A290" s="150">
        <f>'High Risk Non-Compliant'!B246</f>
        <v>0</v>
      </c>
      <c r="B290" s="351">
        <f>'High Risk Non-Compliant'!C246</f>
        <v>0</v>
      </c>
      <c r="C290" s="351"/>
      <c r="D290" s="351">
        <f>'High Risk Non-Compliant'!D246</f>
        <v>0</v>
      </c>
      <c r="E290" s="351"/>
      <c r="F290" s="351"/>
      <c r="G290" s="147"/>
      <c r="H290" s="147"/>
    </row>
    <row r="291" spans="1:8" ht="73.25" customHeight="1" x14ac:dyDescent="0.2">
      <c r="A291" s="150">
        <f>'High Risk Non-Compliant'!B247</f>
        <v>0</v>
      </c>
      <c r="B291" s="351">
        <f>'High Risk Non-Compliant'!C247</f>
        <v>0</v>
      </c>
      <c r="C291" s="351"/>
      <c r="D291" s="351">
        <f>'High Risk Non-Compliant'!D247</f>
        <v>0</v>
      </c>
      <c r="E291" s="351"/>
      <c r="F291" s="351"/>
      <c r="G291" s="147"/>
      <c r="H291" s="147"/>
    </row>
    <row r="292" spans="1:8" ht="44" customHeight="1" x14ac:dyDescent="0.2">
      <c r="A292" s="150">
        <f>'High Risk Non-Compliant'!B248</f>
        <v>0</v>
      </c>
      <c r="B292" s="351">
        <f>'High Risk Non-Compliant'!C248</f>
        <v>0</v>
      </c>
      <c r="C292" s="351"/>
      <c r="D292" s="351">
        <f>'High Risk Non-Compliant'!D248</f>
        <v>0</v>
      </c>
      <c r="E292" s="351"/>
      <c r="F292" s="351"/>
      <c r="G292" s="147"/>
      <c r="H292" s="147"/>
    </row>
    <row r="293" spans="1:8" ht="29.25" customHeight="1" x14ac:dyDescent="0.2">
      <c r="A293" s="150">
        <f>'High Risk Non-Compliant'!B249</f>
        <v>0</v>
      </c>
      <c r="B293" s="351">
        <f>'High Risk Non-Compliant'!C249</f>
        <v>0</v>
      </c>
      <c r="C293" s="351"/>
      <c r="D293" s="351">
        <f>'High Risk Non-Compliant'!D249</f>
        <v>0</v>
      </c>
      <c r="E293" s="351"/>
      <c r="F293" s="351"/>
      <c r="G293" s="147"/>
      <c r="H293" s="147"/>
    </row>
    <row r="294" spans="1:8" ht="29.25" customHeight="1" x14ac:dyDescent="0.2">
      <c r="A294" s="150">
        <f>'High Risk Non-Compliant'!B250</f>
        <v>0</v>
      </c>
      <c r="B294" s="351">
        <f>'High Risk Non-Compliant'!C250</f>
        <v>0</v>
      </c>
      <c r="C294" s="351"/>
      <c r="D294" s="351">
        <f>'High Risk Non-Compliant'!D250</f>
        <v>0</v>
      </c>
      <c r="E294" s="351"/>
      <c r="F294" s="351"/>
      <c r="G294" s="147"/>
      <c r="H294" s="147"/>
    </row>
    <row r="295" spans="1:8" ht="29.25" customHeight="1" x14ac:dyDescent="0.2">
      <c r="A295" s="150">
        <f>'High Risk Non-Compliant'!B251</f>
        <v>0</v>
      </c>
      <c r="B295" s="351">
        <f>'High Risk Non-Compliant'!C251</f>
        <v>0</v>
      </c>
      <c r="C295" s="351"/>
      <c r="D295" s="351">
        <f>'High Risk Non-Compliant'!D251</f>
        <v>0</v>
      </c>
      <c r="E295" s="351"/>
      <c r="F295" s="351"/>
      <c r="G295" s="147"/>
      <c r="H295" s="147"/>
    </row>
    <row r="296" spans="1:8" ht="44" customHeight="1" x14ac:dyDescent="0.2">
      <c r="A296" s="150">
        <f>'High Risk Non-Compliant'!B252</f>
        <v>0</v>
      </c>
      <c r="B296" s="351">
        <f>'High Risk Non-Compliant'!C252</f>
        <v>0</v>
      </c>
      <c r="C296" s="351"/>
      <c r="D296" s="351">
        <f>'High Risk Non-Compliant'!D252</f>
        <v>0</v>
      </c>
      <c r="E296" s="351"/>
      <c r="F296" s="351"/>
      <c r="G296" s="147"/>
      <c r="H296" s="147"/>
    </row>
    <row r="297" spans="1:8" ht="29.25" customHeight="1" x14ac:dyDescent="0.2">
      <c r="A297" s="150">
        <f>'High Risk Non-Compliant'!B253</f>
        <v>0</v>
      </c>
      <c r="B297" s="351">
        <f>'High Risk Non-Compliant'!C253</f>
        <v>0</v>
      </c>
      <c r="C297" s="351"/>
      <c r="D297" s="351">
        <f>'High Risk Non-Compliant'!D253</f>
        <v>0</v>
      </c>
      <c r="E297" s="351"/>
      <c r="F297" s="351"/>
      <c r="G297" s="147"/>
      <c r="H297" s="147"/>
    </row>
    <row r="298" spans="1:8" ht="73.25" customHeight="1" x14ac:dyDescent="0.2">
      <c r="A298" s="150">
        <f>'High Risk Non-Compliant'!B254</f>
        <v>0</v>
      </c>
      <c r="B298" s="351">
        <f>'High Risk Non-Compliant'!C254</f>
        <v>0</v>
      </c>
      <c r="C298" s="351"/>
      <c r="D298" s="351">
        <f>'High Risk Non-Compliant'!D254</f>
        <v>0</v>
      </c>
      <c r="E298" s="351"/>
      <c r="F298" s="351"/>
      <c r="G298" s="147"/>
      <c r="H298" s="147"/>
    </row>
    <row r="299" spans="1:8" ht="58.5" customHeight="1" x14ac:dyDescent="0.2">
      <c r="A299" s="150">
        <f>'High Risk Non-Compliant'!B255</f>
        <v>0</v>
      </c>
      <c r="B299" s="351">
        <f>'High Risk Non-Compliant'!C255</f>
        <v>0</v>
      </c>
      <c r="C299" s="351"/>
      <c r="D299" s="351">
        <f>'High Risk Non-Compliant'!D255</f>
        <v>0</v>
      </c>
      <c r="E299" s="351"/>
      <c r="F299" s="351"/>
      <c r="G299" s="147"/>
      <c r="H299" s="147"/>
    </row>
    <row r="300" spans="1:8" ht="73.25" customHeight="1" x14ac:dyDescent="0.2">
      <c r="A300" s="150">
        <f>'High Risk Non-Compliant'!B256</f>
        <v>0</v>
      </c>
      <c r="B300" s="351">
        <f>'High Risk Non-Compliant'!C256</f>
        <v>0</v>
      </c>
      <c r="C300" s="351"/>
      <c r="D300" s="351">
        <f>'High Risk Non-Compliant'!D256</f>
        <v>0</v>
      </c>
      <c r="E300" s="351"/>
      <c r="F300" s="351"/>
      <c r="G300" s="147"/>
      <c r="H300" s="147"/>
    </row>
    <row r="301" spans="1:8" ht="87.75" customHeight="1" x14ac:dyDescent="0.2">
      <c r="A301" s="150">
        <f>'High Risk Non-Compliant'!B257</f>
        <v>0</v>
      </c>
      <c r="B301" s="351">
        <f>'High Risk Non-Compliant'!C257</f>
        <v>0</v>
      </c>
      <c r="C301" s="351"/>
      <c r="D301" s="351">
        <f>'High Risk Non-Compliant'!D257</f>
        <v>0</v>
      </c>
      <c r="E301" s="351"/>
      <c r="F301" s="351"/>
      <c r="G301" s="147"/>
      <c r="H301" s="147"/>
    </row>
    <row r="302" spans="1:8" ht="29.25" customHeight="1" x14ac:dyDescent="0.2">
      <c r="A302" s="150">
        <f>'High Risk Non-Compliant'!B258</f>
        <v>0</v>
      </c>
      <c r="B302" s="351">
        <f>'High Risk Non-Compliant'!C258</f>
        <v>0</v>
      </c>
      <c r="C302" s="351"/>
      <c r="D302" s="351">
        <f>'High Risk Non-Compliant'!D258</f>
        <v>0</v>
      </c>
      <c r="E302" s="351"/>
      <c r="F302" s="351"/>
      <c r="G302" s="147"/>
      <c r="H302" s="147"/>
    </row>
    <row r="303" spans="1:8" ht="29.25" customHeight="1" x14ac:dyDescent="0.2">
      <c r="A303" s="150">
        <f>'High Risk Non-Compliant'!B259</f>
        <v>0</v>
      </c>
      <c r="B303" s="351">
        <f>'High Risk Non-Compliant'!C259</f>
        <v>0</v>
      </c>
      <c r="C303" s="351"/>
      <c r="D303" s="351">
        <f>'High Risk Non-Compliant'!D259</f>
        <v>0</v>
      </c>
      <c r="E303" s="351"/>
      <c r="F303" s="351"/>
      <c r="G303" s="147"/>
      <c r="H303" s="147"/>
    </row>
    <row r="304" spans="1:8" ht="29.25" customHeight="1" x14ac:dyDescent="0.2">
      <c r="A304" s="150">
        <f>'High Risk Non-Compliant'!B260</f>
        <v>0</v>
      </c>
      <c r="B304" s="351">
        <f>'High Risk Non-Compliant'!C260</f>
        <v>0</v>
      </c>
      <c r="C304" s="351"/>
      <c r="D304" s="351">
        <f>'High Risk Non-Compliant'!D260</f>
        <v>0</v>
      </c>
      <c r="E304" s="351"/>
      <c r="F304" s="351"/>
      <c r="G304" s="147"/>
      <c r="H304" s="147"/>
    </row>
    <row r="305" spans="1:8" ht="29.25" customHeight="1" x14ac:dyDescent="0.2">
      <c r="A305" s="150">
        <f>'High Risk Non-Compliant'!B261</f>
        <v>0</v>
      </c>
      <c r="B305" s="351">
        <f>'High Risk Non-Compliant'!C261</f>
        <v>0</v>
      </c>
      <c r="C305" s="351"/>
      <c r="D305" s="351">
        <f>'High Risk Non-Compliant'!D261</f>
        <v>0</v>
      </c>
      <c r="E305" s="351"/>
      <c r="F305" s="351"/>
      <c r="G305" s="147"/>
      <c r="H305" s="147"/>
    </row>
    <row r="306" spans="1:8" ht="29.25" customHeight="1" x14ac:dyDescent="0.2">
      <c r="A306" s="150">
        <f>'High Risk Non-Compliant'!B262</f>
        <v>0</v>
      </c>
      <c r="B306" s="351">
        <f>'High Risk Non-Compliant'!C262</f>
        <v>0</v>
      </c>
      <c r="C306" s="351"/>
      <c r="D306" s="351">
        <f>'High Risk Non-Compliant'!D262</f>
        <v>0</v>
      </c>
      <c r="E306" s="351"/>
      <c r="F306" s="351"/>
      <c r="G306" s="147"/>
      <c r="H306" s="147"/>
    </row>
    <row r="307" spans="1:8" ht="44" customHeight="1" x14ac:dyDescent="0.2">
      <c r="A307" s="150">
        <f>'High Risk Non-Compliant'!B263</f>
        <v>0</v>
      </c>
      <c r="B307" s="351">
        <f>'High Risk Non-Compliant'!C263</f>
        <v>0</v>
      </c>
      <c r="C307" s="351"/>
      <c r="D307" s="351">
        <f>'High Risk Non-Compliant'!D263</f>
        <v>0</v>
      </c>
      <c r="E307" s="351"/>
      <c r="F307" s="351"/>
      <c r="G307" s="147"/>
      <c r="H307" s="147"/>
    </row>
    <row r="308" spans="1:8" ht="29.25" customHeight="1" x14ac:dyDescent="0.2">
      <c r="A308" s="150">
        <f>'High Risk Non-Compliant'!B264</f>
        <v>0</v>
      </c>
      <c r="B308" s="351">
        <f>'High Risk Non-Compliant'!C264</f>
        <v>0</v>
      </c>
      <c r="C308" s="351"/>
      <c r="D308" s="351">
        <f>'High Risk Non-Compliant'!D264</f>
        <v>0</v>
      </c>
      <c r="E308" s="351"/>
      <c r="F308" s="351"/>
      <c r="G308" s="147"/>
      <c r="H308" s="147"/>
    </row>
    <row r="309" spans="1:8" x14ac:dyDescent="0.2">
      <c r="A309" s="150">
        <f>'High Risk Non-Compliant'!B265</f>
        <v>0</v>
      </c>
      <c r="B309" s="351">
        <f>'High Risk Non-Compliant'!C265</f>
        <v>0</v>
      </c>
      <c r="C309" s="351"/>
      <c r="D309" s="351">
        <f>'High Risk Non-Compliant'!D265</f>
        <v>0</v>
      </c>
      <c r="E309" s="351"/>
      <c r="F309" s="351"/>
      <c r="G309" s="147"/>
      <c r="H309" s="147"/>
    </row>
    <row r="310" spans="1:8" x14ac:dyDescent="0.2">
      <c r="A310" s="150">
        <f>'High Risk Non-Compliant'!B266</f>
        <v>0</v>
      </c>
      <c r="B310" s="351">
        <f>'High Risk Non-Compliant'!C266</f>
        <v>0</v>
      </c>
      <c r="C310" s="351"/>
      <c r="D310" s="351">
        <f>'High Risk Non-Compliant'!D266</f>
        <v>0</v>
      </c>
      <c r="E310" s="351"/>
      <c r="F310" s="351"/>
      <c r="G310" s="147"/>
      <c r="H310" s="147"/>
    </row>
    <row r="311" spans="1:8" ht="44" customHeight="1" x14ac:dyDescent="0.2">
      <c r="A311" s="150">
        <f>'High Risk Non-Compliant'!B267</f>
        <v>0</v>
      </c>
      <c r="B311" s="351">
        <f>'High Risk Non-Compliant'!C267</f>
        <v>0</v>
      </c>
      <c r="C311" s="351"/>
      <c r="D311" s="351">
        <f>'High Risk Non-Compliant'!D267</f>
        <v>0</v>
      </c>
      <c r="E311" s="351"/>
      <c r="F311" s="351"/>
      <c r="G311" s="147"/>
      <c r="H311" s="147"/>
    </row>
    <row r="312" spans="1:8" ht="44" customHeight="1" x14ac:dyDescent="0.2">
      <c r="A312" s="150">
        <f>'High Risk Non-Compliant'!B268</f>
        <v>0</v>
      </c>
      <c r="B312" s="351">
        <f>'High Risk Non-Compliant'!C268</f>
        <v>0</v>
      </c>
      <c r="C312" s="351"/>
      <c r="D312" s="351">
        <f>'High Risk Non-Compliant'!D268</f>
        <v>0</v>
      </c>
      <c r="E312" s="351"/>
      <c r="F312" s="351"/>
      <c r="G312" s="147"/>
      <c r="H312" s="147"/>
    </row>
    <row r="313" spans="1:8" ht="44" customHeight="1" x14ac:dyDescent="0.2">
      <c r="A313" s="150">
        <f>'High Risk Non-Compliant'!B269</f>
        <v>0</v>
      </c>
      <c r="B313" s="351">
        <f>'High Risk Non-Compliant'!C269</f>
        <v>0</v>
      </c>
      <c r="C313" s="351"/>
      <c r="D313" s="351">
        <f>'High Risk Non-Compliant'!D269</f>
        <v>0</v>
      </c>
      <c r="E313" s="351"/>
      <c r="F313" s="351"/>
      <c r="G313" s="147"/>
      <c r="H313" s="147"/>
    </row>
    <row r="314" spans="1:8" ht="44" customHeight="1" x14ac:dyDescent="0.2">
      <c r="A314" s="150">
        <f>'High Risk Non-Compliant'!B270</f>
        <v>0</v>
      </c>
      <c r="B314" s="351">
        <f>'High Risk Non-Compliant'!C270</f>
        <v>0</v>
      </c>
      <c r="C314" s="351"/>
      <c r="D314" s="351">
        <f>'High Risk Non-Compliant'!D270</f>
        <v>0</v>
      </c>
      <c r="E314" s="351"/>
      <c r="F314" s="351"/>
      <c r="G314" s="147"/>
      <c r="H314" s="147"/>
    </row>
    <row r="315" spans="1:8" ht="29.25" customHeight="1" x14ac:dyDescent="0.2">
      <c r="A315" s="150">
        <f>'High Risk Non-Compliant'!B271</f>
        <v>0</v>
      </c>
      <c r="B315" s="351">
        <f>'High Risk Non-Compliant'!C271</f>
        <v>0</v>
      </c>
      <c r="C315" s="351"/>
      <c r="D315" s="351">
        <f>'High Risk Non-Compliant'!D271</f>
        <v>0</v>
      </c>
      <c r="E315" s="351"/>
      <c r="F315" s="351"/>
      <c r="G315" s="147"/>
      <c r="H315" s="147"/>
    </row>
    <row r="316" spans="1:8" ht="29.25" customHeight="1" x14ac:dyDescent="0.2">
      <c r="A316" s="150">
        <f>'High Risk Non-Compliant'!B272</f>
        <v>0</v>
      </c>
      <c r="B316" s="351">
        <f>'High Risk Non-Compliant'!C272</f>
        <v>0</v>
      </c>
      <c r="C316" s="351"/>
      <c r="D316" s="351">
        <f>'High Risk Non-Compliant'!D272</f>
        <v>0</v>
      </c>
      <c r="E316" s="351"/>
      <c r="F316" s="351"/>
      <c r="G316" s="147"/>
      <c r="H316" s="147"/>
    </row>
  </sheetData>
  <mergeCells count="547">
    <mergeCell ref="B52:C52"/>
    <mergeCell ref="D52:F52"/>
    <mergeCell ref="B53:C53"/>
    <mergeCell ref="D53:F53"/>
    <mergeCell ref="B54:C54"/>
    <mergeCell ref="D54:F54"/>
    <mergeCell ref="B49:C49"/>
    <mergeCell ref="D49:F49"/>
    <mergeCell ref="B50:C50"/>
    <mergeCell ref="D50:F50"/>
    <mergeCell ref="B51:C51"/>
    <mergeCell ref="D51:F51"/>
    <mergeCell ref="B58:C58"/>
    <mergeCell ref="D58:F58"/>
    <mergeCell ref="B59:C59"/>
    <mergeCell ref="D59:F59"/>
    <mergeCell ref="B60:C60"/>
    <mergeCell ref="D60:F60"/>
    <mergeCell ref="B55:C55"/>
    <mergeCell ref="D55:F55"/>
    <mergeCell ref="B56:C56"/>
    <mergeCell ref="D56:F56"/>
    <mergeCell ref="B57:C57"/>
    <mergeCell ref="D57:F57"/>
    <mergeCell ref="B64:C64"/>
    <mergeCell ref="D64:F64"/>
    <mergeCell ref="B65:C65"/>
    <mergeCell ref="D65:F65"/>
    <mergeCell ref="B66:C66"/>
    <mergeCell ref="D66:F66"/>
    <mergeCell ref="B61:C61"/>
    <mergeCell ref="D61:F61"/>
    <mergeCell ref="B62:C62"/>
    <mergeCell ref="D62:F62"/>
    <mergeCell ref="B63:C63"/>
    <mergeCell ref="D63:F63"/>
    <mergeCell ref="B70:C70"/>
    <mergeCell ref="D70:F70"/>
    <mergeCell ref="B71:C71"/>
    <mergeCell ref="D71:F71"/>
    <mergeCell ref="B72:C72"/>
    <mergeCell ref="D72:F72"/>
    <mergeCell ref="B67:C67"/>
    <mergeCell ref="D67:F67"/>
    <mergeCell ref="B68:C68"/>
    <mergeCell ref="D68:F68"/>
    <mergeCell ref="B69:C69"/>
    <mergeCell ref="D69:F69"/>
    <mergeCell ref="B76:C76"/>
    <mergeCell ref="D76:F76"/>
    <mergeCell ref="B77:C77"/>
    <mergeCell ref="D77:F77"/>
    <mergeCell ref="B78:C78"/>
    <mergeCell ref="D78:F78"/>
    <mergeCell ref="B73:C73"/>
    <mergeCell ref="D73:F73"/>
    <mergeCell ref="B74:C74"/>
    <mergeCell ref="D74:F74"/>
    <mergeCell ref="B75:C75"/>
    <mergeCell ref="D75:F75"/>
    <mergeCell ref="B82:C82"/>
    <mergeCell ref="D82:F82"/>
    <mergeCell ref="B83:C83"/>
    <mergeCell ref="D83:F83"/>
    <mergeCell ref="B84:C84"/>
    <mergeCell ref="D84:F84"/>
    <mergeCell ref="B79:C79"/>
    <mergeCell ref="D79:F79"/>
    <mergeCell ref="B80:C80"/>
    <mergeCell ref="D80:F80"/>
    <mergeCell ref="B81:C81"/>
    <mergeCell ref="D81:F81"/>
    <mergeCell ref="B88:C88"/>
    <mergeCell ref="D88:F88"/>
    <mergeCell ref="B89:C89"/>
    <mergeCell ref="D89:F89"/>
    <mergeCell ref="B90:C90"/>
    <mergeCell ref="D90:F90"/>
    <mergeCell ref="B85:C85"/>
    <mergeCell ref="D85:F85"/>
    <mergeCell ref="B86:C86"/>
    <mergeCell ref="D86:F86"/>
    <mergeCell ref="B87:C87"/>
    <mergeCell ref="D87:F87"/>
    <mergeCell ref="B94:C94"/>
    <mergeCell ref="D94:F94"/>
    <mergeCell ref="B95:C95"/>
    <mergeCell ref="D95:F95"/>
    <mergeCell ref="B96:C96"/>
    <mergeCell ref="D96:F96"/>
    <mergeCell ref="B91:C91"/>
    <mergeCell ref="D91:F91"/>
    <mergeCell ref="B92:C92"/>
    <mergeCell ref="D92:F92"/>
    <mergeCell ref="B93:C93"/>
    <mergeCell ref="D93:F93"/>
    <mergeCell ref="B100:C100"/>
    <mergeCell ref="D100:F100"/>
    <mergeCell ref="B101:C101"/>
    <mergeCell ref="D101:F101"/>
    <mergeCell ref="B102:C102"/>
    <mergeCell ref="D102:F102"/>
    <mergeCell ref="B97:C97"/>
    <mergeCell ref="D97:F97"/>
    <mergeCell ref="B98:C98"/>
    <mergeCell ref="D98:F98"/>
    <mergeCell ref="B99:C99"/>
    <mergeCell ref="D99:F99"/>
    <mergeCell ref="B106:C106"/>
    <mergeCell ref="D106:F106"/>
    <mergeCell ref="B107:C107"/>
    <mergeCell ref="D107:F107"/>
    <mergeCell ref="B108:C108"/>
    <mergeCell ref="D108:F108"/>
    <mergeCell ref="B103:C103"/>
    <mergeCell ref="D103:F103"/>
    <mergeCell ref="B104:C104"/>
    <mergeCell ref="D104:F104"/>
    <mergeCell ref="B105:C105"/>
    <mergeCell ref="D105:F105"/>
    <mergeCell ref="B112:C112"/>
    <mergeCell ref="D112:F112"/>
    <mergeCell ref="B113:C113"/>
    <mergeCell ref="D113:F113"/>
    <mergeCell ref="B114:C114"/>
    <mergeCell ref="D114:F114"/>
    <mergeCell ref="B109:C109"/>
    <mergeCell ref="D109:F109"/>
    <mergeCell ref="B110:C110"/>
    <mergeCell ref="D110:F110"/>
    <mergeCell ref="B111:C111"/>
    <mergeCell ref="D111:F111"/>
    <mergeCell ref="B118:C118"/>
    <mergeCell ref="D118:F118"/>
    <mergeCell ref="B119:C119"/>
    <mergeCell ref="D119:F119"/>
    <mergeCell ref="B120:C120"/>
    <mergeCell ref="D120:F120"/>
    <mergeCell ref="B115:C115"/>
    <mergeCell ref="D115:F115"/>
    <mergeCell ref="B116:C116"/>
    <mergeCell ref="D116:F116"/>
    <mergeCell ref="B117:C117"/>
    <mergeCell ref="D117:F117"/>
    <mergeCell ref="B124:C124"/>
    <mergeCell ref="D124:F124"/>
    <mergeCell ref="B125:C125"/>
    <mergeCell ref="D125:F125"/>
    <mergeCell ref="B126:C126"/>
    <mergeCell ref="D126:F126"/>
    <mergeCell ref="B121:C121"/>
    <mergeCell ref="D121:F121"/>
    <mergeCell ref="B122:C122"/>
    <mergeCell ref="D122:F122"/>
    <mergeCell ref="B123:C123"/>
    <mergeCell ref="D123:F123"/>
    <mergeCell ref="B130:C130"/>
    <mergeCell ref="D130:F130"/>
    <mergeCell ref="B131:C131"/>
    <mergeCell ref="D131:F131"/>
    <mergeCell ref="B132:C132"/>
    <mergeCell ref="D132:F132"/>
    <mergeCell ref="B127:C127"/>
    <mergeCell ref="D127:F127"/>
    <mergeCell ref="B128:C128"/>
    <mergeCell ref="D128:F128"/>
    <mergeCell ref="B129:C129"/>
    <mergeCell ref="D129:F129"/>
    <mergeCell ref="B136:C136"/>
    <mergeCell ref="D136:F136"/>
    <mergeCell ref="B137:C137"/>
    <mergeCell ref="D137:F137"/>
    <mergeCell ref="B138:C138"/>
    <mergeCell ref="D138:F138"/>
    <mergeCell ref="B133:C133"/>
    <mergeCell ref="D133:F133"/>
    <mergeCell ref="B134:C134"/>
    <mergeCell ref="D134:F134"/>
    <mergeCell ref="B135:C135"/>
    <mergeCell ref="D135:F135"/>
    <mergeCell ref="B142:C142"/>
    <mergeCell ref="D142:F142"/>
    <mergeCell ref="B143:C143"/>
    <mergeCell ref="D143:F143"/>
    <mergeCell ref="B144:C144"/>
    <mergeCell ref="D144:F144"/>
    <mergeCell ref="B139:C139"/>
    <mergeCell ref="D139:F139"/>
    <mergeCell ref="B140:C140"/>
    <mergeCell ref="D140:F140"/>
    <mergeCell ref="B141:C141"/>
    <mergeCell ref="D141:F141"/>
    <mergeCell ref="B148:C148"/>
    <mergeCell ref="D148:F148"/>
    <mergeCell ref="B149:C149"/>
    <mergeCell ref="D149:F149"/>
    <mergeCell ref="B150:C150"/>
    <mergeCell ref="D150:F150"/>
    <mergeCell ref="B145:C145"/>
    <mergeCell ref="D145:F145"/>
    <mergeCell ref="B146:C146"/>
    <mergeCell ref="D146:F146"/>
    <mergeCell ref="B147:C147"/>
    <mergeCell ref="D147:F147"/>
    <mergeCell ref="B154:C154"/>
    <mergeCell ref="D154:F154"/>
    <mergeCell ref="B155:C155"/>
    <mergeCell ref="D155:F155"/>
    <mergeCell ref="B156:C156"/>
    <mergeCell ref="D156:F156"/>
    <mergeCell ref="B151:C151"/>
    <mergeCell ref="D151:F151"/>
    <mergeCell ref="B152:C152"/>
    <mergeCell ref="D152:F152"/>
    <mergeCell ref="B153:C153"/>
    <mergeCell ref="D153:F153"/>
    <mergeCell ref="B160:C160"/>
    <mergeCell ref="D160:F160"/>
    <mergeCell ref="B161:C161"/>
    <mergeCell ref="D161:F161"/>
    <mergeCell ref="B162:C162"/>
    <mergeCell ref="D162:F162"/>
    <mergeCell ref="B157:C157"/>
    <mergeCell ref="D157:F157"/>
    <mergeCell ref="B158:C158"/>
    <mergeCell ref="D158:F158"/>
    <mergeCell ref="B159:C159"/>
    <mergeCell ref="D159:F159"/>
    <mergeCell ref="B166:C166"/>
    <mergeCell ref="D166:F166"/>
    <mergeCell ref="B167:C167"/>
    <mergeCell ref="D167:F167"/>
    <mergeCell ref="B168:C168"/>
    <mergeCell ref="D168:F168"/>
    <mergeCell ref="B163:C163"/>
    <mergeCell ref="D163:F163"/>
    <mergeCell ref="B164:C164"/>
    <mergeCell ref="D164:F164"/>
    <mergeCell ref="B165:C165"/>
    <mergeCell ref="D165:F165"/>
    <mergeCell ref="B172:C172"/>
    <mergeCell ref="D172:F172"/>
    <mergeCell ref="B173:C173"/>
    <mergeCell ref="D173:F173"/>
    <mergeCell ref="B174:C174"/>
    <mergeCell ref="D174:F174"/>
    <mergeCell ref="B169:C169"/>
    <mergeCell ref="D169:F169"/>
    <mergeCell ref="B170:C170"/>
    <mergeCell ref="D170:F170"/>
    <mergeCell ref="B171:C171"/>
    <mergeCell ref="D171:F171"/>
    <mergeCell ref="B178:C178"/>
    <mergeCell ref="D178:F178"/>
    <mergeCell ref="B179:C179"/>
    <mergeCell ref="D179:F179"/>
    <mergeCell ref="B180:C180"/>
    <mergeCell ref="D180:F180"/>
    <mergeCell ref="B175:C175"/>
    <mergeCell ref="D175:F175"/>
    <mergeCell ref="B176:C176"/>
    <mergeCell ref="D176:F176"/>
    <mergeCell ref="B177:C177"/>
    <mergeCell ref="D177:F177"/>
    <mergeCell ref="B184:C184"/>
    <mergeCell ref="D184:F184"/>
    <mergeCell ref="B185:C185"/>
    <mergeCell ref="D185:F185"/>
    <mergeCell ref="B186:C186"/>
    <mergeCell ref="D186:F186"/>
    <mergeCell ref="B181:C181"/>
    <mergeCell ref="D181:F181"/>
    <mergeCell ref="B182:C182"/>
    <mergeCell ref="D182:F182"/>
    <mergeCell ref="B183:C183"/>
    <mergeCell ref="D183:F183"/>
    <mergeCell ref="B190:C190"/>
    <mergeCell ref="D190:F190"/>
    <mergeCell ref="B191:C191"/>
    <mergeCell ref="D191:F191"/>
    <mergeCell ref="B192:C192"/>
    <mergeCell ref="D192:F192"/>
    <mergeCell ref="B187:C187"/>
    <mergeCell ref="D187:F187"/>
    <mergeCell ref="B188:C188"/>
    <mergeCell ref="D188:F188"/>
    <mergeCell ref="B189:C189"/>
    <mergeCell ref="D189:F189"/>
    <mergeCell ref="B196:C196"/>
    <mergeCell ref="D196:F196"/>
    <mergeCell ref="B197:C197"/>
    <mergeCell ref="D197:F197"/>
    <mergeCell ref="B198:C198"/>
    <mergeCell ref="D198:F198"/>
    <mergeCell ref="B193:C193"/>
    <mergeCell ref="D193:F193"/>
    <mergeCell ref="B194:C194"/>
    <mergeCell ref="D194:F194"/>
    <mergeCell ref="B195:C195"/>
    <mergeCell ref="D195:F195"/>
    <mergeCell ref="B202:C202"/>
    <mergeCell ref="D202:F202"/>
    <mergeCell ref="B203:C203"/>
    <mergeCell ref="D203:F203"/>
    <mergeCell ref="B204:C204"/>
    <mergeCell ref="D204:F204"/>
    <mergeCell ref="B199:C199"/>
    <mergeCell ref="D199:F199"/>
    <mergeCell ref="B200:C200"/>
    <mergeCell ref="D200:F200"/>
    <mergeCell ref="B201:C201"/>
    <mergeCell ref="D201:F201"/>
    <mergeCell ref="B208:C208"/>
    <mergeCell ref="D208:F208"/>
    <mergeCell ref="B209:C209"/>
    <mergeCell ref="D209:F209"/>
    <mergeCell ref="B210:C210"/>
    <mergeCell ref="D210:F210"/>
    <mergeCell ref="B205:C205"/>
    <mergeCell ref="D205:F205"/>
    <mergeCell ref="B206:C206"/>
    <mergeCell ref="D206:F206"/>
    <mergeCell ref="B207:C207"/>
    <mergeCell ref="D207:F207"/>
    <mergeCell ref="B214:C214"/>
    <mergeCell ref="D214:F214"/>
    <mergeCell ref="B215:C215"/>
    <mergeCell ref="D215:F215"/>
    <mergeCell ref="B216:C216"/>
    <mergeCell ref="D216:F216"/>
    <mergeCell ref="B211:C211"/>
    <mergeCell ref="D211:F211"/>
    <mergeCell ref="B212:C212"/>
    <mergeCell ref="D212:F212"/>
    <mergeCell ref="B213:C213"/>
    <mergeCell ref="D213:F213"/>
    <mergeCell ref="B220:C220"/>
    <mergeCell ref="D220:F220"/>
    <mergeCell ref="B221:C221"/>
    <mergeCell ref="D221:F221"/>
    <mergeCell ref="B222:C222"/>
    <mergeCell ref="D222:F222"/>
    <mergeCell ref="B217:C217"/>
    <mergeCell ref="D217:F217"/>
    <mergeCell ref="B218:C218"/>
    <mergeCell ref="D218:F218"/>
    <mergeCell ref="B219:C219"/>
    <mergeCell ref="D219:F219"/>
    <mergeCell ref="B226:C226"/>
    <mergeCell ref="D226:F226"/>
    <mergeCell ref="B227:C227"/>
    <mergeCell ref="D227:F227"/>
    <mergeCell ref="B228:C228"/>
    <mergeCell ref="D228:F228"/>
    <mergeCell ref="B223:C223"/>
    <mergeCell ref="D223:F223"/>
    <mergeCell ref="B224:C224"/>
    <mergeCell ref="D224:F224"/>
    <mergeCell ref="B225:C225"/>
    <mergeCell ref="D225:F225"/>
    <mergeCell ref="B232:C232"/>
    <mergeCell ref="D232:F232"/>
    <mergeCell ref="B233:C233"/>
    <mergeCell ref="D233:F233"/>
    <mergeCell ref="B234:C234"/>
    <mergeCell ref="D234:F234"/>
    <mergeCell ref="B229:C229"/>
    <mergeCell ref="D229:F229"/>
    <mergeCell ref="B230:C230"/>
    <mergeCell ref="D230:F230"/>
    <mergeCell ref="B231:C231"/>
    <mergeCell ref="D231:F231"/>
    <mergeCell ref="B238:C238"/>
    <mergeCell ref="D238:F238"/>
    <mergeCell ref="B239:C239"/>
    <mergeCell ref="D239:F239"/>
    <mergeCell ref="B240:C240"/>
    <mergeCell ref="D240:F240"/>
    <mergeCell ref="B235:C235"/>
    <mergeCell ref="D235:F235"/>
    <mergeCell ref="B236:C236"/>
    <mergeCell ref="D236:F236"/>
    <mergeCell ref="B237:C237"/>
    <mergeCell ref="D237:F237"/>
    <mergeCell ref="B244:C244"/>
    <mergeCell ref="D244:F244"/>
    <mergeCell ref="B245:C245"/>
    <mergeCell ref="D245:F245"/>
    <mergeCell ref="B246:C246"/>
    <mergeCell ref="D246:F246"/>
    <mergeCell ref="B241:C241"/>
    <mergeCell ref="D241:F241"/>
    <mergeCell ref="B242:C242"/>
    <mergeCell ref="D242:F242"/>
    <mergeCell ref="B243:C243"/>
    <mergeCell ref="D243:F243"/>
    <mergeCell ref="B250:C250"/>
    <mergeCell ref="D250:F250"/>
    <mergeCell ref="B251:C251"/>
    <mergeCell ref="D251:F251"/>
    <mergeCell ref="B252:C252"/>
    <mergeCell ref="D252:F252"/>
    <mergeCell ref="B247:C247"/>
    <mergeCell ref="D247:F247"/>
    <mergeCell ref="B248:C248"/>
    <mergeCell ref="D248:F248"/>
    <mergeCell ref="B249:C249"/>
    <mergeCell ref="D249:F249"/>
    <mergeCell ref="B256:C256"/>
    <mergeCell ref="D256:F256"/>
    <mergeCell ref="B257:C257"/>
    <mergeCell ref="D257:F257"/>
    <mergeCell ref="B258:C258"/>
    <mergeCell ref="D258:F258"/>
    <mergeCell ref="B253:C253"/>
    <mergeCell ref="D253:F253"/>
    <mergeCell ref="B254:C254"/>
    <mergeCell ref="D254:F254"/>
    <mergeCell ref="B255:C255"/>
    <mergeCell ref="D255:F255"/>
    <mergeCell ref="B262:C262"/>
    <mergeCell ref="D262:F262"/>
    <mergeCell ref="B263:C263"/>
    <mergeCell ref="D263:F263"/>
    <mergeCell ref="B264:C264"/>
    <mergeCell ref="D264:F264"/>
    <mergeCell ref="B259:C259"/>
    <mergeCell ref="D259:F259"/>
    <mergeCell ref="B260:C260"/>
    <mergeCell ref="D260:F260"/>
    <mergeCell ref="B261:C261"/>
    <mergeCell ref="D261:F261"/>
    <mergeCell ref="B268:C268"/>
    <mergeCell ref="D268:F268"/>
    <mergeCell ref="B269:C269"/>
    <mergeCell ref="D269:F269"/>
    <mergeCell ref="B270:C270"/>
    <mergeCell ref="D270:F270"/>
    <mergeCell ref="B265:C265"/>
    <mergeCell ref="D265:F265"/>
    <mergeCell ref="B266:C266"/>
    <mergeCell ref="D266:F266"/>
    <mergeCell ref="B267:C267"/>
    <mergeCell ref="D267:F267"/>
    <mergeCell ref="B274:C274"/>
    <mergeCell ref="D274:F274"/>
    <mergeCell ref="B275:C275"/>
    <mergeCell ref="D275:F275"/>
    <mergeCell ref="B276:C276"/>
    <mergeCell ref="D276:F276"/>
    <mergeCell ref="B271:C271"/>
    <mergeCell ref="D271:F271"/>
    <mergeCell ref="B272:C272"/>
    <mergeCell ref="D272:F272"/>
    <mergeCell ref="B273:C273"/>
    <mergeCell ref="D273:F273"/>
    <mergeCell ref="B280:C280"/>
    <mergeCell ref="D280:F280"/>
    <mergeCell ref="B281:C281"/>
    <mergeCell ref="D281:F281"/>
    <mergeCell ref="B282:C282"/>
    <mergeCell ref="D282:F282"/>
    <mergeCell ref="B277:C277"/>
    <mergeCell ref="D277:F277"/>
    <mergeCell ref="B278:C278"/>
    <mergeCell ref="D278:F278"/>
    <mergeCell ref="B279:C279"/>
    <mergeCell ref="D279:F279"/>
    <mergeCell ref="B286:C286"/>
    <mergeCell ref="D286:F286"/>
    <mergeCell ref="B287:C287"/>
    <mergeCell ref="D287:F287"/>
    <mergeCell ref="B288:C288"/>
    <mergeCell ref="D288:F288"/>
    <mergeCell ref="B283:C283"/>
    <mergeCell ref="D283:F283"/>
    <mergeCell ref="B284:C284"/>
    <mergeCell ref="D284:F284"/>
    <mergeCell ref="B285:C285"/>
    <mergeCell ref="D285:F285"/>
    <mergeCell ref="B292:C292"/>
    <mergeCell ref="D292:F292"/>
    <mergeCell ref="B293:C293"/>
    <mergeCell ref="D293:F293"/>
    <mergeCell ref="B294:C294"/>
    <mergeCell ref="D294:F294"/>
    <mergeCell ref="B289:C289"/>
    <mergeCell ref="D289:F289"/>
    <mergeCell ref="B290:C290"/>
    <mergeCell ref="D290:F290"/>
    <mergeCell ref="B291:C291"/>
    <mergeCell ref="D291:F291"/>
    <mergeCell ref="B298:C298"/>
    <mergeCell ref="D298:F298"/>
    <mergeCell ref="B299:C299"/>
    <mergeCell ref="D299:F299"/>
    <mergeCell ref="B300:C300"/>
    <mergeCell ref="D300:F300"/>
    <mergeCell ref="B295:C295"/>
    <mergeCell ref="D295:F295"/>
    <mergeCell ref="B296:C296"/>
    <mergeCell ref="D296:F296"/>
    <mergeCell ref="B297:C297"/>
    <mergeCell ref="D297:F297"/>
    <mergeCell ref="B305:C305"/>
    <mergeCell ref="D305:F305"/>
    <mergeCell ref="B306:C306"/>
    <mergeCell ref="D306:F306"/>
    <mergeCell ref="B301:C301"/>
    <mergeCell ref="D301:F301"/>
    <mergeCell ref="B302:C302"/>
    <mergeCell ref="D302:F302"/>
    <mergeCell ref="B303:C303"/>
    <mergeCell ref="D303:F303"/>
    <mergeCell ref="B316:C316"/>
    <mergeCell ref="D316:F316"/>
    <mergeCell ref="B48:C48"/>
    <mergeCell ref="D48:F48"/>
    <mergeCell ref="B313:C313"/>
    <mergeCell ref="D313:F313"/>
    <mergeCell ref="B314:C314"/>
    <mergeCell ref="D314:F314"/>
    <mergeCell ref="B315:C315"/>
    <mergeCell ref="D315:F315"/>
    <mergeCell ref="B310:C310"/>
    <mergeCell ref="D310:F310"/>
    <mergeCell ref="B311:C311"/>
    <mergeCell ref="D311:F311"/>
    <mergeCell ref="B312:C312"/>
    <mergeCell ref="D312:F312"/>
    <mergeCell ref="B307:C307"/>
    <mergeCell ref="D307:F307"/>
    <mergeCell ref="B308:C308"/>
    <mergeCell ref="D308:F308"/>
    <mergeCell ref="B309:C309"/>
    <mergeCell ref="D309:F309"/>
    <mergeCell ref="B304:C304"/>
    <mergeCell ref="D304:F304"/>
    <mergeCell ref="D5:E5"/>
    <mergeCell ref="A46:H46"/>
    <mergeCell ref="A47:F47"/>
    <mergeCell ref="G47:H47"/>
    <mergeCell ref="A1:G1"/>
    <mergeCell ref="A2:H2"/>
    <mergeCell ref="B4:H4"/>
    <mergeCell ref="B3:C3"/>
    <mergeCell ref="E3:H3"/>
  </mergeCells>
  <conditionalFormatting sqref="E6">
    <cfRule type="cellIs" dxfId="2434" priority="1" operator="equal">
      <formula>"D"</formula>
    </cfRule>
    <cfRule type="cellIs" dxfId="2433" priority="2" operator="equal">
      <formula>"C"</formula>
    </cfRule>
    <cfRule type="cellIs" dxfId="2432" priority="3" operator="equal">
      <formula>"B"</formula>
    </cfRule>
    <cfRule type="cellIs" dxfId="2431" priority="4" operator="equal">
      <formula>"A"</formula>
    </cfRule>
    <cfRule type="cellIs" dxfId="2430" priority="5" operator="equal">
      <formula>"F"</formula>
    </cfRule>
  </conditionalFormatting>
  <pageMargins left="0.7" right="0.7" top="0.75" bottom="0.75" header="0.3" footer="0.3"/>
  <pageSetup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958"/>
  <sheetViews>
    <sheetView topLeftCell="A913" workbookViewId="0">
      <selection activeCell="A956" sqref="A956"/>
    </sheetView>
  </sheetViews>
  <sheetFormatPr baseColWidth="10" defaultColWidth="8.5" defaultRowHeight="16" x14ac:dyDescent="0.2"/>
  <sheetData>
    <row r="1" spans="1:2" ht="51" x14ac:dyDescent="0.2">
      <c r="A1" s="55" t="s">
        <v>675</v>
      </c>
      <c r="B1" s="56" t="s">
        <v>905</v>
      </c>
    </row>
    <row r="2" spans="1:2" ht="85" x14ac:dyDescent="0.2">
      <c r="A2" s="55" t="s">
        <v>906</v>
      </c>
      <c r="B2" s="56" t="s">
        <v>907</v>
      </c>
    </row>
    <row r="3" spans="1:2" ht="85" x14ac:dyDescent="0.2">
      <c r="A3" s="55" t="s">
        <v>908</v>
      </c>
      <c r="B3" s="56" t="s">
        <v>909</v>
      </c>
    </row>
    <row r="4" spans="1:2" ht="34" x14ac:dyDescent="0.2">
      <c r="A4" s="55" t="s">
        <v>910</v>
      </c>
      <c r="B4" s="56" t="s">
        <v>911</v>
      </c>
    </row>
    <row r="5" spans="1:2" ht="51" x14ac:dyDescent="0.2">
      <c r="A5" s="55" t="s">
        <v>912</v>
      </c>
      <c r="B5" s="56" t="s">
        <v>913</v>
      </c>
    </row>
    <row r="6" spans="1:2" ht="85" x14ac:dyDescent="0.2">
      <c r="A6" s="55" t="s">
        <v>914</v>
      </c>
      <c r="B6" s="56" t="s">
        <v>915</v>
      </c>
    </row>
    <row r="7" spans="1:2" ht="85" x14ac:dyDescent="0.2">
      <c r="A7" s="55" t="s">
        <v>916</v>
      </c>
      <c r="B7" s="56" t="s">
        <v>917</v>
      </c>
    </row>
    <row r="8" spans="1:2" ht="51" x14ac:dyDescent="0.2">
      <c r="A8" s="55" t="s">
        <v>685</v>
      </c>
      <c r="B8" s="56" t="s">
        <v>918</v>
      </c>
    </row>
    <row r="9" spans="1:2" ht="34" x14ac:dyDescent="0.2">
      <c r="A9" s="55" t="s">
        <v>919</v>
      </c>
      <c r="B9" s="56" t="s">
        <v>920</v>
      </c>
    </row>
    <row r="10" spans="1:2" ht="17" x14ac:dyDescent="0.2">
      <c r="A10" s="55" t="s">
        <v>678</v>
      </c>
      <c r="B10" s="56" t="s">
        <v>921</v>
      </c>
    </row>
    <row r="11" spans="1:2" ht="85" x14ac:dyDescent="0.2">
      <c r="A11" s="55" t="s">
        <v>679</v>
      </c>
      <c r="B11" s="56" t="s">
        <v>922</v>
      </c>
    </row>
    <row r="12" spans="1:2" ht="68" x14ac:dyDescent="0.2">
      <c r="A12" s="55" t="s">
        <v>923</v>
      </c>
      <c r="B12" s="56" t="s">
        <v>924</v>
      </c>
    </row>
    <row r="13" spans="1:2" ht="102" x14ac:dyDescent="0.2">
      <c r="A13" s="55" t="s">
        <v>680</v>
      </c>
      <c r="B13" s="56" t="s">
        <v>925</v>
      </c>
    </row>
    <row r="14" spans="1:2" ht="34" x14ac:dyDescent="0.2">
      <c r="A14" s="55" t="s">
        <v>926</v>
      </c>
      <c r="B14" s="56" t="s">
        <v>927</v>
      </c>
    </row>
    <row r="15" spans="1:2" ht="119" x14ac:dyDescent="0.2">
      <c r="A15" s="55" t="s">
        <v>928</v>
      </c>
      <c r="B15" s="56" t="s">
        <v>929</v>
      </c>
    </row>
    <row r="16" spans="1:2" ht="34" x14ac:dyDescent="0.2">
      <c r="A16" s="55" t="s">
        <v>930</v>
      </c>
      <c r="B16" s="56" t="s">
        <v>931</v>
      </c>
    </row>
    <row r="17" spans="1:2" ht="34" x14ac:dyDescent="0.2">
      <c r="A17" s="55" t="s">
        <v>654</v>
      </c>
      <c r="B17" s="56" t="s">
        <v>932</v>
      </c>
    </row>
    <row r="18" spans="1:2" ht="51" x14ac:dyDescent="0.2">
      <c r="A18" s="55" t="s">
        <v>933</v>
      </c>
      <c r="B18" s="56" t="s">
        <v>934</v>
      </c>
    </row>
    <row r="19" spans="1:2" ht="34" x14ac:dyDescent="0.2">
      <c r="A19" s="55" t="s">
        <v>652</v>
      </c>
      <c r="B19" s="56" t="s">
        <v>935</v>
      </c>
    </row>
    <row r="20" spans="1:2" ht="51" x14ac:dyDescent="0.2">
      <c r="A20" s="55" t="s">
        <v>649</v>
      </c>
      <c r="B20" s="56" t="s">
        <v>936</v>
      </c>
    </row>
    <row r="21" spans="1:2" ht="51" x14ac:dyDescent="0.2">
      <c r="A21" s="55" t="s">
        <v>937</v>
      </c>
      <c r="B21" s="56" t="s">
        <v>938</v>
      </c>
    </row>
    <row r="22" spans="1:2" ht="34" x14ac:dyDescent="0.2">
      <c r="A22" s="55" t="s">
        <v>669</v>
      </c>
      <c r="B22" s="56" t="s">
        <v>939</v>
      </c>
    </row>
    <row r="23" spans="1:2" ht="68" x14ac:dyDescent="0.2">
      <c r="A23" s="55" t="s">
        <v>656</v>
      </c>
      <c r="B23" s="56" t="s">
        <v>940</v>
      </c>
    </row>
    <row r="24" spans="1:2" ht="34" x14ac:dyDescent="0.2">
      <c r="A24" s="55" t="s">
        <v>941</v>
      </c>
      <c r="B24" s="56" t="s">
        <v>942</v>
      </c>
    </row>
    <row r="25" spans="1:2" ht="51" x14ac:dyDescent="0.2">
      <c r="A25" s="55" t="s">
        <v>943</v>
      </c>
      <c r="B25" s="56" t="s">
        <v>944</v>
      </c>
    </row>
    <row r="26" spans="1:2" ht="51" x14ac:dyDescent="0.2">
      <c r="A26" s="55" t="s">
        <v>628</v>
      </c>
      <c r="B26" s="56" t="s">
        <v>945</v>
      </c>
    </row>
    <row r="27" spans="1:2" ht="85" x14ac:dyDescent="0.2">
      <c r="A27" s="55" t="s">
        <v>624</v>
      </c>
      <c r="B27" s="56" t="s">
        <v>946</v>
      </c>
    </row>
    <row r="28" spans="1:2" ht="68" x14ac:dyDescent="0.2">
      <c r="A28" s="55" t="s">
        <v>947</v>
      </c>
      <c r="B28" s="56" t="s">
        <v>948</v>
      </c>
    </row>
    <row r="29" spans="1:2" ht="68" x14ac:dyDescent="0.2">
      <c r="A29" s="55" t="s">
        <v>627</v>
      </c>
      <c r="B29" s="56" t="s">
        <v>949</v>
      </c>
    </row>
    <row r="30" spans="1:2" ht="85" x14ac:dyDescent="0.2">
      <c r="A30" s="55" t="s">
        <v>688</v>
      </c>
      <c r="B30" s="56" t="s">
        <v>950</v>
      </c>
    </row>
    <row r="31" spans="1:2" ht="119" x14ac:dyDescent="0.2">
      <c r="A31" s="55" t="s">
        <v>951</v>
      </c>
      <c r="B31" s="56" t="s">
        <v>952</v>
      </c>
    </row>
    <row r="32" spans="1:2" ht="68" x14ac:dyDescent="0.2">
      <c r="A32" s="55" t="s">
        <v>681</v>
      </c>
      <c r="B32" s="56" t="s">
        <v>953</v>
      </c>
    </row>
    <row r="33" spans="1:2" ht="85" x14ac:dyDescent="0.2">
      <c r="A33" s="55" t="s">
        <v>625</v>
      </c>
      <c r="B33" s="56" t="s">
        <v>954</v>
      </c>
    </row>
    <row r="34" spans="1:2" ht="85" x14ac:dyDescent="0.2">
      <c r="A34" s="55" t="s">
        <v>955</v>
      </c>
      <c r="B34" s="56" t="s">
        <v>956</v>
      </c>
    </row>
    <row r="35" spans="1:2" ht="51" x14ac:dyDescent="0.2">
      <c r="A35" s="55" t="s">
        <v>957</v>
      </c>
      <c r="B35" s="56" t="s">
        <v>958</v>
      </c>
    </row>
    <row r="36" spans="1:2" ht="68" x14ac:dyDescent="0.2">
      <c r="A36" s="55" t="s">
        <v>670</v>
      </c>
      <c r="B36" s="56" t="s">
        <v>959</v>
      </c>
    </row>
    <row r="37" spans="1:2" ht="51" x14ac:dyDescent="0.2">
      <c r="A37" s="55" t="s">
        <v>634</v>
      </c>
      <c r="B37" s="56" t="s">
        <v>960</v>
      </c>
    </row>
    <row r="38" spans="1:2" ht="68" x14ac:dyDescent="0.2">
      <c r="A38" s="55" t="s">
        <v>961</v>
      </c>
      <c r="B38" s="56" t="s">
        <v>962</v>
      </c>
    </row>
    <row r="39" spans="1:2" ht="85" x14ac:dyDescent="0.2">
      <c r="A39" s="55" t="s">
        <v>963</v>
      </c>
      <c r="B39" s="56" t="s">
        <v>964</v>
      </c>
    </row>
    <row r="40" spans="1:2" ht="85" x14ac:dyDescent="0.2">
      <c r="A40" s="55" t="s">
        <v>650</v>
      </c>
      <c r="B40" s="56" t="s">
        <v>965</v>
      </c>
    </row>
    <row r="41" spans="1:2" ht="51" x14ac:dyDescent="0.2">
      <c r="A41" s="55" t="s">
        <v>655</v>
      </c>
      <c r="B41" s="56" t="s">
        <v>966</v>
      </c>
    </row>
    <row r="42" spans="1:2" ht="51" x14ac:dyDescent="0.2">
      <c r="A42" s="55" t="s">
        <v>659</v>
      </c>
      <c r="B42" s="56" t="s">
        <v>967</v>
      </c>
    </row>
    <row r="43" spans="1:2" ht="51" x14ac:dyDescent="0.2">
      <c r="A43" s="55" t="s">
        <v>672</v>
      </c>
      <c r="B43" s="56" t="s">
        <v>968</v>
      </c>
    </row>
    <row r="44" spans="1:2" ht="68" x14ac:dyDescent="0.2">
      <c r="A44" s="55" t="s">
        <v>969</v>
      </c>
      <c r="B44" s="56" t="s">
        <v>970</v>
      </c>
    </row>
    <row r="45" spans="1:2" ht="102" x14ac:dyDescent="0.2">
      <c r="A45" s="55" t="s">
        <v>662</v>
      </c>
      <c r="B45" s="56" t="s">
        <v>971</v>
      </c>
    </row>
    <row r="46" spans="1:2" ht="51" x14ac:dyDescent="0.2">
      <c r="A46" s="55" t="s">
        <v>972</v>
      </c>
      <c r="B46" s="56" t="s">
        <v>973</v>
      </c>
    </row>
    <row r="47" spans="1:2" ht="68" x14ac:dyDescent="0.2">
      <c r="A47" s="55" t="s">
        <v>974</v>
      </c>
      <c r="B47" s="56" t="s">
        <v>975</v>
      </c>
    </row>
    <row r="48" spans="1:2" ht="51" x14ac:dyDescent="0.2">
      <c r="A48" s="55" t="s">
        <v>661</v>
      </c>
      <c r="B48" s="56" t="s">
        <v>976</v>
      </c>
    </row>
    <row r="49" spans="1:2" ht="34" x14ac:dyDescent="0.2">
      <c r="A49" s="55" t="s">
        <v>977</v>
      </c>
      <c r="B49" s="56" t="s">
        <v>978</v>
      </c>
    </row>
    <row r="50" spans="1:2" ht="34" x14ac:dyDescent="0.2">
      <c r="A50" s="55" t="s">
        <v>979</v>
      </c>
      <c r="B50" s="56" t="s">
        <v>980</v>
      </c>
    </row>
    <row r="51" spans="1:2" ht="51" x14ac:dyDescent="0.2">
      <c r="A51" s="55" t="s">
        <v>981</v>
      </c>
      <c r="B51" s="56" t="s">
        <v>982</v>
      </c>
    </row>
    <row r="52" spans="1:2" ht="34" x14ac:dyDescent="0.2">
      <c r="A52" s="55" t="s">
        <v>983</v>
      </c>
      <c r="B52" s="56" t="s">
        <v>984</v>
      </c>
    </row>
    <row r="53" spans="1:2" ht="85" x14ac:dyDescent="0.2">
      <c r="A53" s="55" t="s">
        <v>626</v>
      </c>
      <c r="B53" s="56" t="s">
        <v>985</v>
      </c>
    </row>
    <row r="54" spans="1:2" ht="68" x14ac:dyDescent="0.2">
      <c r="A54" s="55" t="s">
        <v>986</v>
      </c>
      <c r="B54" s="56" t="s">
        <v>987</v>
      </c>
    </row>
    <row r="55" spans="1:2" ht="51" x14ac:dyDescent="0.2">
      <c r="A55" s="55" t="s">
        <v>988</v>
      </c>
      <c r="B55" s="56" t="s">
        <v>989</v>
      </c>
    </row>
    <row r="56" spans="1:2" ht="68" x14ac:dyDescent="0.2">
      <c r="A56" s="55" t="s">
        <v>990</v>
      </c>
      <c r="B56" s="56" t="s">
        <v>991</v>
      </c>
    </row>
    <row r="57" spans="1:2" ht="85" x14ac:dyDescent="0.2">
      <c r="A57" s="55" t="s">
        <v>630</v>
      </c>
      <c r="B57" s="56" t="s">
        <v>992</v>
      </c>
    </row>
    <row r="58" spans="1:2" ht="51" x14ac:dyDescent="0.2">
      <c r="A58" s="55" t="s">
        <v>647</v>
      </c>
      <c r="B58" s="56" t="s">
        <v>993</v>
      </c>
    </row>
    <row r="59" spans="1:2" ht="51" x14ac:dyDescent="0.2">
      <c r="A59" s="55" t="s">
        <v>994</v>
      </c>
      <c r="B59" s="56" t="s">
        <v>995</v>
      </c>
    </row>
    <row r="60" spans="1:2" ht="153" x14ac:dyDescent="0.2">
      <c r="A60" s="55" t="s">
        <v>631</v>
      </c>
      <c r="B60" s="56" t="s">
        <v>996</v>
      </c>
    </row>
    <row r="61" spans="1:2" ht="51" x14ac:dyDescent="0.2">
      <c r="A61" s="55" t="s">
        <v>997</v>
      </c>
      <c r="B61" s="56" t="s">
        <v>998</v>
      </c>
    </row>
    <row r="62" spans="1:2" ht="34" x14ac:dyDescent="0.2">
      <c r="A62" s="55" t="s">
        <v>653</v>
      </c>
      <c r="B62" s="56" t="s">
        <v>999</v>
      </c>
    </row>
    <row r="63" spans="1:2" ht="34" x14ac:dyDescent="0.2">
      <c r="A63" s="55" t="s">
        <v>667</v>
      </c>
      <c r="B63" s="56" t="s">
        <v>1000</v>
      </c>
    </row>
    <row r="64" spans="1:2" ht="51" x14ac:dyDescent="0.2">
      <c r="A64" s="55" t="s">
        <v>1001</v>
      </c>
      <c r="B64" s="56" t="s">
        <v>1002</v>
      </c>
    </row>
    <row r="65" spans="1:2" ht="68" x14ac:dyDescent="0.2">
      <c r="A65" s="55" t="s">
        <v>1003</v>
      </c>
      <c r="B65" s="56" t="s">
        <v>1004</v>
      </c>
    </row>
    <row r="66" spans="1:2" ht="51" x14ac:dyDescent="0.2">
      <c r="A66" s="55" t="s">
        <v>1005</v>
      </c>
      <c r="B66" s="56" t="s">
        <v>1006</v>
      </c>
    </row>
    <row r="67" spans="1:2" ht="85" x14ac:dyDescent="0.2">
      <c r="A67" s="55" t="s">
        <v>629</v>
      </c>
      <c r="B67" s="56" t="s">
        <v>1007</v>
      </c>
    </row>
    <row r="68" spans="1:2" ht="85" x14ac:dyDescent="0.2">
      <c r="A68" s="55" t="s">
        <v>648</v>
      </c>
      <c r="B68" s="56" t="s">
        <v>1008</v>
      </c>
    </row>
    <row r="69" spans="1:2" ht="68" x14ac:dyDescent="0.2">
      <c r="A69" s="55" t="s">
        <v>1009</v>
      </c>
      <c r="B69" s="56" t="s">
        <v>1010</v>
      </c>
    </row>
    <row r="70" spans="1:2" ht="68" x14ac:dyDescent="0.2">
      <c r="A70" s="55" t="s">
        <v>682</v>
      </c>
      <c r="B70" s="56" t="s">
        <v>1011</v>
      </c>
    </row>
    <row r="71" spans="1:2" ht="34" x14ac:dyDescent="0.2">
      <c r="A71" s="55" t="s">
        <v>666</v>
      </c>
      <c r="B71" s="56" t="s">
        <v>1012</v>
      </c>
    </row>
    <row r="72" spans="1:2" ht="51" x14ac:dyDescent="0.2">
      <c r="A72" s="55" t="s">
        <v>660</v>
      </c>
      <c r="B72" s="56" t="s">
        <v>1013</v>
      </c>
    </row>
    <row r="73" spans="1:2" ht="51" x14ac:dyDescent="0.2">
      <c r="A73" s="55" t="s">
        <v>1014</v>
      </c>
      <c r="B73" s="56" t="s">
        <v>1015</v>
      </c>
    </row>
    <row r="74" spans="1:2" ht="102" x14ac:dyDescent="0.2">
      <c r="A74" s="55" t="s">
        <v>1016</v>
      </c>
      <c r="B74" s="56" t="s">
        <v>1017</v>
      </c>
    </row>
    <row r="75" spans="1:2" ht="68" x14ac:dyDescent="0.2">
      <c r="A75" s="55" t="s">
        <v>1018</v>
      </c>
      <c r="B75" s="56" t="s">
        <v>1019</v>
      </c>
    </row>
    <row r="76" spans="1:2" ht="34" x14ac:dyDescent="0.2">
      <c r="A76" s="55" t="s">
        <v>1020</v>
      </c>
      <c r="B76" s="56" t="s">
        <v>1021</v>
      </c>
    </row>
    <row r="77" spans="1:2" ht="85" x14ac:dyDescent="0.2">
      <c r="A77" s="55" t="s">
        <v>1022</v>
      </c>
      <c r="B77" s="56" t="s">
        <v>1023</v>
      </c>
    </row>
    <row r="78" spans="1:2" ht="136" x14ac:dyDescent="0.2">
      <c r="A78" s="55" t="s">
        <v>1024</v>
      </c>
      <c r="B78" s="56" t="s">
        <v>1025</v>
      </c>
    </row>
    <row r="79" spans="1:2" ht="85" x14ac:dyDescent="0.2">
      <c r="A79" s="55" t="s">
        <v>1026</v>
      </c>
      <c r="B79" s="56" t="s">
        <v>1027</v>
      </c>
    </row>
    <row r="80" spans="1:2" ht="85" x14ac:dyDescent="0.2">
      <c r="A80" s="55" t="s">
        <v>1028</v>
      </c>
      <c r="B80" s="56" t="s">
        <v>1029</v>
      </c>
    </row>
    <row r="81" spans="1:2" ht="51" x14ac:dyDescent="0.2">
      <c r="A81" s="55" t="s">
        <v>622</v>
      </c>
      <c r="B81" s="56" t="s">
        <v>1030</v>
      </c>
    </row>
    <row r="82" spans="1:2" ht="85" x14ac:dyDescent="0.2">
      <c r="A82" s="55" t="s">
        <v>1031</v>
      </c>
      <c r="B82" s="56" t="s">
        <v>1032</v>
      </c>
    </row>
    <row r="83" spans="1:2" ht="119" x14ac:dyDescent="0.2">
      <c r="A83" s="55" t="s">
        <v>1033</v>
      </c>
      <c r="B83" s="56" t="s">
        <v>1034</v>
      </c>
    </row>
    <row r="84" spans="1:2" ht="85" x14ac:dyDescent="0.2">
      <c r="A84" s="55" t="s">
        <v>1035</v>
      </c>
      <c r="B84" s="56" t="s">
        <v>1036</v>
      </c>
    </row>
    <row r="85" spans="1:2" ht="85" x14ac:dyDescent="0.2">
      <c r="A85" s="55" t="s">
        <v>632</v>
      </c>
      <c r="B85" s="56" t="s">
        <v>1037</v>
      </c>
    </row>
    <row r="86" spans="1:2" ht="85" x14ac:dyDescent="0.2">
      <c r="A86" s="55" t="s">
        <v>1038</v>
      </c>
      <c r="B86" s="56" t="s">
        <v>1039</v>
      </c>
    </row>
    <row r="87" spans="1:2" ht="68" x14ac:dyDescent="0.2">
      <c r="A87" s="55" t="s">
        <v>1040</v>
      </c>
      <c r="B87" s="56" t="s">
        <v>1041</v>
      </c>
    </row>
    <row r="88" spans="1:2" ht="51" x14ac:dyDescent="0.2">
      <c r="A88" s="55" t="s">
        <v>676</v>
      </c>
      <c r="B88" s="56" t="s">
        <v>1042</v>
      </c>
    </row>
    <row r="89" spans="1:2" ht="51" x14ac:dyDescent="0.2">
      <c r="A89" s="55" t="s">
        <v>1043</v>
      </c>
      <c r="B89" s="56" t="s">
        <v>1044</v>
      </c>
    </row>
    <row r="90" spans="1:2" ht="34" x14ac:dyDescent="0.2">
      <c r="A90" s="55" t="s">
        <v>1045</v>
      </c>
      <c r="B90" s="56" t="s">
        <v>1046</v>
      </c>
    </row>
    <row r="91" spans="1:2" ht="102" x14ac:dyDescent="0.2">
      <c r="A91" s="55" t="s">
        <v>1047</v>
      </c>
      <c r="B91" s="56" t="s">
        <v>1048</v>
      </c>
    </row>
    <row r="92" spans="1:2" ht="102" x14ac:dyDescent="0.2">
      <c r="A92" s="55" t="s">
        <v>1049</v>
      </c>
      <c r="B92" s="56" t="s">
        <v>1050</v>
      </c>
    </row>
    <row r="93" spans="1:2" ht="119" x14ac:dyDescent="0.2">
      <c r="A93" s="55" t="s">
        <v>623</v>
      </c>
      <c r="B93" s="56" t="s">
        <v>1051</v>
      </c>
    </row>
    <row r="94" spans="1:2" ht="68" x14ac:dyDescent="0.2">
      <c r="A94" s="55" t="s">
        <v>619</v>
      </c>
      <c r="B94" s="56" t="s">
        <v>1052</v>
      </c>
    </row>
    <row r="95" spans="1:2" ht="68" x14ac:dyDescent="0.2">
      <c r="A95" s="55" t="s">
        <v>621</v>
      </c>
      <c r="B95" s="56" t="s">
        <v>1053</v>
      </c>
    </row>
    <row r="96" spans="1:2" ht="68" x14ac:dyDescent="0.2">
      <c r="A96" s="55" t="s">
        <v>687</v>
      </c>
      <c r="B96" s="56" t="s">
        <v>1054</v>
      </c>
    </row>
    <row r="97" spans="1:2" ht="68" x14ac:dyDescent="0.2">
      <c r="A97" s="55" t="s">
        <v>1055</v>
      </c>
      <c r="B97" s="56" t="s">
        <v>1056</v>
      </c>
    </row>
    <row r="98" spans="1:2" ht="85" x14ac:dyDescent="0.2">
      <c r="A98" s="55" t="s">
        <v>1057</v>
      </c>
      <c r="B98" s="56" t="s">
        <v>1058</v>
      </c>
    </row>
    <row r="99" spans="1:2" ht="119" x14ac:dyDescent="0.2">
      <c r="A99" s="55" t="s">
        <v>1059</v>
      </c>
      <c r="B99" s="56" t="s">
        <v>1060</v>
      </c>
    </row>
    <row r="100" spans="1:2" ht="85" x14ac:dyDescent="0.2">
      <c r="A100" s="55" t="s">
        <v>677</v>
      </c>
      <c r="B100" s="56" t="s">
        <v>1061</v>
      </c>
    </row>
    <row r="101" spans="1:2" ht="85" x14ac:dyDescent="0.2">
      <c r="A101" s="55" t="s">
        <v>1062</v>
      </c>
      <c r="B101" s="56" t="s">
        <v>1063</v>
      </c>
    </row>
    <row r="102" spans="1:2" ht="51" x14ac:dyDescent="0.2">
      <c r="A102" s="55" t="s">
        <v>1064</v>
      </c>
      <c r="B102" s="56" t="s">
        <v>1065</v>
      </c>
    </row>
    <row r="103" spans="1:2" ht="68" x14ac:dyDescent="0.2">
      <c r="A103" s="55" t="s">
        <v>641</v>
      </c>
      <c r="B103" s="56" t="s">
        <v>1066</v>
      </c>
    </row>
    <row r="104" spans="1:2" ht="85" x14ac:dyDescent="0.2">
      <c r="A104" s="55" t="s">
        <v>618</v>
      </c>
      <c r="B104" s="56" t="s">
        <v>1067</v>
      </c>
    </row>
    <row r="105" spans="1:2" ht="102" x14ac:dyDescent="0.2">
      <c r="A105" s="55" t="s">
        <v>642</v>
      </c>
      <c r="B105" s="56" t="s">
        <v>1068</v>
      </c>
    </row>
    <row r="106" spans="1:2" ht="85" x14ac:dyDescent="0.2">
      <c r="A106" s="55" t="s">
        <v>643</v>
      </c>
      <c r="B106" s="56" t="s">
        <v>1069</v>
      </c>
    </row>
    <row r="107" spans="1:2" ht="136" x14ac:dyDescent="0.2">
      <c r="A107" s="55" t="s">
        <v>617</v>
      </c>
      <c r="B107" s="56" t="s">
        <v>1070</v>
      </c>
    </row>
    <row r="108" spans="1:2" ht="51" x14ac:dyDescent="0.2">
      <c r="A108" s="55" t="s">
        <v>1071</v>
      </c>
      <c r="B108" s="56" t="s">
        <v>1072</v>
      </c>
    </row>
    <row r="109" spans="1:2" ht="34" x14ac:dyDescent="0.2">
      <c r="A109" s="55" t="s">
        <v>1073</v>
      </c>
      <c r="B109" s="56" t="s">
        <v>1074</v>
      </c>
    </row>
    <row r="110" spans="1:2" ht="119" x14ac:dyDescent="0.2">
      <c r="A110" s="55" t="s">
        <v>620</v>
      </c>
      <c r="B110" s="56" t="s">
        <v>1075</v>
      </c>
    </row>
    <row r="111" spans="1:2" ht="85" x14ac:dyDescent="0.2">
      <c r="A111" s="55" t="s">
        <v>1076</v>
      </c>
      <c r="B111" s="56" t="s">
        <v>1077</v>
      </c>
    </row>
    <row r="112" spans="1:2" ht="85" x14ac:dyDescent="0.2">
      <c r="A112" s="55" t="s">
        <v>686</v>
      </c>
      <c r="B112" s="56" t="s">
        <v>1078</v>
      </c>
    </row>
    <row r="113" spans="1:2" ht="102" x14ac:dyDescent="0.2">
      <c r="A113" s="55" t="s">
        <v>1079</v>
      </c>
      <c r="B113" s="56" t="s">
        <v>1080</v>
      </c>
    </row>
    <row r="114" spans="1:2" ht="51" x14ac:dyDescent="0.2">
      <c r="A114" s="55" t="s">
        <v>1081</v>
      </c>
      <c r="B114" s="56" t="s">
        <v>1082</v>
      </c>
    </row>
    <row r="115" spans="1:2" ht="30" x14ac:dyDescent="0.15">
      <c r="A115" s="53" t="s">
        <v>651</v>
      </c>
      <c r="B115" s="50" t="s">
        <v>1083</v>
      </c>
    </row>
    <row r="116" spans="1:2" ht="34" x14ac:dyDescent="0.15">
      <c r="A116" s="49" t="s">
        <v>1084</v>
      </c>
      <c r="B116" s="50" t="s">
        <v>1085</v>
      </c>
    </row>
    <row r="117" spans="1:2" ht="45" x14ac:dyDescent="0.15">
      <c r="A117" s="52" t="s">
        <v>636</v>
      </c>
      <c r="B117" s="50" t="s">
        <v>1086</v>
      </c>
    </row>
    <row r="118" spans="1:2" ht="60" x14ac:dyDescent="0.15">
      <c r="A118" s="52" t="s">
        <v>637</v>
      </c>
      <c r="B118" s="50" t="s">
        <v>1087</v>
      </c>
    </row>
    <row r="119" spans="1:2" ht="17" x14ac:dyDescent="0.2">
      <c r="A119" s="54" t="s">
        <v>581</v>
      </c>
      <c r="B119" s="58" t="s">
        <v>1088</v>
      </c>
    </row>
    <row r="120" spans="1:2" ht="17" x14ac:dyDescent="0.2">
      <c r="A120" s="54" t="s">
        <v>575</v>
      </c>
      <c r="B120" s="58" t="s">
        <v>1089</v>
      </c>
    </row>
    <row r="121" spans="1:2" ht="17" x14ac:dyDescent="0.2">
      <c r="A121" s="54" t="s">
        <v>584</v>
      </c>
      <c r="B121" s="57" t="s">
        <v>1090</v>
      </c>
    </row>
    <row r="122" spans="1:2" ht="17" x14ac:dyDescent="0.2">
      <c r="A122" s="54" t="s">
        <v>591</v>
      </c>
      <c r="B122" s="57" t="s">
        <v>1091</v>
      </c>
    </row>
    <row r="123" spans="1:2" ht="17" x14ac:dyDescent="0.2">
      <c r="A123" s="54" t="s">
        <v>577</v>
      </c>
      <c r="B123" s="58" t="s">
        <v>1092</v>
      </c>
    </row>
    <row r="124" spans="1:2" ht="17" x14ac:dyDescent="0.2">
      <c r="A124" s="54" t="s">
        <v>580</v>
      </c>
      <c r="B124" s="58" t="s">
        <v>1093</v>
      </c>
    </row>
    <row r="125" spans="1:2" ht="17" x14ac:dyDescent="0.2">
      <c r="A125" s="54" t="s">
        <v>576</v>
      </c>
      <c r="B125" s="57" t="s">
        <v>1094</v>
      </c>
    </row>
    <row r="126" spans="1:2" ht="17" x14ac:dyDescent="0.2">
      <c r="A126" s="54" t="s">
        <v>1095</v>
      </c>
      <c r="B126" s="58" t="s">
        <v>1096</v>
      </c>
    </row>
    <row r="127" spans="1:2" ht="17" x14ac:dyDescent="0.2">
      <c r="A127" s="54" t="s">
        <v>585</v>
      </c>
      <c r="B127" s="57" t="s">
        <v>1097</v>
      </c>
    </row>
    <row r="128" spans="1:2" ht="17" x14ac:dyDescent="0.2">
      <c r="A128" s="54" t="s">
        <v>571</v>
      </c>
      <c r="B128" s="57" t="s">
        <v>1098</v>
      </c>
    </row>
    <row r="129" spans="1:2" ht="17" x14ac:dyDescent="0.2">
      <c r="A129" s="54" t="s">
        <v>1099</v>
      </c>
      <c r="B129" s="58" t="s">
        <v>1100</v>
      </c>
    </row>
    <row r="130" spans="1:2" ht="17" x14ac:dyDescent="0.2">
      <c r="A130" s="54" t="s">
        <v>574</v>
      </c>
      <c r="B130" s="58" t="s">
        <v>1101</v>
      </c>
    </row>
    <row r="131" spans="1:2" ht="17" x14ac:dyDescent="0.2">
      <c r="A131" s="54" t="s">
        <v>569</v>
      </c>
      <c r="B131" s="58" t="s">
        <v>1102</v>
      </c>
    </row>
    <row r="132" spans="1:2" ht="17" x14ac:dyDescent="0.2">
      <c r="A132" s="54" t="s">
        <v>572</v>
      </c>
      <c r="B132" s="58" t="s">
        <v>1103</v>
      </c>
    </row>
    <row r="133" spans="1:2" ht="17" x14ac:dyDescent="0.2">
      <c r="A133" s="54" t="s">
        <v>1104</v>
      </c>
      <c r="B133" s="57" t="s">
        <v>1105</v>
      </c>
    </row>
    <row r="134" spans="1:2" ht="17" x14ac:dyDescent="0.2">
      <c r="A134" s="54" t="s">
        <v>578</v>
      </c>
      <c r="B134" s="58" t="s">
        <v>1106</v>
      </c>
    </row>
    <row r="135" spans="1:2" ht="17" x14ac:dyDescent="0.2">
      <c r="A135" s="54" t="s">
        <v>592</v>
      </c>
      <c r="B135" s="58" t="s">
        <v>1107</v>
      </c>
    </row>
    <row r="136" spans="1:2" ht="17" x14ac:dyDescent="0.2">
      <c r="A136" s="54" t="s">
        <v>570</v>
      </c>
      <c r="B136" s="58" t="s">
        <v>1108</v>
      </c>
    </row>
    <row r="137" spans="1:2" ht="17" x14ac:dyDescent="0.2">
      <c r="A137" s="54" t="s">
        <v>588</v>
      </c>
      <c r="B137" s="58" t="s">
        <v>1109</v>
      </c>
    </row>
    <row r="138" spans="1:2" ht="17" x14ac:dyDescent="0.2">
      <c r="A138" s="54" t="s">
        <v>594</v>
      </c>
      <c r="B138" s="58" t="s">
        <v>1110</v>
      </c>
    </row>
    <row r="139" spans="1:2" x14ac:dyDescent="0.2">
      <c r="A139" s="59" t="s">
        <v>1111</v>
      </c>
      <c r="B139" s="59" t="s">
        <v>1112</v>
      </c>
    </row>
    <row r="140" spans="1:2" x14ac:dyDescent="0.2">
      <c r="A140" s="59" t="s">
        <v>775</v>
      </c>
      <c r="B140" s="59" t="s">
        <v>1113</v>
      </c>
    </row>
    <row r="141" spans="1:2" x14ac:dyDescent="0.2">
      <c r="A141" s="59" t="s">
        <v>783</v>
      </c>
      <c r="B141" s="59" t="s">
        <v>1114</v>
      </c>
    </row>
    <row r="142" spans="1:2" x14ac:dyDescent="0.2">
      <c r="A142" s="59" t="s">
        <v>1115</v>
      </c>
      <c r="B142" s="59" t="s">
        <v>1116</v>
      </c>
    </row>
    <row r="143" spans="1:2" x14ac:dyDescent="0.2">
      <c r="A143" s="59" t="s">
        <v>770</v>
      </c>
      <c r="B143" s="59" t="s">
        <v>1117</v>
      </c>
    </row>
    <row r="144" spans="1:2" x14ac:dyDescent="0.2">
      <c r="A144" s="59" t="s">
        <v>1118</v>
      </c>
      <c r="B144" s="59" t="s">
        <v>1119</v>
      </c>
    </row>
    <row r="145" spans="1:2" x14ac:dyDescent="0.2">
      <c r="A145" s="59" t="s">
        <v>1120</v>
      </c>
      <c r="B145" s="59" t="s">
        <v>1121</v>
      </c>
    </row>
    <row r="146" spans="1:2" x14ac:dyDescent="0.2">
      <c r="A146" s="59" t="s">
        <v>1122</v>
      </c>
      <c r="B146" s="59" t="s">
        <v>1123</v>
      </c>
    </row>
    <row r="147" spans="1:2" x14ac:dyDescent="0.2">
      <c r="A147" s="59" t="s">
        <v>1124</v>
      </c>
      <c r="B147" s="59" t="s">
        <v>1125</v>
      </c>
    </row>
    <row r="148" spans="1:2" x14ac:dyDescent="0.2">
      <c r="A148" s="59" t="s">
        <v>1126</v>
      </c>
      <c r="B148" s="59" t="s">
        <v>1127</v>
      </c>
    </row>
    <row r="149" spans="1:2" x14ac:dyDescent="0.2">
      <c r="A149" s="59" t="s">
        <v>1128</v>
      </c>
      <c r="B149" s="59" t="s">
        <v>1129</v>
      </c>
    </row>
    <row r="150" spans="1:2" x14ac:dyDescent="0.2">
      <c r="A150" s="59" t="s">
        <v>1130</v>
      </c>
      <c r="B150" s="59" t="s">
        <v>1131</v>
      </c>
    </row>
    <row r="151" spans="1:2" x14ac:dyDescent="0.2">
      <c r="A151" s="59" t="s">
        <v>807</v>
      </c>
      <c r="B151" s="59" t="s">
        <v>1132</v>
      </c>
    </row>
    <row r="152" spans="1:2" x14ac:dyDescent="0.2">
      <c r="A152" s="59" t="s">
        <v>698</v>
      </c>
      <c r="B152" s="59" t="s">
        <v>1133</v>
      </c>
    </row>
    <row r="153" spans="1:2" x14ac:dyDescent="0.2">
      <c r="A153" s="59" t="s">
        <v>1134</v>
      </c>
      <c r="B153" s="59" t="s">
        <v>1135</v>
      </c>
    </row>
    <row r="154" spans="1:2" x14ac:dyDescent="0.2">
      <c r="A154" s="59" t="s">
        <v>1136</v>
      </c>
      <c r="B154" s="59" t="s">
        <v>1137</v>
      </c>
    </row>
    <row r="155" spans="1:2" x14ac:dyDescent="0.2">
      <c r="A155" s="59" t="s">
        <v>1138</v>
      </c>
      <c r="B155" s="59" t="s">
        <v>1139</v>
      </c>
    </row>
    <row r="156" spans="1:2" x14ac:dyDescent="0.2">
      <c r="A156" s="59" t="s">
        <v>1140</v>
      </c>
      <c r="B156" s="59" t="s">
        <v>1141</v>
      </c>
    </row>
    <row r="157" spans="1:2" x14ac:dyDescent="0.2">
      <c r="A157" s="59" t="s">
        <v>1142</v>
      </c>
      <c r="B157" s="59" t="s">
        <v>1143</v>
      </c>
    </row>
    <row r="158" spans="1:2" x14ac:dyDescent="0.2">
      <c r="A158" s="59" t="s">
        <v>1144</v>
      </c>
      <c r="B158" s="59" t="s">
        <v>1145</v>
      </c>
    </row>
    <row r="159" spans="1:2" x14ac:dyDescent="0.2">
      <c r="A159" s="59" t="s">
        <v>1146</v>
      </c>
      <c r="B159" s="59" t="s">
        <v>1147</v>
      </c>
    </row>
    <row r="160" spans="1:2" x14ac:dyDescent="0.2">
      <c r="A160" s="59" t="s">
        <v>1148</v>
      </c>
      <c r="B160" s="59" t="s">
        <v>1149</v>
      </c>
    </row>
    <row r="161" spans="1:2" x14ac:dyDescent="0.2">
      <c r="A161" s="59" t="s">
        <v>1150</v>
      </c>
      <c r="B161" s="59" t="s">
        <v>1151</v>
      </c>
    </row>
    <row r="162" spans="1:2" x14ac:dyDescent="0.2">
      <c r="A162" s="59" t="s">
        <v>1152</v>
      </c>
      <c r="B162" s="59" t="s">
        <v>1153</v>
      </c>
    </row>
    <row r="163" spans="1:2" x14ac:dyDescent="0.2">
      <c r="A163" s="59" t="s">
        <v>778</v>
      </c>
      <c r="B163" s="59" t="s">
        <v>1154</v>
      </c>
    </row>
    <row r="164" spans="1:2" x14ac:dyDescent="0.2">
      <c r="A164" s="59" t="s">
        <v>793</v>
      </c>
      <c r="B164" s="59" t="s">
        <v>1155</v>
      </c>
    </row>
    <row r="165" spans="1:2" x14ac:dyDescent="0.2">
      <c r="A165" s="59" t="s">
        <v>1156</v>
      </c>
      <c r="B165" s="59" t="s">
        <v>1157</v>
      </c>
    </row>
    <row r="166" spans="1:2" x14ac:dyDescent="0.2">
      <c r="A166" s="59" t="s">
        <v>771</v>
      </c>
      <c r="B166" s="59" t="s">
        <v>1158</v>
      </c>
    </row>
    <row r="167" spans="1:2" x14ac:dyDescent="0.2">
      <c r="A167" s="59" t="s">
        <v>794</v>
      </c>
      <c r="B167" s="59" t="s">
        <v>1159</v>
      </c>
    </row>
    <row r="168" spans="1:2" x14ac:dyDescent="0.2">
      <c r="A168" s="59" t="s">
        <v>813</v>
      </c>
      <c r="B168" s="59" t="s">
        <v>1160</v>
      </c>
    </row>
    <row r="169" spans="1:2" x14ac:dyDescent="0.2">
      <c r="A169" s="59" t="s">
        <v>1161</v>
      </c>
      <c r="B169" s="59" t="s">
        <v>1162</v>
      </c>
    </row>
    <row r="170" spans="1:2" x14ac:dyDescent="0.2">
      <c r="A170" s="59" t="s">
        <v>1163</v>
      </c>
      <c r="B170" s="59" t="s">
        <v>1164</v>
      </c>
    </row>
    <row r="171" spans="1:2" x14ac:dyDescent="0.2">
      <c r="A171" s="59" t="s">
        <v>1165</v>
      </c>
      <c r="B171" s="59" t="s">
        <v>1166</v>
      </c>
    </row>
    <row r="172" spans="1:2" x14ac:dyDescent="0.2">
      <c r="A172" s="59" t="s">
        <v>1167</v>
      </c>
      <c r="B172" s="59" t="s">
        <v>1168</v>
      </c>
    </row>
    <row r="173" spans="1:2" x14ac:dyDescent="0.2">
      <c r="A173" s="59" t="s">
        <v>786</v>
      </c>
      <c r="B173" s="59" t="s">
        <v>1169</v>
      </c>
    </row>
    <row r="174" spans="1:2" x14ac:dyDescent="0.2">
      <c r="A174" s="59" t="s">
        <v>785</v>
      </c>
      <c r="B174" s="59" t="s">
        <v>1170</v>
      </c>
    </row>
    <row r="175" spans="1:2" x14ac:dyDescent="0.2">
      <c r="A175" s="59" t="s">
        <v>790</v>
      </c>
      <c r="B175" s="59" t="s">
        <v>1171</v>
      </c>
    </row>
    <row r="176" spans="1:2" x14ac:dyDescent="0.2">
      <c r="A176" s="59" t="s">
        <v>795</v>
      </c>
      <c r="B176" s="59" t="s">
        <v>1172</v>
      </c>
    </row>
    <row r="177" spans="1:2" x14ac:dyDescent="0.2">
      <c r="A177" s="59" t="s">
        <v>796</v>
      </c>
      <c r="B177" s="59" t="s">
        <v>1173</v>
      </c>
    </row>
    <row r="178" spans="1:2" x14ac:dyDescent="0.2">
      <c r="A178" s="59" t="s">
        <v>777</v>
      </c>
      <c r="B178" s="59" t="s">
        <v>1174</v>
      </c>
    </row>
    <row r="179" spans="1:2" x14ac:dyDescent="0.2">
      <c r="A179" s="59" t="s">
        <v>810</v>
      </c>
      <c r="B179" s="59" t="s">
        <v>1175</v>
      </c>
    </row>
    <row r="180" spans="1:2" x14ac:dyDescent="0.2">
      <c r="A180" s="59" t="s">
        <v>815</v>
      </c>
      <c r="B180" s="59" t="s">
        <v>1176</v>
      </c>
    </row>
    <row r="181" spans="1:2" x14ac:dyDescent="0.2">
      <c r="A181" s="59" t="s">
        <v>811</v>
      </c>
      <c r="B181" s="59" t="s">
        <v>1177</v>
      </c>
    </row>
    <row r="182" spans="1:2" x14ac:dyDescent="0.2">
      <c r="A182" s="59" t="s">
        <v>781</v>
      </c>
      <c r="B182" s="59" t="s">
        <v>1178</v>
      </c>
    </row>
    <row r="183" spans="1:2" x14ac:dyDescent="0.2">
      <c r="A183" s="59" t="s">
        <v>787</v>
      </c>
      <c r="B183" s="59" t="s">
        <v>1179</v>
      </c>
    </row>
    <row r="184" spans="1:2" x14ac:dyDescent="0.2">
      <c r="A184" s="59" t="s">
        <v>1180</v>
      </c>
      <c r="B184" s="59" t="s">
        <v>1181</v>
      </c>
    </row>
    <row r="185" spans="1:2" x14ac:dyDescent="0.2">
      <c r="A185" s="59" t="s">
        <v>1182</v>
      </c>
      <c r="B185" s="59" t="s">
        <v>1183</v>
      </c>
    </row>
    <row r="186" spans="1:2" x14ac:dyDescent="0.2">
      <c r="A186" s="59" t="s">
        <v>1184</v>
      </c>
      <c r="B186" s="59" t="s">
        <v>1185</v>
      </c>
    </row>
    <row r="187" spans="1:2" x14ac:dyDescent="0.2">
      <c r="A187" s="59" t="s">
        <v>1186</v>
      </c>
      <c r="B187" s="59" t="s">
        <v>1187</v>
      </c>
    </row>
    <row r="188" spans="1:2" x14ac:dyDescent="0.2">
      <c r="A188" s="59" t="s">
        <v>700</v>
      </c>
      <c r="B188" s="59" t="s">
        <v>1188</v>
      </c>
    </row>
    <row r="189" spans="1:2" x14ac:dyDescent="0.2">
      <c r="A189" s="59" t="s">
        <v>1189</v>
      </c>
      <c r="B189" s="59" t="s">
        <v>1190</v>
      </c>
    </row>
    <row r="190" spans="1:2" x14ac:dyDescent="0.2">
      <c r="A190" s="59" t="s">
        <v>812</v>
      </c>
      <c r="B190" s="59" t="s">
        <v>1191</v>
      </c>
    </row>
    <row r="191" spans="1:2" x14ac:dyDescent="0.2">
      <c r="A191" s="59" t="s">
        <v>808</v>
      </c>
      <c r="B191" s="59" t="s">
        <v>1192</v>
      </c>
    </row>
    <row r="192" spans="1:2" x14ac:dyDescent="0.2">
      <c r="A192" s="59" t="s">
        <v>1193</v>
      </c>
      <c r="B192" s="59" t="s">
        <v>1194</v>
      </c>
    </row>
    <row r="193" spans="1:2" x14ac:dyDescent="0.2">
      <c r="A193" s="59" t="s">
        <v>1195</v>
      </c>
      <c r="B193" s="59" t="s">
        <v>1196</v>
      </c>
    </row>
    <row r="194" spans="1:2" x14ac:dyDescent="0.2">
      <c r="A194" s="59" t="s">
        <v>780</v>
      </c>
      <c r="B194" s="59" t="s">
        <v>1197</v>
      </c>
    </row>
    <row r="195" spans="1:2" x14ac:dyDescent="0.2">
      <c r="A195" s="59" t="s">
        <v>1198</v>
      </c>
      <c r="B195" s="59" t="s">
        <v>1199</v>
      </c>
    </row>
    <row r="196" spans="1:2" x14ac:dyDescent="0.2">
      <c r="A196" s="59" t="s">
        <v>774</v>
      </c>
      <c r="B196" s="59" t="s">
        <v>1200</v>
      </c>
    </row>
    <row r="197" spans="1:2" x14ac:dyDescent="0.2">
      <c r="A197" s="59" t="s">
        <v>814</v>
      </c>
      <c r="B197" s="59" t="s">
        <v>1201</v>
      </c>
    </row>
    <row r="198" spans="1:2" x14ac:dyDescent="0.2">
      <c r="A198" s="59" t="s">
        <v>1202</v>
      </c>
      <c r="B198" s="59" t="s">
        <v>1203</v>
      </c>
    </row>
    <row r="199" spans="1:2" x14ac:dyDescent="0.2">
      <c r="A199" s="59" t="s">
        <v>1204</v>
      </c>
      <c r="B199" s="59" t="s">
        <v>1205</v>
      </c>
    </row>
    <row r="200" spans="1:2" x14ac:dyDescent="0.2">
      <c r="A200" s="59" t="s">
        <v>1206</v>
      </c>
      <c r="B200" s="59" t="s">
        <v>1207</v>
      </c>
    </row>
    <row r="201" spans="1:2" x14ac:dyDescent="0.2">
      <c r="A201" s="59" t="s">
        <v>1208</v>
      </c>
      <c r="B201" s="59" t="s">
        <v>1209</v>
      </c>
    </row>
    <row r="202" spans="1:2" x14ac:dyDescent="0.2">
      <c r="A202" s="59" t="s">
        <v>1210</v>
      </c>
      <c r="B202" s="59" t="s">
        <v>1211</v>
      </c>
    </row>
    <row r="203" spans="1:2" x14ac:dyDescent="0.2">
      <c r="A203" s="59" t="s">
        <v>797</v>
      </c>
      <c r="B203" s="59" t="s">
        <v>1212</v>
      </c>
    </row>
    <row r="204" spans="1:2" x14ac:dyDescent="0.2">
      <c r="A204" s="59" t="s">
        <v>806</v>
      </c>
      <c r="B204" s="59" t="s">
        <v>1213</v>
      </c>
    </row>
    <row r="205" spans="1:2" x14ac:dyDescent="0.2">
      <c r="A205" s="59" t="s">
        <v>1214</v>
      </c>
      <c r="B205" s="59" t="s">
        <v>1215</v>
      </c>
    </row>
    <row r="206" spans="1:2" x14ac:dyDescent="0.2">
      <c r="A206" s="59" t="s">
        <v>1216</v>
      </c>
      <c r="B206" s="59" t="s">
        <v>1217</v>
      </c>
    </row>
    <row r="207" spans="1:2" x14ac:dyDescent="0.2">
      <c r="A207" s="59" t="s">
        <v>1218</v>
      </c>
      <c r="B207" s="59" t="s">
        <v>1219</v>
      </c>
    </row>
    <row r="208" spans="1:2" x14ac:dyDescent="0.2">
      <c r="A208" s="59" t="s">
        <v>1220</v>
      </c>
      <c r="B208" s="59" t="s">
        <v>1221</v>
      </c>
    </row>
    <row r="209" spans="1:2" x14ac:dyDescent="0.2">
      <c r="A209" s="59" t="s">
        <v>800</v>
      </c>
      <c r="B209" s="59" t="s">
        <v>1222</v>
      </c>
    </row>
    <row r="210" spans="1:2" x14ac:dyDescent="0.2">
      <c r="A210" s="59" t="s">
        <v>817</v>
      </c>
      <c r="B210" s="59" t="s">
        <v>1223</v>
      </c>
    </row>
    <row r="211" spans="1:2" x14ac:dyDescent="0.2">
      <c r="A211" s="59" t="s">
        <v>1224</v>
      </c>
      <c r="B211" s="59" t="s">
        <v>1225</v>
      </c>
    </row>
    <row r="212" spans="1:2" x14ac:dyDescent="0.2">
      <c r="A212" s="59" t="s">
        <v>1226</v>
      </c>
      <c r="B212" s="59" t="s">
        <v>1227</v>
      </c>
    </row>
    <row r="213" spans="1:2" x14ac:dyDescent="0.2">
      <c r="A213" s="59" t="s">
        <v>1228</v>
      </c>
      <c r="B213" s="59" t="s">
        <v>1229</v>
      </c>
    </row>
    <row r="214" spans="1:2" x14ac:dyDescent="0.2">
      <c r="A214" s="59" t="s">
        <v>1230</v>
      </c>
      <c r="B214" s="59" t="s">
        <v>1231</v>
      </c>
    </row>
    <row r="215" spans="1:2" x14ac:dyDescent="0.2">
      <c r="A215" s="59" t="s">
        <v>1232</v>
      </c>
      <c r="B215" s="59" t="s">
        <v>1233</v>
      </c>
    </row>
    <row r="216" spans="1:2" x14ac:dyDescent="0.2">
      <c r="A216" s="59" t="s">
        <v>1234</v>
      </c>
      <c r="B216" s="59" t="s">
        <v>1235</v>
      </c>
    </row>
    <row r="217" spans="1:2" x14ac:dyDescent="0.2">
      <c r="A217" s="59" t="s">
        <v>1236</v>
      </c>
      <c r="B217" s="59" t="s">
        <v>1237</v>
      </c>
    </row>
    <row r="218" spans="1:2" x14ac:dyDescent="0.2">
      <c r="A218" s="59" t="s">
        <v>1238</v>
      </c>
      <c r="B218" s="59" t="s">
        <v>1239</v>
      </c>
    </row>
    <row r="219" spans="1:2" x14ac:dyDescent="0.2">
      <c r="A219" s="59" t="s">
        <v>1240</v>
      </c>
      <c r="B219" s="59" t="s">
        <v>1241</v>
      </c>
    </row>
    <row r="220" spans="1:2" x14ac:dyDescent="0.2">
      <c r="A220" s="59" t="s">
        <v>1242</v>
      </c>
      <c r="B220" s="59" t="s">
        <v>1243</v>
      </c>
    </row>
    <row r="221" spans="1:2" x14ac:dyDescent="0.2">
      <c r="A221" s="59" t="s">
        <v>1244</v>
      </c>
      <c r="B221" s="59" t="s">
        <v>1245</v>
      </c>
    </row>
    <row r="222" spans="1:2" x14ac:dyDescent="0.2">
      <c r="A222" s="59" t="s">
        <v>1246</v>
      </c>
      <c r="B222" s="59" t="s">
        <v>1247</v>
      </c>
    </row>
    <row r="223" spans="1:2" x14ac:dyDescent="0.2">
      <c r="A223" s="59" t="s">
        <v>1248</v>
      </c>
      <c r="B223" s="59" t="s">
        <v>1249</v>
      </c>
    </row>
    <row r="224" spans="1:2" x14ac:dyDescent="0.2">
      <c r="A224" s="59" t="s">
        <v>1250</v>
      </c>
      <c r="B224" s="59" t="s">
        <v>1251</v>
      </c>
    </row>
    <row r="225" spans="1:2" x14ac:dyDescent="0.2">
      <c r="A225" s="59" t="s">
        <v>1252</v>
      </c>
      <c r="B225" s="59" t="s">
        <v>1253</v>
      </c>
    </row>
    <row r="226" spans="1:2" x14ac:dyDescent="0.2">
      <c r="A226" s="59" t="s">
        <v>1254</v>
      </c>
      <c r="B226" s="59" t="s">
        <v>1255</v>
      </c>
    </row>
    <row r="227" spans="1:2" x14ac:dyDescent="0.2">
      <c r="A227" s="59" t="s">
        <v>1256</v>
      </c>
      <c r="B227" s="59" t="s">
        <v>1257</v>
      </c>
    </row>
    <row r="228" spans="1:2" x14ac:dyDescent="0.2">
      <c r="A228" s="59" t="s">
        <v>1258</v>
      </c>
      <c r="B228" s="59" t="s">
        <v>1259</v>
      </c>
    </row>
    <row r="229" spans="1:2" x14ac:dyDescent="0.2">
      <c r="A229" s="59" t="s">
        <v>1260</v>
      </c>
      <c r="B229" s="59" t="s">
        <v>1261</v>
      </c>
    </row>
    <row r="230" spans="1:2" x14ac:dyDescent="0.2">
      <c r="A230" s="59" t="s">
        <v>1262</v>
      </c>
      <c r="B230" s="59" t="s">
        <v>1263</v>
      </c>
    </row>
    <row r="231" spans="1:2" x14ac:dyDescent="0.2">
      <c r="A231" s="59" t="s">
        <v>1264</v>
      </c>
      <c r="B231" s="59" t="s">
        <v>1265</v>
      </c>
    </row>
    <row r="232" spans="1:2" x14ac:dyDescent="0.2">
      <c r="A232" s="59" t="s">
        <v>1266</v>
      </c>
      <c r="B232" s="59" t="s">
        <v>1267</v>
      </c>
    </row>
    <row r="233" spans="1:2" x14ac:dyDescent="0.2">
      <c r="A233" s="59" t="s">
        <v>1268</v>
      </c>
      <c r="B233" s="59" t="s">
        <v>1269</v>
      </c>
    </row>
    <row r="234" spans="1:2" x14ac:dyDescent="0.2">
      <c r="A234" s="59" t="s">
        <v>1270</v>
      </c>
      <c r="B234" s="59" t="s">
        <v>1271</v>
      </c>
    </row>
    <row r="235" spans="1:2" x14ac:dyDescent="0.2">
      <c r="A235" s="59" t="s">
        <v>1272</v>
      </c>
      <c r="B235" s="59" t="s">
        <v>1273</v>
      </c>
    </row>
    <row r="236" spans="1:2" x14ac:dyDescent="0.2">
      <c r="A236" s="59" t="s">
        <v>1274</v>
      </c>
      <c r="B236" s="59" t="s">
        <v>1275</v>
      </c>
    </row>
    <row r="237" spans="1:2" ht="34" x14ac:dyDescent="0.2">
      <c r="A237" s="49" t="s">
        <v>772</v>
      </c>
      <c r="B237" s="58" t="s">
        <v>1276</v>
      </c>
    </row>
    <row r="238" spans="1:2" ht="51" x14ac:dyDescent="0.2">
      <c r="A238" s="49" t="s">
        <v>776</v>
      </c>
      <c r="B238" s="58" t="s">
        <v>1277</v>
      </c>
    </row>
    <row r="239" spans="1:2" ht="34" x14ac:dyDescent="0.2">
      <c r="A239" s="49" t="s">
        <v>779</v>
      </c>
      <c r="B239" s="58" t="s">
        <v>1278</v>
      </c>
    </row>
    <row r="240" spans="1:2" ht="34" x14ac:dyDescent="0.2">
      <c r="A240" s="49" t="s">
        <v>784</v>
      </c>
      <c r="B240" s="58" t="s">
        <v>1279</v>
      </c>
    </row>
    <row r="241" spans="1:2" ht="34" x14ac:dyDescent="0.2">
      <c r="A241" s="49" t="s">
        <v>792</v>
      </c>
      <c r="B241" s="58" t="s">
        <v>1280</v>
      </c>
    </row>
    <row r="242" spans="1:2" ht="51" x14ac:dyDescent="0.2">
      <c r="A242" s="49" t="s">
        <v>798</v>
      </c>
      <c r="B242" s="58" t="s">
        <v>1281</v>
      </c>
    </row>
    <row r="243" spans="1:2" ht="68" x14ac:dyDescent="0.2">
      <c r="A243" s="49" t="s">
        <v>804</v>
      </c>
      <c r="B243" s="58" t="s">
        <v>1282</v>
      </c>
    </row>
    <row r="244" spans="1:2" ht="85" x14ac:dyDescent="0.2">
      <c r="A244" s="49" t="s">
        <v>805</v>
      </c>
      <c r="B244" s="58" t="s">
        <v>1283</v>
      </c>
    </row>
    <row r="245" spans="1:2" ht="34" x14ac:dyDescent="0.2">
      <c r="A245" s="49" t="s">
        <v>816</v>
      </c>
      <c r="B245" s="58" t="s">
        <v>1284</v>
      </c>
    </row>
    <row r="246" spans="1:2" ht="17" x14ac:dyDescent="0.2">
      <c r="A246" s="49" t="s">
        <v>716</v>
      </c>
      <c r="B246" s="58" t="s">
        <v>1285</v>
      </c>
    </row>
    <row r="247" spans="1:2" ht="17" x14ac:dyDescent="0.2">
      <c r="A247" s="49" t="s">
        <v>703</v>
      </c>
      <c r="B247" s="58" t="s">
        <v>1286</v>
      </c>
    </row>
    <row r="248" spans="1:2" ht="17" x14ac:dyDescent="0.2">
      <c r="A248" s="49" t="s">
        <v>738</v>
      </c>
      <c r="B248" s="58" t="s">
        <v>1287</v>
      </c>
    </row>
    <row r="249" spans="1:2" ht="17" x14ac:dyDescent="0.2">
      <c r="A249" s="49" t="s">
        <v>708</v>
      </c>
      <c r="B249" s="58" t="s">
        <v>1288</v>
      </c>
    </row>
    <row r="250" spans="1:2" ht="17" x14ac:dyDescent="0.2">
      <c r="A250" s="49" t="s">
        <v>1289</v>
      </c>
      <c r="B250" s="58" t="s">
        <v>1290</v>
      </c>
    </row>
    <row r="251" spans="1:2" ht="17" x14ac:dyDescent="0.2">
      <c r="A251" s="49" t="s">
        <v>1291</v>
      </c>
      <c r="B251" s="58" t="s">
        <v>1292</v>
      </c>
    </row>
    <row r="252" spans="1:2" ht="17" x14ac:dyDescent="0.2">
      <c r="A252" s="49" t="s">
        <v>754</v>
      </c>
      <c r="B252" s="58" t="s">
        <v>1293</v>
      </c>
    </row>
    <row r="253" spans="1:2" ht="17" x14ac:dyDescent="0.2">
      <c r="A253" s="49" t="s">
        <v>764</v>
      </c>
      <c r="B253" s="58" t="s">
        <v>1294</v>
      </c>
    </row>
    <row r="254" spans="1:2" ht="17" x14ac:dyDescent="0.2">
      <c r="A254" s="49" t="s">
        <v>1295</v>
      </c>
      <c r="B254" s="58" t="s">
        <v>1296</v>
      </c>
    </row>
    <row r="255" spans="1:2" ht="17" x14ac:dyDescent="0.2">
      <c r="A255" s="49" t="s">
        <v>1297</v>
      </c>
      <c r="B255" s="58" t="s">
        <v>1298</v>
      </c>
    </row>
    <row r="256" spans="1:2" ht="17" x14ac:dyDescent="0.2">
      <c r="A256" s="49" t="s">
        <v>1299</v>
      </c>
      <c r="B256" s="58" t="s">
        <v>1300</v>
      </c>
    </row>
    <row r="257" spans="1:2" ht="17" x14ac:dyDescent="0.2">
      <c r="A257" s="49" t="s">
        <v>1301</v>
      </c>
      <c r="B257" s="58" t="s">
        <v>1302</v>
      </c>
    </row>
    <row r="258" spans="1:2" ht="17" x14ac:dyDescent="0.2">
      <c r="A258" s="49" t="s">
        <v>1303</v>
      </c>
      <c r="B258" s="58" t="s">
        <v>1304</v>
      </c>
    </row>
    <row r="259" spans="1:2" ht="17" x14ac:dyDescent="0.2">
      <c r="A259" s="49" t="s">
        <v>1305</v>
      </c>
      <c r="B259" s="58" t="s">
        <v>1306</v>
      </c>
    </row>
    <row r="260" spans="1:2" ht="17" x14ac:dyDescent="0.2">
      <c r="A260" s="49" t="s">
        <v>1307</v>
      </c>
      <c r="B260" s="58" t="s">
        <v>1308</v>
      </c>
    </row>
    <row r="261" spans="1:2" ht="17" x14ac:dyDescent="0.2">
      <c r="A261" s="49" t="s">
        <v>1309</v>
      </c>
      <c r="B261" s="57" t="s">
        <v>1310</v>
      </c>
    </row>
    <row r="262" spans="1:2" ht="17" x14ac:dyDescent="0.2">
      <c r="A262" s="49" t="s">
        <v>1311</v>
      </c>
      <c r="B262" s="57" t="s">
        <v>1312</v>
      </c>
    </row>
    <row r="263" spans="1:2" ht="17" x14ac:dyDescent="0.2">
      <c r="A263" s="49" t="s">
        <v>1313</v>
      </c>
      <c r="B263" s="57" t="s">
        <v>1314</v>
      </c>
    </row>
    <row r="264" spans="1:2" ht="17" x14ac:dyDescent="0.2">
      <c r="A264" s="49" t="s">
        <v>742</v>
      </c>
      <c r="B264" s="57" t="s">
        <v>1315</v>
      </c>
    </row>
    <row r="265" spans="1:2" ht="17" x14ac:dyDescent="0.2">
      <c r="A265" s="49" t="s">
        <v>1316</v>
      </c>
      <c r="B265" s="57" t="s">
        <v>1317</v>
      </c>
    </row>
    <row r="266" spans="1:2" ht="17" x14ac:dyDescent="0.2">
      <c r="A266" s="49" t="s">
        <v>1318</v>
      </c>
      <c r="B266" s="57" t="s">
        <v>1319</v>
      </c>
    </row>
    <row r="267" spans="1:2" ht="17" x14ac:dyDescent="0.2">
      <c r="A267" s="49" t="s">
        <v>727</v>
      </c>
      <c r="B267" s="57" t="s">
        <v>1320</v>
      </c>
    </row>
    <row r="268" spans="1:2" ht="17" x14ac:dyDescent="0.2">
      <c r="A268" s="49" t="s">
        <v>752</v>
      </c>
      <c r="B268" s="57" t="s">
        <v>1321</v>
      </c>
    </row>
    <row r="269" spans="1:2" ht="17" x14ac:dyDescent="0.2">
      <c r="A269" s="49" t="s">
        <v>760</v>
      </c>
      <c r="B269" s="57" t="s">
        <v>1322</v>
      </c>
    </row>
    <row r="270" spans="1:2" ht="17" x14ac:dyDescent="0.2">
      <c r="A270" s="49" t="s">
        <v>1323</v>
      </c>
      <c r="B270" s="57" t="s">
        <v>1324</v>
      </c>
    </row>
    <row r="271" spans="1:2" ht="17" x14ac:dyDescent="0.2">
      <c r="A271" s="49" t="s">
        <v>741</v>
      </c>
      <c r="B271" s="57" t="s">
        <v>1325</v>
      </c>
    </row>
    <row r="272" spans="1:2" ht="17" x14ac:dyDescent="0.2">
      <c r="A272" s="49" t="s">
        <v>767</v>
      </c>
      <c r="B272" s="57" t="s">
        <v>1326</v>
      </c>
    </row>
    <row r="273" spans="1:2" ht="17" x14ac:dyDescent="0.2">
      <c r="A273" s="49" t="s">
        <v>1327</v>
      </c>
      <c r="B273" s="57" t="s">
        <v>1328</v>
      </c>
    </row>
    <row r="274" spans="1:2" ht="17" x14ac:dyDescent="0.2">
      <c r="A274" s="49" t="s">
        <v>1329</v>
      </c>
      <c r="B274" s="57" t="s">
        <v>1330</v>
      </c>
    </row>
    <row r="275" spans="1:2" ht="17" x14ac:dyDescent="0.2">
      <c r="A275" s="49" t="s">
        <v>1331</v>
      </c>
      <c r="B275" s="57" t="s">
        <v>1332</v>
      </c>
    </row>
    <row r="276" spans="1:2" ht="17" x14ac:dyDescent="0.2">
      <c r="A276" s="49" t="s">
        <v>1333</v>
      </c>
      <c r="B276" s="57" t="s">
        <v>1334</v>
      </c>
    </row>
    <row r="277" spans="1:2" ht="17" x14ac:dyDescent="0.2">
      <c r="A277" s="49" t="s">
        <v>1335</v>
      </c>
      <c r="B277" s="57" t="s">
        <v>1336</v>
      </c>
    </row>
    <row r="278" spans="1:2" ht="17" x14ac:dyDescent="0.2">
      <c r="A278" s="49" t="s">
        <v>1337</v>
      </c>
      <c r="B278" s="57" t="s">
        <v>1338</v>
      </c>
    </row>
    <row r="279" spans="1:2" ht="17" x14ac:dyDescent="0.2">
      <c r="A279" s="49" t="s">
        <v>1339</v>
      </c>
      <c r="B279" s="57" t="s">
        <v>1340</v>
      </c>
    </row>
    <row r="280" spans="1:2" ht="17" x14ac:dyDescent="0.2">
      <c r="A280" s="49" t="s">
        <v>1341</v>
      </c>
      <c r="B280" s="57" t="s">
        <v>1342</v>
      </c>
    </row>
    <row r="281" spans="1:2" ht="17" x14ac:dyDescent="0.2">
      <c r="A281" s="49" t="s">
        <v>1343</v>
      </c>
      <c r="B281" s="57" t="s">
        <v>1344</v>
      </c>
    </row>
    <row r="282" spans="1:2" ht="17" x14ac:dyDescent="0.2">
      <c r="A282" s="49" t="s">
        <v>1345</v>
      </c>
      <c r="B282" s="57" t="s">
        <v>1346</v>
      </c>
    </row>
    <row r="283" spans="1:2" ht="17" x14ac:dyDescent="0.2">
      <c r="A283" s="49" t="s">
        <v>724</v>
      </c>
      <c r="B283" s="57" t="s">
        <v>1347</v>
      </c>
    </row>
    <row r="284" spans="1:2" ht="17" x14ac:dyDescent="0.2">
      <c r="A284" s="49" t="s">
        <v>1348</v>
      </c>
      <c r="B284" s="57" t="s">
        <v>1349</v>
      </c>
    </row>
    <row r="285" spans="1:2" ht="17" x14ac:dyDescent="0.2">
      <c r="A285" s="49" t="s">
        <v>1350</v>
      </c>
      <c r="B285" s="57" t="s">
        <v>1351</v>
      </c>
    </row>
    <row r="286" spans="1:2" ht="17" x14ac:dyDescent="0.2">
      <c r="A286" s="49" t="s">
        <v>1352</v>
      </c>
      <c r="B286" s="57" t="s">
        <v>1353</v>
      </c>
    </row>
    <row r="287" spans="1:2" ht="17" x14ac:dyDescent="0.2">
      <c r="A287" s="49" t="s">
        <v>1354</v>
      </c>
      <c r="B287" s="57" t="s">
        <v>1355</v>
      </c>
    </row>
    <row r="288" spans="1:2" ht="17" x14ac:dyDescent="0.2">
      <c r="A288" s="49" t="s">
        <v>706</v>
      </c>
      <c r="B288" s="57" t="s">
        <v>1356</v>
      </c>
    </row>
    <row r="289" spans="1:2" ht="17" x14ac:dyDescent="0.2">
      <c r="A289" s="49" t="s">
        <v>713</v>
      </c>
      <c r="B289" s="57" t="s">
        <v>1357</v>
      </c>
    </row>
    <row r="290" spans="1:2" ht="17" x14ac:dyDescent="0.2">
      <c r="A290" s="49" t="s">
        <v>1358</v>
      </c>
      <c r="B290" s="57" t="s">
        <v>1359</v>
      </c>
    </row>
    <row r="291" spans="1:2" ht="17" x14ac:dyDescent="0.2">
      <c r="A291" s="49" t="s">
        <v>1360</v>
      </c>
      <c r="B291" s="57" t="s">
        <v>1361</v>
      </c>
    </row>
    <row r="292" spans="1:2" ht="17" x14ac:dyDescent="0.2">
      <c r="A292" s="49" t="s">
        <v>1362</v>
      </c>
      <c r="B292" s="57" t="s">
        <v>1363</v>
      </c>
    </row>
    <row r="293" spans="1:2" ht="17" x14ac:dyDescent="0.2">
      <c r="A293" s="49" t="s">
        <v>1364</v>
      </c>
      <c r="B293" s="57" t="s">
        <v>1365</v>
      </c>
    </row>
    <row r="294" spans="1:2" ht="17" x14ac:dyDescent="0.2">
      <c r="A294" s="49" t="s">
        <v>710</v>
      </c>
      <c r="B294" s="57" t="s">
        <v>1366</v>
      </c>
    </row>
    <row r="295" spans="1:2" ht="17" x14ac:dyDescent="0.2">
      <c r="A295" s="49" t="s">
        <v>711</v>
      </c>
      <c r="B295" s="57" t="s">
        <v>1367</v>
      </c>
    </row>
    <row r="296" spans="1:2" ht="17" x14ac:dyDescent="0.2">
      <c r="A296" s="49" t="s">
        <v>1368</v>
      </c>
      <c r="B296" s="57" t="s">
        <v>1369</v>
      </c>
    </row>
    <row r="297" spans="1:2" ht="17" x14ac:dyDescent="0.2">
      <c r="A297" s="49" t="s">
        <v>763</v>
      </c>
      <c r="B297" s="57" t="s">
        <v>1370</v>
      </c>
    </row>
    <row r="298" spans="1:2" ht="17" x14ac:dyDescent="0.2">
      <c r="A298" s="49" t="s">
        <v>714</v>
      </c>
      <c r="B298" s="57" t="s">
        <v>1371</v>
      </c>
    </row>
    <row r="299" spans="1:2" ht="17" x14ac:dyDescent="0.2">
      <c r="A299" s="49" t="s">
        <v>1372</v>
      </c>
      <c r="B299" s="57" t="s">
        <v>1373</v>
      </c>
    </row>
    <row r="300" spans="1:2" ht="17" x14ac:dyDescent="0.2">
      <c r="A300" s="49" t="s">
        <v>1374</v>
      </c>
      <c r="B300" s="57" t="s">
        <v>1375</v>
      </c>
    </row>
    <row r="301" spans="1:2" ht="17" x14ac:dyDescent="0.2">
      <c r="A301" s="49" t="s">
        <v>739</v>
      </c>
      <c r="B301" s="57" t="s">
        <v>1376</v>
      </c>
    </row>
    <row r="302" spans="1:2" ht="17" x14ac:dyDescent="0.2">
      <c r="A302" s="49" t="s">
        <v>1377</v>
      </c>
      <c r="B302" s="57" t="s">
        <v>1378</v>
      </c>
    </row>
    <row r="303" spans="1:2" ht="17" x14ac:dyDescent="0.2">
      <c r="A303" s="49" t="s">
        <v>1379</v>
      </c>
      <c r="B303" s="57" t="s">
        <v>1380</v>
      </c>
    </row>
    <row r="304" spans="1:2" ht="17" x14ac:dyDescent="0.2">
      <c r="A304" s="49" t="s">
        <v>1381</v>
      </c>
      <c r="B304" s="57" t="s">
        <v>1382</v>
      </c>
    </row>
    <row r="305" spans="1:2" ht="17" x14ac:dyDescent="0.2">
      <c r="A305" s="49" t="s">
        <v>1383</v>
      </c>
      <c r="B305" s="57" t="s">
        <v>1384</v>
      </c>
    </row>
    <row r="306" spans="1:2" ht="17" x14ac:dyDescent="0.2">
      <c r="A306" s="49" t="s">
        <v>1385</v>
      </c>
      <c r="B306" s="57" t="s">
        <v>1386</v>
      </c>
    </row>
    <row r="307" spans="1:2" ht="17" x14ac:dyDescent="0.2">
      <c r="A307" s="49" t="s">
        <v>1387</v>
      </c>
      <c r="B307" s="57" t="s">
        <v>1388</v>
      </c>
    </row>
    <row r="308" spans="1:2" ht="17" x14ac:dyDescent="0.2">
      <c r="A308" s="49" t="s">
        <v>1389</v>
      </c>
      <c r="B308" s="57" t="s">
        <v>1390</v>
      </c>
    </row>
    <row r="309" spans="1:2" ht="17" x14ac:dyDescent="0.2">
      <c r="A309" s="49" t="s">
        <v>729</v>
      </c>
      <c r="B309" s="57" t="s">
        <v>1391</v>
      </c>
    </row>
    <row r="310" spans="1:2" ht="17" x14ac:dyDescent="0.2">
      <c r="A310" s="49" t="s">
        <v>701</v>
      </c>
      <c r="B310" s="57" t="s">
        <v>1392</v>
      </c>
    </row>
    <row r="311" spans="1:2" ht="17" x14ac:dyDescent="0.2">
      <c r="A311" s="49" t="s">
        <v>1393</v>
      </c>
      <c r="B311" s="57" t="s">
        <v>1394</v>
      </c>
    </row>
    <row r="312" spans="1:2" ht="17" x14ac:dyDescent="0.2">
      <c r="A312" s="49" t="s">
        <v>1395</v>
      </c>
      <c r="B312" s="57" t="s">
        <v>1396</v>
      </c>
    </row>
    <row r="313" spans="1:2" ht="17" x14ac:dyDescent="0.2">
      <c r="A313" s="49" t="s">
        <v>1397</v>
      </c>
      <c r="B313" s="57" t="s">
        <v>1398</v>
      </c>
    </row>
    <row r="314" spans="1:2" ht="17" x14ac:dyDescent="0.2">
      <c r="A314" s="49" t="s">
        <v>1399</v>
      </c>
      <c r="B314" s="57" t="s">
        <v>1400</v>
      </c>
    </row>
    <row r="315" spans="1:2" ht="17" x14ac:dyDescent="0.2">
      <c r="A315" s="49" t="s">
        <v>1401</v>
      </c>
      <c r="B315" s="57" t="s">
        <v>1402</v>
      </c>
    </row>
    <row r="316" spans="1:2" ht="17" x14ac:dyDescent="0.2">
      <c r="A316" s="49" t="s">
        <v>1403</v>
      </c>
      <c r="B316" s="57" t="s">
        <v>1404</v>
      </c>
    </row>
    <row r="317" spans="1:2" ht="17" x14ac:dyDescent="0.2">
      <c r="A317" s="49" t="s">
        <v>730</v>
      </c>
      <c r="B317" s="57" t="s">
        <v>1405</v>
      </c>
    </row>
    <row r="318" spans="1:2" ht="17" x14ac:dyDescent="0.2">
      <c r="A318" s="49" t="s">
        <v>751</v>
      </c>
      <c r="B318" s="57" t="s">
        <v>1406</v>
      </c>
    </row>
    <row r="319" spans="1:2" ht="17" x14ac:dyDescent="0.2">
      <c r="A319" s="49" t="s">
        <v>1407</v>
      </c>
      <c r="B319" s="57" t="s">
        <v>1408</v>
      </c>
    </row>
    <row r="320" spans="1:2" ht="17" x14ac:dyDescent="0.2">
      <c r="A320" s="49" t="s">
        <v>1409</v>
      </c>
      <c r="B320" s="57" t="s">
        <v>1410</v>
      </c>
    </row>
    <row r="321" spans="1:2" ht="17" x14ac:dyDescent="0.2">
      <c r="A321" s="49" t="s">
        <v>744</v>
      </c>
      <c r="B321" s="57" t="s">
        <v>1411</v>
      </c>
    </row>
    <row r="322" spans="1:2" ht="17" x14ac:dyDescent="0.2">
      <c r="A322" s="49" t="s">
        <v>1412</v>
      </c>
      <c r="B322" s="57" t="s">
        <v>1413</v>
      </c>
    </row>
    <row r="323" spans="1:2" ht="17" x14ac:dyDescent="0.2">
      <c r="A323" s="49" t="s">
        <v>1414</v>
      </c>
      <c r="B323" s="57" t="s">
        <v>1415</v>
      </c>
    </row>
    <row r="324" spans="1:2" ht="17" x14ac:dyDescent="0.2">
      <c r="A324" s="49" t="s">
        <v>1416</v>
      </c>
      <c r="B324" s="57" t="s">
        <v>1417</v>
      </c>
    </row>
    <row r="325" spans="1:2" ht="17" x14ac:dyDescent="0.2">
      <c r="A325" s="49" t="s">
        <v>1418</v>
      </c>
      <c r="B325" s="57" t="s">
        <v>1419</v>
      </c>
    </row>
    <row r="326" spans="1:2" ht="17" x14ac:dyDescent="0.2">
      <c r="A326" s="49" t="s">
        <v>1420</v>
      </c>
      <c r="B326" s="57" t="s">
        <v>1421</v>
      </c>
    </row>
    <row r="327" spans="1:2" ht="17" x14ac:dyDescent="0.2">
      <c r="A327" s="49" t="s">
        <v>1422</v>
      </c>
      <c r="B327" s="58" t="s">
        <v>1423</v>
      </c>
    </row>
    <row r="328" spans="1:2" ht="17" x14ac:dyDescent="0.2">
      <c r="A328" s="49" t="s">
        <v>1424</v>
      </c>
      <c r="B328" s="58" t="s">
        <v>1425</v>
      </c>
    </row>
    <row r="329" spans="1:2" ht="17" x14ac:dyDescent="0.2">
      <c r="A329" s="49" t="s">
        <v>1426</v>
      </c>
      <c r="B329" s="58" t="s">
        <v>1427</v>
      </c>
    </row>
    <row r="330" spans="1:2" ht="17" x14ac:dyDescent="0.2">
      <c r="A330" s="49" t="s">
        <v>720</v>
      </c>
      <c r="B330" s="58" t="s">
        <v>1428</v>
      </c>
    </row>
    <row r="331" spans="1:2" ht="17" x14ac:dyDescent="0.2">
      <c r="A331" s="49" t="s">
        <v>1429</v>
      </c>
      <c r="B331" s="58" t="s">
        <v>1430</v>
      </c>
    </row>
    <row r="332" spans="1:2" ht="17" x14ac:dyDescent="0.2">
      <c r="A332" s="49" t="s">
        <v>1431</v>
      </c>
      <c r="B332" s="58" t="s">
        <v>1432</v>
      </c>
    </row>
    <row r="333" spans="1:2" ht="17" x14ac:dyDescent="0.2">
      <c r="A333" s="49" t="s">
        <v>1433</v>
      </c>
      <c r="B333" s="58" t="s">
        <v>1434</v>
      </c>
    </row>
    <row r="334" spans="1:2" ht="17" x14ac:dyDescent="0.2">
      <c r="A334" s="49" t="s">
        <v>748</v>
      </c>
      <c r="B334" s="58" t="s">
        <v>1435</v>
      </c>
    </row>
    <row r="335" spans="1:2" ht="17" x14ac:dyDescent="0.2">
      <c r="A335" s="49" t="s">
        <v>1436</v>
      </c>
      <c r="B335" s="58" t="s">
        <v>1437</v>
      </c>
    </row>
    <row r="336" spans="1:2" ht="17" x14ac:dyDescent="0.2">
      <c r="A336" s="49" t="s">
        <v>1438</v>
      </c>
      <c r="B336" s="58" t="s">
        <v>1439</v>
      </c>
    </row>
    <row r="337" spans="1:2" ht="17" x14ac:dyDescent="0.2">
      <c r="A337" s="49" t="s">
        <v>1440</v>
      </c>
      <c r="B337" s="58" t="s">
        <v>1441</v>
      </c>
    </row>
    <row r="338" spans="1:2" ht="17" x14ac:dyDescent="0.2">
      <c r="A338" s="49" t="s">
        <v>1442</v>
      </c>
      <c r="B338" s="58" t="s">
        <v>1443</v>
      </c>
    </row>
    <row r="339" spans="1:2" ht="17" x14ac:dyDescent="0.2">
      <c r="A339" s="49" t="s">
        <v>1444</v>
      </c>
      <c r="B339" s="58" t="s">
        <v>1445</v>
      </c>
    </row>
    <row r="340" spans="1:2" ht="17" x14ac:dyDescent="0.2">
      <c r="A340" s="49" t="s">
        <v>1446</v>
      </c>
      <c r="B340" s="58" t="s">
        <v>1447</v>
      </c>
    </row>
    <row r="341" spans="1:2" ht="17" x14ac:dyDescent="0.2">
      <c r="A341" s="49" t="s">
        <v>1448</v>
      </c>
      <c r="B341" s="58" t="s">
        <v>1449</v>
      </c>
    </row>
    <row r="342" spans="1:2" ht="17" x14ac:dyDescent="0.2">
      <c r="A342" s="49" t="s">
        <v>731</v>
      </c>
      <c r="B342" s="58" t="s">
        <v>1450</v>
      </c>
    </row>
    <row r="343" spans="1:2" ht="17" x14ac:dyDescent="0.2">
      <c r="A343" s="49" t="s">
        <v>1451</v>
      </c>
      <c r="B343" s="58" t="s">
        <v>1452</v>
      </c>
    </row>
    <row r="344" spans="1:2" ht="17" x14ac:dyDescent="0.2">
      <c r="A344" s="49" t="s">
        <v>1453</v>
      </c>
      <c r="B344" s="58" t="s">
        <v>1454</v>
      </c>
    </row>
    <row r="345" spans="1:2" ht="17" x14ac:dyDescent="0.2">
      <c r="A345" s="49" t="s">
        <v>756</v>
      </c>
      <c r="B345" s="58" t="s">
        <v>1455</v>
      </c>
    </row>
    <row r="346" spans="1:2" ht="17" x14ac:dyDescent="0.2">
      <c r="A346" s="49" t="s">
        <v>1456</v>
      </c>
      <c r="B346" s="58" t="s">
        <v>1457</v>
      </c>
    </row>
    <row r="347" spans="1:2" ht="17" x14ac:dyDescent="0.2">
      <c r="A347" s="49" t="s">
        <v>1458</v>
      </c>
      <c r="B347" s="58" t="s">
        <v>1459</v>
      </c>
    </row>
    <row r="348" spans="1:2" ht="17" x14ac:dyDescent="0.2">
      <c r="A348" s="49" t="s">
        <v>1460</v>
      </c>
      <c r="B348" s="58" t="s">
        <v>1461</v>
      </c>
    </row>
    <row r="349" spans="1:2" ht="17" x14ac:dyDescent="0.2">
      <c r="A349" s="49" t="s">
        <v>1462</v>
      </c>
      <c r="B349" s="58" t="s">
        <v>1463</v>
      </c>
    </row>
    <row r="350" spans="1:2" ht="17" x14ac:dyDescent="0.2">
      <c r="A350" s="49" t="s">
        <v>1464</v>
      </c>
      <c r="B350" s="58" t="s">
        <v>1465</v>
      </c>
    </row>
    <row r="351" spans="1:2" ht="17" x14ac:dyDescent="0.2">
      <c r="A351" s="49" t="s">
        <v>1466</v>
      </c>
      <c r="B351" s="58" t="s">
        <v>1467</v>
      </c>
    </row>
    <row r="352" spans="1:2" ht="17" x14ac:dyDescent="0.2">
      <c r="A352" s="49" t="s">
        <v>725</v>
      </c>
      <c r="B352" s="58" t="s">
        <v>1468</v>
      </c>
    </row>
    <row r="353" spans="1:2" ht="17" x14ac:dyDescent="0.2">
      <c r="A353" s="49" t="s">
        <v>1469</v>
      </c>
      <c r="B353" s="58" t="s">
        <v>1470</v>
      </c>
    </row>
    <row r="354" spans="1:2" ht="17" x14ac:dyDescent="0.2">
      <c r="A354" s="49" t="s">
        <v>1471</v>
      </c>
      <c r="B354" s="58" t="s">
        <v>1472</v>
      </c>
    </row>
    <row r="355" spans="1:2" ht="17" x14ac:dyDescent="0.2">
      <c r="A355" s="49" t="s">
        <v>1473</v>
      </c>
      <c r="B355" s="57" t="s">
        <v>1474</v>
      </c>
    </row>
    <row r="356" spans="1:2" ht="45" x14ac:dyDescent="0.2">
      <c r="A356" s="51" t="s">
        <v>705</v>
      </c>
      <c r="B356" s="58" t="s">
        <v>1475</v>
      </c>
    </row>
    <row r="357" spans="1:2" ht="150" x14ac:dyDescent="0.2">
      <c r="A357" s="51" t="s">
        <v>707</v>
      </c>
      <c r="B357" s="58" t="s">
        <v>1476</v>
      </c>
    </row>
    <row r="358" spans="1:2" ht="150" x14ac:dyDescent="0.2">
      <c r="A358" s="51" t="s">
        <v>718</v>
      </c>
      <c r="B358" s="58" t="s">
        <v>1477</v>
      </c>
    </row>
    <row r="359" spans="1:2" ht="34" x14ac:dyDescent="0.2">
      <c r="A359" s="49" t="s">
        <v>722</v>
      </c>
      <c r="B359" s="58" t="s">
        <v>1478</v>
      </c>
    </row>
    <row r="360" spans="1:2" ht="30" x14ac:dyDescent="0.2">
      <c r="A360" s="51" t="s">
        <v>726</v>
      </c>
      <c r="B360" s="58" t="s">
        <v>1479</v>
      </c>
    </row>
    <row r="361" spans="1:2" ht="34" x14ac:dyDescent="0.2">
      <c r="A361" s="49" t="s">
        <v>728</v>
      </c>
      <c r="B361" s="58" t="s">
        <v>1480</v>
      </c>
    </row>
    <row r="362" spans="1:2" ht="51" x14ac:dyDescent="0.2">
      <c r="A362" s="49" t="s">
        <v>734</v>
      </c>
      <c r="B362" s="58" t="s">
        <v>1481</v>
      </c>
    </row>
    <row r="363" spans="1:2" ht="34" x14ac:dyDescent="0.2">
      <c r="A363" s="49" t="s">
        <v>736</v>
      </c>
      <c r="B363" s="58" t="s">
        <v>1482</v>
      </c>
    </row>
    <row r="364" spans="1:2" ht="51" x14ac:dyDescent="0.2">
      <c r="A364" s="49" t="s">
        <v>740</v>
      </c>
      <c r="B364" s="58" t="s">
        <v>1483</v>
      </c>
    </row>
    <row r="365" spans="1:2" ht="90" x14ac:dyDescent="0.2">
      <c r="A365" s="51" t="s">
        <v>743</v>
      </c>
      <c r="B365" s="58" t="s">
        <v>1484</v>
      </c>
    </row>
    <row r="366" spans="1:2" ht="45" x14ac:dyDescent="0.2">
      <c r="A366" s="51" t="s">
        <v>745</v>
      </c>
      <c r="B366" s="58" t="s">
        <v>1485</v>
      </c>
    </row>
    <row r="367" spans="1:2" ht="34" x14ac:dyDescent="0.2">
      <c r="A367" s="49" t="s">
        <v>747</v>
      </c>
      <c r="B367" s="58" t="s">
        <v>1486</v>
      </c>
    </row>
    <row r="368" spans="1:2" ht="34" x14ac:dyDescent="0.2">
      <c r="A368" s="49" t="s">
        <v>749</v>
      </c>
      <c r="B368" s="58" t="s">
        <v>1487</v>
      </c>
    </row>
    <row r="369" spans="1:2" ht="45" x14ac:dyDescent="0.2">
      <c r="A369" s="51" t="s">
        <v>757</v>
      </c>
      <c r="B369" s="58" t="s">
        <v>1488</v>
      </c>
    </row>
    <row r="370" spans="1:2" ht="45" x14ac:dyDescent="0.2">
      <c r="A370" s="51" t="s">
        <v>758</v>
      </c>
      <c r="B370" s="58" t="s">
        <v>1489</v>
      </c>
    </row>
    <row r="371" spans="1:2" x14ac:dyDescent="0.2">
      <c r="A371" s="60" t="s">
        <v>1490</v>
      </c>
      <c r="B371" s="66" t="s">
        <v>1491</v>
      </c>
    </row>
    <row r="372" spans="1:2" x14ac:dyDescent="0.2">
      <c r="A372" s="60" t="s">
        <v>1492</v>
      </c>
      <c r="B372" s="66" t="s">
        <v>1493</v>
      </c>
    </row>
    <row r="373" spans="1:2" x14ac:dyDescent="0.2">
      <c r="A373" s="60" t="s">
        <v>1494</v>
      </c>
      <c r="B373" s="66" t="s">
        <v>1495</v>
      </c>
    </row>
    <row r="374" spans="1:2" x14ac:dyDescent="0.2">
      <c r="A374" s="60" t="s">
        <v>1496</v>
      </c>
      <c r="B374" s="66" t="s">
        <v>1497</v>
      </c>
    </row>
    <row r="375" spans="1:2" x14ac:dyDescent="0.2">
      <c r="A375" s="60" t="s">
        <v>1498</v>
      </c>
      <c r="B375" s="66" t="s">
        <v>1499</v>
      </c>
    </row>
    <row r="376" spans="1:2" x14ac:dyDescent="0.2">
      <c r="A376" s="60" t="s">
        <v>1500</v>
      </c>
      <c r="B376" s="66" t="s">
        <v>1501</v>
      </c>
    </row>
    <row r="377" spans="1:2" x14ac:dyDescent="0.2">
      <c r="A377" s="61" t="s">
        <v>1502</v>
      </c>
      <c r="B377" s="65" t="s">
        <v>1503</v>
      </c>
    </row>
    <row r="378" spans="1:2" x14ac:dyDescent="0.2">
      <c r="A378" s="60" t="s">
        <v>1504</v>
      </c>
      <c r="B378" s="66" t="s">
        <v>1505</v>
      </c>
    </row>
    <row r="379" spans="1:2" x14ac:dyDescent="0.2">
      <c r="A379" s="60" t="s">
        <v>1506</v>
      </c>
      <c r="B379" s="66" t="s">
        <v>1507</v>
      </c>
    </row>
    <row r="380" spans="1:2" x14ac:dyDescent="0.2">
      <c r="A380" s="60" t="s">
        <v>1508</v>
      </c>
      <c r="B380" s="66" t="s">
        <v>1509</v>
      </c>
    </row>
    <row r="381" spans="1:2" x14ac:dyDescent="0.2">
      <c r="A381" s="60" t="s">
        <v>1510</v>
      </c>
      <c r="B381" s="66" t="s">
        <v>1511</v>
      </c>
    </row>
    <row r="382" spans="1:2" x14ac:dyDescent="0.2">
      <c r="A382" s="60" t="s">
        <v>1512</v>
      </c>
      <c r="B382" s="66" t="s">
        <v>1513</v>
      </c>
    </row>
    <row r="383" spans="1:2" x14ac:dyDescent="0.2">
      <c r="A383" s="60" t="s">
        <v>1514</v>
      </c>
      <c r="B383" s="66" t="s">
        <v>1515</v>
      </c>
    </row>
    <row r="384" spans="1:2" x14ac:dyDescent="0.2">
      <c r="A384" s="60" t="s">
        <v>1516</v>
      </c>
      <c r="B384" s="66" t="s">
        <v>1517</v>
      </c>
    </row>
    <row r="385" spans="1:2" x14ac:dyDescent="0.2">
      <c r="A385" s="60" t="s">
        <v>1518</v>
      </c>
      <c r="B385" s="67" t="s">
        <v>1519</v>
      </c>
    </row>
    <row r="386" spans="1:2" x14ac:dyDescent="0.2">
      <c r="A386" s="60" t="s">
        <v>1520</v>
      </c>
      <c r="B386" s="66" t="s">
        <v>1517</v>
      </c>
    </row>
    <row r="387" spans="1:2" x14ac:dyDescent="0.2">
      <c r="A387" s="60" t="s">
        <v>1521</v>
      </c>
      <c r="B387" s="66" t="s">
        <v>1522</v>
      </c>
    </row>
    <row r="388" spans="1:2" x14ac:dyDescent="0.2">
      <c r="A388" s="60" t="s">
        <v>1523</v>
      </c>
      <c r="B388" s="66" t="s">
        <v>1524</v>
      </c>
    </row>
    <row r="389" spans="1:2" x14ac:dyDescent="0.2">
      <c r="A389" s="60" t="s">
        <v>1525</v>
      </c>
      <c r="B389" s="66" t="s">
        <v>1526</v>
      </c>
    </row>
    <row r="390" spans="1:2" x14ac:dyDescent="0.2">
      <c r="A390" s="60" t="s">
        <v>1527</v>
      </c>
      <c r="B390" s="66" t="s">
        <v>1528</v>
      </c>
    </row>
    <row r="391" spans="1:2" x14ac:dyDescent="0.2">
      <c r="A391" s="60" t="s">
        <v>865</v>
      </c>
      <c r="B391" s="66" t="s">
        <v>1529</v>
      </c>
    </row>
    <row r="392" spans="1:2" x14ac:dyDescent="0.2">
      <c r="A392" s="60" t="s">
        <v>1530</v>
      </c>
      <c r="B392" s="66" t="s">
        <v>1531</v>
      </c>
    </row>
    <row r="393" spans="1:2" x14ac:dyDescent="0.2">
      <c r="A393" s="60" t="s">
        <v>1532</v>
      </c>
      <c r="B393" s="66" t="s">
        <v>1533</v>
      </c>
    </row>
    <row r="394" spans="1:2" x14ac:dyDescent="0.2">
      <c r="A394" s="60" t="s">
        <v>1534</v>
      </c>
      <c r="B394" s="66" t="s">
        <v>1535</v>
      </c>
    </row>
    <row r="395" spans="1:2" x14ac:dyDescent="0.2">
      <c r="A395" s="60" t="s">
        <v>1536</v>
      </c>
      <c r="B395" s="66" t="s">
        <v>1537</v>
      </c>
    </row>
    <row r="396" spans="1:2" x14ac:dyDescent="0.2">
      <c r="A396" s="60" t="s">
        <v>1538</v>
      </c>
      <c r="B396" s="66" t="s">
        <v>1539</v>
      </c>
    </row>
    <row r="397" spans="1:2" x14ac:dyDescent="0.2">
      <c r="A397" s="60" t="s">
        <v>1540</v>
      </c>
      <c r="B397" s="66" t="s">
        <v>1541</v>
      </c>
    </row>
    <row r="398" spans="1:2" x14ac:dyDescent="0.2">
      <c r="A398" s="60" t="s">
        <v>1542</v>
      </c>
      <c r="B398" s="67" t="s">
        <v>1543</v>
      </c>
    </row>
    <row r="399" spans="1:2" x14ac:dyDescent="0.2">
      <c r="A399" s="60" t="s">
        <v>1544</v>
      </c>
      <c r="B399" s="66" t="s">
        <v>1545</v>
      </c>
    </row>
    <row r="400" spans="1:2" x14ac:dyDescent="0.2">
      <c r="A400" s="60" t="s">
        <v>1546</v>
      </c>
      <c r="B400" s="66" t="s">
        <v>1547</v>
      </c>
    </row>
    <row r="401" spans="1:2" x14ac:dyDescent="0.2">
      <c r="A401" s="60" t="s">
        <v>1548</v>
      </c>
      <c r="B401" s="66" t="s">
        <v>1549</v>
      </c>
    </row>
    <row r="402" spans="1:2" x14ac:dyDescent="0.2">
      <c r="A402" s="60" t="s">
        <v>1550</v>
      </c>
      <c r="B402" s="66" t="s">
        <v>1517</v>
      </c>
    </row>
    <row r="403" spans="1:2" x14ac:dyDescent="0.2">
      <c r="A403" s="60" t="s">
        <v>1551</v>
      </c>
      <c r="B403" s="67" t="s">
        <v>1552</v>
      </c>
    </row>
    <row r="404" spans="1:2" x14ac:dyDescent="0.2">
      <c r="A404" s="60" t="s">
        <v>1553</v>
      </c>
      <c r="B404" s="66" t="s">
        <v>1554</v>
      </c>
    </row>
    <row r="405" spans="1:2" x14ac:dyDescent="0.2">
      <c r="A405" s="61" t="s">
        <v>1555</v>
      </c>
      <c r="B405" s="65" t="s">
        <v>1556</v>
      </c>
    </row>
    <row r="406" spans="1:2" x14ac:dyDescent="0.2">
      <c r="A406" s="60" t="s">
        <v>1557</v>
      </c>
      <c r="B406" s="66" t="s">
        <v>1558</v>
      </c>
    </row>
    <row r="407" spans="1:2" x14ac:dyDescent="0.2">
      <c r="A407" s="60" t="s">
        <v>1559</v>
      </c>
      <c r="B407" s="66" t="s">
        <v>1560</v>
      </c>
    </row>
    <row r="408" spans="1:2" x14ac:dyDescent="0.2">
      <c r="A408" s="60" t="s">
        <v>1561</v>
      </c>
      <c r="B408" s="66" t="s">
        <v>1562</v>
      </c>
    </row>
    <row r="409" spans="1:2" x14ac:dyDescent="0.2">
      <c r="A409" s="60" t="s">
        <v>1563</v>
      </c>
      <c r="B409" s="66" t="s">
        <v>1564</v>
      </c>
    </row>
    <row r="410" spans="1:2" x14ac:dyDescent="0.2">
      <c r="A410" s="60" t="s">
        <v>1565</v>
      </c>
      <c r="B410" s="66" t="s">
        <v>1566</v>
      </c>
    </row>
    <row r="411" spans="1:2" x14ac:dyDescent="0.2">
      <c r="A411" s="60" t="s">
        <v>1567</v>
      </c>
      <c r="B411" s="66" t="s">
        <v>1568</v>
      </c>
    </row>
    <row r="412" spans="1:2" x14ac:dyDescent="0.2">
      <c r="A412" s="60" t="s">
        <v>1569</v>
      </c>
      <c r="B412" s="66" t="s">
        <v>1570</v>
      </c>
    </row>
    <row r="413" spans="1:2" x14ac:dyDescent="0.2">
      <c r="A413" s="60" t="s">
        <v>1571</v>
      </c>
      <c r="B413" s="66" t="s">
        <v>1572</v>
      </c>
    </row>
    <row r="414" spans="1:2" x14ac:dyDescent="0.2">
      <c r="A414" s="60" t="s">
        <v>1573</v>
      </c>
      <c r="B414" s="66" t="s">
        <v>1574</v>
      </c>
    </row>
    <row r="415" spans="1:2" x14ac:dyDescent="0.2">
      <c r="A415" s="60" t="s">
        <v>1575</v>
      </c>
      <c r="B415" s="66" t="s">
        <v>1576</v>
      </c>
    </row>
    <row r="416" spans="1:2" x14ac:dyDescent="0.2">
      <c r="A416" s="60" t="s">
        <v>1577</v>
      </c>
      <c r="B416" s="66" t="s">
        <v>1578</v>
      </c>
    </row>
    <row r="417" spans="1:2" x14ac:dyDescent="0.2">
      <c r="A417" s="60" t="s">
        <v>1579</v>
      </c>
      <c r="B417" s="66" t="s">
        <v>1580</v>
      </c>
    </row>
    <row r="418" spans="1:2" x14ac:dyDescent="0.2">
      <c r="A418" s="60" t="s">
        <v>1581</v>
      </c>
      <c r="B418" s="66" t="s">
        <v>1582</v>
      </c>
    </row>
    <row r="419" spans="1:2" x14ac:dyDescent="0.2">
      <c r="A419" s="60" t="s">
        <v>1583</v>
      </c>
      <c r="B419" s="66" t="s">
        <v>1584</v>
      </c>
    </row>
    <row r="420" spans="1:2" x14ac:dyDescent="0.2">
      <c r="A420" s="60" t="s">
        <v>1585</v>
      </c>
      <c r="B420" s="67" t="s">
        <v>1586</v>
      </c>
    </row>
    <row r="421" spans="1:2" x14ac:dyDescent="0.2">
      <c r="A421" s="60" t="s">
        <v>1587</v>
      </c>
      <c r="B421" s="66" t="s">
        <v>1588</v>
      </c>
    </row>
    <row r="422" spans="1:2" x14ac:dyDescent="0.2">
      <c r="A422" s="60" t="s">
        <v>1589</v>
      </c>
      <c r="B422" s="66" t="s">
        <v>1590</v>
      </c>
    </row>
    <row r="423" spans="1:2" x14ac:dyDescent="0.2">
      <c r="A423" s="60" t="s">
        <v>1591</v>
      </c>
      <c r="B423" s="66" t="s">
        <v>1517</v>
      </c>
    </row>
    <row r="424" spans="1:2" x14ac:dyDescent="0.2">
      <c r="A424" s="60" t="s">
        <v>1592</v>
      </c>
      <c r="B424" s="66" t="s">
        <v>1593</v>
      </c>
    </row>
    <row r="425" spans="1:2" x14ac:dyDescent="0.2">
      <c r="A425" s="60" t="s">
        <v>1594</v>
      </c>
      <c r="B425" s="66" t="s">
        <v>1595</v>
      </c>
    </row>
    <row r="426" spans="1:2" x14ac:dyDescent="0.2">
      <c r="A426" s="60" t="s">
        <v>1596</v>
      </c>
      <c r="B426" s="66" t="s">
        <v>1597</v>
      </c>
    </row>
    <row r="427" spans="1:2" x14ac:dyDescent="0.2">
      <c r="A427" s="60" t="s">
        <v>1598</v>
      </c>
      <c r="B427" s="66" t="s">
        <v>1599</v>
      </c>
    </row>
    <row r="428" spans="1:2" x14ac:dyDescent="0.2">
      <c r="A428" s="60" t="s">
        <v>1600</v>
      </c>
      <c r="B428" s="66" t="s">
        <v>1601</v>
      </c>
    </row>
    <row r="429" spans="1:2" x14ac:dyDescent="0.2">
      <c r="A429" s="60" t="s">
        <v>1602</v>
      </c>
      <c r="B429" s="67" t="s">
        <v>1603</v>
      </c>
    </row>
    <row r="430" spans="1:2" x14ac:dyDescent="0.2">
      <c r="A430" s="60" t="s">
        <v>1604</v>
      </c>
      <c r="B430" s="66" t="s">
        <v>1605</v>
      </c>
    </row>
    <row r="431" spans="1:2" x14ac:dyDescent="0.2">
      <c r="A431" s="60" t="s">
        <v>1606</v>
      </c>
      <c r="B431" s="66" t="s">
        <v>1607</v>
      </c>
    </row>
    <row r="432" spans="1:2" x14ac:dyDescent="0.2">
      <c r="A432" s="60" t="s">
        <v>1608</v>
      </c>
      <c r="B432" s="66" t="s">
        <v>1609</v>
      </c>
    </row>
    <row r="433" spans="1:2" x14ac:dyDescent="0.2">
      <c r="A433" s="60" t="s">
        <v>1610</v>
      </c>
      <c r="B433" s="66" t="s">
        <v>1611</v>
      </c>
    </row>
    <row r="434" spans="1:2" x14ac:dyDescent="0.2">
      <c r="A434" s="60" t="s">
        <v>1612</v>
      </c>
      <c r="B434" s="66" t="s">
        <v>1613</v>
      </c>
    </row>
    <row r="435" spans="1:2" x14ac:dyDescent="0.2">
      <c r="A435" s="60" t="s">
        <v>1614</v>
      </c>
      <c r="B435" s="66" t="s">
        <v>1615</v>
      </c>
    </row>
    <row r="436" spans="1:2" x14ac:dyDescent="0.2">
      <c r="A436" s="60" t="s">
        <v>1616</v>
      </c>
      <c r="B436" s="66" t="s">
        <v>1617</v>
      </c>
    </row>
    <row r="437" spans="1:2" x14ac:dyDescent="0.2">
      <c r="A437" s="60" t="s">
        <v>1618</v>
      </c>
      <c r="B437" s="66" t="s">
        <v>1619</v>
      </c>
    </row>
    <row r="438" spans="1:2" x14ac:dyDescent="0.2">
      <c r="A438" s="60" t="s">
        <v>1620</v>
      </c>
      <c r="B438" s="66" t="s">
        <v>1621</v>
      </c>
    </row>
    <row r="439" spans="1:2" x14ac:dyDescent="0.2">
      <c r="A439" s="60" t="s">
        <v>1622</v>
      </c>
      <c r="B439" s="66" t="s">
        <v>1623</v>
      </c>
    </row>
    <row r="440" spans="1:2" x14ac:dyDescent="0.2">
      <c r="A440" s="60" t="s">
        <v>1624</v>
      </c>
      <c r="B440" s="67" t="s">
        <v>1625</v>
      </c>
    </row>
    <row r="441" spans="1:2" x14ac:dyDescent="0.2">
      <c r="A441" s="60" t="s">
        <v>1626</v>
      </c>
      <c r="B441" s="66" t="s">
        <v>1627</v>
      </c>
    </row>
    <row r="442" spans="1:2" x14ac:dyDescent="0.2">
      <c r="A442" s="60" t="s">
        <v>1628</v>
      </c>
      <c r="B442" s="66" t="s">
        <v>1629</v>
      </c>
    </row>
    <row r="443" spans="1:2" x14ac:dyDescent="0.2">
      <c r="A443" s="60" t="s">
        <v>1630</v>
      </c>
      <c r="B443" s="66" t="s">
        <v>1631</v>
      </c>
    </row>
    <row r="444" spans="1:2" x14ac:dyDescent="0.2">
      <c r="A444" s="60" t="s">
        <v>1632</v>
      </c>
      <c r="B444" s="66" t="s">
        <v>1517</v>
      </c>
    </row>
    <row r="445" spans="1:2" x14ac:dyDescent="0.2">
      <c r="A445" s="60" t="s">
        <v>1633</v>
      </c>
      <c r="B445" s="66" t="s">
        <v>1634</v>
      </c>
    </row>
    <row r="446" spans="1:2" x14ac:dyDescent="0.2">
      <c r="A446" s="60" t="s">
        <v>1635</v>
      </c>
      <c r="B446" s="66" t="s">
        <v>1636</v>
      </c>
    </row>
    <row r="447" spans="1:2" x14ac:dyDescent="0.2">
      <c r="A447" s="60" t="s">
        <v>1637</v>
      </c>
      <c r="B447" s="66" t="s">
        <v>1638</v>
      </c>
    </row>
    <row r="448" spans="1:2" x14ac:dyDescent="0.2">
      <c r="A448" s="60" t="s">
        <v>1639</v>
      </c>
      <c r="B448" s="66" t="s">
        <v>1640</v>
      </c>
    </row>
    <row r="449" spans="1:2" x14ac:dyDescent="0.2">
      <c r="A449" s="60" t="s">
        <v>1641</v>
      </c>
      <c r="B449" s="67" t="s">
        <v>1642</v>
      </c>
    </row>
    <row r="450" spans="1:2" x14ac:dyDescent="0.2">
      <c r="A450" s="60" t="s">
        <v>1643</v>
      </c>
      <c r="B450" s="66" t="s">
        <v>1644</v>
      </c>
    </row>
    <row r="451" spans="1:2" x14ac:dyDescent="0.2">
      <c r="A451" s="60" t="s">
        <v>1645</v>
      </c>
      <c r="B451" s="66" t="s">
        <v>1646</v>
      </c>
    </row>
    <row r="452" spans="1:2" x14ac:dyDescent="0.2">
      <c r="A452" s="60" t="s">
        <v>1647</v>
      </c>
      <c r="B452" s="66" t="s">
        <v>1648</v>
      </c>
    </row>
    <row r="453" spans="1:2" x14ac:dyDescent="0.2">
      <c r="A453" s="60" t="s">
        <v>1649</v>
      </c>
      <c r="B453" s="67" t="s">
        <v>1650</v>
      </c>
    </row>
    <row r="454" spans="1:2" x14ac:dyDescent="0.2">
      <c r="A454" s="60" t="s">
        <v>1651</v>
      </c>
      <c r="B454" s="67" t="s">
        <v>1652</v>
      </c>
    </row>
    <row r="455" spans="1:2" x14ac:dyDescent="0.2">
      <c r="A455" s="60" t="s">
        <v>1653</v>
      </c>
      <c r="B455" s="66" t="s">
        <v>1654</v>
      </c>
    </row>
    <row r="456" spans="1:2" x14ac:dyDescent="0.2">
      <c r="A456" s="60" t="s">
        <v>1655</v>
      </c>
      <c r="B456" s="66" t="s">
        <v>1656</v>
      </c>
    </row>
    <row r="457" spans="1:2" x14ac:dyDescent="0.2">
      <c r="A457" s="60" t="s">
        <v>1657</v>
      </c>
      <c r="B457" s="66" t="s">
        <v>1658</v>
      </c>
    </row>
    <row r="458" spans="1:2" x14ac:dyDescent="0.2">
      <c r="A458" s="64" t="s">
        <v>839</v>
      </c>
      <c r="B458" s="63" t="s">
        <v>1659</v>
      </c>
    </row>
    <row r="459" spans="1:2" x14ac:dyDescent="0.2">
      <c r="A459" s="60" t="s">
        <v>1660</v>
      </c>
      <c r="B459" s="66" t="s">
        <v>1661</v>
      </c>
    </row>
    <row r="460" spans="1:2" x14ac:dyDescent="0.2">
      <c r="A460" s="60" t="s">
        <v>1662</v>
      </c>
      <c r="B460" s="66" t="s">
        <v>1663</v>
      </c>
    </row>
    <row r="461" spans="1:2" x14ac:dyDescent="0.2">
      <c r="A461" s="60" t="s">
        <v>1664</v>
      </c>
      <c r="B461" s="66" t="s">
        <v>1665</v>
      </c>
    </row>
    <row r="462" spans="1:2" x14ac:dyDescent="0.2">
      <c r="A462" s="60" t="s">
        <v>1666</v>
      </c>
      <c r="B462" s="66" t="s">
        <v>1667</v>
      </c>
    </row>
    <row r="463" spans="1:2" x14ac:dyDescent="0.2">
      <c r="A463" s="60" t="s">
        <v>1668</v>
      </c>
      <c r="B463" s="66" t="s">
        <v>1669</v>
      </c>
    </row>
    <row r="464" spans="1:2" x14ac:dyDescent="0.2">
      <c r="A464" s="60" t="s">
        <v>1670</v>
      </c>
      <c r="B464" s="66" t="s">
        <v>1671</v>
      </c>
    </row>
    <row r="465" spans="1:2" x14ac:dyDescent="0.2">
      <c r="A465" s="60" t="s">
        <v>1672</v>
      </c>
      <c r="B465" s="66" t="s">
        <v>1673</v>
      </c>
    </row>
    <row r="466" spans="1:2" x14ac:dyDescent="0.2">
      <c r="A466" s="60" t="s">
        <v>1674</v>
      </c>
      <c r="B466" s="66" t="s">
        <v>1675</v>
      </c>
    </row>
    <row r="467" spans="1:2" x14ac:dyDescent="0.2">
      <c r="A467" s="60" t="s">
        <v>1676</v>
      </c>
      <c r="B467" s="66" t="s">
        <v>1677</v>
      </c>
    </row>
    <row r="468" spans="1:2" x14ac:dyDescent="0.2">
      <c r="A468" s="60" t="s">
        <v>1678</v>
      </c>
      <c r="B468" s="66" t="s">
        <v>1679</v>
      </c>
    </row>
    <row r="469" spans="1:2" x14ac:dyDescent="0.2">
      <c r="A469" s="60" t="s">
        <v>1680</v>
      </c>
      <c r="B469" s="66" t="s">
        <v>1681</v>
      </c>
    </row>
    <row r="470" spans="1:2" x14ac:dyDescent="0.2">
      <c r="A470" s="60" t="s">
        <v>1682</v>
      </c>
      <c r="B470" s="66" t="s">
        <v>1683</v>
      </c>
    </row>
    <row r="471" spans="1:2" x14ac:dyDescent="0.2">
      <c r="A471" s="60" t="s">
        <v>1684</v>
      </c>
      <c r="B471" s="66" t="s">
        <v>1685</v>
      </c>
    </row>
    <row r="472" spans="1:2" x14ac:dyDescent="0.2">
      <c r="A472" s="60" t="s">
        <v>1686</v>
      </c>
      <c r="B472" s="66" t="s">
        <v>1687</v>
      </c>
    </row>
    <row r="473" spans="1:2" x14ac:dyDescent="0.2">
      <c r="A473" s="60" t="s">
        <v>1688</v>
      </c>
      <c r="B473" s="66" t="s">
        <v>1689</v>
      </c>
    </row>
    <row r="474" spans="1:2" x14ac:dyDescent="0.2">
      <c r="A474" s="60" t="s">
        <v>1690</v>
      </c>
      <c r="B474" s="67" t="s">
        <v>1691</v>
      </c>
    </row>
    <row r="475" spans="1:2" x14ac:dyDescent="0.2">
      <c r="A475" s="60" t="s">
        <v>1692</v>
      </c>
      <c r="B475" s="66" t="s">
        <v>1693</v>
      </c>
    </row>
    <row r="476" spans="1:2" x14ac:dyDescent="0.2">
      <c r="A476" s="60" t="s">
        <v>1694</v>
      </c>
      <c r="B476" s="66" t="s">
        <v>1695</v>
      </c>
    </row>
    <row r="477" spans="1:2" x14ac:dyDescent="0.2">
      <c r="A477" s="60" t="s">
        <v>1696</v>
      </c>
      <c r="B477" s="66" t="s">
        <v>1697</v>
      </c>
    </row>
    <row r="478" spans="1:2" x14ac:dyDescent="0.2">
      <c r="A478" s="60" t="s">
        <v>1698</v>
      </c>
      <c r="B478" s="66" t="s">
        <v>1699</v>
      </c>
    </row>
    <row r="479" spans="1:2" x14ac:dyDescent="0.2">
      <c r="A479" s="60" t="s">
        <v>1700</v>
      </c>
      <c r="B479" s="66" t="s">
        <v>1701</v>
      </c>
    </row>
    <row r="480" spans="1:2" x14ac:dyDescent="0.2">
      <c r="A480" s="60" t="s">
        <v>1702</v>
      </c>
      <c r="B480" s="66" t="s">
        <v>1703</v>
      </c>
    </row>
    <row r="481" spans="1:2" x14ac:dyDescent="0.2">
      <c r="A481" s="60" t="s">
        <v>1704</v>
      </c>
      <c r="B481" s="66" t="s">
        <v>1705</v>
      </c>
    </row>
    <row r="482" spans="1:2" x14ac:dyDescent="0.2">
      <c r="A482" s="60" t="s">
        <v>1706</v>
      </c>
      <c r="B482" s="66" t="s">
        <v>1707</v>
      </c>
    </row>
    <row r="483" spans="1:2" x14ac:dyDescent="0.2">
      <c r="A483" s="60" t="s">
        <v>1708</v>
      </c>
      <c r="B483" s="66" t="s">
        <v>1709</v>
      </c>
    </row>
    <row r="484" spans="1:2" x14ac:dyDescent="0.2">
      <c r="A484" s="60" t="s">
        <v>1710</v>
      </c>
      <c r="B484" s="66" t="s">
        <v>1711</v>
      </c>
    </row>
    <row r="485" spans="1:2" x14ac:dyDescent="0.2">
      <c r="A485" s="60" t="s">
        <v>1712</v>
      </c>
      <c r="B485" s="66" t="s">
        <v>1713</v>
      </c>
    </row>
    <row r="486" spans="1:2" x14ac:dyDescent="0.2">
      <c r="A486" s="60" t="s">
        <v>1714</v>
      </c>
      <c r="B486" s="66" t="s">
        <v>1715</v>
      </c>
    </row>
    <row r="487" spans="1:2" x14ac:dyDescent="0.2">
      <c r="A487" s="60" t="s">
        <v>1716</v>
      </c>
      <c r="B487" s="66" t="s">
        <v>1717</v>
      </c>
    </row>
    <row r="488" spans="1:2" x14ac:dyDescent="0.2">
      <c r="A488" s="60" t="s">
        <v>1718</v>
      </c>
      <c r="B488" s="66" t="s">
        <v>1719</v>
      </c>
    </row>
    <row r="489" spans="1:2" x14ac:dyDescent="0.2">
      <c r="A489" s="60" t="s">
        <v>1720</v>
      </c>
      <c r="B489" s="67" t="s">
        <v>1721</v>
      </c>
    </row>
    <row r="490" spans="1:2" x14ac:dyDescent="0.2">
      <c r="A490" s="60" t="s">
        <v>1722</v>
      </c>
      <c r="B490" s="66" t="s">
        <v>1723</v>
      </c>
    </row>
    <row r="491" spans="1:2" x14ac:dyDescent="0.2">
      <c r="A491" s="60" t="s">
        <v>1724</v>
      </c>
      <c r="B491" s="66" t="s">
        <v>1725</v>
      </c>
    </row>
    <row r="492" spans="1:2" x14ac:dyDescent="0.2">
      <c r="A492" s="60" t="s">
        <v>1726</v>
      </c>
      <c r="B492" s="66" t="s">
        <v>1727</v>
      </c>
    </row>
    <row r="493" spans="1:2" x14ac:dyDescent="0.2">
      <c r="A493" s="60" t="s">
        <v>1728</v>
      </c>
      <c r="B493" s="66" t="s">
        <v>1729</v>
      </c>
    </row>
    <row r="494" spans="1:2" x14ac:dyDescent="0.2">
      <c r="A494" s="60" t="s">
        <v>1730</v>
      </c>
      <c r="B494" s="66" t="s">
        <v>1731</v>
      </c>
    </row>
    <row r="495" spans="1:2" x14ac:dyDescent="0.2">
      <c r="A495" s="60" t="s">
        <v>1732</v>
      </c>
      <c r="B495" s="66" t="s">
        <v>1517</v>
      </c>
    </row>
    <row r="496" spans="1:2" x14ac:dyDescent="0.2">
      <c r="A496" s="60" t="s">
        <v>1733</v>
      </c>
      <c r="B496" s="66" t="s">
        <v>1734</v>
      </c>
    </row>
    <row r="497" spans="1:2" x14ac:dyDescent="0.2">
      <c r="A497" s="60" t="s">
        <v>1735</v>
      </c>
      <c r="B497" s="66" t="s">
        <v>1736</v>
      </c>
    </row>
    <row r="498" spans="1:2" x14ac:dyDescent="0.2">
      <c r="A498" s="60" t="s">
        <v>1737</v>
      </c>
      <c r="B498" s="66" t="s">
        <v>1738</v>
      </c>
    </row>
    <row r="499" spans="1:2" x14ac:dyDescent="0.2">
      <c r="A499" s="60" t="s">
        <v>1739</v>
      </c>
      <c r="B499" s="66" t="s">
        <v>1740</v>
      </c>
    </row>
    <row r="500" spans="1:2" x14ac:dyDescent="0.2">
      <c r="A500" s="60" t="s">
        <v>1741</v>
      </c>
      <c r="B500" s="66" t="s">
        <v>1742</v>
      </c>
    </row>
    <row r="501" spans="1:2" x14ac:dyDescent="0.2">
      <c r="A501" s="60" t="s">
        <v>1743</v>
      </c>
      <c r="B501" s="66" t="s">
        <v>1744</v>
      </c>
    </row>
    <row r="502" spans="1:2" x14ac:dyDescent="0.2">
      <c r="A502" s="60" t="s">
        <v>1745</v>
      </c>
      <c r="B502" s="66" t="s">
        <v>1746</v>
      </c>
    </row>
    <row r="503" spans="1:2" x14ac:dyDescent="0.2">
      <c r="A503" s="60" t="s">
        <v>1747</v>
      </c>
      <c r="B503" s="66" t="s">
        <v>1748</v>
      </c>
    </row>
    <row r="504" spans="1:2" x14ac:dyDescent="0.2">
      <c r="A504" s="60" t="s">
        <v>1749</v>
      </c>
      <c r="B504" s="66" t="s">
        <v>1750</v>
      </c>
    </row>
    <row r="505" spans="1:2" x14ac:dyDescent="0.2">
      <c r="A505" s="60" t="s">
        <v>1751</v>
      </c>
      <c r="B505" s="66" t="s">
        <v>1752</v>
      </c>
    </row>
    <row r="506" spans="1:2" x14ac:dyDescent="0.2">
      <c r="A506" s="60" t="s">
        <v>1753</v>
      </c>
      <c r="B506" s="66" t="s">
        <v>1754</v>
      </c>
    </row>
    <row r="507" spans="1:2" x14ac:dyDescent="0.2">
      <c r="A507" s="60" t="s">
        <v>1755</v>
      </c>
      <c r="B507" s="66" t="s">
        <v>1756</v>
      </c>
    </row>
    <row r="508" spans="1:2" x14ac:dyDescent="0.2">
      <c r="A508" s="60" t="s">
        <v>1757</v>
      </c>
      <c r="B508" s="66" t="s">
        <v>1758</v>
      </c>
    </row>
    <row r="509" spans="1:2" x14ac:dyDescent="0.2">
      <c r="A509" s="60" t="s">
        <v>1759</v>
      </c>
      <c r="B509" s="66" t="s">
        <v>1760</v>
      </c>
    </row>
    <row r="510" spans="1:2" x14ac:dyDescent="0.2">
      <c r="A510" s="60" t="s">
        <v>1761</v>
      </c>
      <c r="B510" s="66" t="s">
        <v>1762</v>
      </c>
    </row>
    <row r="511" spans="1:2" x14ac:dyDescent="0.2">
      <c r="A511" s="60" t="s">
        <v>1763</v>
      </c>
      <c r="B511" s="66" t="s">
        <v>1517</v>
      </c>
    </row>
    <row r="512" spans="1:2" x14ac:dyDescent="0.2">
      <c r="A512" s="60" t="s">
        <v>1764</v>
      </c>
      <c r="B512" s="66" t="s">
        <v>1765</v>
      </c>
    </row>
    <row r="513" spans="1:2" x14ac:dyDescent="0.2">
      <c r="A513" s="60" t="s">
        <v>1766</v>
      </c>
      <c r="B513" s="66" t="s">
        <v>1517</v>
      </c>
    </row>
    <row r="514" spans="1:2" x14ac:dyDescent="0.2">
      <c r="A514" s="60" t="s">
        <v>1767</v>
      </c>
      <c r="B514" s="66" t="s">
        <v>1517</v>
      </c>
    </row>
    <row r="515" spans="1:2" x14ac:dyDescent="0.2">
      <c r="A515" s="60" t="s">
        <v>1768</v>
      </c>
      <c r="B515" s="66" t="s">
        <v>1769</v>
      </c>
    </row>
    <row r="516" spans="1:2" x14ac:dyDescent="0.2">
      <c r="A516" s="60" t="s">
        <v>1770</v>
      </c>
      <c r="B516" s="66" t="s">
        <v>1771</v>
      </c>
    </row>
    <row r="517" spans="1:2" x14ac:dyDescent="0.2">
      <c r="A517" s="60" t="s">
        <v>1772</v>
      </c>
      <c r="B517" s="66" t="s">
        <v>1773</v>
      </c>
    </row>
    <row r="518" spans="1:2" x14ac:dyDescent="0.2">
      <c r="A518" s="60" t="s">
        <v>1774</v>
      </c>
      <c r="B518" s="66" t="s">
        <v>1775</v>
      </c>
    </row>
    <row r="519" spans="1:2" x14ac:dyDescent="0.2">
      <c r="A519" s="60" t="s">
        <v>1776</v>
      </c>
      <c r="B519" s="66" t="s">
        <v>1777</v>
      </c>
    </row>
    <row r="520" spans="1:2" x14ac:dyDescent="0.2">
      <c r="A520" s="60" t="s">
        <v>1778</v>
      </c>
      <c r="B520" s="66" t="s">
        <v>1779</v>
      </c>
    </row>
    <row r="521" spans="1:2" x14ac:dyDescent="0.2">
      <c r="A521" s="60" t="s">
        <v>1780</v>
      </c>
      <c r="B521" s="66" t="s">
        <v>1781</v>
      </c>
    </row>
    <row r="522" spans="1:2" x14ac:dyDescent="0.2">
      <c r="A522" s="60" t="s">
        <v>1782</v>
      </c>
      <c r="B522" s="66" t="s">
        <v>1783</v>
      </c>
    </row>
    <row r="523" spans="1:2" x14ac:dyDescent="0.2">
      <c r="A523" s="60" t="s">
        <v>1784</v>
      </c>
      <c r="B523" s="66" t="s">
        <v>1785</v>
      </c>
    </row>
    <row r="524" spans="1:2" x14ac:dyDescent="0.2">
      <c r="A524" s="60" t="s">
        <v>1786</v>
      </c>
      <c r="B524" s="66" t="s">
        <v>1787</v>
      </c>
    </row>
    <row r="525" spans="1:2" x14ac:dyDescent="0.2">
      <c r="A525" s="60" t="s">
        <v>1788</v>
      </c>
      <c r="B525" s="66" t="s">
        <v>1789</v>
      </c>
    </row>
    <row r="526" spans="1:2" x14ac:dyDescent="0.2">
      <c r="A526" s="60" t="s">
        <v>1790</v>
      </c>
      <c r="B526" s="66" t="s">
        <v>1791</v>
      </c>
    </row>
    <row r="527" spans="1:2" x14ac:dyDescent="0.2">
      <c r="A527" s="60" t="s">
        <v>1792</v>
      </c>
      <c r="B527" s="66" t="s">
        <v>1793</v>
      </c>
    </row>
    <row r="528" spans="1:2" x14ac:dyDescent="0.2">
      <c r="A528" s="60" t="s">
        <v>1794</v>
      </c>
      <c r="B528" s="66" t="s">
        <v>1795</v>
      </c>
    </row>
    <row r="529" spans="1:2" x14ac:dyDescent="0.2">
      <c r="A529" s="60" t="s">
        <v>1796</v>
      </c>
      <c r="B529" s="66" t="s">
        <v>1517</v>
      </c>
    </row>
    <row r="530" spans="1:2" x14ac:dyDescent="0.2">
      <c r="A530" s="60" t="s">
        <v>1797</v>
      </c>
      <c r="B530" s="66" t="s">
        <v>1798</v>
      </c>
    </row>
    <row r="531" spans="1:2" x14ac:dyDescent="0.2">
      <c r="A531" s="60" t="s">
        <v>1799</v>
      </c>
      <c r="B531" s="67" t="s">
        <v>1800</v>
      </c>
    </row>
    <row r="532" spans="1:2" x14ac:dyDescent="0.2">
      <c r="A532" s="60" t="s">
        <v>1801</v>
      </c>
      <c r="B532" s="67" t="s">
        <v>1802</v>
      </c>
    </row>
    <row r="533" spans="1:2" x14ac:dyDescent="0.2">
      <c r="A533" s="60" t="s">
        <v>1803</v>
      </c>
      <c r="B533" s="66" t="s">
        <v>1804</v>
      </c>
    </row>
    <row r="534" spans="1:2" x14ac:dyDescent="0.2">
      <c r="A534" s="60" t="s">
        <v>1805</v>
      </c>
      <c r="B534" s="66" t="s">
        <v>1806</v>
      </c>
    </row>
    <row r="535" spans="1:2" x14ac:dyDescent="0.2">
      <c r="A535" s="60" t="s">
        <v>1807</v>
      </c>
      <c r="B535" s="66" t="s">
        <v>1808</v>
      </c>
    </row>
    <row r="536" spans="1:2" x14ac:dyDescent="0.2">
      <c r="A536" s="60" t="s">
        <v>1809</v>
      </c>
      <c r="B536" s="66" t="s">
        <v>1810</v>
      </c>
    </row>
    <row r="537" spans="1:2" x14ac:dyDescent="0.2">
      <c r="A537" s="60" t="s">
        <v>1811</v>
      </c>
      <c r="B537" s="66" t="s">
        <v>1517</v>
      </c>
    </row>
    <row r="538" spans="1:2" x14ac:dyDescent="0.2">
      <c r="A538" s="60" t="s">
        <v>1812</v>
      </c>
      <c r="B538" s="66" t="s">
        <v>1517</v>
      </c>
    </row>
    <row r="539" spans="1:2" x14ac:dyDescent="0.2">
      <c r="A539" s="60" t="s">
        <v>1813</v>
      </c>
      <c r="B539" s="66" t="s">
        <v>1814</v>
      </c>
    </row>
    <row r="540" spans="1:2" x14ac:dyDescent="0.2">
      <c r="A540" s="60" t="s">
        <v>1815</v>
      </c>
      <c r="B540" s="66" t="s">
        <v>1816</v>
      </c>
    </row>
    <row r="541" spans="1:2" x14ac:dyDescent="0.2">
      <c r="A541" s="60" t="s">
        <v>1817</v>
      </c>
      <c r="B541" s="66" t="s">
        <v>1818</v>
      </c>
    </row>
    <row r="542" spans="1:2" x14ac:dyDescent="0.2">
      <c r="A542" s="60" t="s">
        <v>1819</v>
      </c>
      <c r="B542" s="66" t="s">
        <v>1820</v>
      </c>
    </row>
    <row r="543" spans="1:2" x14ac:dyDescent="0.2">
      <c r="A543" s="60" t="s">
        <v>1821</v>
      </c>
      <c r="B543" s="66" t="s">
        <v>1822</v>
      </c>
    </row>
    <row r="544" spans="1:2" x14ac:dyDescent="0.2">
      <c r="A544" s="60" t="s">
        <v>1823</v>
      </c>
      <c r="B544" s="66" t="s">
        <v>1824</v>
      </c>
    </row>
    <row r="545" spans="1:2" x14ac:dyDescent="0.2">
      <c r="A545" s="60" t="s">
        <v>1825</v>
      </c>
      <c r="B545" s="66" t="s">
        <v>1826</v>
      </c>
    </row>
    <row r="546" spans="1:2" x14ac:dyDescent="0.2">
      <c r="A546" s="60" t="s">
        <v>1827</v>
      </c>
      <c r="B546" s="67" t="s">
        <v>1828</v>
      </c>
    </row>
    <row r="547" spans="1:2" x14ac:dyDescent="0.2">
      <c r="A547" s="60" t="s">
        <v>1829</v>
      </c>
      <c r="B547" s="66" t="s">
        <v>1830</v>
      </c>
    </row>
    <row r="548" spans="1:2" x14ac:dyDescent="0.2">
      <c r="A548" s="60" t="s">
        <v>1831</v>
      </c>
      <c r="B548" s="66" t="s">
        <v>1832</v>
      </c>
    </row>
    <row r="549" spans="1:2" x14ac:dyDescent="0.2">
      <c r="A549" s="60" t="s">
        <v>1833</v>
      </c>
      <c r="B549" s="66" t="s">
        <v>1834</v>
      </c>
    </row>
    <row r="550" spans="1:2" x14ac:dyDescent="0.2">
      <c r="A550" s="60" t="s">
        <v>1835</v>
      </c>
      <c r="B550" s="66" t="s">
        <v>1836</v>
      </c>
    </row>
    <row r="551" spans="1:2" x14ac:dyDescent="0.2">
      <c r="A551" s="60" t="s">
        <v>1837</v>
      </c>
      <c r="B551" s="67" t="s">
        <v>1838</v>
      </c>
    </row>
    <row r="552" spans="1:2" x14ac:dyDescent="0.2">
      <c r="A552" s="60" t="s">
        <v>1839</v>
      </c>
      <c r="B552" s="66" t="s">
        <v>1840</v>
      </c>
    </row>
    <row r="553" spans="1:2" x14ac:dyDescent="0.2">
      <c r="A553" s="60" t="s">
        <v>1841</v>
      </c>
      <c r="B553" s="66" t="s">
        <v>1842</v>
      </c>
    </row>
    <row r="554" spans="1:2" x14ac:dyDescent="0.2">
      <c r="A554" s="60" t="s">
        <v>1843</v>
      </c>
      <c r="B554" s="67" t="s">
        <v>1844</v>
      </c>
    </row>
    <row r="555" spans="1:2" x14ac:dyDescent="0.2">
      <c r="A555" s="60" t="s">
        <v>1845</v>
      </c>
      <c r="B555" s="66" t="s">
        <v>1846</v>
      </c>
    </row>
    <row r="556" spans="1:2" x14ac:dyDescent="0.2">
      <c r="A556" s="60" t="s">
        <v>1847</v>
      </c>
      <c r="B556" s="66" t="s">
        <v>1848</v>
      </c>
    </row>
    <row r="557" spans="1:2" x14ac:dyDescent="0.2">
      <c r="A557" s="60" t="s">
        <v>1849</v>
      </c>
      <c r="B557" s="66" t="s">
        <v>1850</v>
      </c>
    </row>
    <row r="558" spans="1:2" x14ac:dyDescent="0.2">
      <c r="A558" s="60" t="s">
        <v>1851</v>
      </c>
      <c r="B558" s="66" t="s">
        <v>1852</v>
      </c>
    </row>
    <row r="559" spans="1:2" x14ac:dyDescent="0.2">
      <c r="A559" s="60" t="s">
        <v>1853</v>
      </c>
      <c r="B559" s="66" t="s">
        <v>1854</v>
      </c>
    </row>
    <row r="560" spans="1:2" x14ac:dyDescent="0.2">
      <c r="A560" s="60" t="s">
        <v>1855</v>
      </c>
      <c r="B560" s="66" t="s">
        <v>1856</v>
      </c>
    </row>
    <row r="561" spans="1:2" x14ac:dyDescent="0.2">
      <c r="A561" s="60" t="s">
        <v>1857</v>
      </c>
      <c r="B561" s="66" t="s">
        <v>1858</v>
      </c>
    </row>
    <row r="562" spans="1:2" x14ac:dyDescent="0.2">
      <c r="A562" s="60" t="s">
        <v>1859</v>
      </c>
      <c r="B562" s="66" t="s">
        <v>1517</v>
      </c>
    </row>
    <row r="563" spans="1:2" x14ac:dyDescent="0.2">
      <c r="A563" s="60" t="s">
        <v>1860</v>
      </c>
      <c r="B563" s="66" t="s">
        <v>1861</v>
      </c>
    </row>
    <row r="564" spans="1:2" x14ac:dyDescent="0.2">
      <c r="A564" s="60" t="s">
        <v>1862</v>
      </c>
      <c r="B564" s="66" t="s">
        <v>1863</v>
      </c>
    </row>
    <row r="565" spans="1:2" x14ac:dyDescent="0.2">
      <c r="A565" s="60" t="s">
        <v>1864</v>
      </c>
      <c r="B565" s="67" t="s">
        <v>1865</v>
      </c>
    </row>
    <row r="566" spans="1:2" x14ac:dyDescent="0.2">
      <c r="A566" s="60" t="s">
        <v>1866</v>
      </c>
      <c r="B566" s="66" t="s">
        <v>1867</v>
      </c>
    </row>
    <row r="567" spans="1:2" x14ac:dyDescent="0.2">
      <c r="A567" s="60" t="s">
        <v>1868</v>
      </c>
      <c r="B567" s="66" t="s">
        <v>1517</v>
      </c>
    </row>
    <row r="568" spans="1:2" x14ac:dyDescent="0.2">
      <c r="A568" s="60" t="s">
        <v>1869</v>
      </c>
      <c r="B568" s="66" t="s">
        <v>1870</v>
      </c>
    </row>
    <row r="569" spans="1:2" x14ac:dyDescent="0.2">
      <c r="A569" s="60" t="s">
        <v>1871</v>
      </c>
      <c r="B569" s="66" t="s">
        <v>1872</v>
      </c>
    </row>
    <row r="570" spans="1:2" x14ac:dyDescent="0.2">
      <c r="A570" s="60" t="s">
        <v>1873</v>
      </c>
      <c r="B570" s="66" t="s">
        <v>1874</v>
      </c>
    </row>
    <row r="571" spans="1:2" x14ac:dyDescent="0.2">
      <c r="A571" s="60" t="s">
        <v>1875</v>
      </c>
      <c r="B571" s="66" t="s">
        <v>1876</v>
      </c>
    </row>
    <row r="572" spans="1:2" x14ac:dyDescent="0.2">
      <c r="A572" s="60" t="s">
        <v>1877</v>
      </c>
      <c r="B572" s="66" t="s">
        <v>1878</v>
      </c>
    </row>
    <row r="573" spans="1:2" x14ac:dyDescent="0.2">
      <c r="A573" s="60" t="s">
        <v>1879</v>
      </c>
      <c r="B573" s="67" t="s">
        <v>1880</v>
      </c>
    </row>
    <row r="574" spans="1:2" x14ac:dyDescent="0.2">
      <c r="A574" s="60" t="s">
        <v>1881</v>
      </c>
      <c r="B574" s="67" t="s">
        <v>1882</v>
      </c>
    </row>
    <row r="575" spans="1:2" x14ac:dyDescent="0.2">
      <c r="A575" s="60" t="s">
        <v>1883</v>
      </c>
      <c r="B575" s="67" t="s">
        <v>1884</v>
      </c>
    </row>
    <row r="576" spans="1:2" x14ac:dyDescent="0.2">
      <c r="A576" s="60" t="s">
        <v>1885</v>
      </c>
      <c r="B576" s="66" t="s">
        <v>1886</v>
      </c>
    </row>
    <row r="577" spans="1:2" x14ac:dyDescent="0.2">
      <c r="A577" s="60" t="s">
        <v>1887</v>
      </c>
      <c r="B577" s="66" t="s">
        <v>1888</v>
      </c>
    </row>
    <row r="578" spans="1:2" x14ac:dyDescent="0.2">
      <c r="A578" s="60" t="s">
        <v>1889</v>
      </c>
      <c r="B578" s="66" t="s">
        <v>1890</v>
      </c>
    </row>
    <row r="579" spans="1:2" x14ac:dyDescent="0.2">
      <c r="A579" s="60" t="s">
        <v>1891</v>
      </c>
      <c r="B579" s="66" t="s">
        <v>1892</v>
      </c>
    </row>
    <row r="580" spans="1:2" x14ac:dyDescent="0.2">
      <c r="A580" s="60" t="s">
        <v>1893</v>
      </c>
      <c r="B580" s="66" t="s">
        <v>1894</v>
      </c>
    </row>
    <row r="581" spans="1:2" x14ac:dyDescent="0.2">
      <c r="A581" s="60" t="s">
        <v>1895</v>
      </c>
      <c r="B581" s="66" t="s">
        <v>1896</v>
      </c>
    </row>
    <row r="582" spans="1:2" x14ac:dyDescent="0.2">
      <c r="A582" s="60" t="s">
        <v>1897</v>
      </c>
      <c r="B582" s="66" t="s">
        <v>1898</v>
      </c>
    </row>
    <row r="583" spans="1:2" x14ac:dyDescent="0.2">
      <c r="A583" s="60" t="s">
        <v>1899</v>
      </c>
      <c r="B583" s="66" t="s">
        <v>1900</v>
      </c>
    </row>
    <row r="584" spans="1:2" x14ac:dyDescent="0.2">
      <c r="A584" s="60" t="s">
        <v>1901</v>
      </c>
      <c r="B584" s="66" t="s">
        <v>1902</v>
      </c>
    </row>
    <row r="585" spans="1:2" x14ac:dyDescent="0.2">
      <c r="A585" s="60" t="s">
        <v>1903</v>
      </c>
      <c r="B585" s="66" t="s">
        <v>1904</v>
      </c>
    </row>
    <row r="586" spans="1:2" x14ac:dyDescent="0.2">
      <c r="A586" s="60" t="s">
        <v>1905</v>
      </c>
      <c r="B586" s="66" t="s">
        <v>1517</v>
      </c>
    </row>
    <row r="587" spans="1:2" x14ac:dyDescent="0.2">
      <c r="A587" s="60" t="s">
        <v>1906</v>
      </c>
      <c r="B587" s="66" t="s">
        <v>1907</v>
      </c>
    </row>
    <row r="588" spans="1:2" x14ac:dyDescent="0.2">
      <c r="A588" s="60" t="s">
        <v>1908</v>
      </c>
      <c r="B588" s="66" t="s">
        <v>1909</v>
      </c>
    </row>
    <row r="589" spans="1:2" x14ac:dyDescent="0.2">
      <c r="A589" s="60" t="s">
        <v>1910</v>
      </c>
      <c r="B589" s="66" t="s">
        <v>1911</v>
      </c>
    </row>
    <row r="590" spans="1:2" x14ac:dyDescent="0.2">
      <c r="A590" s="60" t="s">
        <v>1912</v>
      </c>
      <c r="B590" s="66" t="s">
        <v>1913</v>
      </c>
    </row>
    <row r="591" spans="1:2" x14ac:dyDescent="0.2">
      <c r="A591" s="60" t="s">
        <v>1914</v>
      </c>
      <c r="B591" s="66" t="s">
        <v>1915</v>
      </c>
    </row>
    <row r="592" spans="1:2" x14ac:dyDescent="0.2">
      <c r="A592" s="60" t="s">
        <v>1916</v>
      </c>
      <c r="B592" s="66" t="s">
        <v>1917</v>
      </c>
    </row>
    <row r="593" spans="1:2" x14ac:dyDescent="0.2">
      <c r="A593" s="60" t="s">
        <v>1918</v>
      </c>
      <c r="B593" s="66" t="s">
        <v>1919</v>
      </c>
    </row>
    <row r="594" spans="1:2" x14ac:dyDescent="0.2">
      <c r="A594" s="60" t="s">
        <v>1920</v>
      </c>
      <c r="B594" s="66" t="s">
        <v>1921</v>
      </c>
    </row>
    <row r="595" spans="1:2" x14ac:dyDescent="0.2">
      <c r="A595" s="60" t="s">
        <v>1922</v>
      </c>
      <c r="B595" s="66" t="s">
        <v>1923</v>
      </c>
    </row>
    <row r="596" spans="1:2" x14ac:dyDescent="0.2">
      <c r="A596" s="60" t="s">
        <v>1924</v>
      </c>
      <c r="B596" s="66" t="s">
        <v>1925</v>
      </c>
    </row>
    <row r="597" spans="1:2" x14ac:dyDescent="0.2">
      <c r="A597" s="60" t="s">
        <v>1926</v>
      </c>
      <c r="B597" s="66" t="s">
        <v>1927</v>
      </c>
    </row>
    <row r="598" spans="1:2" x14ac:dyDescent="0.2">
      <c r="A598" s="60" t="s">
        <v>1928</v>
      </c>
      <c r="B598" s="67" t="s">
        <v>1929</v>
      </c>
    </row>
    <row r="599" spans="1:2" x14ac:dyDescent="0.2">
      <c r="A599" s="60" t="s">
        <v>1930</v>
      </c>
      <c r="B599" s="66" t="s">
        <v>1931</v>
      </c>
    </row>
    <row r="600" spans="1:2" x14ac:dyDescent="0.2">
      <c r="A600" s="60" t="s">
        <v>1932</v>
      </c>
      <c r="B600" s="66" t="s">
        <v>1933</v>
      </c>
    </row>
    <row r="601" spans="1:2" x14ac:dyDescent="0.2">
      <c r="A601" s="60" t="s">
        <v>1934</v>
      </c>
      <c r="B601" s="66" t="s">
        <v>1935</v>
      </c>
    </row>
    <row r="602" spans="1:2" x14ac:dyDescent="0.2">
      <c r="A602" s="60" t="s">
        <v>1936</v>
      </c>
      <c r="B602" s="66" t="s">
        <v>1937</v>
      </c>
    </row>
    <row r="603" spans="1:2" x14ac:dyDescent="0.2">
      <c r="A603" s="60" t="s">
        <v>1938</v>
      </c>
      <c r="B603" s="66" t="s">
        <v>1939</v>
      </c>
    </row>
    <row r="604" spans="1:2" x14ac:dyDescent="0.2">
      <c r="A604" s="60" t="s">
        <v>1940</v>
      </c>
      <c r="B604" s="67" t="s">
        <v>1941</v>
      </c>
    </row>
    <row r="605" spans="1:2" x14ac:dyDescent="0.2">
      <c r="A605" s="60" t="s">
        <v>1942</v>
      </c>
      <c r="B605" s="66" t="s">
        <v>1943</v>
      </c>
    </row>
    <row r="606" spans="1:2" x14ac:dyDescent="0.2">
      <c r="A606" s="60" t="s">
        <v>1944</v>
      </c>
      <c r="B606" s="66" t="s">
        <v>1517</v>
      </c>
    </row>
    <row r="607" spans="1:2" x14ac:dyDescent="0.2">
      <c r="A607" s="60" t="s">
        <v>1945</v>
      </c>
      <c r="B607" s="66" t="s">
        <v>1946</v>
      </c>
    </row>
    <row r="608" spans="1:2" x14ac:dyDescent="0.2">
      <c r="A608" s="60" t="s">
        <v>1947</v>
      </c>
      <c r="B608" s="66" t="s">
        <v>1948</v>
      </c>
    </row>
    <row r="609" spans="1:2" x14ac:dyDescent="0.2">
      <c r="A609" s="60" t="s">
        <v>1949</v>
      </c>
      <c r="B609" s="66" t="s">
        <v>1950</v>
      </c>
    </row>
    <row r="610" spans="1:2" x14ac:dyDescent="0.2">
      <c r="A610" s="60" t="s">
        <v>1951</v>
      </c>
      <c r="B610" s="66" t="s">
        <v>1952</v>
      </c>
    </row>
    <row r="611" spans="1:2" x14ac:dyDescent="0.2">
      <c r="A611" s="60" t="s">
        <v>1953</v>
      </c>
      <c r="B611" s="66" t="s">
        <v>1954</v>
      </c>
    </row>
    <row r="612" spans="1:2" x14ac:dyDescent="0.2">
      <c r="A612" s="60" t="s">
        <v>1955</v>
      </c>
      <c r="B612" s="66" t="s">
        <v>1956</v>
      </c>
    </row>
    <row r="613" spans="1:2" x14ac:dyDescent="0.2">
      <c r="A613" s="60" t="s">
        <v>1957</v>
      </c>
      <c r="B613" s="66" t="s">
        <v>1958</v>
      </c>
    </row>
    <row r="614" spans="1:2" x14ac:dyDescent="0.2">
      <c r="A614" s="60" t="s">
        <v>1959</v>
      </c>
      <c r="B614" s="66" t="s">
        <v>1960</v>
      </c>
    </row>
    <row r="615" spans="1:2" x14ac:dyDescent="0.2">
      <c r="A615" s="60" t="s">
        <v>1961</v>
      </c>
      <c r="B615" s="66" t="s">
        <v>1962</v>
      </c>
    </row>
    <row r="616" spans="1:2" x14ac:dyDescent="0.2">
      <c r="A616" s="60" t="s">
        <v>1963</v>
      </c>
      <c r="B616" s="66" t="s">
        <v>1964</v>
      </c>
    </row>
    <row r="617" spans="1:2" x14ac:dyDescent="0.2">
      <c r="A617" s="60" t="s">
        <v>1965</v>
      </c>
      <c r="B617" s="66" t="s">
        <v>1966</v>
      </c>
    </row>
    <row r="618" spans="1:2" x14ac:dyDescent="0.2">
      <c r="A618" s="60" t="s">
        <v>1967</v>
      </c>
      <c r="B618" s="66" t="s">
        <v>1968</v>
      </c>
    </row>
    <row r="619" spans="1:2" x14ac:dyDescent="0.2">
      <c r="A619" s="60" t="s">
        <v>1969</v>
      </c>
      <c r="B619" s="66" t="s">
        <v>1970</v>
      </c>
    </row>
    <row r="620" spans="1:2" x14ac:dyDescent="0.2">
      <c r="A620" s="60" t="s">
        <v>1971</v>
      </c>
      <c r="B620" s="66" t="s">
        <v>1972</v>
      </c>
    </row>
    <row r="621" spans="1:2" x14ac:dyDescent="0.2">
      <c r="A621" s="60" t="s">
        <v>1973</v>
      </c>
      <c r="B621" s="66" t="s">
        <v>1974</v>
      </c>
    </row>
    <row r="622" spans="1:2" x14ac:dyDescent="0.2">
      <c r="A622" s="60" t="s">
        <v>1975</v>
      </c>
      <c r="B622" s="66" t="s">
        <v>1976</v>
      </c>
    </row>
    <row r="623" spans="1:2" x14ac:dyDescent="0.2">
      <c r="A623" s="60" t="s">
        <v>1977</v>
      </c>
      <c r="B623" s="66" t="s">
        <v>1978</v>
      </c>
    </row>
    <row r="624" spans="1:2" x14ac:dyDescent="0.2">
      <c r="A624" s="60" t="s">
        <v>1979</v>
      </c>
      <c r="B624" s="66" t="s">
        <v>1980</v>
      </c>
    </row>
    <row r="625" spans="1:2" x14ac:dyDescent="0.2">
      <c r="A625" s="60" t="s">
        <v>1981</v>
      </c>
      <c r="B625" s="66" t="s">
        <v>1982</v>
      </c>
    </row>
    <row r="626" spans="1:2" x14ac:dyDescent="0.2">
      <c r="A626" s="60" t="s">
        <v>1983</v>
      </c>
      <c r="B626" s="66" t="s">
        <v>2108</v>
      </c>
    </row>
    <row r="627" spans="1:2" x14ac:dyDescent="0.2">
      <c r="A627" s="60" t="s">
        <v>1984</v>
      </c>
      <c r="B627" s="66" t="s">
        <v>1985</v>
      </c>
    </row>
    <row r="628" spans="1:2" x14ac:dyDescent="0.2">
      <c r="A628" s="60" t="s">
        <v>1986</v>
      </c>
      <c r="B628" s="66" t="s">
        <v>1987</v>
      </c>
    </row>
    <row r="629" spans="1:2" x14ac:dyDescent="0.2">
      <c r="A629" s="60" t="s">
        <v>1988</v>
      </c>
      <c r="B629" s="66" t="s">
        <v>1989</v>
      </c>
    </row>
    <row r="630" spans="1:2" x14ac:dyDescent="0.2">
      <c r="A630" s="60" t="s">
        <v>1990</v>
      </c>
      <c r="B630" s="66" t="s">
        <v>1991</v>
      </c>
    </row>
    <row r="631" spans="1:2" ht="28" x14ac:dyDescent="0.2">
      <c r="A631" s="61" t="s">
        <v>1992</v>
      </c>
      <c r="B631" s="65" t="s">
        <v>1993</v>
      </c>
    </row>
    <row r="632" spans="1:2" ht="28" x14ac:dyDescent="0.2">
      <c r="A632" s="61" t="s">
        <v>1994</v>
      </c>
      <c r="B632" s="65" t="s">
        <v>1995</v>
      </c>
    </row>
    <row r="633" spans="1:2" ht="28" x14ac:dyDescent="0.2">
      <c r="A633" s="61" t="s">
        <v>1996</v>
      </c>
      <c r="B633" s="65" t="s">
        <v>1997</v>
      </c>
    </row>
    <row r="634" spans="1:2" ht="28" x14ac:dyDescent="0.2">
      <c r="A634" s="61" t="s">
        <v>1998</v>
      </c>
      <c r="B634" s="65" t="s">
        <v>1999</v>
      </c>
    </row>
    <row r="635" spans="1:2" ht="56" x14ac:dyDescent="0.2">
      <c r="A635" s="62" t="s">
        <v>824</v>
      </c>
      <c r="B635" s="63" t="s">
        <v>2000</v>
      </c>
    </row>
    <row r="636" spans="1:2" ht="56" x14ac:dyDescent="0.2">
      <c r="A636" s="64" t="s">
        <v>825</v>
      </c>
      <c r="B636" s="63" t="s">
        <v>2001</v>
      </c>
    </row>
    <row r="637" spans="1:2" ht="28" x14ac:dyDescent="0.2">
      <c r="A637" s="62" t="s">
        <v>831</v>
      </c>
      <c r="B637" s="63" t="s">
        <v>2002</v>
      </c>
    </row>
    <row r="638" spans="1:2" ht="42" x14ac:dyDescent="0.2">
      <c r="A638" s="64" t="s">
        <v>834</v>
      </c>
      <c r="B638" s="63" t="s">
        <v>2003</v>
      </c>
    </row>
    <row r="639" spans="1:2" x14ac:dyDescent="0.2">
      <c r="A639" s="64" t="s">
        <v>835</v>
      </c>
      <c r="B639" s="63" t="s">
        <v>2004</v>
      </c>
    </row>
    <row r="640" spans="1:2" x14ac:dyDescent="0.2">
      <c r="A640" s="64" t="s">
        <v>840</v>
      </c>
      <c r="B640" s="63" t="s">
        <v>2005</v>
      </c>
    </row>
    <row r="641" spans="1:2" ht="70" x14ac:dyDescent="0.2">
      <c r="A641" s="64" t="s">
        <v>843</v>
      </c>
      <c r="B641" s="63" t="s">
        <v>2006</v>
      </c>
    </row>
    <row r="642" spans="1:2" ht="70" x14ac:dyDescent="0.2">
      <c r="A642" s="64" t="s">
        <v>845</v>
      </c>
      <c r="B642" s="63" t="s">
        <v>2007</v>
      </c>
    </row>
    <row r="643" spans="1:2" ht="42" x14ac:dyDescent="0.2">
      <c r="A643" s="62" t="s">
        <v>846</v>
      </c>
      <c r="B643" s="63" t="s">
        <v>2008</v>
      </c>
    </row>
    <row r="644" spans="1:2" ht="28" x14ac:dyDescent="0.2">
      <c r="A644" s="62" t="s">
        <v>848</v>
      </c>
      <c r="B644" s="63" t="s">
        <v>2009</v>
      </c>
    </row>
    <row r="645" spans="1:2" ht="28" x14ac:dyDescent="0.2">
      <c r="A645" s="62" t="s">
        <v>849</v>
      </c>
      <c r="B645" s="63" t="s">
        <v>2010</v>
      </c>
    </row>
    <row r="646" spans="1:2" ht="28" x14ac:dyDescent="0.2">
      <c r="A646" s="62" t="s">
        <v>851</v>
      </c>
      <c r="B646" s="63" t="s">
        <v>2011</v>
      </c>
    </row>
    <row r="647" spans="1:2" x14ac:dyDescent="0.2">
      <c r="A647" s="62" t="s">
        <v>859</v>
      </c>
      <c r="B647" s="63" t="s">
        <v>2012</v>
      </c>
    </row>
    <row r="648" spans="1:2" ht="126" x14ac:dyDescent="0.2">
      <c r="A648" s="62" t="s">
        <v>854</v>
      </c>
      <c r="B648" s="63" t="s">
        <v>2013</v>
      </c>
    </row>
    <row r="649" spans="1:2" ht="28" x14ac:dyDescent="0.2">
      <c r="A649" s="62" t="s">
        <v>862</v>
      </c>
      <c r="B649" s="63" t="s">
        <v>2014</v>
      </c>
    </row>
    <row r="650" spans="1:2" ht="28" x14ac:dyDescent="0.2">
      <c r="A650" s="62" t="s">
        <v>863</v>
      </c>
      <c r="B650" s="63" t="s">
        <v>2015</v>
      </c>
    </row>
    <row r="651" spans="1:2" ht="42" x14ac:dyDescent="0.2">
      <c r="A651" s="62" t="s">
        <v>866</v>
      </c>
      <c r="B651" s="63" t="s">
        <v>2016</v>
      </c>
    </row>
    <row r="652" spans="1:2" ht="28" x14ac:dyDescent="0.2">
      <c r="A652" s="62" t="s">
        <v>867</v>
      </c>
      <c r="B652" s="63" t="s">
        <v>2017</v>
      </c>
    </row>
    <row r="653" spans="1:2" ht="42" x14ac:dyDescent="0.2">
      <c r="A653" s="62" t="s">
        <v>869</v>
      </c>
      <c r="B653" s="63" t="s">
        <v>2018</v>
      </c>
    </row>
    <row r="654" spans="1:2" ht="56" x14ac:dyDescent="0.2">
      <c r="A654" s="62" t="s">
        <v>2019</v>
      </c>
      <c r="B654" s="63" t="s">
        <v>2020</v>
      </c>
    </row>
    <row r="655" spans="1:2" ht="42" x14ac:dyDescent="0.2">
      <c r="A655" s="62" t="s">
        <v>872</v>
      </c>
      <c r="B655" s="63" t="s">
        <v>2021</v>
      </c>
    </row>
    <row r="656" spans="1:2" x14ac:dyDescent="0.2">
      <c r="A656" s="62" t="s">
        <v>870</v>
      </c>
      <c r="B656" s="63" t="s">
        <v>2022</v>
      </c>
    </row>
    <row r="657" spans="1:2" ht="42" x14ac:dyDescent="0.2">
      <c r="A657" s="62" t="s">
        <v>880</v>
      </c>
      <c r="B657" s="63" t="s">
        <v>2023</v>
      </c>
    </row>
    <row r="658" spans="1:2" ht="28" x14ac:dyDescent="0.2">
      <c r="A658" s="62" t="s">
        <v>600</v>
      </c>
      <c r="B658" s="63" t="s">
        <v>2024</v>
      </c>
    </row>
    <row r="659" spans="1:2" ht="28" x14ac:dyDescent="0.2">
      <c r="A659" s="62" t="s">
        <v>601</v>
      </c>
      <c r="B659" s="63" t="s">
        <v>2025</v>
      </c>
    </row>
    <row r="660" spans="1:2" x14ac:dyDescent="0.2">
      <c r="A660" s="114" t="s">
        <v>2151</v>
      </c>
      <c r="B660" s="63" t="s">
        <v>2152</v>
      </c>
    </row>
    <row r="661" spans="1:2" x14ac:dyDescent="0.2">
      <c r="A661" s="114">
        <v>1.1000000000000001</v>
      </c>
      <c r="B661" s="63" t="s">
        <v>2153</v>
      </c>
    </row>
    <row r="662" spans="1:2" x14ac:dyDescent="0.2">
      <c r="A662" s="114" t="s">
        <v>2154</v>
      </c>
      <c r="B662" s="63" t="s">
        <v>2155</v>
      </c>
    </row>
    <row r="663" spans="1:2" x14ac:dyDescent="0.2">
      <c r="A663" s="114" t="s">
        <v>2156</v>
      </c>
      <c r="B663" s="63" t="s">
        <v>2157</v>
      </c>
    </row>
    <row r="664" spans="1:2" x14ac:dyDescent="0.2">
      <c r="A664" s="114" t="s">
        <v>2158</v>
      </c>
      <c r="B664" s="63" t="s">
        <v>2159</v>
      </c>
    </row>
    <row r="665" spans="1:2" x14ac:dyDescent="0.2">
      <c r="A665" s="114" t="s">
        <v>2160</v>
      </c>
      <c r="B665" s="63" t="s">
        <v>2161</v>
      </c>
    </row>
    <row r="666" spans="1:2" x14ac:dyDescent="0.2">
      <c r="A666" s="114" t="s">
        <v>2162</v>
      </c>
      <c r="B666" s="63" t="s">
        <v>2163</v>
      </c>
    </row>
    <row r="667" spans="1:2" x14ac:dyDescent="0.2">
      <c r="A667" s="114" t="s">
        <v>2164</v>
      </c>
      <c r="B667" s="63" t="s">
        <v>2165</v>
      </c>
    </row>
    <row r="668" spans="1:2" x14ac:dyDescent="0.2">
      <c r="A668" s="114" t="s">
        <v>2166</v>
      </c>
      <c r="B668" s="63" t="s">
        <v>2167</v>
      </c>
    </row>
    <row r="669" spans="1:2" x14ac:dyDescent="0.2">
      <c r="A669" s="114">
        <v>1.2</v>
      </c>
      <c r="B669" s="63" t="s">
        <v>2168</v>
      </c>
    </row>
    <row r="670" spans="1:2" x14ac:dyDescent="0.2">
      <c r="A670" s="114" t="s">
        <v>2169</v>
      </c>
      <c r="B670" s="63" t="s">
        <v>2170</v>
      </c>
    </row>
    <row r="671" spans="1:2" x14ac:dyDescent="0.2">
      <c r="A671" s="114" t="s">
        <v>2171</v>
      </c>
      <c r="B671" s="63" t="s">
        <v>2172</v>
      </c>
    </row>
    <row r="672" spans="1:2" x14ac:dyDescent="0.2">
      <c r="A672" s="114" t="s">
        <v>2173</v>
      </c>
      <c r="B672" s="63" t="s">
        <v>2174</v>
      </c>
    </row>
    <row r="673" spans="1:2" x14ac:dyDescent="0.2">
      <c r="A673" s="114">
        <v>1.3</v>
      </c>
      <c r="B673" s="63" t="s">
        <v>2175</v>
      </c>
    </row>
    <row r="674" spans="1:2" x14ac:dyDescent="0.2">
      <c r="A674" s="114" t="s">
        <v>2176</v>
      </c>
      <c r="B674" s="63" t="s">
        <v>2177</v>
      </c>
    </row>
    <row r="675" spans="1:2" x14ac:dyDescent="0.2">
      <c r="A675" s="114" t="s">
        <v>2178</v>
      </c>
      <c r="B675" s="63" t="s">
        <v>2179</v>
      </c>
    </row>
    <row r="676" spans="1:2" x14ac:dyDescent="0.2">
      <c r="A676" s="114" t="s">
        <v>2180</v>
      </c>
      <c r="B676" s="63" t="s">
        <v>2181</v>
      </c>
    </row>
    <row r="677" spans="1:2" x14ac:dyDescent="0.2">
      <c r="A677" s="114" t="s">
        <v>2182</v>
      </c>
      <c r="B677" s="63" t="s">
        <v>2183</v>
      </c>
    </row>
    <row r="678" spans="1:2" x14ac:dyDescent="0.2">
      <c r="A678" s="114" t="s">
        <v>2184</v>
      </c>
      <c r="B678" s="63" t="s">
        <v>2185</v>
      </c>
    </row>
    <row r="679" spans="1:2" x14ac:dyDescent="0.2">
      <c r="A679" s="114" t="s">
        <v>2186</v>
      </c>
      <c r="B679" s="63" t="s">
        <v>2187</v>
      </c>
    </row>
    <row r="680" spans="1:2" x14ac:dyDescent="0.2">
      <c r="A680" s="114" t="s">
        <v>2188</v>
      </c>
      <c r="B680" s="63" t="s">
        <v>2189</v>
      </c>
    </row>
    <row r="681" spans="1:2" x14ac:dyDescent="0.2">
      <c r="A681" s="114">
        <v>1.4</v>
      </c>
      <c r="B681" s="63" t="s">
        <v>2190</v>
      </c>
    </row>
    <row r="682" spans="1:2" x14ac:dyDescent="0.2">
      <c r="A682" s="114">
        <v>1.5</v>
      </c>
      <c r="B682" s="63" t="s">
        <v>2191</v>
      </c>
    </row>
    <row r="683" spans="1:2" x14ac:dyDescent="0.2">
      <c r="A683" s="114" t="s">
        <v>2192</v>
      </c>
      <c r="B683" s="63" t="s">
        <v>2193</v>
      </c>
    </row>
    <row r="684" spans="1:2" x14ac:dyDescent="0.2">
      <c r="A684" s="114">
        <v>2.1</v>
      </c>
      <c r="B684" s="63" t="s">
        <v>2194</v>
      </c>
    </row>
    <row r="685" spans="1:2" x14ac:dyDescent="0.2">
      <c r="A685" s="114" t="s">
        <v>2195</v>
      </c>
      <c r="B685" s="63" t="s">
        <v>2196</v>
      </c>
    </row>
    <row r="686" spans="1:2" x14ac:dyDescent="0.2">
      <c r="A686" s="114">
        <v>2.2000000000000002</v>
      </c>
      <c r="B686" s="63" t="s">
        <v>2197</v>
      </c>
    </row>
    <row r="687" spans="1:2" x14ac:dyDescent="0.2">
      <c r="A687" s="114" t="s">
        <v>2198</v>
      </c>
      <c r="B687" s="63" t="s">
        <v>2199</v>
      </c>
    </row>
    <row r="688" spans="1:2" x14ac:dyDescent="0.2">
      <c r="A688" s="114" t="s">
        <v>2200</v>
      </c>
      <c r="B688" s="63" t="s">
        <v>2201</v>
      </c>
    </row>
    <row r="689" spans="1:2" x14ac:dyDescent="0.2">
      <c r="A689" s="114" t="s">
        <v>2202</v>
      </c>
      <c r="B689" s="63" t="s">
        <v>2203</v>
      </c>
    </row>
    <row r="690" spans="1:2" x14ac:dyDescent="0.2">
      <c r="A690" s="114" t="s">
        <v>2204</v>
      </c>
      <c r="B690" s="63" t="s">
        <v>2205</v>
      </c>
    </row>
    <row r="691" spans="1:2" x14ac:dyDescent="0.2">
      <c r="A691" s="114" t="s">
        <v>2206</v>
      </c>
      <c r="B691" s="63" t="s">
        <v>2207</v>
      </c>
    </row>
    <row r="692" spans="1:2" x14ac:dyDescent="0.2">
      <c r="A692" s="114">
        <v>2.2999999999999998</v>
      </c>
      <c r="B692" s="63" t="s">
        <v>2208</v>
      </c>
    </row>
    <row r="693" spans="1:2" x14ac:dyDescent="0.2">
      <c r="A693" s="114">
        <v>2.4</v>
      </c>
      <c r="B693" s="63" t="s">
        <v>2209</v>
      </c>
    </row>
    <row r="694" spans="1:2" x14ac:dyDescent="0.2">
      <c r="A694" s="114">
        <v>2.5</v>
      </c>
      <c r="B694" s="63" t="s">
        <v>2210</v>
      </c>
    </row>
    <row r="695" spans="1:2" x14ac:dyDescent="0.2">
      <c r="A695" s="114">
        <v>2.6</v>
      </c>
      <c r="B695" s="63" t="s">
        <v>2211</v>
      </c>
    </row>
    <row r="696" spans="1:2" x14ac:dyDescent="0.2">
      <c r="A696" s="114" t="s">
        <v>2212</v>
      </c>
      <c r="B696" s="63" t="s">
        <v>2213</v>
      </c>
    </row>
    <row r="697" spans="1:2" x14ac:dyDescent="0.2">
      <c r="A697" s="114">
        <v>3.1</v>
      </c>
      <c r="B697" s="63" t="s">
        <v>2214</v>
      </c>
    </row>
    <row r="698" spans="1:2" x14ac:dyDescent="0.2">
      <c r="A698" s="114">
        <v>3.2</v>
      </c>
      <c r="B698" s="63" t="s">
        <v>2215</v>
      </c>
    </row>
    <row r="699" spans="1:2" x14ac:dyDescent="0.2">
      <c r="A699" s="114" t="s">
        <v>752</v>
      </c>
      <c r="B699" s="63" t="s">
        <v>2216</v>
      </c>
    </row>
    <row r="700" spans="1:2" x14ac:dyDescent="0.2">
      <c r="A700" s="114" t="s">
        <v>760</v>
      </c>
      <c r="B700" s="63" t="s">
        <v>2217</v>
      </c>
    </row>
    <row r="701" spans="1:2" x14ac:dyDescent="0.2">
      <c r="A701" s="114" t="s">
        <v>1323</v>
      </c>
      <c r="B701" s="63" t="s">
        <v>2218</v>
      </c>
    </row>
    <row r="702" spans="1:2" x14ac:dyDescent="0.2">
      <c r="A702" s="114">
        <v>3.3</v>
      </c>
      <c r="B702" s="63" t="s">
        <v>2219</v>
      </c>
    </row>
    <row r="703" spans="1:2" x14ac:dyDescent="0.2">
      <c r="A703" s="114">
        <v>3.4</v>
      </c>
      <c r="B703" s="63" t="s">
        <v>2220</v>
      </c>
    </row>
    <row r="704" spans="1:2" x14ac:dyDescent="0.2">
      <c r="A704" s="114" t="s">
        <v>1341</v>
      </c>
      <c r="B704" s="63" t="s">
        <v>2221</v>
      </c>
    </row>
    <row r="705" spans="1:2" x14ac:dyDescent="0.2">
      <c r="A705" s="114">
        <v>3.5</v>
      </c>
      <c r="B705" s="63" t="s">
        <v>2222</v>
      </c>
    </row>
    <row r="706" spans="1:2" x14ac:dyDescent="0.2">
      <c r="A706" s="114" t="s">
        <v>713</v>
      </c>
      <c r="B706" s="63" t="s">
        <v>2223</v>
      </c>
    </row>
    <row r="707" spans="1:2" x14ac:dyDescent="0.2">
      <c r="A707" s="114" t="s">
        <v>1358</v>
      </c>
      <c r="B707" s="63" t="s">
        <v>2224</v>
      </c>
    </row>
    <row r="708" spans="1:2" x14ac:dyDescent="0.2">
      <c r="A708" s="114" t="s">
        <v>1360</v>
      </c>
      <c r="B708" s="63" t="s">
        <v>2225</v>
      </c>
    </row>
    <row r="709" spans="1:2" x14ac:dyDescent="0.2">
      <c r="A709" s="114" t="s">
        <v>1362</v>
      </c>
      <c r="B709" s="63" t="s">
        <v>2226</v>
      </c>
    </row>
    <row r="710" spans="1:2" x14ac:dyDescent="0.2">
      <c r="A710" s="114">
        <v>3.6</v>
      </c>
      <c r="B710" s="63" t="s">
        <v>2227</v>
      </c>
    </row>
    <row r="711" spans="1:2" x14ac:dyDescent="0.2">
      <c r="A711" s="114" t="s">
        <v>1374</v>
      </c>
      <c r="B711" s="63" t="s">
        <v>2228</v>
      </c>
    </row>
    <row r="712" spans="1:2" x14ac:dyDescent="0.2">
      <c r="A712" s="114" t="s">
        <v>739</v>
      </c>
      <c r="B712" s="63" t="s">
        <v>2229</v>
      </c>
    </row>
    <row r="713" spans="1:2" x14ac:dyDescent="0.2">
      <c r="A713" s="114" t="s">
        <v>1377</v>
      </c>
      <c r="B713" s="63" t="s">
        <v>2230</v>
      </c>
    </row>
    <row r="714" spans="1:2" x14ac:dyDescent="0.2">
      <c r="A714" s="114" t="s">
        <v>2231</v>
      </c>
      <c r="B714" s="63" t="s">
        <v>2232</v>
      </c>
    </row>
    <row r="715" spans="1:2" x14ac:dyDescent="0.2">
      <c r="A715" s="114" t="s">
        <v>2233</v>
      </c>
      <c r="B715" s="63" t="s">
        <v>2234</v>
      </c>
    </row>
    <row r="716" spans="1:2" x14ac:dyDescent="0.2">
      <c r="A716" s="114" t="s">
        <v>2235</v>
      </c>
      <c r="B716" s="63" t="s">
        <v>2236</v>
      </c>
    </row>
    <row r="717" spans="1:2" x14ac:dyDescent="0.2">
      <c r="A717" s="114" t="s">
        <v>2237</v>
      </c>
      <c r="B717" s="63" t="s">
        <v>2238</v>
      </c>
    </row>
    <row r="718" spans="1:2" x14ac:dyDescent="0.2">
      <c r="A718" s="114" t="s">
        <v>2239</v>
      </c>
      <c r="B718" s="63" t="s">
        <v>2240</v>
      </c>
    </row>
    <row r="719" spans="1:2" x14ac:dyDescent="0.2">
      <c r="A719" s="114">
        <v>3.7</v>
      </c>
      <c r="B719" s="63" t="s">
        <v>2241</v>
      </c>
    </row>
    <row r="720" spans="1:2" x14ac:dyDescent="0.2">
      <c r="A720" s="114" t="s">
        <v>2242</v>
      </c>
      <c r="B720" s="63" t="s">
        <v>2243</v>
      </c>
    </row>
    <row r="721" spans="1:2" x14ac:dyDescent="0.2">
      <c r="A721" s="114">
        <v>4.0999999999999996</v>
      </c>
      <c r="B721" s="63" t="s">
        <v>2244</v>
      </c>
    </row>
    <row r="722" spans="1:2" x14ac:dyDescent="0.2">
      <c r="A722" s="114" t="s">
        <v>2245</v>
      </c>
      <c r="B722" s="63" t="s">
        <v>2246</v>
      </c>
    </row>
    <row r="723" spans="1:2" x14ac:dyDescent="0.2">
      <c r="A723" s="114">
        <v>4.2</v>
      </c>
      <c r="B723" s="63" t="s">
        <v>2247</v>
      </c>
    </row>
    <row r="724" spans="1:2" x14ac:dyDescent="0.2">
      <c r="A724" s="114">
        <v>4.3</v>
      </c>
      <c r="B724" s="63" t="s">
        <v>2248</v>
      </c>
    </row>
    <row r="725" spans="1:2" x14ac:dyDescent="0.2">
      <c r="A725" s="114" t="s">
        <v>2249</v>
      </c>
      <c r="B725" s="63" t="s">
        <v>2250</v>
      </c>
    </row>
    <row r="726" spans="1:2" x14ac:dyDescent="0.2">
      <c r="A726" s="114">
        <v>5.0999999999999996</v>
      </c>
      <c r="B726" s="63" t="s">
        <v>2251</v>
      </c>
    </row>
    <row r="727" spans="1:2" x14ac:dyDescent="0.2">
      <c r="A727" s="114" t="s">
        <v>675</v>
      </c>
      <c r="B727" s="63" t="s">
        <v>2252</v>
      </c>
    </row>
    <row r="728" spans="1:2" x14ac:dyDescent="0.2">
      <c r="A728" s="114" t="s">
        <v>906</v>
      </c>
      <c r="B728" s="63" t="s">
        <v>2253</v>
      </c>
    </row>
    <row r="729" spans="1:2" x14ac:dyDescent="0.2">
      <c r="A729" s="114">
        <v>5.2</v>
      </c>
      <c r="B729" s="63" t="s">
        <v>2254</v>
      </c>
    </row>
    <row r="730" spans="1:2" x14ac:dyDescent="0.2">
      <c r="A730" s="114">
        <v>5.3</v>
      </c>
      <c r="B730" s="63" t="s">
        <v>2255</v>
      </c>
    </row>
    <row r="731" spans="1:2" x14ac:dyDescent="0.2">
      <c r="A731" s="114">
        <v>5.4</v>
      </c>
      <c r="B731" s="63" t="s">
        <v>2256</v>
      </c>
    </row>
    <row r="732" spans="1:2" x14ac:dyDescent="0.2">
      <c r="A732" s="114" t="s">
        <v>2257</v>
      </c>
      <c r="B732" s="63" t="s">
        <v>2258</v>
      </c>
    </row>
    <row r="733" spans="1:2" x14ac:dyDescent="0.2">
      <c r="A733" s="114">
        <v>6.1</v>
      </c>
      <c r="B733" s="63" t="s">
        <v>2259</v>
      </c>
    </row>
    <row r="734" spans="1:2" x14ac:dyDescent="0.2">
      <c r="A734" s="114">
        <v>6.2</v>
      </c>
      <c r="B734" s="63" t="s">
        <v>2260</v>
      </c>
    </row>
    <row r="735" spans="1:2" x14ac:dyDescent="0.2">
      <c r="A735" s="114">
        <v>6.3</v>
      </c>
      <c r="B735" s="63" t="s">
        <v>2261</v>
      </c>
    </row>
    <row r="736" spans="1:2" x14ac:dyDescent="0.2">
      <c r="A736" s="114" t="s">
        <v>2262</v>
      </c>
      <c r="B736" s="63" t="s">
        <v>2263</v>
      </c>
    </row>
    <row r="737" spans="1:2" x14ac:dyDescent="0.2">
      <c r="A737" s="114" t="s">
        <v>2139</v>
      </c>
      <c r="B737" s="63" t="s">
        <v>2264</v>
      </c>
    </row>
    <row r="738" spans="1:2" x14ac:dyDescent="0.2">
      <c r="A738" s="114">
        <v>6.4</v>
      </c>
      <c r="B738" s="63" t="s">
        <v>2265</v>
      </c>
    </row>
    <row r="739" spans="1:2" x14ac:dyDescent="0.2">
      <c r="A739" s="114" t="s">
        <v>2266</v>
      </c>
      <c r="B739" s="63" t="s">
        <v>2267</v>
      </c>
    </row>
    <row r="740" spans="1:2" x14ac:dyDescent="0.2">
      <c r="A740" s="114" t="s">
        <v>2268</v>
      </c>
      <c r="B740" s="63" t="s">
        <v>2269</v>
      </c>
    </row>
    <row r="741" spans="1:2" x14ac:dyDescent="0.2">
      <c r="A741" s="114" t="s">
        <v>2270</v>
      </c>
      <c r="B741" s="63" t="s">
        <v>2271</v>
      </c>
    </row>
    <row r="742" spans="1:2" x14ac:dyDescent="0.2">
      <c r="A742" s="114" t="s">
        <v>2272</v>
      </c>
      <c r="B742" s="63" t="s">
        <v>2273</v>
      </c>
    </row>
    <row r="743" spans="1:2" x14ac:dyDescent="0.2">
      <c r="A743" s="114" t="s">
        <v>2137</v>
      </c>
      <c r="B743" s="63" t="s">
        <v>2274</v>
      </c>
    </row>
    <row r="744" spans="1:2" x14ac:dyDescent="0.2">
      <c r="A744" s="114" t="s">
        <v>2275</v>
      </c>
      <c r="B744" s="63" t="s">
        <v>2276</v>
      </c>
    </row>
    <row r="745" spans="1:2" x14ac:dyDescent="0.2">
      <c r="A745" s="114" t="s">
        <v>2277</v>
      </c>
      <c r="B745" s="63" t="s">
        <v>2278</v>
      </c>
    </row>
    <row r="746" spans="1:2" x14ac:dyDescent="0.2">
      <c r="A746" s="114" t="s">
        <v>2279</v>
      </c>
      <c r="B746" s="63" t="s">
        <v>2280</v>
      </c>
    </row>
    <row r="747" spans="1:2" x14ac:dyDescent="0.2">
      <c r="A747" s="114" t="s">
        <v>2281</v>
      </c>
      <c r="B747" s="63" t="s">
        <v>2282</v>
      </c>
    </row>
    <row r="748" spans="1:2" x14ac:dyDescent="0.2">
      <c r="A748" s="114" t="s">
        <v>2283</v>
      </c>
      <c r="B748" s="63" t="s">
        <v>2284</v>
      </c>
    </row>
    <row r="749" spans="1:2" x14ac:dyDescent="0.2">
      <c r="A749" s="114">
        <v>6.5</v>
      </c>
      <c r="B749" s="63" t="s">
        <v>2285</v>
      </c>
    </row>
    <row r="750" spans="1:2" x14ac:dyDescent="0.2">
      <c r="A750" s="114" t="s">
        <v>2286</v>
      </c>
      <c r="B750" s="63" t="s">
        <v>2287</v>
      </c>
    </row>
    <row r="751" spans="1:2" x14ac:dyDescent="0.2">
      <c r="A751" s="114" t="s">
        <v>2288</v>
      </c>
      <c r="B751" s="63" t="s">
        <v>2289</v>
      </c>
    </row>
    <row r="752" spans="1:2" x14ac:dyDescent="0.2">
      <c r="A752" s="114" t="s">
        <v>2290</v>
      </c>
      <c r="B752" s="63" t="s">
        <v>2291</v>
      </c>
    </row>
    <row r="753" spans="1:2" x14ac:dyDescent="0.2">
      <c r="A753" s="114" t="s">
        <v>2292</v>
      </c>
      <c r="B753" s="63" t="s">
        <v>2293</v>
      </c>
    </row>
    <row r="754" spans="1:2" x14ac:dyDescent="0.2">
      <c r="A754" s="114" t="s">
        <v>2294</v>
      </c>
      <c r="B754" s="63" t="s">
        <v>2295</v>
      </c>
    </row>
    <row r="755" spans="1:2" x14ac:dyDescent="0.2">
      <c r="A755" s="114" t="s">
        <v>2296</v>
      </c>
      <c r="B755" s="63" t="s">
        <v>2297</v>
      </c>
    </row>
    <row r="756" spans="1:2" x14ac:dyDescent="0.2">
      <c r="A756" s="114" t="s">
        <v>2298</v>
      </c>
      <c r="B756" s="63" t="s">
        <v>2299</v>
      </c>
    </row>
    <row r="757" spans="1:2" x14ac:dyDescent="0.2">
      <c r="A757" s="114" t="s">
        <v>2300</v>
      </c>
      <c r="B757" s="63" t="s">
        <v>2301</v>
      </c>
    </row>
    <row r="758" spans="1:2" x14ac:dyDescent="0.2">
      <c r="A758" s="114" t="s">
        <v>2302</v>
      </c>
      <c r="B758" s="63" t="s">
        <v>2303</v>
      </c>
    </row>
    <row r="759" spans="1:2" x14ac:dyDescent="0.2">
      <c r="A759" s="114" t="s">
        <v>2304</v>
      </c>
      <c r="B759" s="63" t="s">
        <v>2305</v>
      </c>
    </row>
    <row r="760" spans="1:2" x14ac:dyDescent="0.2">
      <c r="A760" s="114">
        <v>6.6</v>
      </c>
      <c r="B760" s="63" t="s">
        <v>2306</v>
      </c>
    </row>
    <row r="761" spans="1:2" x14ac:dyDescent="0.2">
      <c r="A761" s="114">
        <v>6.7</v>
      </c>
      <c r="B761" s="63" t="s">
        <v>2307</v>
      </c>
    </row>
    <row r="762" spans="1:2" x14ac:dyDescent="0.2">
      <c r="A762" s="114" t="s">
        <v>2113</v>
      </c>
      <c r="B762" s="63" t="s">
        <v>2308</v>
      </c>
    </row>
    <row r="763" spans="1:2" x14ac:dyDescent="0.2">
      <c r="A763" s="114">
        <v>7.1</v>
      </c>
      <c r="B763" s="63" t="s">
        <v>2309</v>
      </c>
    </row>
    <row r="764" spans="1:2" x14ac:dyDescent="0.2">
      <c r="A764" s="114" t="s">
        <v>678</v>
      </c>
      <c r="B764" s="63" t="s">
        <v>2310</v>
      </c>
    </row>
    <row r="765" spans="1:2" x14ac:dyDescent="0.2">
      <c r="A765" s="114" t="s">
        <v>679</v>
      </c>
      <c r="B765" s="63" t="s">
        <v>2311</v>
      </c>
    </row>
    <row r="766" spans="1:2" x14ac:dyDescent="0.2">
      <c r="A766" s="114" t="s">
        <v>664</v>
      </c>
      <c r="B766" s="63" t="s">
        <v>2312</v>
      </c>
    </row>
    <row r="767" spans="1:2" x14ac:dyDescent="0.2">
      <c r="A767" s="114" t="s">
        <v>2313</v>
      </c>
      <c r="B767" s="63" t="s">
        <v>2314</v>
      </c>
    </row>
    <row r="768" spans="1:2" x14ac:dyDescent="0.2">
      <c r="A768" s="114">
        <v>7.2</v>
      </c>
      <c r="B768" s="63" t="s">
        <v>2315</v>
      </c>
    </row>
    <row r="769" spans="1:2" x14ac:dyDescent="0.2">
      <c r="A769" s="114" t="s">
        <v>923</v>
      </c>
      <c r="B769" s="63" t="s">
        <v>2316</v>
      </c>
    </row>
    <row r="770" spans="1:2" x14ac:dyDescent="0.2">
      <c r="A770" s="114" t="s">
        <v>680</v>
      </c>
      <c r="B770" s="63" t="s">
        <v>2317</v>
      </c>
    </row>
    <row r="771" spans="1:2" x14ac:dyDescent="0.2">
      <c r="A771" s="114" t="s">
        <v>926</v>
      </c>
      <c r="B771" s="63" t="s">
        <v>2318</v>
      </c>
    </row>
    <row r="772" spans="1:2" x14ac:dyDescent="0.2">
      <c r="A772" s="114">
        <v>7.3</v>
      </c>
      <c r="B772" s="63" t="s">
        <v>2319</v>
      </c>
    </row>
    <row r="773" spans="1:2" x14ac:dyDescent="0.2">
      <c r="A773" s="114" t="s">
        <v>2118</v>
      </c>
      <c r="B773" s="63" t="s">
        <v>2320</v>
      </c>
    </row>
    <row r="774" spans="1:2" x14ac:dyDescent="0.2">
      <c r="A774" s="114">
        <v>8.1</v>
      </c>
      <c r="B774" s="63" t="s">
        <v>2321</v>
      </c>
    </row>
    <row r="775" spans="1:2" x14ac:dyDescent="0.2">
      <c r="A775" s="114" t="s">
        <v>930</v>
      </c>
      <c r="B775" s="63" t="s">
        <v>2322</v>
      </c>
    </row>
    <row r="776" spans="1:2" x14ac:dyDescent="0.2">
      <c r="A776" s="114" t="s">
        <v>654</v>
      </c>
      <c r="B776" s="63" t="s">
        <v>2323</v>
      </c>
    </row>
    <row r="777" spans="1:2" x14ac:dyDescent="0.2">
      <c r="A777" s="114" t="s">
        <v>933</v>
      </c>
      <c r="B777" s="63" t="s">
        <v>2324</v>
      </c>
    </row>
    <row r="778" spans="1:2" x14ac:dyDescent="0.2">
      <c r="A778" s="114" t="s">
        <v>652</v>
      </c>
      <c r="B778" s="63" t="s">
        <v>2325</v>
      </c>
    </row>
    <row r="779" spans="1:2" x14ac:dyDescent="0.2">
      <c r="A779" s="114" t="s">
        <v>2326</v>
      </c>
      <c r="B779" s="63" t="s">
        <v>2327</v>
      </c>
    </row>
    <row r="780" spans="1:2" x14ac:dyDescent="0.2">
      <c r="A780" s="114" t="s">
        <v>2328</v>
      </c>
      <c r="B780" s="63" t="s">
        <v>2329</v>
      </c>
    </row>
    <row r="781" spans="1:2" x14ac:dyDescent="0.2">
      <c r="A781" s="114" t="s">
        <v>2330</v>
      </c>
      <c r="B781" s="63" t="s">
        <v>2331</v>
      </c>
    </row>
    <row r="782" spans="1:2" x14ac:dyDescent="0.2">
      <c r="A782" s="114" t="s">
        <v>2332</v>
      </c>
      <c r="B782" s="63" t="s">
        <v>2333</v>
      </c>
    </row>
    <row r="783" spans="1:2" x14ac:dyDescent="0.2">
      <c r="A783" s="114">
        <v>8.1999999999999993</v>
      </c>
      <c r="B783" s="63" t="s">
        <v>2334</v>
      </c>
    </row>
    <row r="784" spans="1:2" x14ac:dyDescent="0.2">
      <c r="A784" s="114" t="s">
        <v>649</v>
      </c>
      <c r="B784" s="63" t="s">
        <v>2335</v>
      </c>
    </row>
    <row r="785" spans="1:2" x14ac:dyDescent="0.2">
      <c r="A785" s="114" t="s">
        <v>937</v>
      </c>
      <c r="B785" s="63" t="s">
        <v>2336</v>
      </c>
    </row>
    <row r="786" spans="1:2" x14ac:dyDescent="0.2">
      <c r="A786" s="114" t="s">
        <v>669</v>
      </c>
      <c r="B786" s="63" t="s">
        <v>2337</v>
      </c>
    </row>
    <row r="787" spans="1:2" x14ac:dyDescent="0.2">
      <c r="A787" s="114" t="s">
        <v>2338</v>
      </c>
      <c r="B787" s="63" t="s">
        <v>2339</v>
      </c>
    </row>
    <row r="788" spans="1:2" x14ac:dyDescent="0.2">
      <c r="A788" s="114" t="s">
        <v>2340</v>
      </c>
      <c r="B788" s="63" t="s">
        <v>2341</v>
      </c>
    </row>
    <row r="789" spans="1:2" x14ac:dyDescent="0.2">
      <c r="A789" s="114" t="s">
        <v>2342</v>
      </c>
      <c r="B789" s="63" t="s">
        <v>2343</v>
      </c>
    </row>
    <row r="790" spans="1:2" x14ac:dyDescent="0.2">
      <c r="A790" s="114">
        <v>8.3000000000000007</v>
      </c>
      <c r="B790" s="63" t="s">
        <v>2344</v>
      </c>
    </row>
    <row r="791" spans="1:2" x14ac:dyDescent="0.2">
      <c r="A791" s="114" t="s">
        <v>656</v>
      </c>
      <c r="B791" s="63" t="s">
        <v>2345</v>
      </c>
    </row>
    <row r="792" spans="1:2" x14ac:dyDescent="0.2">
      <c r="A792" s="114" t="s">
        <v>941</v>
      </c>
      <c r="B792" s="63" t="s">
        <v>2346</v>
      </c>
    </row>
    <row r="793" spans="1:2" x14ac:dyDescent="0.2">
      <c r="A793" s="114">
        <v>8.4</v>
      </c>
      <c r="B793" s="63" t="s">
        <v>2347</v>
      </c>
    </row>
    <row r="794" spans="1:2" x14ac:dyDescent="0.2">
      <c r="A794" s="114">
        <v>8.5</v>
      </c>
      <c r="B794" s="63" t="s">
        <v>2348</v>
      </c>
    </row>
    <row r="795" spans="1:2" x14ac:dyDescent="0.2">
      <c r="A795" s="114" t="s">
        <v>2349</v>
      </c>
      <c r="B795" s="63" t="s">
        <v>2350</v>
      </c>
    </row>
    <row r="796" spans="1:2" x14ac:dyDescent="0.2">
      <c r="A796" s="114">
        <v>8.6</v>
      </c>
      <c r="B796" s="63" t="s">
        <v>2351</v>
      </c>
    </row>
    <row r="797" spans="1:2" x14ac:dyDescent="0.2">
      <c r="A797" s="114">
        <v>8.6999999999999993</v>
      </c>
      <c r="B797" s="63" t="s">
        <v>2352</v>
      </c>
    </row>
    <row r="798" spans="1:2" x14ac:dyDescent="0.2">
      <c r="A798" s="114">
        <v>8.8000000000000007</v>
      </c>
      <c r="B798" s="63" t="s">
        <v>2353</v>
      </c>
    </row>
    <row r="799" spans="1:2" x14ac:dyDescent="0.2">
      <c r="A799" s="114" t="s">
        <v>2132</v>
      </c>
      <c r="B799" s="63" t="s">
        <v>2354</v>
      </c>
    </row>
    <row r="800" spans="1:2" x14ac:dyDescent="0.2">
      <c r="A800" s="114">
        <v>9.1</v>
      </c>
      <c r="B800" s="63" t="s">
        <v>2355</v>
      </c>
    </row>
    <row r="801" spans="1:2" x14ac:dyDescent="0.2">
      <c r="A801" s="114" t="s">
        <v>628</v>
      </c>
      <c r="B801" s="63" t="s">
        <v>2356</v>
      </c>
    </row>
    <row r="802" spans="1:2" x14ac:dyDescent="0.2">
      <c r="A802" s="114" t="s">
        <v>624</v>
      </c>
      <c r="B802" s="63" t="s">
        <v>2357</v>
      </c>
    </row>
    <row r="803" spans="1:2" x14ac:dyDescent="0.2">
      <c r="A803" s="114" t="s">
        <v>2358</v>
      </c>
      <c r="B803" s="63" t="s">
        <v>2359</v>
      </c>
    </row>
    <row r="804" spans="1:2" x14ac:dyDescent="0.2">
      <c r="A804" s="114">
        <v>9.1999999999999993</v>
      </c>
      <c r="B804" s="63" t="s">
        <v>2360</v>
      </c>
    </row>
    <row r="805" spans="1:2" x14ac:dyDescent="0.2">
      <c r="A805" s="114">
        <v>9.3000000000000007</v>
      </c>
      <c r="B805" s="63" t="s">
        <v>2361</v>
      </c>
    </row>
    <row r="806" spans="1:2" x14ac:dyDescent="0.2">
      <c r="A806" s="114">
        <v>9.4</v>
      </c>
      <c r="B806" s="63" t="s">
        <v>2362</v>
      </c>
    </row>
    <row r="807" spans="1:2" x14ac:dyDescent="0.2">
      <c r="A807" s="114" t="s">
        <v>957</v>
      </c>
      <c r="B807" s="63" t="s">
        <v>2363</v>
      </c>
    </row>
    <row r="808" spans="1:2" x14ac:dyDescent="0.2">
      <c r="A808" s="114" t="s">
        <v>670</v>
      </c>
      <c r="B808" s="63" t="s">
        <v>2364</v>
      </c>
    </row>
    <row r="809" spans="1:2" x14ac:dyDescent="0.2">
      <c r="A809" s="114" t="s">
        <v>634</v>
      </c>
      <c r="B809" s="63" t="s">
        <v>2365</v>
      </c>
    </row>
    <row r="810" spans="1:2" x14ac:dyDescent="0.2">
      <c r="A810" s="114" t="s">
        <v>961</v>
      </c>
      <c r="B810" s="63" t="s">
        <v>2366</v>
      </c>
    </row>
    <row r="811" spans="1:2" x14ac:dyDescent="0.2">
      <c r="A811" s="114">
        <v>9.5</v>
      </c>
      <c r="B811" s="63" t="s">
        <v>2367</v>
      </c>
    </row>
    <row r="812" spans="1:2" x14ac:dyDescent="0.2">
      <c r="A812" s="114" t="s">
        <v>2368</v>
      </c>
      <c r="B812" s="63" t="s">
        <v>2369</v>
      </c>
    </row>
    <row r="813" spans="1:2" x14ac:dyDescent="0.2">
      <c r="A813" s="114">
        <v>9.6</v>
      </c>
      <c r="B813" s="63" t="s">
        <v>2370</v>
      </c>
    </row>
    <row r="814" spans="1:2" x14ac:dyDescent="0.2">
      <c r="A814" s="114" t="s">
        <v>2371</v>
      </c>
      <c r="B814" s="63" t="s">
        <v>2372</v>
      </c>
    </row>
    <row r="815" spans="1:2" x14ac:dyDescent="0.2">
      <c r="A815" s="114" t="s">
        <v>2373</v>
      </c>
      <c r="B815" s="63" t="s">
        <v>2374</v>
      </c>
    </row>
    <row r="816" spans="1:2" x14ac:dyDescent="0.2">
      <c r="A816" s="114" t="s">
        <v>2375</v>
      </c>
      <c r="B816" s="63" t="s">
        <v>2376</v>
      </c>
    </row>
    <row r="817" spans="1:2" x14ac:dyDescent="0.2">
      <c r="A817" s="114">
        <v>9.6999999999999993</v>
      </c>
      <c r="B817" s="63" t="s">
        <v>2377</v>
      </c>
    </row>
    <row r="818" spans="1:2" x14ac:dyDescent="0.2">
      <c r="A818" s="114" t="s">
        <v>2378</v>
      </c>
      <c r="B818" s="63" t="s">
        <v>2379</v>
      </c>
    </row>
    <row r="819" spans="1:2" x14ac:dyDescent="0.2">
      <c r="A819" s="114">
        <v>9.8000000000000007</v>
      </c>
      <c r="B819" s="63" t="s">
        <v>2380</v>
      </c>
    </row>
    <row r="820" spans="1:2" x14ac:dyDescent="0.2">
      <c r="A820" s="114" t="s">
        <v>2381</v>
      </c>
      <c r="B820" s="63" t="s">
        <v>2382</v>
      </c>
    </row>
    <row r="821" spans="1:2" x14ac:dyDescent="0.2">
      <c r="A821" s="114" t="s">
        <v>2383</v>
      </c>
      <c r="B821" s="63" t="s">
        <v>2384</v>
      </c>
    </row>
    <row r="822" spans="1:2" x14ac:dyDescent="0.2">
      <c r="A822" s="114">
        <v>9.9</v>
      </c>
      <c r="B822" s="63" t="s">
        <v>2385</v>
      </c>
    </row>
    <row r="823" spans="1:2" x14ac:dyDescent="0.2">
      <c r="A823" s="114" t="s">
        <v>2386</v>
      </c>
      <c r="B823" s="63" t="s">
        <v>2387</v>
      </c>
    </row>
    <row r="824" spans="1:2" x14ac:dyDescent="0.2">
      <c r="A824" s="114" t="s">
        <v>2388</v>
      </c>
      <c r="B824" s="63" t="s">
        <v>2389</v>
      </c>
    </row>
    <row r="825" spans="1:2" x14ac:dyDescent="0.2">
      <c r="A825" s="114" t="s">
        <v>2390</v>
      </c>
      <c r="B825" s="63" t="s">
        <v>2391</v>
      </c>
    </row>
    <row r="826" spans="1:2" x14ac:dyDescent="0.2">
      <c r="A826" s="114" t="s">
        <v>2552</v>
      </c>
      <c r="B826" s="63" t="s">
        <v>2392</v>
      </c>
    </row>
    <row r="827" spans="1:2" x14ac:dyDescent="0.2">
      <c r="A827" s="114" t="s">
        <v>2393</v>
      </c>
      <c r="B827" s="63" t="s">
        <v>2394</v>
      </c>
    </row>
    <row r="828" spans="1:2" x14ac:dyDescent="0.2">
      <c r="A828" s="114">
        <v>10.1</v>
      </c>
      <c r="B828" s="63" t="s">
        <v>2395</v>
      </c>
    </row>
    <row r="829" spans="1:2" x14ac:dyDescent="0.2">
      <c r="A829" s="114">
        <v>10.199999999999999</v>
      </c>
      <c r="B829" s="63" t="s">
        <v>2396</v>
      </c>
    </row>
    <row r="830" spans="1:2" x14ac:dyDescent="0.2">
      <c r="A830" s="114" t="s">
        <v>2397</v>
      </c>
      <c r="B830" s="63" t="s">
        <v>2398</v>
      </c>
    </row>
    <row r="831" spans="1:2" x14ac:dyDescent="0.2">
      <c r="A831" s="114" t="s">
        <v>2399</v>
      </c>
      <c r="B831" s="63" t="s">
        <v>2400</v>
      </c>
    </row>
    <row r="832" spans="1:2" x14ac:dyDescent="0.2">
      <c r="A832" s="114" t="s">
        <v>2401</v>
      </c>
      <c r="B832" s="63" t="s">
        <v>2402</v>
      </c>
    </row>
    <row r="833" spans="1:2" x14ac:dyDescent="0.2">
      <c r="A833" s="114" t="s">
        <v>2403</v>
      </c>
      <c r="B833" s="63" t="s">
        <v>2404</v>
      </c>
    </row>
    <row r="834" spans="1:2" x14ac:dyDescent="0.2">
      <c r="A834" s="114" t="s">
        <v>2405</v>
      </c>
      <c r="B834" s="63" t="s">
        <v>2406</v>
      </c>
    </row>
    <row r="835" spans="1:2" x14ac:dyDescent="0.2">
      <c r="A835" s="114" t="s">
        <v>2407</v>
      </c>
      <c r="B835" s="63" t="s">
        <v>2408</v>
      </c>
    </row>
    <row r="836" spans="1:2" x14ac:dyDescent="0.2">
      <c r="A836" s="114" t="s">
        <v>2409</v>
      </c>
      <c r="B836" s="63" t="s">
        <v>2410</v>
      </c>
    </row>
    <row r="837" spans="1:2" x14ac:dyDescent="0.2">
      <c r="A837" s="114">
        <v>10.3</v>
      </c>
      <c r="B837" s="63" t="s">
        <v>2411</v>
      </c>
    </row>
    <row r="838" spans="1:2" x14ac:dyDescent="0.2">
      <c r="A838" s="114" t="s">
        <v>2412</v>
      </c>
      <c r="B838" s="63" t="s">
        <v>2413</v>
      </c>
    </row>
    <row r="839" spans="1:2" x14ac:dyDescent="0.2">
      <c r="A839" s="114" t="s">
        <v>2414</v>
      </c>
      <c r="B839" s="63" t="s">
        <v>2415</v>
      </c>
    </row>
    <row r="840" spans="1:2" x14ac:dyDescent="0.2">
      <c r="A840" s="114" t="s">
        <v>2416</v>
      </c>
      <c r="B840" s="63" t="s">
        <v>2417</v>
      </c>
    </row>
    <row r="841" spans="1:2" x14ac:dyDescent="0.2">
      <c r="A841" s="114" t="s">
        <v>2418</v>
      </c>
      <c r="B841" s="63" t="s">
        <v>2419</v>
      </c>
    </row>
    <row r="842" spans="1:2" x14ac:dyDescent="0.2">
      <c r="A842" s="114" t="s">
        <v>2420</v>
      </c>
      <c r="B842" s="63" t="s">
        <v>2421</v>
      </c>
    </row>
    <row r="843" spans="1:2" x14ac:dyDescent="0.2">
      <c r="A843" s="114" t="s">
        <v>2422</v>
      </c>
      <c r="B843" s="63" t="s">
        <v>2423</v>
      </c>
    </row>
    <row r="844" spans="1:2" x14ac:dyDescent="0.2">
      <c r="A844" s="114">
        <v>10.4</v>
      </c>
      <c r="B844" s="63" t="s">
        <v>2424</v>
      </c>
    </row>
    <row r="845" spans="1:2" x14ac:dyDescent="0.2">
      <c r="A845" s="114" t="s">
        <v>2425</v>
      </c>
      <c r="B845" s="63" t="s">
        <v>2426</v>
      </c>
    </row>
    <row r="846" spans="1:2" x14ac:dyDescent="0.2">
      <c r="A846" s="114" t="s">
        <v>2427</v>
      </c>
      <c r="B846" s="63" t="s">
        <v>2428</v>
      </c>
    </row>
    <row r="847" spans="1:2" x14ac:dyDescent="0.2">
      <c r="A847" s="114" t="s">
        <v>2429</v>
      </c>
      <c r="B847" s="63" t="s">
        <v>2430</v>
      </c>
    </row>
    <row r="848" spans="1:2" x14ac:dyDescent="0.2">
      <c r="A848" s="114">
        <v>10.5</v>
      </c>
      <c r="B848" s="63" t="s">
        <v>2431</v>
      </c>
    </row>
    <row r="849" spans="1:2" x14ac:dyDescent="0.2">
      <c r="A849" s="114" t="s">
        <v>2432</v>
      </c>
      <c r="B849" s="63" t="s">
        <v>2433</v>
      </c>
    </row>
    <row r="850" spans="1:2" x14ac:dyDescent="0.2">
      <c r="A850" s="114" t="s">
        <v>2434</v>
      </c>
      <c r="B850" s="63" t="s">
        <v>2435</v>
      </c>
    </row>
    <row r="851" spans="1:2" x14ac:dyDescent="0.2">
      <c r="A851" s="114" t="s">
        <v>2436</v>
      </c>
      <c r="B851" s="63" t="s">
        <v>2437</v>
      </c>
    </row>
    <row r="852" spans="1:2" x14ac:dyDescent="0.2">
      <c r="A852" s="114" t="s">
        <v>2438</v>
      </c>
      <c r="B852" s="63" t="s">
        <v>2439</v>
      </c>
    </row>
    <row r="853" spans="1:2" x14ac:dyDescent="0.2">
      <c r="A853" s="114" t="s">
        <v>2440</v>
      </c>
      <c r="B853" s="63" t="s">
        <v>2441</v>
      </c>
    </row>
    <row r="854" spans="1:2" x14ac:dyDescent="0.2">
      <c r="A854" s="114">
        <v>10.6</v>
      </c>
      <c r="B854" s="63" t="s">
        <v>2442</v>
      </c>
    </row>
    <row r="855" spans="1:2" x14ac:dyDescent="0.2">
      <c r="A855" s="114" t="s">
        <v>2443</v>
      </c>
      <c r="B855" s="63" t="s">
        <v>2444</v>
      </c>
    </row>
    <row r="856" spans="1:2" x14ac:dyDescent="0.2">
      <c r="A856" s="114" t="s">
        <v>2445</v>
      </c>
      <c r="B856" s="63" t="s">
        <v>2446</v>
      </c>
    </row>
    <row r="857" spans="1:2" x14ac:dyDescent="0.2">
      <c r="A857" s="114" t="s">
        <v>2447</v>
      </c>
      <c r="B857" s="63" t="s">
        <v>2448</v>
      </c>
    </row>
    <row r="858" spans="1:2" x14ac:dyDescent="0.2">
      <c r="A858" s="114">
        <v>10.7</v>
      </c>
      <c r="B858" s="63" t="s">
        <v>2449</v>
      </c>
    </row>
    <row r="859" spans="1:2" x14ac:dyDescent="0.2">
      <c r="A859" s="114">
        <v>10.8</v>
      </c>
      <c r="B859" s="63" t="s">
        <v>2450</v>
      </c>
    </row>
    <row r="860" spans="1:2" x14ac:dyDescent="0.2">
      <c r="A860" s="114" t="s">
        <v>2451</v>
      </c>
      <c r="B860" s="63" t="s">
        <v>2452</v>
      </c>
    </row>
    <row r="861" spans="1:2" x14ac:dyDescent="0.2">
      <c r="A861" s="114">
        <v>10.9</v>
      </c>
      <c r="B861" s="63" t="s">
        <v>2453</v>
      </c>
    </row>
    <row r="862" spans="1:2" x14ac:dyDescent="0.2">
      <c r="A862" s="114" t="s">
        <v>2454</v>
      </c>
      <c r="B862" s="63" t="s">
        <v>2455</v>
      </c>
    </row>
    <row r="863" spans="1:2" x14ac:dyDescent="0.2">
      <c r="A863" s="114">
        <v>11.1</v>
      </c>
      <c r="B863" s="63" t="s">
        <v>2456</v>
      </c>
    </row>
    <row r="864" spans="1:2" x14ac:dyDescent="0.2">
      <c r="A864" s="114" t="s">
        <v>659</v>
      </c>
      <c r="B864" s="63" t="s">
        <v>2457</v>
      </c>
    </row>
    <row r="865" spans="1:2" x14ac:dyDescent="0.2">
      <c r="A865" s="114" t="s">
        <v>672</v>
      </c>
      <c r="B865" s="63" t="s">
        <v>2458</v>
      </c>
    </row>
    <row r="866" spans="1:2" x14ac:dyDescent="0.2">
      <c r="A866" s="114">
        <v>11.2</v>
      </c>
      <c r="B866" s="63" t="s">
        <v>2459</v>
      </c>
    </row>
    <row r="867" spans="1:2" x14ac:dyDescent="0.2">
      <c r="A867" s="114" t="s">
        <v>661</v>
      </c>
      <c r="B867" s="63" t="s">
        <v>2460</v>
      </c>
    </row>
    <row r="868" spans="1:2" x14ac:dyDescent="0.2">
      <c r="A868" s="114" t="s">
        <v>977</v>
      </c>
      <c r="B868" s="63" t="s">
        <v>2461</v>
      </c>
    </row>
    <row r="869" spans="1:2" x14ac:dyDescent="0.2">
      <c r="A869" s="114" t="s">
        <v>979</v>
      </c>
      <c r="B869" s="63" t="s">
        <v>2462</v>
      </c>
    </row>
    <row r="870" spans="1:2" x14ac:dyDescent="0.2">
      <c r="A870" s="114">
        <v>11.3</v>
      </c>
      <c r="B870" s="63" t="s">
        <v>2463</v>
      </c>
    </row>
    <row r="871" spans="1:2" x14ac:dyDescent="0.2">
      <c r="A871" s="114" t="s">
        <v>2464</v>
      </c>
      <c r="B871" s="63" t="s">
        <v>2465</v>
      </c>
    </row>
    <row r="872" spans="1:2" x14ac:dyDescent="0.2">
      <c r="A872" s="114" t="s">
        <v>2466</v>
      </c>
      <c r="B872" s="63" t="s">
        <v>2467</v>
      </c>
    </row>
    <row r="873" spans="1:2" x14ac:dyDescent="0.2">
      <c r="A873" s="114" t="s">
        <v>2468</v>
      </c>
      <c r="B873" s="63" t="s">
        <v>2469</v>
      </c>
    </row>
    <row r="874" spans="1:2" x14ac:dyDescent="0.2">
      <c r="A874" s="114" t="s">
        <v>2470</v>
      </c>
      <c r="B874" s="63" t="s">
        <v>2471</v>
      </c>
    </row>
    <row r="875" spans="1:2" x14ac:dyDescent="0.2">
      <c r="A875" s="114" t="s">
        <v>2472</v>
      </c>
      <c r="B875" s="63" t="s">
        <v>2473</v>
      </c>
    </row>
    <row r="876" spans="1:2" x14ac:dyDescent="0.2">
      <c r="A876" s="114">
        <v>11.4</v>
      </c>
      <c r="B876" s="63" t="s">
        <v>2474</v>
      </c>
    </row>
    <row r="877" spans="1:2" x14ac:dyDescent="0.2">
      <c r="A877" s="114">
        <v>11.5</v>
      </c>
      <c r="B877" s="63" t="s">
        <v>2475</v>
      </c>
    </row>
    <row r="878" spans="1:2" x14ac:dyDescent="0.2">
      <c r="A878" s="114" t="s">
        <v>2476</v>
      </c>
      <c r="B878" s="63" t="s">
        <v>2477</v>
      </c>
    </row>
    <row r="879" spans="1:2" x14ac:dyDescent="0.2">
      <c r="A879" s="114">
        <v>11.6</v>
      </c>
      <c r="B879" s="63" t="s">
        <v>2478</v>
      </c>
    </row>
    <row r="880" spans="1:2" x14ac:dyDescent="0.2">
      <c r="A880" s="114" t="s">
        <v>2115</v>
      </c>
      <c r="B880" s="63" t="s">
        <v>2479</v>
      </c>
    </row>
    <row r="881" spans="1:2" x14ac:dyDescent="0.2">
      <c r="A881" s="114">
        <v>12.1</v>
      </c>
      <c r="B881" s="63" t="s">
        <v>2480</v>
      </c>
    </row>
    <row r="882" spans="1:2" x14ac:dyDescent="0.2">
      <c r="A882" s="114" t="s">
        <v>630</v>
      </c>
      <c r="B882" s="63" t="s">
        <v>2481</v>
      </c>
    </row>
    <row r="883" spans="1:2" x14ac:dyDescent="0.2">
      <c r="A883" s="114">
        <v>12.2</v>
      </c>
      <c r="B883" s="63" t="s">
        <v>2482</v>
      </c>
    </row>
    <row r="884" spans="1:2" x14ac:dyDescent="0.2">
      <c r="A884" s="114">
        <v>12.3</v>
      </c>
      <c r="B884" s="63" t="s">
        <v>2483</v>
      </c>
    </row>
    <row r="885" spans="1:2" x14ac:dyDescent="0.2">
      <c r="A885" s="114" t="s">
        <v>653</v>
      </c>
      <c r="B885" s="63" t="s">
        <v>2484</v>
      </c>
    </row>
    <row r="886" spans="1:2" x14ac:dyDescent="0.2">
      <c r="A886" s="114" t="s">
        <v>2485</v>
      </c>
      <c r="B886" s="63" t="s">
        <v>2486</v>
      </c>
    </row>
    <row r="887" spans="1:2" x14ac:dyDescent="0.2">
      <c r="A887" s="114" t="s">
        <v>2487</v>
      </c>
      <c r="B887" s="63" t="s">
        <v>2488</v>
      </c>
    </row>
    <row r="888" spans="1:2" x14ac:dyDescent="0.2">
      <c r="A888" s="114" t="s">
        <v>2489</v>
      </c>
      <c r="B888" s="63" t="s">
        <v>2490</v>
      </c>
    </row>
    <row r="889" spans="1:2" x14ac:dyDescent="0.2">
      <c r="A889" s="114" t="s">
        <v>2491</v>
      </c>
      <c r="B889" s="63" t="s">
        <v>2492</v>
      </c>
    </row>
    <row r="890" spans="1:2" x14ac:dyDescent="0.2">
      <c r="A890" s="114" t="s">
        <v>2493</v>
      </c>
      <c r="B890" s="63" t="s">
        <v>2494</v>
      </c>
    </row>
    <row r="891" spans="1:2" x14ac:dyDescent="0.2">
      <c r="A891" s="114" t="s">
        <v>2495</v>
      </c>
      <c r="B891" s="63" t="s">
        <v>2496</v>
      </c>
    </row>
    <row r="892" spans="1:2" x14ac:dyDescent="0.2">
      <c r="A892" s="114" t="s">
        <v>2497</v>
      </c>
      <c r="B892" s="63" t="s">
        <v>2498</v>
      </c>
    </row>
    <row r="893" spans="1:2" x14ac:dyDescent="0.2">
      <c r="A893" s="114" t="s">
        <v>2499</v>
      </c>
      <c r="B893" s="63" t="s">
        <v>2500</v>
      </c>
    </row>
    <row r="894" spans="1:2" x14ac:dyDescent="0.2">
      <c r="A894" s="114" t="s">
        <v>2501</v>
      </c>
      <c r="B894" s="63" t="s">
        <v>2502</v>
      </c>
    </row>
    <row r="895" spans="1:2" x14ac:dyDescent="0.2">
      <c r="A895" s="114">
        <v>12.4</v>
      </c>
      <c r="B895" s="63" t="s">
        <v>2503</v>
      </c>
    </row>
    <row r="896" spans="1:2" x14ac:dyDescent="0.2">
      <c r="A896" s="114" t="s">
        <v>667</v>
      </c>
      <c r="B896" s="63" t="s">
        <v>2504</v>
      </c>
    </row>
    <row r="897" spans="1:2" x14ac:dyDescent="0.2">
      <c r="A897" s="114">
        <v>12.5</v>
      </c>
      <c r="B897" s="63" t="s">
        <v>2505</v>
      </c>
    </row>
    <row r="898" spans="1:2" x14ac:dyDescent="0.2">
      <c r="A898" s="114" t="s">
        <v>629</v>
      </c>
      <c r="B898" s="63" t="s">
        <v>2506</v>
      </c>
    </row>
    <row r="899" spans="1:2" x14ac:dyDescent="0.2">
      <c r="A899" s="114" t="s">
        <v>2507</v>
      </c>
      <c r="B899" s="63" t="s">
        <v>2508</v>
      </c>
    </row>
    <row r="900" spans="1:2" x14ac:dyDescent="0.2">
      <c r="A900" s="114" t="s">
        <v>2509</v>
      </c>
      <c r="B900" s="63" t="s">
        <v>2510</v>
      </c>
    </row>
    <row r="901" spans="1:2" x14ac:dyDescent="0.2">
      <c r="A901" s="114" t="s">
        <v>2511</v>
      </c>
      <c r="B901" s="63" t="s">
        <v>2512</v>
      </c>
    </row>
    <row r="902" spans="1:2" x14ac:dyDescent="0.2">
      <c r="A902" s="114" t="s">
        <v>2513</v>
      </c>
      <c r="B902" s="63" t="s">
        <v>2514</v>
      </c>
    </row>
    <row r="903" spans="1:2" x14ac:dyDescent="0.2">
      <c r="A903" s="114">
        <v>12.6</v>
      </c>
      <c r="B903" s="63" t="s">
        <v>2515</v>
      </c>
    </row>
    <row r="904" spans="1:2" x14ac:dyDescent="0.2">
      <c r="A904" s="114" t="s">
        <v>648</v>
      </c>
      <c r="B904" s="63" t="s">
        <v>2516</v>
      </c>
    </row>
    <row r="905" spans="1:2" x14ac:dyDescent="0.2">
      <c r="A905" s="114" t="s">
        <v>1009</v>
      </c>
      <c r="B905" s="63" t="s">
        <v>2517</v>
      </c>
    </row>
    <row r="906" spans="1:2" x14ac:dyDescent="0.2">
      <c r="A906" s="114">
        <v>12.7</v>
      </c>
      <c r="B906" s="63" t="s">
        <v>2518</v>
      </c>
    </row>
    <row r="907" spans="1:2" x14ac:dyDescent="0.2">
      <c r="A907" s="114">
        <v>12.8</v>
      </c>
      <c r="B907" s="63" t="s">
        <v>2519</v>
      </c>
    </row>
    <row r="908" spans="1:2" x14ac:dyDescent="0.2">
      <c r="A908" s="114" t="s">
        <v>2520</v>
      </c>
      <c r="B908" s="63" t="s">
        <v>2521</v>
      </c>
    </row>
    <row r="909" spans="1:2" x14ac:dyDescent="0.2">
      <c r="A909" s="114" t="s">
        <v>2522</v>
      </c>
      <c r="B909" s="63" t="s">
        <v>2523</v>
      </c>
    </row>
    <row r="910" spans="1:2" x14ac:dyDescent="0.2">
      <c r="A910" s="114" t="s">
        <v>2524</v>
      </c>
      <c r="B910" s="63" t="s">
        <v>2525</v>
      </c>
    </row>
    <row r="911" spans="1:2" x14ac:dyDescent="0.2">
      <c r="A911" s="114" t="s">
        <v>2526</v>
      </c>
      <c r="B911" s="63" t="s">
        <v>2527</v>
      </c>
    </row>
    <row r="912" spans="1:2" x14ac:dyDescent="0.2">
      <c r="A912" s="114" t="s">
        <v>2528</v>
      </c>
      <c r="B912" s="63" t="s">
        <v>2529</v>
      </c>
    </row>
    <row r="913" spans="1:2" x14ac:dyDescent="0.2">
      <c r="A913" s="114">
        <v>12.9</v>
      </c>
      <c r="B913" s="63" t="s">
        <v>2530</v>
      </c>
    </row>
    <row r="914" spans="1:2" x14ac:dyDescent="0.2">
      <c r="A914" s="114" t="s">
        <v>2551</v>
      </c>
      <c r="B914" s="63" t="s">
        <v>2531</v>
      </c>
    </row>
    <row r="915" spans="1:2" x14ac:dyDescent="0.2">
      <c r="A915" s="114" t="s">
        <v>2532</v>
      </c>
      <c r="B915" s="63" t="s">
        <v>2533</v>
      </c>
    </row>
    <row r="916" spans="1:2" x14ac:dyDescent="0.2">
      <c r="A916" s="114" t="s">
        <v>2534</v>
      </c>
      <c r="B916" s="63" t="s">
        <v>2535</v>
      </c>
    </row>
    <row r="917" spans="1:2" x14ac:dyDescent="0.2">
      <c r="A917" s="114" t="s">
        <v>2536</v>
      </c>
      <c r="B917" s="63" t="s">
        <v>2537</v>
      </c>
    </row>
    <row r="918" spans="1:2" x14ac:dyDescent="0.2">
      <c r="A918" s="114" t="s">
        <v>2538</v>
      </c>
      <c r="B918" s="63" t="s">
        <v>2539</v>
      </c>
    </row>
    <row r="919" spans="1:2" x14ac:dyDescent="0.2">
      <c r="A919" s="114" t="s">
        <v>2540</v>
      </c>
      <c r="B919" s="63" t="s">
        <v>2541</v>
      </c>
    </row>
    <row r="920" spans="1:2" x14ac:dyDescent="0.2">
      <c r="A920" s="114" t="s">
        <v>2542</v>
      </c>
      <c r="B920" s="63" t="s">
        <v>2543</v>
      </c>
    </row>
    <row r="921" spans="1:2" x14ac:dyDescent="0.2">
      <c r="A921" s="114">
        <v>12.11</v>
      </c>
      <c r="B921" s="63" t="s">
        <v>2544</v>
      </c>
    </row>
    <row r="922" spans="1:2" x14ac:dyDescent="0.2">
      <c r="A922" s="114" t="s">
        <v>2545</v>
      </c>
      <c r="B922" s="63" t="s">
        <v>2546</v>
      </c>
    </row>
    <row r="923" spans="1:2" ht="17" x14ac:dyDescent="0.2">
      <c r="A923" s="108" t="s">
        <v>2110</v>
      </c>
      <c r="B923" s="63" t="s">
        <v>2547</v>
      </c>
    </row>
    <row r="924" spans="1:2" x14ac:dyDescent="0.2">
      <c r="A924" s="109" t="s">
        <v>616</v>
      </c>
      <c r="B924" s="63" t="s">
        <v>2548</v>
      </c>
    </row>
    <row r="925" spans="1:2" x14ac:dyDescent="0.2">
      <c r="A925" s="109" t="s">
        <v>2109</v>
      </c>
      <c r="B925" s="63" t="str">
        <f>CONCATENATE(B923,"; ",B924)</f>
        <v>All system components included in or connected to the cardholder data environment (CDE); The process of determining the CDE and subsequent PCI scope</v>
      </c>
    </row>
    <row r="926" spans="1:2" s="107" customFormat="1" x14ac:dyDescent="0.2">
      <c r="A926" s="109" t="s">
        <v>2117</v>
      </c>
      <c r="B926" s="63" t="str">
        <f>B923</f>
        <v>All system components included in or connected to the cardholder data environment (CDE)</v>
      </c>
    </row>
    <row r="927" spans="1:2" ht="30" x14ac:dyDescent="0.2">
      <c r="A927" s="110" t="s">
        <v>2111</v>
      </c>
      <c r="B927" s="63" t="str">
        <f>CONCATENATE(B914,"; ",B923)</f>
        <v>Implement an incident response plan. Be prepared to respond immediately to a system breach.; All system components included in or connected to the cardholder data environment (CDE)</v>
      </c>
    </row>
    <row r="928" spans="1:2" x14ac:dyDescent="0.2">
      <c r="A928" s="111" t="s">
        <v>2112</v>
      </c>
      <c r="B928" s="63" t="str">
        <f>CONCATENATE(B907,"; ",B897)</f>
        <v>Maintain and implement policies and procedures to manage service providers, with whom cardholder data is shared, or that could affect the security of cardholder data, as follows; Assign to an individual or team the following information security management responsibilities:</v>
      </c>
    </row>
    <row r="929" spans="1:2" x14ac:dyDescent="0.2">
      <c r="A929" s="109" t="s">
        <v>2549</v>
      </c>
      <c r="B929" s="63" t="str">
        <f>CONCATENATE(B907,"; ",B723)</f>
        <v>Maintain and implement policies and procedures to manage service providers, with whom cardholder data is shared, or that could affect the security of cardholder data, as follows; Never send unprotected PANs by end-user messaging technologies (for example, e-mail, instant messaging, SMS, chat, etc.).</v>
      </c>
    </row>
    <row r="930" spans="1:2" x14ac:dyDescent="0.2">
      <c r="A930" s="111" t="s">
        <v>2116</v>
      </c>
      <c r="B930" s="63" t="str">
        <f>CONCATENATE(B762,"; ",B773)</f>
        <v>Restrict access to cardholder data by business need to know; Assign a unique ID to each person with computer access</v>
      </c>
    </row>
    <row r="931" spans="1:2" x14ac:dyDescent="0.2">
      <c r="A931" s="110" t="s">
        <v>2119</v>
      </c>
      <c r="B931" s="63" t="str">
        <f>CONCATENATE(B684,"; ",B773)</f>
        <v>Always change vendor-supplied defaults and remove or disable unnecessary default accounts before installing a system on the network. This applies to ALL default passwords, including but not limited to those used by operating systems, software that provides security services, application and system accounts, point-of-sale (POS) terminals, payment applications, Simple Network Management Protocol (SNMP) community strings, etc.).; Assign a unique ID to each person with computer access</v>
      </c>
    </row>
    <row r="932" spans="1:2" x14ac:dyDescent="0.2">
      <c r="A932" s="110" t="s">
        <v>2122</v>
      </c>
      <c r="B932" s="63" t="str">
        <f>CONCATENATE(B773,"; ",B723)</f>
        <v>Assign a unique ID to each person with computer access; Never send unprotected PANs by end-user messaging technologies (for example, e-mail, instant messaging, SMS, chat, etc.).</v>
      </c>
    </row>
    <row r="933" spans="1:2" ht="75" x14ac:dyDescent="0.2">
      <c r="A933" s="110" t="s">
        <v>2120</v>
      </c>
      <c r="B933" s="63" t="str">
        <f>CONCATENATE(B828,"; ",B837,"; ",B848,"; ",B854,"; ",B858)</f>
        <v>Implement audit trails to link all access to system components to each individual user.; Record at least the following audit trail entries for all system components for each event:; Secure audit trails so they cannot be altered.; Review logs and security events for all system components to identify anomalies or suspicious activity. Note: Log harvesting, parsing, and alerting tools may be used to meet this Requirement.; Retain audit trail history for at least one year, with a minimum of three months immediately available for analysis (for example, online, archived, or restorable from backup).</v>
      </c>
    </row>
    <row r="934" spans="1:2" ht="45" x14ac:dyDescent="0.2">
      <c r="A934" s="110" t="s">
        <v>2123</v>
      </c>
      <c r="B934" s="63" t="str">
        <f>CONCATENATE(B738,"; ",B749,"; ",B750,"; ",B751)</f>
        <v>Follow change control processes and procedures for all changes to system components. The processes must include the following:; Address common coding vulnerabilities in software-development processes as follows: • Train developers at least annually in up-to-date secure coding techniques, including how to avoid common coding vulnerabilities. • Develop applications based on secure coding guidelines. Note: The vulnerabilities listed at 6.5.1 through 6.5.10 were current with industry best practices when this version of PCI DSS was published. However, as industry best practices for vulnerability management are updated (for example, the OWASP Guide, SANS CWE Top 25, CERT Secure Coding, etc.), the current best practices must be used for these requirements.; Injection flaws, particularly SQL injection. Also consider OS Command Injection, LDAP and XPath injection flaws as well as other injection flaws.; Buffer overflows</v>
      </c>
    </row>
    <row r="935" spans="1:2" ht="30" x14ac:dyDescent="0.2">
      <c r="A935" s="110" t="s">
        <v>2124</v>
      </c>
      <c r="B935" s="63" t="str">
        <f>CONCATENATE(B738,"; ",B907,"; ",B913)</f>
        <v>Follow change control processes and procedures for all changes to system components. The processes must include the following:; Maintain and implement policies and procedures to manage service providers, with whom cardholder data is shared, or that could affect the security of cardholder data, as follows; Additional requirement for service providers only: Service providers acknowledge in writing to customers that they are responsible for the security of cardholder data the service provider possesses or otherwise stores, processes, or transmits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v>
      </c>
    </row>
    <row r="936" spans="1:2" x14ac:dyDescent="0.2">
      <c r="A936" s="110" t="s">
        <v>2125</v>
      </c>
      <c r="B936" s="63" t="str">
        <f>CONCATENATE(B881,"; ",B907)</f>
        <v>Establish, publish, maintain, and disseminate a security policy.; Maintain and implement policies and procedures to manage service providers, with whom cardholder data is shared, or that could affect the security of cardholder data, as follows</v>
      </c>
    </row>
    <row r="937" spans="1:2" ht="31" thickBot="1" x14ac:dyDescent="0.25">
      <c r="A937" s="110" t="s">
        <v>2126</v>
      </c>
      <c r="B937" s="63" t="str">
        <f>CONCATENATE(B881,"; ",B907,"; ",B734)</f>
        <v>Establish, publish, maintain, and disseminate a security policy.; Maintain and implement policies and procedures to manage service providers, with whom cardholder data is shared, or that could affect the security of cardholder data, as follows; Ensure that all system components and software are protected from known vulnerabilities by installing applicable vendor-supplied security patches. Install critical security patches within one month of release. Note: Critical security patches should be identified according to the risk ranking process defined in Requirement 6.1.</v>
      </c>
    </row>
    <row r="938" spans="1:2" ht="17" thickBot="1" x14ac:dyDescent="0.25">
      <c r="A938" s="112" t="s">
        <v>2127</v>
      </c>
      <c r="B938" s="63" t="str">
        <f>CONCATENATE(B882,"; ",B907)</f>
        <v>Review the security policy at least annually and update the policy when the environment changes.; Maintain and implement policies and procedures to manage service providers, with whom cardholder data is shared, or that could affect the security of cardholder data, as follows</v>
      </c>
    </row>
    <row r="939" spans="1:2" ht="31" thickBot="1" x14ac:dyDescent="0.25">
      <c r="A939" s="113" t="s">
        <v>2128</v>
      </c>
      <c r="B939" s="63" t="str">
        <f>CONCATENATE(B881,"; ",B882,"; ",B907)</f>
        <v>Establish, publish, maintain, and disseminate a security policy.; Review the security policy at least annually and update the policy when the environment changes.; Maintain and implement policies and procedures to manage service providers, with whom cardholder data is shared, or that could affect the security of cardholder data, as follows</v>
      </c>
    </row>
    <row r="940" spans="1:2" ht="31" thickBot="1" x14ac:dyDescent="0.25">
      <c r="A940" s="113" t="s">
        <v>2129</v>
      </c>
      <c r="B940" s="63" t="str">
        <f>CONCATENATE(B914,"; ",B907,"; ",B738)</f>
        <v>Implement an incident response plan. Be prepared to respond immediately to a system breach.; Maintain and implement policies and procedures to manage service providers, with whom cardholder data is shared, or that could affect the security of cardholder data, as follows; Follow change control processes and procedures for all changes to system components. The processes must include the following:</v>
      </c>
    </row>
    <row r="941" spans="1:2" ht="17" thickBot="1" x14ac:dyDescent="0.25">
      <c r="A941" s="112" t="s">
        <v>2130</v>
      </c>
      <c r="B941" s="63" t="str">
        <f>CONCATENATE(B910,"; ",B799)</f>
        <v>Ensure there is an established process for engaging service providers including proper due diligence prior to engagement.; Restrict physical access to cardholder data</v>
      </c>
    </row>
    <row r="942" spans="1:2" ht="17" thickBot="1" x14ac:dyDescent="0.25">
      <c r="A942" s="113" t="s">
        <v>2131</v>
      </c>
      <c r="B942" s="63" t="str">
        <f>CONCATENATE(B910,"; ",B721)</f>
        <v>Ensure there is an established process for engaging service providers including proper due diligence prior to engagement.; Use strong cryptography and security protocols to safeguard sensitive cardholder data during transmission over open, public networks, including the following: • Only trusted keys and certificates are accepted. • The protocol in use only supports secure versions or configurations. • The encryption strength is appropriate for the encryption methodology in use. Note: Where SSL/early TLS is used, the requirements in Appendix A2 must be completed. Examples of open, public networks include but are not limited to: • The Internet • Wireless technologies, including 802.11 and Bluetooth • Cellular technologies, for example, Global System for Mobile communications (GSM), Code division multiple access (CDMA) • General Packet Radio Service (GPRS). • Satellite communications.</v>
      </c>
    </row>
    <row r="943" spans="1:2" ht="17" thickBot="1" x14ac:dyDescent="0.25">
      <c r="A943" s="112" t="s">
        <v>2133</v>
      </c>
      <c r="B943" s="63" t="str">
        <f>CONCATENATE(B876,"; ",B907)</f>
        <v>Use intrusion-detection and/or intrusion-prevention techniques to detect and/or prevent intrusions into the network. Monitor all traffic at the perimeter of the cardholder data environment as well as at critical points in the cardholder data environment, and alert personnel to suspected compromises. Keep all intrusion-detection and prevention engines, baselines, and signatures up to date.; Maintain and implement policies and procedures to manage service providers, with whom cardholder data is shared, or that could affect the security of cardholder data, as follows</v>
      </c>
    </row>
    <row r="944" spans="1:2" ht="61" thickBot="1" x14ac:dyDescent="0.25">
      <c r="A944" s="113" t="s">
        <v>2134</v>
      </c>
      <c r="B944" s="63" t="str">
        <f>CONCATENATE(B661,"; ",B859,"; ",B854,"; ",B837,"; ",B829,"; ",B876)</f>
        <v>Establish and implement firewall and router configuration standards that include the following:; Additional requirement for service providers only: Implement a process for the timely detection and reporting of failures of critical security control systems, including but not limited to failure of: • Firewalls • IDS/IPS • FIM • Anti-virus • Physical access controls • Logical access controls • Audit logging mechanisms • Segmentation controls (if used) Note: This requirement is a best practice until January 31, 2018, after which it becomes a requirement.; Review logs and security events for all system components to identify anomalies or suspicious activity. Note: Log harvesting, parsing, and alerting tools may be used to meet this Requirement.; Record at least the following audit trail entries for all system components for each event:; Implement automated audit trails for all system components to reconstruct the following events:; Use intrusion-detection and/or intrusion-prevention techniques to detect and/or prevent intrusions into the network. Monitor all traffic at the perimeter of the cardholder data environment as well as at critical points in the cardholder data environment, and alert personnel to suspected compromises. Keep all intrusion-detection and prevention engines, baselines, and signatures up to date.</v>
      </c>
    </row>
    <row r="945" spans="1:2" x14ac:dyDescent="0.2">
      <c r="A945" s="110" t="s">
        <v>2135</v>
      </c>
      <c r="B945" s="63" t="str">
        <f>CONCATENATE(B881,"; ",B799)</f>
        <v>Establish, publish, maintain, and disseminate a security policy.; Restrict physical access to cardholder data</v>
      </c>
    </row>
    <row r="946" spans="1:2" x14ac:dyDescent="0.2">
      <c r="A946" s="110" t="s">
        <v>2136</v>
      </c>
      <c r="B946" s="63" t="str">
        <f>CONCATENATE(B895,"; ",B897)</f>
        <v>Ensure that the security policy and procedures clearly define information security responsibilities for all personnel.; Assign to an individual or team the following information security management responsibilities:</v>
      </c>
    </row>
    <row r="947" spans="1:2" ht="17" thickBot="1" x14ac:dyDescent="0.25">
      <c r="A947" s="110" t="s">
        <v>2138</v>
      </c>
      <c r="B947" s="63" t="str">
        <f>CONCATENATE(B903,"; ",B749)</f>
        <v>Implement a formal security awareness program to make all personnel aware of the cardholder data security policy and procedures.; Address common coding vulnerabilities in software-development processes as follows: • Train developers at least annually in up-to-date secure coding techniques, including how to avoid common coding vulnerabilities. • Develop applications based on secure coding guidelines. Note: The vulnerabilities listed at 6.5.1 through 6.5.10 were current with industry best practices when this version of PCI DSS was published. However, as industry best practices for vulnerability management are updated (for example, the OWASP Guide, SANS CWE Top 25, CERT Secure Coding, etc.), the current best practices must be used for these requirements.</v>
      </c>
    </row>
    <row r="948" spans="1:2" ht="31" thickBot="1" x14ac:dyDescent="0.25">
      <c r="A948" s="112" t="s">
        <v>2140</v>
      </c>
      <c r="B948" s="63" t="str">
        <f>CONCATENATE(B737,"; ",B746)</f>
        <v>Review custom code prior to release to production or customers in order to identify any potential coding vulnerability (using either manual or automated processes) to include at least the following: • Code changes are reviewed by individuals other than the originating code author, and by individuals knowledgeable about code-review techniques and secure coding practices. • Code reviews ensure code is developed according to secure coding guidelines • Appropriate corrections are implemented prior to release. • Code-review results are reviewed and approved by management prior to release. Note: This requirement for code reviews applies to all custom code (both internal and public-facing), as part of the system development life cycle. Code reviews can be conducted by knowledgeable internal personnel or third parties. Public-facing web applications are also subject to additional controls, to address ongoing threats and vulnerabilities after implementation, as defined at PCI DSS Requirement 6.6.; Functionality testing to verify that the change does not adversely impact the security of the system.</v>
      </c>
    </row>
    <row r="949" spans="1:2" ht="17" thickBot="1" x14ac:dyDescent="0.25">
      <c r="A949" s="113" t="s">
        <v>2141</v>
      </c>
      <c r="B949" s="63" t="str">
        <f>CONCATENATE(B735,"; ",B736)</f>
        <v>Develop internal and external software applications (including web-based administrative access to applications) securely, as follows: • In accordance with PCI DSS (for example, secure authentication and logging) • Based on industry standards and/or best practices. • Incorporating information security throughout the software-development life cycle Note: This applies to all software developed internally as well as bespoke or custom software developed by a third party.; Remove development, test and/or custom application accounts, user IDs, and passwords before applications become active or are released to customers.</v>
      </c>
    </row>
    <row r="950" spans="1:2" ht="31" thickBot="1" x14ac:dyDescent="0.25">
      <c r="A950" s="110" t="s">
        <v>2142</v>
      </c>
      <c r="B950" s="63" t="str">
        <f>CONCATENATE(B914,"; ",B907,"; ",B913)</f>
        <v>Implement an incident response plan. Be prepared to respond immediately to a system breach.; Maintain and implement policies and procedures to manage service providers, with whom cardholder data is shared, or that could affect the security of cardholder data, as follows; Additional requirement for service providers only: Service providers acknowledge in writing to customers that they are responsible for the security of cardholder data the service provider possesses or otherwise stores, processes, or transmits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v>
      </c>
    </row>
    <row r="951" spans="1:2" ht="31" thickBot="1" x14ac:dyDescent="0.25">
      <c r="A951" s="112" t="s">
        <v>2143</v>
      </c>
      <c r="B951" s="63" t="str">
        <f>CONCATENATE(B903,"; ",B762,"; ",B773,"; ",B799)</f>
        <v>Implement a formal security awareness program to make all personnel aware of the cardholder data security policy and procedures.; Restrict access to cardholder data by business need to know; Assign a unique ID to each person with computer access; Restrict physical access to cardholder data</v>
      </c>
    </row>
    <row r="952" spans="1:2" ht="31" thickBot="1" x14ac:dyDescent="0.25">
      <c r="A952" s="113" t="s">
        <v>2144</v>
      </c>
      <c r="B952" s="63" t="str">
        <f>CONCATENATE(B762,"; ",B773,"; ",B799)</f>
        <v>Restrict access to cardholder data by business need to know; Assign a unique ID to each person with computer access; Restrict physical access to cardholder data</v>
      </c>
    </row>
    <row r="953" spans="1:2" x14ac:dyDescent="0.2">
      <c r="A953" s="111" t="s">
        <v>2550</v>
      </c>
      <c r="B953" s="63" t="str">
        <f>CONCATENATE(B881,"; ",B731)</f>
        <v>Establish, publish, maintain, and disseminate a security policy.; Ensure that security policies and operational procedures for protecting systems against malware are documented, in use, and known to all affected parties.</v>
      </c>
    </row>
    <row r="954" spans="1:2" ht="31" thickBot="1" x14ac:dyDescent="0.25">
      <c r="A954" s="110" t="s">
        <v>2146</v>
      </c>
      <c r="B954" s="63" t="str">
        <f>CONCATENATE(B881,"; ",B897,"; ",B903)</f>
        <v>Establish, publish, maintain, and disseminate a security policy.; Assign to an individual or team the following information security management responsibilities:; Implement a formal security awareness program to make all personnel aware of the cardholder data security policy and procedures.</v>
      </c>
    </row>
    <row r="955" spans="1:2" ht="17" thickBot="1" x14ac:dyDescent="0.25">
      <c r="A955" s="112" t="s">
        <v>2147</v>
      </c>
      <c r="B955" s="63" t="str">
        <f>CONCATENATE(B866,"; ",B870)</f>
        <v>Run internal and external network vulnerability scans at least quarterly and after any significant change in the network (such as new system component installations, changes in network topology, firewall rule modifications, product upgrades). Note: Multiple scan reports can be combined for the quarterly scan process to show that all systems were scanned and all applicable vulnerabilities have been addressed. Additional documentation may be required to verify non-remediated vulnerabilities are in the process of being addressed. For initial PCI DSS compliance, it is not required that four quarters of passing scans be completed if the assessor verifies 1) the most recent scan result was a passing scan, 2) the entity has documented policies and procedures requiring quarterly scanning, and 3) vulnerabilities noted in the scan results have been corrected as shown in a re-scan(s). For subsequent years after the initial PCI DSS review, four quarters of passing scans must have occurred.; Implement a methodology for penetration testing that includes the following: • Is based on industry-accepted penetration testing approaches (for example, NIST SP800-115) • Includes coverage for the entire CDE perimeter and critical systems • Includes testing from both inside and outside the network • Includes testing to validate any segmentation and scope-reduction controls • Defines application-layer penetration tests to include, at a minimum, the vulnerabilities listed in Requirement 6.5 • Defines network-layer penetration tests to include components that support network functions as well as operating systems • Includes review and consideration of threats and vulnerabilities experienced in the last 12 months • Specifies retention of penetration testing results and remediation activities results.</v>
      </c>
    </row>
    <row r="956" spans="1:2" ht="17" thickBot="1" x14ac:dyDescent="0.25">
      <c r="A956" s="113" t="s">
        <v>2148</v>
      </c>
      <c r="B956" s="63" t="str">
        <f>CONCATENATE(B866,"; ",B907)</f>
        <v>Run internal and external network vulnerability scans at least quarterly and after any significant change in the network (such as new system component installations, changes in network topology, firewall rule modifications, product upgrades). Note: Multiple scan reports can be combined for the quarterly scan process to show that all systems were scanned and all applicable vulnerabilities have been addressed. Additional documentation may be required to verify non-remediated vulnerabilities are in the process of being addressed. For initial PCI DSS compliance, it is not required that four quarters of passing scans be completed if the assessor verifies 1) the most recent scan result was a passing scan, 2) the entity has documented policies and procedures requiring quarterly scanning, and 3) vulnerabilities noted in the scan results have been corrected as shown in a re-scan(s). For subsequent years after the initial PCI DSS review, four quarters of passing scans must have occurred.; Maintain and implement policies and procedures to manage service providers, with whom cardholder data is shared, or that could affect the security of cardholder data, as follows</v>
      </c>
    </row>
    <row r="957" spans="1:2" ht="30" x14ac:dyDescent="0.2">
      <c r="A957" s="110" t="s">
        <v>2149</v>
      </c>
      <c r="B957" s="63" t="str">
        <f>CONCATENATE(B914,"; ",B827)</f>
        <v>Implement an incident response plan. Be prepared to respond immediately to a system breach.; Track and monitor all access to network resources and cardholder data</v>
      </c>
    </row>
    <row r="958" spans="1:2" x14ac:dyDescent="0.2">
      <c r="B958" s="6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Y268"/>
  <sheetViews>
    <sheetView zoomScale="90" zoomScaleNormal="90" workbookViewId="0">
      <pane ySplit="1" topLeftCell="A148" activePane="bottomLeft" state="frozen"/>
      <selection activeCell="A956" sqref="A956"/>
      <selection pane="bottomLeft" activeCell="I155" sqref="I155"/>
    </sheetView>
  </sheetViews>
  <sheetFormatPr baseColWidth="10" defaultColWidth="8.625" defaultRowHeight="14" x14ac:dyDescent="0.2"/>
  <cols>
    <col min="1" max="1" width="6" style="71" customWidth="1"/>
    <col min="2" max="2" width="8.625" style="71"/>
    <col min="3" max="3" width="28.5" style="71" customWidth="1"/>
    <col min="4" max="4" width="6.25" style="71" customWidth="1"/>
    <col min="5" max="5" width="6.125" style="71" customWidth="1"/>
    <col min="6" max="6" width="8.625" style="71"/>
    <col min="7" max="7" width="4.125" style="71" customWidth="1"/>
    <col min="8" max="8" width="5.125" style="71" customWidth="1"/>
    <col min="9" max="9" width="3.75" style="71" customWidth="1"/>
    <col min="10" max="10" width="3" style="71" customWidth="1"/>
    <col min="11" max="13" width="9.25" style="71" customWidth="1"/>
    <col min="14" max="14" width="12.125" style="71" customWidth="1"/>
    <col min="15" max="16" width="9.25" style="71" customWidth="1"/>
    <col min="17" max="17" width="11.75" style="71" customWidth="1"/>
    <col min="18" max="18" width="12.25" style="71" bestFit="1" customWidth="1"/>
    <col min="19" max="19" width="12.25" style="71" customWidth="1"/>
    <col min="20" max="25" width="9.75" style="71" customWidth="1"/>
    <col min="26" max="16384" width="8.625" style="71"/>
  </cols>
  <sheetData>
    <row r="1" spans="1:25" ht="76" thickBot="1" x14ac:dyDescent="0.2">
      <c r="A1" s="71" t="s">
        <v>2084</v>
      </c>
      <c r="B1" s="71" t="s">
        <v>2026</v>
      </c>
      <c r="C1" s="71" t="s">
        <v>2027</v>
      </c>
      <c r="D1" s="71" t="s">
        <v>2028</v>
      </c>
      <c r="E1" s="71" t="s">
        <v>2029</v>
      </c>
      <c r="F1" s="71" t="s">
        <v>2047</v>
      </c>
      <c r="G1" s="71" t="s">
        <v>2048</v>
      </c>
      <c r="H1" s="71" t="s">
        <v>2049</v>
      </c>
      <c r="I1" s="71" t="s">
        <v>2050</v>
      </c>
      <c r="J1" s="71" t="s">
        <v>2057</v>
      </c>
      <c r="K1" s="71" t="s">
        <v>2058</v>
      </c>
      <c r="L1" s="71" t="s">
        <v>2053</v>
      </c>
      <c r="M1" s="73" t="s">
        <v>2085</v>
      </c>
      <c r="N1" s="73" t="s">
        <v>563</v>
      </c>
      <c r="O1" s="74" t="s">
        <v>2086</v>
      </c>
      <c r="P1" s="75" t="s">
        <v>566</v>
      </c>
      <c r="Q1" s="74" t="s">
        <v>565</v>
      </c>
      <c r="R1" s="74" t="s">
        <v>564</v>
      </c>
      <c r="S1" s="74" t="s">
        <v>2046</v>
      </c>
      <c r="T1" s="76"/>
      <c r="U1" s="76" t="s">
        <v>2051</v>
      </c>
      <c r="V1" s="76" t="s">
        <v>2052</v>
      </c>
      <c r="W1" s="76" t="s">
        <v>2053</v>
      </c>
      <c r="X1" s="76" t="s">
        <v>2054</v>
      </c>
      <c r="Y1" s="76" t="s">
        <v>2055</v>
      </c>
    </row>
    <row r="2" spans="1:25" ht="61" thickBot="1" x14ac:dyDescent="0.2">
      <c r="A2" s="71">
        <v>1</v>
      </c>
      <c r="B2" s="77" t="s">
        <v>165</v>
      </c>
      <c r="C2" s="78" t="str">
        <f>VLOOKUP(B2,'HECVAT - Full'!A:E,2,FALSE)</f>
        <v>Does your product process protected health information (PHI) or any data covered by the Health Insurance Portability and Accountability Act?</v>
      </c>
      <c r="D2" s="71">
        <f>VLOOKUP(B2,'HECVAT - Full'!A:E,4,FALSE)</f>
        <v>0</v>
      </c>
      <c r="E2" s="79" t="b">
        <v>1</v>
      </c>
      <c r="F2" s="80" t="s">
        <v>12</v>
      </c>
      <c r="G2" s="80" t="s">
        <v>17</v>
      </c>
      <c r="H2" s="81">
        <v>1</v>
      </c>
      <c r="I2" s="71">
        <f>VLOOKUP(B2,'HECVAT - Full'!A:E,3,FALSE)</f>
        <v>0</v>
      </c>
      <c r="J2" s="71">
        <v>1</v>
      </c>
      <c r="K2" s="71">
        <f>IF(Table1[[#This Row],[Column8]]=1,10,"")</f>
        <v>10</v>
      </c>
      <c r="L2" s="71">
        <f>IF(Table1[[#This Row],[Column8]]=1,J2*K2,"")</f>
        <v>10</v>
      </c>
      <c r="M2" s="72" t="str">
        <f>VLOOKUP($B2,'Standards Crosswalk'!$A:$H,3,FALSE)</f>
        <v>CSC 13</v>
      </c>
      <c r="N2" s="72" t="str">
        <f>VLOOKUP($B2,'Standards Crosswalk'!$A:$H,4,FALSE)</f>
        <v>Discovery</v>
      </c>
      <c r="O2" s="72" t="str">
        <f>VLOOKUP($B2,'Standards Crosswalk'!$A:$H,5,FALSE)</f>
        <v>18.1.1</v>
      </c>
      <c r="P2" s="72" t="str">
        <f>VLOOKUP($B2,'Standards Crosswalk'!$A:$H,6,FALSE)</f>
        <v>ID.GV-3</v>
      </c>
      <c r="Q2" s="72" t="str">
        <f>VLOOKUP($B2,'Standards Crosswalk'!$A:$H,7,FALSE)</f>
        <v>ID.GV-3</v>
      </c>
      <c r="R2" s="72" t="str">
        <f>VLOOKUP($B2,'Standards Crosswalk'!$A:$H,8,FALSE)</f>
        <v>RA-2</v>
      </c>
      <c r="S2" s="72">
        <f>VLOOKUP($B2,'Standards Crosswalk'!$A:$I,9,FALSE)</f>
        <v>0</v>
      </c>
      <c r="T2" s="77" t="s">
        <v>18</v>
      </c>
      <c r="U2" s="82">
        <f>COUNTIFS(B:B,"DOCU*",J:J,"=1")</f>
        <v>0</v>
      </c>
      <c r="V2" s="83">
        <f>COUNTIF(B:B,"DOCU*")</f>
        <v>6</v>
      </c>
      <c r="W2" s="83">
        <f>SUMIFS(L:L,B:B, "DOCU*")</f>
        <v>0</v>
      </c>
      <c r="X2" s="83">
        <f>SUMIFS(K:K,B:B, "DOCU*")</f>
        <v>105</v>
      </c>
      <c r="Y2" s="84">
        <f t="shared" ref="Y2:Y14" si="0">W2/X2</f>
        <v>0</v>
      </c>
    </row>
    <row r="3" spans="1:25" ht="46" thickBot="1" x14ac:dyDescent="0.2">
      <c r="A3" s="71">
        <f>A2+1</f>
        <v>2</v>
      </c>
      <c r="B3" s="77" t="s">
        <v>166</v>
      </c>
      <c r="C3" s="78" t="str">
        <f>VLOOKUP(B3,'HECVAT - Full'!A:E,2,FALSE)</f>
        <v>Does the vended product host/support a mobile application? (e.g. app)</v>
      </c>
      <c r="D3" s="71">
        <f>VLOOKUP(B3,'HECVAT - Full'!A:E,4,FALSE)</f>
        <v>0</v>
      </c>
      <c r="E3" s="79" t="b">
        <v>0</v>
      </c>
      <c r="F3" s="80" t="s">
        <v>12</v>
      </c>
      <c r="G3" s="80" t="s">
        <v>17</v>
      </c>
      <c r="H3" s="81">
        <v>1</v>
      </c>
      <c r="I3" s="71">
        <f>VLOOKUP(B3,'HECVAT - Full'!A:E,3,FALSE)</f>
        <v>0</v>
      </c>
      <c r="J3" s="71">
        <v>1</v>
      </c>
      <c r="K3" s="71">
        <f>IF(Table1[[#This Row],[Column8]]=1,10,"")</f>
        <v>10</v>
      </c>
      <c r="L3" s="71">
        <f>IF(Table1[[#This Row],[Column8]]=1,J3*K3,"")</f>
        <v>10</v>
      </c>
      <c r="M3" s="72" t="str">
        <f>VLOOKUP($B3,'Standards Crosswalk'!$A:$H,3,FALSE)</f>
        <v>CSC 18</v>
      </c>
      <c r="N3" s="72">
        <f>VLOOKUP($B3,'Standards Crosswalk'!$A:$H,4,FALSE)</f>
        <v>0</v>
      </c>
      <c r="O3" s="72">
        <f>VLOOKUP($B3,'Standards Crosswalk'!$A:$H,5,FALSE)</f>
        <v>0</v>
      </c>
      <c r="P3" s="72">
        <f>VLOOKUP($B3,'Standards Crosswalk'!$A:$H,6,FALSE)</f>
        <v>0</v>
      </c>
      <c r="Q3" s="72">
        <f>VLOOKUP($B3,'Standards Crosswalk'!$A:$H,7,FALSE)</f>
        <v>0</v>
      </c>
      <c r="R3" s="72" t="str">
        <f>VLOOKUP($B3,'Standards Crosswalk'!$A:$H,8,FALSE)</f>
        <v>IA-2, IA-3, CM-3, SI-2</v>
      </c>
      <c r="S3" s="72">
        <f>VLOOKUP($B3,'Standards Crosswalk'!$A:$I,9,FALSE)</f>
        <v>0</v>
      </c>
      <c r="T3" s="77" t="s">
        <v>2056</v>
      </c>
      <c r="U3" s="85">
        <f>COUNTIFS(B:B,"APPL*",J:J,"=1")</f>
        <v>0</v>
      </c>
      <c r="V3" s="83">
        <f>COUNTIF(B:B,"APPL*")</f>
        <v>17</v>
      </c>
      <c r="W3" s="83">
        <f>SUMIFS(L:L,B:B, "APPL*")</f>
        <v>0</v>
      </c>
      <c r="X3" s="83">
        <f>SUMIFS(K:K,B:B, "APPL*")</f>
        <v>375</v>
      </c>
      <c r="Y3" s="84">
        <f t="shared" si="0"/>
        <v>0</v>
      </c>
    </row>
    <row r="4" spans="1:25" ht="76" thickBot="1" x14ac:dyDescent="0.2">
      <c r="A4" s="71">
        <f t="shared" ref="A4:A67" si="1">A3+1</f>
        <v>3</v>
      </c>
      <c r="B4" s="77" t="s">
        <v>167</v>
      </c>
      <c r="C4" s="78" t="str">
        <f>VLOOKUP(B4,'HECVAT - Full'!A:E,2,FALSE)</f>
        <v>Will institution data be shared with or hosted by any third parties? (e.g. any entity not wholly-owned by your company is considered a third-party)</v>
      </c>
      <c r="D4" s="71">
        <f>VLOOKUP(B4,'HECVAT - Full'!A:E,4,FALSE)</f>
        <v>0</v>
      </c>
      <c r="E4" s="79" t="b">
        <v>1</v>
      </c>
      <c r="F4" s="80" t="s">
        <v>12</v>
      </c>
      <c r="G4" s="80" t="s">
        <v>21</v>
      </c>
      <c r="H4" s="81">
        <v>1</v>
      </c>
      <c r="I4" s="71">
        <f>VLOOKUP(B4,'HECVAT - Full'!A:E,3,FALSE)</f>
        <v>0</v>
      </c>
      <c r="J4" s="71">
        <v>1</v>
      </c>
      <c r="K4" s="71">
        <f>IF(Table1[[#This Row],[Column8]]=1,10,"")</f>
        <v>10</v>
      </c>
      <c r="L4" s="71">
        <f>IF(Table1[[#This Row],[Column8]]=1,J4*K4,"")</f>
        <v>10</v>
      </c>
      <c r="M4" s="72" t="str">
        <f>VLOOKUP($B4,'Standards Crosswalk'!$A:$H,3,FALSE)</f>
        <v>CSC 13</v>
      </c>
      <c r="N4" s="72">
        <f>VLOOKUP($B4,'Standards Crosswalk'!$A:$H,4,FALSE)</f>
        <v>0</v>
      </c>
      <c r="O4" s="72">
        <f>VLOOKUP($B4,'Standards Crosswalk'!$A:$H,5,FALSE)</f>
        <v>0</v>
      </c>
      <c r="P4" s="72" t="str">
        <f>VLOOKUP($B4,'Standards Crosswalk'!$A:$H,6,FALSE)</f>
        <v>ID.AM-6, PR.AT-3</v>
      </c>
      <c r="Q4" s="72" t="str">
        <f>VLOOKUP($B4,'Standards Crosswalk'!$A:$H,7,FALSE)</f>
        <v>ID.AM-6, PR.AT-3</v>
      </c>
      <c r="R4" s="72">
        <f>VLOOKUP($B4,'Standards Crosswalk'!$A:$H,8,FALSE)</f>
        <v>0</v>
      </c>
      <c r="S4" s="72">
        <f>VLOOKUP($B4,'Standards Crosswalk'!$A:$I,9,FALSE)</f>
        <v>12.8</v>
      </c>
      <c r="T4" s="77" t="s">
        <v>2031</v>
      </c>
      <c r="U4" s="85">
        <f>COUNTIFS(B:B,"AAAI*",J:J,"=1")</f>
        <v>0</v>
      </c>
      <c r="V4" s="83">
        <f>COUNTIF(B:B,"AAAI*")</f>
        <v>17</v>
      </c>
      <c r="W4" s="83">
        <f>SUMIFS(L:L,B:B, "AAAI*")</f>
        <v>0</v>
      </c>
      <c r="X4" s="83">
        <f>SUMIFS(K:K,B:B, "AAAI*")</f>
        <v>365</v>
      </c>
      <c r="Y4" s="84">
        <f t="shared" si="0"/>
        <v>0</v>
      </c>
    </row>
    <row r="5" spans="1:25" ht="46" thickBot="1" x14ac:dyDescent="0.2">
      <c r="A5" s="71">
        <f t="shared" si="1"/>
        <v>4</v>
      </c>
      <c r="B5" s="77" t="s">
        <v>168</v>
      </c>
      <c r="C5" s="78" t="str">
        <f>VLOOKUP(B5,'HECVAT - Full'!A:E,2,FALSE)</f>
        <v>Do you have a Business Continuity Plan (BCP)?</v>
      </c>
      <c r="D5" s="71">
        <f>VLOOKUP(B5,'HECVAT - Full'!A:E,4,FALSE)</f>
        <v>0</v>
      </c>
      <c r="E5" s="79" t="b">
        <v>1</v>
      </c>
      <c r="F5" s="80" t="s">
        <v>12</v>
      </c>
      <c r="G5" s="80" t="s">
        <v>17</v>
      </c>
      <c r="H5" s="81">
        <v>1</v>
      </c>
      <c r="I5" s="71">
        <f>VLOOKUP(B5,'HECVAT - Full'!A:E,3,FALSE)</f>
        <v>0</v>
      </c>
      <c r="J5" s="71">
        <v>1</v>
      </c>
      <c r="K5" s="71">
        <f>IF(Table1[[#This Row],[Column8]]=1,10,"")</f>
        <v>10</v>
      </c>
      <c r="L5" s="71">
        <f>IF(Table1[[#This Row],[Column8]]=1,J5*K5,"")</f>
        <v>10</v>
      </c>
      <c r="M5" s="72" t="str">
        <f>VLOOKUP($B5,'Standards Crosswalk'!$A:$H,3,FALSE)</f>
        <v>CSC 10</v>
      </c>
      <c r="N5" s="72">
        <f>VLOOKUP($B5,'Standards Crosswalk'!$A:$H,4,FALSE)</f>
        <v>0</v>
      </c>
      <c r="O5" s="72" t="str">
        <f>VLOOKUP($B5,'Standards Crosswalk'!$A:$H,5,FALSE)</f>
        <v>17.1.2</v>
      </c>
      <c r="P5" s="72" t="str">
        <f>VLOOKUP($B5,'Standards Crosswalk'!$A:$H,6,FALSE)</f>
        <v>PR.IP-9</v>
      </c>
      <c r="Q5" s="72" t="str">
        <f>VLOOKUP($B5,'Standards Crosswalk'!$A:$H,7,FALSE)</f>
        <v>PR.IP-9</v>
      </c>
      <c r="R5" s="72" t="str">
        <f>VLOOKUP($B5,'Standards Crosswalk'!$A:$H,8,FALSE)</f>
        <v>AU-7, AU-9, IR-4</v>
      </c>
      <c r="S5" s="72">
        <f>VLOOKUP($B5,'Standards Crosswalk'!$A:$I,9,FALSE)</f>
        <v>12.1</v>
      </c>
      <c r="T5" s="86" t="s">
        <v>2033</v>
      </c>
      <c r="U5" s="85">
        <f>COUNTIFS(B:B,"CHNG*",J:J,"=1")</f>
        <v>0</v>
      </c>
      <c r="V5" s="83">
        <f>COUNTIF(B:B,"CHNG*")</f>
        <v>15</v>
      </c>
      <c r="W5" s="83">
        <f>SUMIFS(L:L,B:B, "CHNG*")</f>
        <v>0</v>
      </c>
      <c r="X5" s="83">
        <f>SUMIFS(K:K,B:B, "CHNG*")</f>
        <v>275</v>
      </c>
      <c r="Y5" s="84">
        <f t="shared" si="0"/>
        <v>0</v>
      </c>
    </row>
    <row r="6" spans="1:25" ht="16" thickBot="1" x14ac:dyDescent="0.2">
      <c r="A6" s="118"/>
      <c r="B6" s="119"/>
      <c r="C6" s="120"/>
      <c r="D6" s="118"/>
      <c r="E6" s="121"/>
      <c r="F6" s="122"/>
      <c r="G6" s="123"/>
      <c r="H6" s="124"/>
      <c r="I6" s="118"/>
      <c r="J6" s="118"/>
      <c r="K6" s="118"/>
      <c r="L6" s="118"/>
      <c r="M6" s="125"/>
      <c r="N6" s="125">
        <f>VLOOKUP($B7,'Standards Crosswalk'!$A:$H,4,FALSE)</f>
        <v>0</v>
      </c>
      <c r="O6" s="125"/>
      <c r="P6" s="125"/>
      <c r="Q6" s="125"/>
      <c r="R6" s="125"/>
      <c r="S6" s="125"/>
      <c r="T6" s="97" t="s">
        <v>2560</v>
      </c>
      <c r="U6" s="85">
        <f>COUNTIFS(B:B,"COMP*",J:J,"=1")</f>
        <v>0</v>
      </c>
      <c r="V6" s="83">
        <f>COUNTIF(B:B,"COMP*")</f>
        <v>7</v>
      </c>
      <c r="W6" s="83">
        <f>SUMIFS(L:L,B:B, "COMP*")</f>
        <v>0</v>
      </c>
      <c r="X6" s="83">
        <f>SUMIFS(K:K,B:B, "COMP*")</f>
        <v>120</v>
      </c>
      <c r="Y6" s="84">
        <f t="shared" ref="Y6" si="2">W6/X6</f>
        <v>0</v>
      </c>
    </row>
    <row r="7" spans="1:25" ht="31" thickBot="1" x14ac:dyDescent="0.2">
      <c r="A7" s="71">
        <f>A5+1</f>
        <v>5</v>
      </c>
      <c r="B7" s="77" t="s">
        <v>169</v>
      </c>
      <c r="C7" s="78" t="str">
        <f>VLOOKUP(B7,'HECVAT - Full'!A:E,2,FALSE)</f>
        <v>Do you have a Disaster Recovery Plan (DRP)?</v>
      </c>
      <c r="D7" s="71">
        <f>VLOOKUP(B7,'HECVAT - Full'!A:E,4,FALSE)</f>
        <v>0</v>
      </c>
      <c r="E7" s="79" t="b">
        <v>1</v>
      </c>
      <c r="F7" s="80" t="s">
        <v>12</v>
      </c>
      <c r="G7" s="80" t="s">
        <v>17</v>
      </c>
      <c r="H7" s="81">
        <v>1</v>
      </c>
      <c r="I7" s="71">
        <f>VLOOKUP(B7,'HECVAT - Full'!A:E,3,FALSE)</f>
        <v>0</v>
      </c>
      <c r="J7" s="71">
        <v>1</v>
      </c>
      <c r="K7" s="71">
        <f>IF(Table1[[#This Row],[Column8]]=1,10,"")</f>
        <v>10</v>
      </c>
      <c r="L7" s="71">
        <f>IF(Table1[[#This Row],[Column8]]=1,J7*K7,"")</f>
        <v>10</v>
      </c>
      <c r="M7" s="72" t="str">
        <f>VLOOKUP($B7,'Standards Crosswalk'!$A:$H,3,FALSE)</f>
        <v>CSC 10</v>
      </c>
      <c r="N7" s="72">
        <f>VLOOKUP($B7,'Standards Crosswalk'!$A:$H,4,FALSE)</f>
        <v>0</v>
      </c>
      <c r="O7" s="72" t="str">
        <f>VLOOKUP($B7,'Standards Crosswalk'!$A:$H,5,FALSE)</f>
        <v>17.1.2</v>
      </c>
      <c r="P7" s="72" t="str">
        <f>VLOOKUP($B7,'Standards Crosswalk'!$A:$H,6,FALSE)</f>
        <v>PR.IP-9</v>
      </c>
      <c r="Q7" s="72" t="str">
        <f>VLOOKUP($B7,'Standards Crosswalk'!$A:$H,7,FALSE)</f>
        <v>PR.IP-9</v>
      </c>
      <c r="R7" s="72" t="str">
        <f>VLOOKUP($B7,'Standards Crosswalk'!$A:$H,8,FALSE)</f>
        <v>CA-5, PL-2</v>
      </c>
      <c r="S7" s="72">
        <f>VLOOKUP($B7,'Standards Crosswalk'!$A:$I,9,FALSE)</f>
        <v>12.1</v>
      </c>
      <c r="T7" s="77" t="s">
        <v>2034</v>
      </c>
      <c r="U7" s="87">
        <f>COUNTIFS(B:B,"DATA*",J:J,"=1")</f>
        <v>0</v>
      </c>
      <c r="V7" s="88">
        <f>COUNTIF(B:B,"DATA*")</f>
        <v>27</v>
      </c>
      <c r="W7" s="88">
        <f>SUMIFS(L:L,B:B, "DATA*")</f>
        <v>0</v>
      </c>
      <c r="X7" s="88">
        <f>SUMIFS(K:K,B:B, "DATA*")</f>
        <v>550</v>
      </c>
      <c r="Y7" s="89">
        <f t="shared" si="0"/>
        <v>0</v>
      </c>
    </row>
    <row r="8" spans="1:25" ht="31" thickBot="1" x14ac:dyDescent="0.2">
      <c r="A8" s="71">
        <f t="shared" si="1"/>
        <v>6</v>
      </c>
      <c r="B8" s="77" t="s">
        <v>170</v>
      </c>
      <c r="C8" s="78" t="str">
        <f>VLOOKUP(B8,'HECVAT - Full'!A:E,2,FALSE)</f>
        <v>Will data regulated by PCI DSS reside in the vended product?</v>
      </c>
      <c r="D8" s="71">
        <f>VLOOKUP(B8,'HECVAT - Full'!A:E,4,FALSE)</f>
        <v>0</v>
      </c>
      <c r="E8" s="79" t="b">
        <v>1</v>
      </c>
      <c r="F8" s="80" t="s">
        <v>12</v>
      </c>
      <c r="G8" s="80" t="s">
        <v>21</v>
      </c>
      <c r="H8" s="81">
        <v>1</v>
      </c>
      <c r="I8" s="71">
        <f>VLOOKUP(B8,'HECVAT - Full'!A:E,3,FALSE)</f>
        <v>0</v>
      </c>
      <c r="J8" s="71">
        <v>1</v>
      </c>
      <c r="K8" s="71">
        <f>IF(Table1[[#This Row],[Column8]]=1,10,"")</f>
        <v>10</v>
      </c>
      <c r="L8" s="71">
        <f>IF(Table1[[#This Row],[Column8]]=1,J8*K8,"")</f>
        <v>10</v>
      </c>
      <c r="M8" s="72" t="str">
        <f>VLOOKUP($B8,'Standards Crosswalk'!$A:$H,3,FALSE)</f>
        <v>CSC 13</v>
      </c>
      <c r="N8" s="72">
        <f>VLOOKUP($B8,'Standards Crosswalk'!$A:$H,4,FALSE)</f>
        <v>0</v>
      </c>
      <c r="O8" s="72" t="str">
        <f>VLOOKUP($B8,'Standards Crosswalk'!$A:$H,5,FALSE)</f>
        <v>18.1.1</v>
      </c>
      <c r="P8" s="72" t="str">
        <f>VLOOKUP($B8,'Standards Crosswalk'!$A:$H,6,FALSE)</f>
        <v>ID.GV-3</v>
      </c>
      <c r="Q8" s="72" t="str">
        <f>VLOOKUP($B8,'Standards Crosswalk'!$A:$H,7,FALSE)</f>
        <v>ID.GV-3</v>
      </c>
      <c r="R8" s="72" t="str">
        <f>VLOOKUP($B8,'Standards Crosswalk'!$A:$H,8,FALSE)</f>
        <v>RA-2</v>
      </c>
      <c r="S8" s="72" t="str">
        <f>VLOOKUP($B8,'Standards Crosswalk'!$A:$I,9,FALSE)</f>
        <v>PCI Scope, Discovery</v>
      </c>
      <c r="T8" s="73" t="s">
        <v>2035</v>
      </c>
      <c r="U8" s="85">
        <f>COUNTIFS(B:B,"DBAS*",J:J,"=1")</f>
        <v>0</v>
      </c>
      <c r="V8" s="83">
        <f>COUNTIF(B:B,"DBAS*")</f>
        <v>2</v>
      </c>
      <c r="W8" s="83">
        <f>SUMIFS(L:L,B:B, "DBAS*")</f>
        <v>0</v>
      </c>
      <c r="X8" s="83">
        <f>SUMIFS(K:K,B:B, "DBAS*")</f>
        <v>50</v>
      </c>
      <c r="Y8" s="84">
        <f t="shared" si="0"/>
        <v>0</v>
      </c>
    </row>
    <row r="9" spans="1:25" ht="46" thickBot="1" x14ac:dyDescent="0.2">
      <c r="A9" s="71">
        <f t="shared" si="1"/>
        <v>7</v>
      </c>
      <c r="B9" s="77" t="s">
        <v>171</v>
      </c>
      <c r="C9" s="78" t="str">
        <f>VLOOKUP(B9,'HECVAT - Full'!A:E,2,FALSE)</f>
        <v>Is your company a consulting firm providing only consultation to the Institution?</v>
      </c>
      <c r="D9" s="71">
        <f>VLOOKUP(B9,'HECVAT - Full'!A:E,4,FALSE)</f>
        <v>0</v>
      </c>
      <c r="E9" s="79" t="b">
        <v>0</v>
      </c>
      <c r="F9" s="80" t="s">
        <v>12</v>
      </c>
      <c r="G9" s="80" t="s">
        <v>17</v>
      </c>
      <c r="H9" s="81">
        <v>1</v>
      </c>
      <c r="I9" s="71">
        <f>VLOOKUP(B9,'HECVAT - Full'!A:E,3,FALSE)</f>
        <v>0</v>
      </c>
      <c r="J9" s="71">
        <v>1</v>
      </c>
      <c r="K9" s="71">
        <f>IF(Table1[[#This Row],[Column8]]=1,10,"")</f>
        <v>10</v>
      </c>
      <c r="L9" s="71">
        <f>IF(Table1[[#This Row],[Column8]]=1,J9*K9,"")</f>
        <v>10</v>
      </c>
      <c r="M9" s="72" t="str">
        <f>VLOOKUP($B9,'Standards Crosswalk'!$A:$H,3,FALSE)</f>
        <v>CSC 14</v>
      </c>
      <c r="N9" s="72">
        <f>VLOOKUP($B9,'Standards Crosswalk'!$A:$H,4,FALSE)</f>
        <v>0</v>
      </c>
      <c r="O9" s="72">
        <f>VLOOKUP($B9,'Standards Crosswalk'!$A:$H,5,FALSE)</f>
        <v>0</v>
      </c>
      <c r="P9" s="72">
        <f>VLOOKUP($B9,'Standards Crosswalk'!$A:$H,6,FALSE)</f>
        <v>0</v>
      </c>
      <c r="Q9" s="72">
        <f>VLOOKUP($B9,'Standards Crosswalk'!$A:$H,7,FALSE)</f>
        <v>0</v>
      </c>
      <c r="R9" s="72">
        <f>VLOOKUP($B9,'Standards Crosswalk'!$A:$H,8,FALSE)</f>
        <v>0</v>
      </c>
      <c r="S9" s="72" t="str">
        <f>VLOOKUP($B9,'Standards Crosswalk'!$A:$I,9,FALSE)</f>
        <v>PCI Scope</v>
      </c>
      <c r="T9" s="73" t="s">
        <v>2036</v>
      </c>
      <c r="U9" s="85">
        <f>COUNTIFS(B:B,"DCTR*",J:J,"=1")</f>
        <v>0</v>
      </c>
      <c r="V9" s="83">
        <f>COUNTIF(B:B,"DCTR*")</f>
        <v>18</v>
      </c>
      <c r="W9" s="83">
        <f>SUMIFS(L:L,B:B, "DCTR*")</f>
        <v>0</v>
      </c>
      <c r="X9" s="83">
        <f>SUMIFS(K:K,B:B, "DCTR*")</f>
        <v>290</v>
      </c>
      <c r="Y9" s="84">
        <f t="shared" si="0"/>
        <v>0</v>
      </c>
    </row>
    <row r="10" spans="1:25" ht="31" thickBot="1" x14ac:dyDescent="0.2">
      <c r="A10" s="71">
        <f t="shared" si="1"/>
        <v>8</v>
      </c>
      <c r="B10" s="77" t="s">
        <v>172</v>
      </c>
      <c r="C10" s="78" t="str">
        <f>VLOOKUP(B10,'HECVAT - Full'!A:E,2,FALSE)</f>
        <v>Have you undergone a SSAE 16 audit?</v>
      </c>
      <c r="D10" s="71">
        <f>VLOOKUP(B10,'HECVAT - Full'!A:E,4,FALSE)</f>
        <v>0</v>
      </c>
      <c r="E10" s="79" t="b">
        <f>IF(Table1[[#This Row],[Column11]]&gt;20,TRUE,FALSE)</f>
        <v>0</v>
      </c>
      <c r="F10" s="79" t="s">
        <v>18</v>
      </c>
      <c r="G10" s="80" t="s">
        <v>17</v>
      </c>
      <c r="H10" s="81">
        <v>1</v>
      </c>
      <c r="I10" s="71">
        <f>VLOOKUP(B10,'HECVAT - Full'!A:E,3,FALSE)</f>
        <v>0</v>
      </c>
      <c r="J10" s="71">
        <f>IF(Table1[[#This Row],[Column7]]=Table1[[#This Row],[Column9]],1,0)</f>
        <v>0</v>
      </c>
      <c r="K10" s="71">
        <f>IF(Table1[[#This Row],[Column8]]=1,15,"")</f>
        <v>15</v>
      </c>
      <c r="L10" s="71">
        <f>IF(Table1[[#This Row],[Column8]]=1,J10*K10,"")</f>
        <v>0</v>
      </c>
      <c r="M10" s="72">
        <f>VLOOKUP($B10,'Standards Crosswalk'!$A:$H,3,FALSE)</f>
        <v>0</v>
      </c>
      <c r="N10" s="72">
        <f>VLOOKUP($B10,'Standards Crosswalk'!$A:$H,4,FALSE)</f>
        <v>0</v>
      </c>
      <c r="O10" s="72" t="str">
        <f>VLOOKUP($B10,'Standards Crosswalk'!$A:$H,5,FALSE)</f>
        <v>15.2.1</v>
      </c>
      <c r="P10" s="72">
        <f>VLOOKUP($B10,'Standards Crosswalk'!$A:$H,6,FALSE)</f>
        <v>0</v>
      </c>
      <c r="Q10" s="72">
        <f>VLOOKUP($B10,'Standards Crosswalk'!$A:$H,7,FALSE)</f>
        <v>0</v>
      </c>
      <c r="R10" s="72" t="str">
        <f>VLOOKUP($B10,'Standards Crosswalk'!$A:$H,8,FALSE)</f>
        <v>SA-9</v>
      </c>
      <c r="S10" s="72">
        <f>VLOOKUP($B10,'Standards Crosswalk'!$A:$I,9,FALSE)</f>
        <v>0</v>
      </c>
      <c r="T10" s="73" t="s">
        <v>2038</v>
      </c>
      <c r="U10" s="85">
        <f>COUNTIFS(B:B,"FIDP*",J:J,"=1")</f>
        <v>0</v>
      </c>
      <c r="V10" s="83">
        <f>COUNTIF(B:B,"FIDP*")</f>
        <v>12</v>
      </c>
      <c r="W10" s="83">
        <f>SUMIFS(L:L,B:B, "FIDP*")</f>
        <v>0</v>
      </c>
      <c r="X10" s="83">
        <f>SUMIFS(K:K,B:B, "FIDP*")</f>
        <v>245</v>
      </c>
      <c r="Y10" s="84">
        <f t="shared" si="0"/>
        <v>0</v>
      </c>
    </row>
    <row r="11" spans="1:25" ht="46" thickBot="1" x14ac:dyDescent="0.2">
      <c r="A11" s="71">
        <f t="shared" si="1"/>
        <v>9</v>
      </c>
      <c r="B11" s="77" t="s">
        <v>173</v>
      </c>
      <c r="C11" s="78" t="str">
        <f>VLOOKUP(B11,'HECVAT - Full'!A:E,2,FALSE)</f>
        <v>Have you completed the Cloud Security Alliance (CSA) self assessment or CAIQ?</v>
      </c>
      <c r="D11" s="71">
        <f>VLOOKUP(B11,'HECVAT - Full'!A:E,4,FALSE)</f>
        <v>0</v>
      </c>
      <c r="E11" s="79" t="b">
        <f>IF(Table1[[#This Row],[Column11]]&gt;20,TRUE,FALSE)</f>
        <v>0</v>
      </c>
      <c r="F11" s="79" t="s">
        <v>18</v>
      </c>
      <c r="G11" s="80" t="s">
        <v>17</v>
      </c>
      <c r="H11" s="81">
        <v>1</v>
      </c>
      <c r="I11" s="71">
        <f>VLOOKUP(B11,'HECVAT - Full'!A:E,3,FALSE)</f>
        <v>0</v>
      </c>
      <c r="J11" s="71">
        <f>IF(Table1[[#This Row],[Column7]]=Table1[[#This Row],[Column9]],1,0)</f>
        <v>0</v>
      </c>
      <c r="K11" s="71">
        <f>IF(Table1[[#This Row],[Column8]]=1,10,"")</f>
        <v>10</v>
      </c>
      <c r="L11" s="71">
        <f>IF(Table1[[#This Row],[Column8]]=1,J11*K11,"")</f>
        <v>0</v>
      </c>
      <c r="M11" s="72">
        <f>VLOOKUP($B11,'Standards Crosswalk'!$A:$H,3,FALSE)</f>
        <v>0</v>
      </c>
      <c r="N11" s="72">
        <f>VLOOKUP($B11,'Standards Crosswalk'!$A:$H,4,FALSE)</f>
        <v>0</v>
      </c>
      <c r="O11" s="72" t="str">
        <f>VLOOKUP($B11,'Standards Crosswalk'!$A:$H,5,FALSE)</f>
        <v>15.2.1</v>
      </c>
      <c r="P11" s="72">
        <f>VLOOKUP($B11,'Standards Crosswalk'!$A:$H,6,FALSE)</f>
        <v>0</v>
      </c>
      <c r="Q11" s="72">
        <f>VLOOKUP($B11,'Standards Crosswalk'!$A:$H,7,FALSE)</f>
        <v>0</v>
      </c>
      <c r="R11" s="72" t="str">
        <f>VLOOKUP($B11,'Standards Crosswalk'!$A:$H,8,FALSE)</f>
        <v>PE-2, PE-3, PE-5, PE-11, PE-13, PE-14, SA-9</v>
      </c>
      <c r="S11" s="72">
        <f>VLOOKUP($B11,'Standards Crosswalk'!$A:$I,9,FALSE)</f>
        <v>0</v>
      </c>
      <c r="T11" s="73" t="s">
        <v>2040</v>
      </c>
      <c r="U11" s="85">
        <f>COUNTIFS(B:B,"PHYS*",J:J,"=1")</f>
        <v>0</v>
      </c>
      <c r="V11" s="83">
        <f>COUNTIF(B:B,"PHYS*")</f>
        <v>5</v>
      </c>
      <c r="W11" s="83">
        <f>SUMIFS(L:L,B:B, "PHYS*")</f>
        <v>0</v>
      </c>
      <c r="X11" s="83">
        <f>SUMIFS(K:K,B:B, "PHYS*")</f>
        <v>100</v>
      </c>
      <c r="Y11" s="84">
        <f t="shared" si="0"/>
        <v>0</v>
      </c>
    </row>
    <row r="12" spans="1:25" ht="46" thickBot="1" x14ac:dyDescent="0.2">
      <c r="A12" s="71">
        <f t="shared" si="1"/>
        <v>10</v>
      </c>
      <c r="B12" s="77" t="s">
        <v>174</v>
      </c>
      <c r="C12" s="78" t="str">
        <f>VLOOKUP(B12,'HECVAT - Full'!A:E,2,FALSE)</f>
        <v>Have you received the Cloud Security Alliance STAR certification?</v>
      </c>
      <c r="D12" s="71">
        <f>VLOOKUP(B12,'HECVAT - Full'!A:E,4,FALSE)</f>
        <v>0</v>
      </c>
      <c r="E12" s="79" t="b">
        <f>IF(Table1[[#This Row],[Column11]]&gt;20,TRUE,FALSE)</f>
        <v>0</v>
      </c>
      <c r="F12" s="79" t="s">
        <v>18</v>
      </c>
      <c r="G12" s="80" t="s">
        <v>17</v>
      </c>
      <c r="H12" s="81">
        <v>1</v>
      </c>
      <c r="I12" s="71">
        <f>VLOOKUP(B12,'HECVAT - Full'!A:E,3,FALSE)</f>
        <v>0</v>
      </c>
      <c r="J12" s="71">
        <f>IF(Table1[[#This Row],[Column7]]=Table1[[#This Row],[Column9]],1,0)</f>
        <v>0</v>
      </c>
      <c r="K12" s="71">
        <f>IF(Table1[[#This Row],[Column8]]=1,15,"")</f>
        <v>15</v>
      </c>
      <c r="L12" s="71">
        <f>IF(Table1[[#This Row],[Column8]]=1,J12*K12,"")</f>
        <v>0</v>
      </c>
      <c r="M12" s="72">
        <f>VLOOKUP($B12,'Standards Crosswalk'!$A:$H,3,FALSE)</f>
        <v>0</v>
      </c>
      <c r="N12" s="72">
        <f>VLOOKUP($B12,'Standards Crosswalk'!$A:$H,4,FALSE)</f>
        <v>0</v>
      </c>
      <c r="O12" s="72" t="str">
        <f>VLOOKUP($B12,'Standards Crosswalk'!$A:$H,5,FALSE)</f>
        <v>15.2.1</v>
      </c>
      <c r="P12" s="72">
        <f>VLOOKUP($B12,'Standards Crosswalk'!$A:$H,6,FALSE)</f>
        <v>0</v>
      </c>
      <c r="Q12" s="72">
        <f>VLOOKUP($B12,'Standards Crosswalk'!$A:$H,7,FALSE)</f>
        <v>0</v>
      </c>
      <c r="R12" s="72" t="str">
        <f>VLOOKUP($B12,'Standards Crosswalk'!$A:$H,8,FALSE)</f>
        <v>PE-2, PE-3, PE-5, PE-11, PE-13, PE-14, SA-9</v>
      </c>
      <c r="S12" s="72">
        <f>VLOOKUP($B12,'Standards Crosswalk'!$A:$I,9,FALSE)</f>
        <v>0</v>
      </c>
      <c r="T12" s="73" t="s">
        <v>2041</v>
      </c>
      <c r="U12" s="85">
        <f>COUNTIFS(B:B,"PPPR*",J:J,"=1")</f>
        <v>0</v>
      </c>
      <c r="V12" s="83">
        <f>COUNTIF(B:B,"PPPR*")</f>
        <v>20</v>
      </c>
      <c r="W12" s="83">
        <f>SUMIFS(L:L,B:B, "PPPR*")</f>
        <v>0</v>
      </c>
      <c r="X12" s="83">
        <f>SUMIFS(K:K,B:B, "PPPR*")</f>
        <v>420</v>
      </c>
      <c r="Y12" s="84">
        <f t="shared" si="0"/>
        <v>0</v>
      </c>
    </row>
    <row r="13" spans="1:25" ht="61" thickBot="1" x14ac:dyDescent="0.2">
      <c r="A13" s="71">
        <f t="shared" si="1"/>
        <v>11</v>
      </c>
      <c r="B13" s="77" t="s">
        <v>175</v>
      </c>
      <c r="C13" s="78" t="str">
        <f>VLOOKUP(B13,'HECVAT - Full'!A:E,2,FALSE)</f>
        <v>Do you conform with a specific industry standard security framework? (e.g. NIST Cybersecurity Framework, ISO 27001, etc.)</v>
      </c>
      <c r="D13" s="71">
        <f>VLOOKUP(B13,'HECVAT - Full'!A:E,4,FALSE)</f>
        <v>0</v>
      </c>
      <c r="E13" s="79" t="b">
        <f>IF(Table1[[#This Row],[Column11]]&gt;20,TRUE,FALSE)</f>
        <v>1</v>
      </c>
      <c r="F13" s="79" t="s">
        <v>18</v>
      </c>
      <c r="G13" s="80" t="s">
        <v>17</v>
      </c>
      <c r="H13" s="81">
        <v>1</v>
      </c>
      <c r="I13" s="71">
        <f>VLOOKUP(B13,'HECVAT - Full'!A:E,3,FALSE)</f>
        <v>0</v>
      </c>
      <c r="J13" s="71">
        <f>IF(Table1[[#This Row],[Column7]]=Table1[[#This Row],[Column9]],1,0)</f>
        <v>0</v>
      </c>
      <c r="K13" s="71">
        <f>IF(Table1[[#This Row],[Column8]]=1,25,"")</f>
        <v>25</v>
      </c>
      <c r="L13" s="71">
        <f>IF(Table1[[#This Row],[Column8]]=1,J13*K13,"")</f>
        <v>0</v>
      </c>
      <c r="M13" s="72">
        <f>VLOOKUP($B13,'Standards Crosswalk'!$A:$H,3,FALSE)</f>
        <v>0</v>
      </c>
      <c r="N13" s="72">
        <f>VLOOKUP($B13,'Standards Crosswalk'!$A:$H,4,FALSE)</f>
        <v>0</v>
      </c>
      <c r="O13" s="72" t="str">
        <f>VLOOKUP($B13,'Standards Crosswalk'!$A:$H,5,FALSE)</f>
        <v>18.1.1</v>
      </c>
      <c r="P13" s="72">
        <f>VLOOKUP($B13,'Standards Crosswalk'!$A:$H,6,FALSE)</f>
        <v>0</v>
      </c>
      <c r="Q13" s="72">
        <f>VLOOKUP($B13,'Standards Crosswalk'!$A:$H,7,FALSE)</f>
        <v>0</v>
      </c>
      <c r="R13" s="72" t="str">
        <f>VLOOKUP($B13,'Standards Crosswalk'!$A:$H,8,FALSE)</f>
        <v>SA-9</v>
      </c>
      <c r="S13" s="72" t="str">
        <f>VLOOKUP($B13,'Standards Crosswalk'!$A:$I,9,FALSE)</f>
        <v>12.1, Scope</v>
      </c>
      <c r="T13" s="73" t="s">
        <v>2044</v>
      </c>
      <c r="U13" s="85">
        <f>COUNTIFS(B:B,"SYST*",J:J,"=1")</f>
        <v>0</v>
      </c>
      <c r="V13" s="83">
        <f>COUNTIF(B:B,"SYST*")</f>
        <v>4</v>
      </c>
      <c r="W13" s="83">
        <f>SUMIFS(L:L,B:B, "SYST*")</f>
        <v>0</v>
      </c>
      <c r="X13" s="83">
        <f>SUMIFS(K:K,B:B, "SYST*")</f>
        <v>70</v>
      </c>
      <c r="Y13" s="84">
        <f t="shared" si="0"/>
        <v>0</v>
      </c>
    </row>
    <row r="14" spans="1:25" ht="31" thickBot="1" x14ac:dyDescent="0.2">
      <c r="A14" s="71">
        <f t="shared" si="1"/>
        <v>12</v>
      </c>
      <c r="B14" s="77" t="s">
        <v>176</v>
      </c>
      <c r="C14" s="78" t="str">
        <f>VLOOKUP(B14,'HECVAT - Full'!A:E,2,FALSE)</f>
        <v>Are you compliant with FISMA standards?</v>
      </c>
      <c r="D14" s="71">
        <f>VLOOKUP(B14,'HECVAT - Full'!A:E,4,FALSE)</f>
        <v>0</v>
      </c>
      <c r="E14" s="79" t="b">
        <f>IF(Table1[[#This Row],[Column11]]&gt;20,TRUE,FALSE)</f>
        <v>0</v>
      </c>
      <c r="F14" s="79" t="s">
        <v>18</v>
      </c>
      <c r="G14" s="80" t="s">
        <v>17</v>
      </c>
      <c r="H14" s="81">
        <v>1</v>
      </c>
      <c r="I14" s="71">
        <f>VLOOKUP(B14,'HECVAT - Full'!A:E,3,FALSE)</f>
        <v>0</v>
      </c>
      <c r="J14" s="71">
        <f>IF(Table1[[#This Row],[Column7]]=Table1[[#This Row],[Column9]],1,0)</f>
        <v>0</v>
      </c>
      <c r="K14" s="71">
        <f>IF(Table1[[#This Row],[Column8]]=1,15,"")</f>
        <v>15</v>
      </c>
      <c r="L14" s="71">
        <f>IF(Table1[[#This Row],[Column8]]=1,J14*K14,"")</f>
        <v>0</v>
      </c>
      <c r="M14" s="72">
        <f>VLOOKUP($B14,'Standards Crosswalk'!$A:$H,3,FALSE)</f>
        <v>0</v>
      </c>
      <c r="N14" s="72">
        <f>VLOOKUP($B14,'Standards Crosswalk'!$A:$H,4,FALSE)</f>
        <v>0</v>
      </c>
      <c r="O14" s="72" t="str">
        <f>VLOOKUP($B14,'Standards Crosswalk'!$A:$H,5,FALSE)</f>
        <v>18.1.1</v>
      </c>
      <c r="P14" s="72">
        <f>VLOOKUP($B14,'Standards Crosswalk'!$A:$H,6,FALSE)</f>
        <v>0</v>
      </c>
      <c r="Q14" s="72">
        <f>VLOOKUP($B14,'Standards Crosswalk'!$A:$H,7,FALSE)</f>
        <v>0</v>
      </c>
      <c r="R14" s="72" t="str">
        <f>VLOOKUP($B14,'Standards Crosswalk'!$A:$H,8,FALSE)</f>
        <v>SA-9</v>
      </c>
      <c r="S14" s="72">
        <f>VLOOKUP($B14,'Standards Crosswalk'!$A:$I,9,FALSE)</f>
        <v>0</v>
      </c>
      <c r="T14" s="90" t="s">
        <v>2045</v>
      </c>
      <c r="U14" s="87">
        <f>COUNTIFS(B:B,"VULN*",J:J,"=1")</f>
        <v>0</v>
      </c>
      <c r="V14" s="88">
        <f>COUNTIF(B:B,"VULN*")</f>
        <v>9</v>
      </c>
      <c r="W14" s="88">
        <f>SUMIFS(L:L,B:B, "VULN*")</f>
        <v>0</v>
      </c>
      <c r="X14" s="88">
        <f>SUMIFS(K:K,B:B, "VULN*")</f>
        <v>170</v>
      </c>
      <c r="Y14" s="89">
        <f t="shared" si="0"/>
        <v>0</v>
      </c>
    </row>
    <row r="15" spans="1:25" ht="31" thickBot="1" x14ac:dyDescent="0.2">
      <c r="A15" s="71">
        <f t="shared" si="1"/>
        <v>13</v>
      </c>
      <c r="B15" s="77" t="s">
        <v>177</v>
      </c>
      <c r="C15" s="78" t="str">
        <f>VLOOKUP(B15,'HECVAT - Full'!A:E,2,FALSE)</f>
        <v>Does your organization have a data privacy policy?</v>
      </c>
      <c r="D15" s="71">
        <f>VLOOKUP(B15,'HECVAT - Full'!A:E,4,FALSE)</f>
        <v>0</v>
      </c>
      <c r="E15" s="79" t="b">
        <f>IF(Table1[[#This Row],[Column11]]&gt;20,TRUE,FALSE)</f>
        <v>1</v>
      </c>
      <c r="F15" s="79" t="s">
        <v>18</v>
      </c>
      <c r="G15" s="80" t="s">
        <v>17</v>
      </c>
      <c r="H15" s="81">
        <v>1</v>
      </c>
      <c r="I15" s="71">
        <f>VLOOKUP(B15,'HECVAT - Full'!A:E,3,FALSE)</f>
        <v>0</v>
      </c>
      <c r="J15" s="71">
        <f>IF(Table1[[#This Row],[Column7]]=Table1[[#This Row],[Column9]],1,0)</f>
        <v>0</v>
      </c>
      <c r="K15" s="71">
        <f>IF(Table1[[#This Row],[Column8]]=1,25,"")</f>
        <v>25</v>
      </c>
      <c r="L15" s="71">
        <f>IF(Table1[[#This Row],[Column8]]=1,J15*K15,"")</f>
        <v>0</v>
      </c>
      <c r="M15" s="72">
        <f>VLOOKUP($B15,'Standards Crosswalk'!$A:$H,3,FALSE)</f>
        <v>0</v>
      </c>
      <c r="N15" s="72" t="str">
        <f>VLOOKUP($B15,'Standards Crosswalk'!$A:$H,4,FALSE)</f>
        <v>§164.308(a)(1)(i)</v>
      </c>
      <c r="O15" s="72" t="str">
        <f>VLOOKUP($B15,'Standards Crosswalk'!$A:$H,5,FALSE)</f>
        <v>18.1.4</v>
      </c>
      <c r="P15" s="72" t="str">
        <f>VLOOKUP($B15,'Standards Crosswalk'!$A:$H,6,FALSE)</f>
        <v>ID.GV-3</v>
      </c>
      <c r="Q15" s="72" t="str">
        <f>VLOOKUP($B15,'Standards Crosswalk'!$A:$H,7,FALSE)</f>
        <v>ID.GV-3</v>
      </c>
      <c r="R15" s="72" t="str">
        <f>VLOOKUP($B15,'Standards Crosswalk'!$A:$H,8,FALSE)</f>
        <v>SA-9</v>
      </c>
      <c r="S15" s="72">
        <f>VLOOKUP($B15,'Standards Crosswalk'!$A:$I,9,FALSE)</f>
        <v>0</v>
      </c>
      <c r="T15" s="71" t="str">
        <f>IF(I2="Yes","HIPAA","")</f>
        <v/>
      </c>
      <c r="U15" s="71" t="str">
        <f>IF(I2="Yes",(COUNTIFS(B:B,"HIPA*",J:J,"=1")),"")</f>
        <v/>
      </c>
      <c r="V15" s="71" t="str">
        <f>IF(I2="Yes",(COUNTIF(B:B,"HIPA*")),"")</f>
        <v/>
      </c>
      <c r="W15" s="71" t="str">
        <f>IF(I2="Yes",(SUMIFS(L:L,B:B, "HIPA*")),"")</f>
        <v/>
      </c>
      <c r="X15" s="71" t="str">
        <f>IF(I2="Yes",(SUMIFS(K:K,B:B, "HIPA*")),"")</f>
        <v/>
      </c>
      <c r="Y15" s="101" t="str">
        <f>IF(I2="Yes",(W15/X15),"")</f>
        <v/>
      </c>
    </row>
    <row r="16" spans="1:25" ht="28.5" customHeight="1" thickBot="1" x14ac:dyDescent="0.2">
      <c r="A16" s="71">
        <f t="shared" si="1"/>
        <v>14</v>
      </c>
      <c r="B16" s="95" t="s">
        <v>184</v>
      </c>
      <c r="C16" s="96" t="str">
        <f>VLOOKUP(B16,'HECVAT - Full'!A:E,2,FALSE)</f>
        <v>Describe how you perform security assessments of third party companies with which you share data (i.e. hosting providers, cloud services, PaaS, IaaS, SaaS, etc.). Provide a summary of your practices that assures that the third party will be subject to the appropriate standards regarding security, service recoverability, and confidentiality.</v>
      </c>
      <c r="D16" s="94">
        <f>VLOOKUP(B16,'HECVAT - Full'!A:E,4,FALSE)</f>
        <v>0</v>
      </c>
      <c r="E16" s="79" t="b">
        <f>IF(Table1[[#This Row],[Column11]]&gt;20,TRUE,FALSE)</f>
        <v>1</v>
      </c>
      <c r="F16" s="97" t="s">
        <v>2090</v>
      </c>
      <c r="G16" s="80" t="s">
        <v>17</v>
      </c>
      <c r="H16" s="81">
        <v>1</v>
      </c>
      <c r="I16" s="94">
        <f>VLOOKUP(B16,'HECVAT - Full'!A:E,3,FALSE)</f>
        <v>0</v>
      </c>
      <c r="J16" s="71">
        <f>IF(VLOOKUP(Table1[[#This Row],[Column2]],'Analyst Report'!$A$41:$G$88,7,FALSE)="Yes",1,0)</f>
        <v>0</v>
      </c>
      <c r="K16" s="71">
        <f>IF(Table1[[#This Row],[Column8]]=1,25,"")</f>
        <v>25</v>
      </c>
      <c r="L16" s="71">
        <f>IF(Table1[[#This Row],[Column8]]=1,J16*K16,"")</f>
        <v>0</v>
      </c>
      <c r="M16" s="100" t="str">
        <f>VLOOKUP($B16,'Standards Crosswalk'!$A:$H,3,FALSE)</f>
        <v>CSC 13</v>
      </c>
      <c r="N16" s="100">
        <f>VLOOKUP($B16,'Standards Crosswalk'!$A:$H,4,FALSE)</f>
        <v>0</v>
      </c>
      <c r="O16" s="100" t="str">
        <f>VLOOKUP($B16,'Standards Crosswalk'!$A:$H,5,FALSE)</f>
        <v>15.1.3</v>
      </c>
      <c r="P16" s="100" t="str">
        <f>VLOOKUP($B16,'Standards Crosswalk'!$A:$H,6,FALSE)</f>
        <v>ID.AM-6, PR-AT-3</v>
      </c>
      <c r="Q16" s="100" t="str">
        <f>VLOOKUP($B16,'Standards Crosswalk'!$A:$H,7,FALSE)</f>
        <v>3.8.2</v>
      </c>
      <c r="R16" s="100" t="str">
        <f>VLOOKUP($B16,'Standards Crosswalk'!$A:$H,8,FALSE)</f>
        <v>MP-2, RA-3</v>
      </c>
      <c r="S16" s="72">
        <f>VLOOKUP($B16,'Standards Crosswalk'!$A:$I,9,FALSE)</f>
        <v>12.8</v>
      </c>
      <c r="T16" s="71" t="str">
        <f>IF(I3="Yes","Mobile App","")</f>
        <v/>
      </c>
      <c r="U16" s="71" t="str">
        <f>IF(I3="Yes",(COUNTIFS(B:B,"MAPP*",J:J,"=1")),"")</f>
        <v/>
      </c>
      <c r="V16" s="71" t="str">
        <f>IF(I3="Yes",(COUNTIF(B:B,"MAPP*")),"")</f>
        <v/>
      </c>
      <c r="W16" s="71" t="str">
        <f>IF(I3="Yes",(SUMIFS(L:L,B:B, "MAPP*")),"")</f>
        <v/>
      </c>
      <c r="X16" s="71" t="str">
        <f>IF(I3="Yes",(SUMIFS(K:K,B:B, "MAPP*")),"")</f>
        <v/>
      </c>
      <c r="Y16" s="101" t="str">
        <f>IF(I3="Yes",(W16/X16),"")</f>
        <v/>
      </c>
    </row>
    <row r="17" spans="1:25" ht="28.5" customHeight="1" thickBot="1" x14ac:dyDescent="0.2">
      <c r="A17" s="71">
        <f t="shared" si="1"/>
        <v>15</v>
      </c>
      <c r="B17" s="95" t="s">
        <v>185</v>
      </c>
      <c r="C17" s="96" t="str">
        <f>VLOOKUP(B17,'HECVAT - Full'!A:E,2,FALSE)</f>
        <v>Provide a brief description for why each of these third parties will have access to institution data.</v>
      </c>
      <c r="D17" s="94">
        <f>VLOOKUP(B17,'HECVAT - Full'!A:E,4,FALSE)</f>
        <v>0</v>
      </c>
      <c r="E17" s="79" t="b">
        <f>IF(Table1[[#This Row],[Column11]]&gt;20,TRUE,FALSE)</f>
        <v>1</v>
      </c>
      <c r="F17" s="97" t="s">
        <v>2090</v>
      </c>
      <c r="G17" s="80" t="s">
        <v>17</v>
      </c>
      <c r="H17" s="81">
        <v>1</v>
      </c>
      <c r="I17" s="94">
        <f>VLOOKUP(B17,'HECVAT - Full'!A:E,3,FALSE)</f>
        <v>0</v>
      </c>
      <c r="J17" s="71">
        <f>IF(VLOOKUP(Table1[[#This Row],[Column2]],'Analyst Report'!$A$41:$G$88,7,FALSE)="Yes",1,0)</f>
        <v>0</v>
      </c>
      <c r="K17" s="71">
        <f>IF(Table1[[#This Row],[Column8]]=1,25,"")</f>
        <v>25</v>
      </c>
      <c r="L17" s="71">
        <f>IF(Table1[[#This Row],[Column8]]=1,J17*K17,"")</f>
        <v>0</v>
      </c>
      <c r="M17" s="100" t="str">
        <f>VLOOKUP($B17,'Standards Crosswalk'!$A:$H,3,FALSE)</f>
        <v>CSC 13</v>
      </c>
      <c r="N17" s="100">
        <f>VLOOKUP($B17,'Standards Crosswalk'!$A:$H,4,FALSE)</f>
        <v>0</v>
      </c>
      <c r="O17" s="100" t="str">
        <f>VLOOKUP($B17,'Standards Crosswalk'!$A:$H,5,FALSE)</f>
        <v>15.1.3</v>
      </c>
      <c r="P17" s="100" t="str">
        <f>VLOOKUP($B17,'Standards Crosswalk'!$A:$H,6,FALSE)</f>
        <v>ID.AM-6, PR-AT-3</v>
      </c>
      <c r="Q17" s="100" t="str">
        <f>VLOOKUP($B17,'Standards Crosswalk'!$A:$H,7,FALSE)</f>
        <v>3.8.2</v>
      </c>
      <c r="R17" s="100">
        <f>VLOOKUP($B17,'Standards Crosswalk'!$A:$H,8,FALSE)</f>
        <v>0</v>
      </c>
      <c r="S17" s="72">
        <f>VLOOKUP($B17,'Standards Crosswalk'!$A:$I,9,FALSE)</f>
        <v>12.8</v>
      </c>
      <c r="T17" s="71" t="str">
        <f>IF(I4="Yes","Third Parties","")</f>
        <v/>
      </c>
      <c r="U17" s="71" t="str">
        <f>IF(I4="Yes",(COUNTIFS(B:B,"THRD*",J:J,"=1")),"")</f>
        <v/>
      </c>
      <c r="V17" s="71" t="str">
        <f>IF(I4="Yes",(COUNTIF(B:B,"THRD*")),"")</f>
        <v/>
      </c>
      <c r="W17" s="71" t="str">
        <f>IF(I4="Yes",(SUMIFS(L:L,B:B, "THRD*")),"")</f>
        <v/>
      </c>
      <c r="X17" s="71" t="str">
        <f>IF(I4="Yes",(SUMIFS(K:K,B:B, "THRD*")),"")</f>
        <v/>
      </c>
      <c r="Y17" s="101" t="str">
        <f>IF(I4="Yes",(W17/X17),"")</f>
        <v/>
      </c>
    </row>
    <row r="18" spans="1:25" ht="15.75" customHeight="1" thickBot="1" x14ac:dyDescent="0.2">
      <c r="A18" s="71">
        <f t="shared" si="1"/>
        <v>16</v>
      </c>
      <c r="B18" s="95" t="s">
        <v>186</v>
      </c>
      <c r="C18" s="96" t="str">
        <f>VLOOKUP(B18,'HECVAT - Full'!A:E,2,FALSE)</f>
        <v>What legal agreements (i.e. contracts) do you have in place with these third parties that address liability in the event of a data breach?</v>
      </c>
      <c r="D18" s="94">
        <f>VLOOKUP(B18,'HECVAT - Full'!A:E,4,FALSE)</f>
        <v>0</v>
      </c>
      <c r="E18" s="79" t="b">
        <f>IF(Table1[[#This Row],[Column11]]&gt;20,TRUE,FALSE)</f>
        <v>1</v>
      </c>
      <c r="F18" s="97" t="s">
        <v>2090</v>
      </c>
      <c r="G18" s="80" t="s">
        <v>17</v>
      </c>
      <c r="H18" s="81">
        <v>1</v>
      </c>
      <c r="I18" s="94">
        <f>VLOOKUP(B18,'HECVAT - Full'!A:E,3,FALSE)</f>
        <v>0</v>
      </c>
      <c r="J18" s="71">
        <f>IF(VLOOKUP(Table1[[#This Row],[Column2]],'Analyst Report'!$A$41:$G$88,7,FALSE)="Yes",1,0)</f>
        <v>0</v>
      </c>
      <c r="K18" s="71">
        <f>IF(Table1[[#This Row],[Column8]]=1,25,"")</f>
        <v>25</v>
      </c>
      <c r="L18" s="71">
        <f>IF(Table1[[#This Row],[Column8]]=1,J18*K18,"")</f>
        <v>0</v>
      </c>
      <c r="M18" s="100" t="str">
        <f>VLOOKUP($B18,'Standards Crosswalk'!$A:$H,3,FALSE)</f>
        <v>CSC 13</v>
      </c>
      <c r="N18" s="100">
        <f>VLOOKUP($B18,'Standards Crosswalk'!$A:$H,4,FALSE)</f>
        <v>0</v>
      </c>
      <c r="O18" s="100" t="str">
        <f>VLOOKUP($B18,'Standards Crosswalk'!$A:$H,5,FALSE)</f>
        <v>15.1.3</v>
      </c>
      <c r="P18" s="100" t="str">
        <f>VLOOKUP($B18,'Standards Crosswalk'!$A:$H,6,FALSE)</f>
        <v>ID.GV-3</v>
      </c>
      <c r="Q18" s="100">
        <f>VLOOKUP($B18,'Standards Crosswalk'!$A:$H,7,FALSE)</f>
        <v>0</v>
      </c>
      <c r="R18" s="100" t="str">
        <f>VLOOKUP($B18,'Standards Crosswalk'!$A:$H,8,FALSE)</f>
        <v>PS-3</v>
      </c>
      <c r="S18" s="72">
        <f>VLOOKUP($B18,'Standards Crosswalk'!$A:$I,9,FALSE)</f>
        <v>12.8</v>
      </c>
      <c r="T18" s="71" t="str">
        <f>IF(I5="Yes","Business Continuity Plan","")</f>
        <v/>
      </c>
      <c r="U18" s="71" t="str">
        <f>IF(I5="Yes",(COUNTIFS(B:B,"BCPL*",J:J,"=1")),"")</f>
        <v/>
      </c>
      <c r="V18" s="71" t="str">
        <f>IF(I5="Yes",(COUNTIF(B:B,"BCPL*")),"")</f>
        <v/>
      </c>
      <c r="W18" s="71" t="str">
        <f>IF(I5="Yes",(SUMIFS(L:L,B:B, "BCPL*")),"")</f>
        <v/>
      </c>
      <c r="X18" s="71" t="str">
        <f>IF(I5="Yes",(SUMIFS(K:K,B:B, "BCPL*")),"")</f>
        <v/>
      </c>
      <c r="Y18" s="101" t="str">
        <f>IF(I5="Yes",(W18/X18),"")</f>
        <v/>
      </c>
    </row>
    <row r="19" spans="1:25" ht="106" thickBot="1" x14ac:dyDescent="0.2">
      <c r="A19" s="71">
        <f t="shared" si="1"/>
        <v>17</v>
      </c>
      <c r="B19" s="95" t="s">
        <v>430</v>
      </c>
      <c r="C19" s="96" t="str">
        <f>VLOOKUP(B19,'HECVAT - Full'!A:E,2,FALSE)</f>
        <v>Describe or provide references to your third party management strategy or provide additional information that may help analysts better understand your environment and how it relates to third-party solutions.</v>
      </c>
      <c r="D19" s="94">
        <f>VLOOKUP(B19,'HECVAT - Full'!A:E,4,FALSE)</f>
        <v>0</v>
      </c>
      <c r="E19" s="79" t="b">
        <f>IF(Table1[[#This Row],[Column11]]&gt;20,TRUE,FALSE)</f>
        <v>1</v>
      </c>
      <c r="F19" s="97" t="s">
        <v>2090</v>
      </c>
      <c r="G19" s="80" t="s">
        <v>17</v>
      </c>
      <c r="H19" s="81">
        <v>1</v>
      </c>
      <c r="I19" s="94">
        <f>VLOOKUP(B19,'HECVAT - Full'!A:E,3,FALSE)</f>
        <v>0</v>
      </c>
      <c r="J19" s="71">
        <f>IF(VLOOKUP(Table1[[#This Row],[Column2]],'Analyst Report'!$A$41:$G$88,7,FALSE)="Yes",1,0)</f>
        <v>0</v>
      </c>
      <c r="K19" s="71">
        <f>IF(Table1[[#This Row],[Column8]]=1,25,"")</f>
        <v>25</v>
      </c>
      <c r="L19" s="71">
        <f>IF(Table1[[#This Row],[Column8]]=1,J19*K19,"")</f>
        <v>0</v>
      </c>
      <c r="M19" s="100">
        <f>VLOOKUP($B19,'Standards Crosswalk'!$A:$H,3,FALSE)</f>
        <v>0</v>
      </c>
      <c r="N19" s="100">
        <f>VLOOKUP($B19,'Standards Crosswalk'!$A:$H,4,FALSE)</f>
        <v>0</v>
      </c>
      <c r="O19" s="100" t="str">
        <f>VLOOKUP($B19,'Standards Crosswalk'!$A:$H,5,FALSE)</f>
        <v>15.1.3</v>
      </c>
      <c r="P19" s="100" t="str">
        <f>VLOOKUP($B19,'Standards Crosswalk'!$A:$H,6,FALSE)</f>
        <v>ID.AM-6, PR.AT-3</v>
      </c>
      <c r="Q19" s="100">
        <f>VLOOKUP($B19,'Standards Crosswalk'!$A:$H,7,FALSE)</f>
        <v>0</v>
      </c>
      <c r="R19" s="100" t="str">
        <f>VLOOKUP($B19,'Standards Crosswalk'!$A:$H,8,FALSE)</f>
        <v>PS-5</v>
      </c>
      <c r="S19" s="72">
        <f>VLOOKUP($B19,'Standards Crosswalk'!$A:$I,9,FALSE)</f>
        <v>12.8</v>
      </c>
      <c r="T19" s="71" t="str">
        <f>IF(I7="Yes","Disaster Recovery Plan","")</f>
        <v/>
      </c>
      <c r="U19" s="71" t="str">
        <f>IF(I7="Yes",(COUNTIFS(B:B,"DRPL*",J:J,"=1")),"")</f>
        <v/>
      </c>
      <c r="V19" s="71" t="str">
        <f>IF(I7="Yes",(COUNTIF(B:B,"DRPL*")),"")</f>
        <v/>
      </c>
      <c r="W19" s="71" t="str">
        <f>IF(I7="Yes",(SUMIFS(L:L,B:B, "DRPL*")),"")</f>
        <v/>
      </c>
      <c r="X19" s="71" t="str">
        <f>IF(I7="Yes",(SUMIFS(K:K,B:B, "DRPL*")),"")</f>
        <v/>
      </c>
      <c r="Y19" s="101" t="str">
        <f t="shared" ref="Y19:Y21" si="3">IF(I7="Yes",(W19/X19),"")</f>
        <v/>
      </c>
    </row>
    <row r="20" spans="1:25" ht="31" thickBot="1" x14ac:dyDescent="0.2">
      <c r="A20" s="71">
        <f t="shared" si="1"/>
        <v>18</v>
      </c>
      <c r="B20" s="95" t="s">
        <v>187</v>
      </c>
      <c r="C20" s="96" t="str">
        <f>VLOOKUP(B20,'HECVAT - Full'!A:E,2,FALSE)</f>
        <v>Will the consulting take place on-premises?</v>
      </c>
      <c r="D20" s="94">
        <f>VLOOKUP(B20,'HECVAT - Full'!A:E,4,FALSE)</f>
        <v>0</v>
      </c>
      <c r="E20" s="79" t="b">
        <f>IF(Table1[[#This Row],[Column11]]&gt;20,TRUE,FALSE)</f>
        <v>0</v>
      </c>
      <c r="F20" s="79" t="s">
        <v>94</v>
      </c>
      <c r="G20" s="98" t="s">
        <v>17</v>
      </c>
      <c r="H20" s="99">
        <v>1</v>
      </c>
      <c r="I20" s="94">
        <f>VLOOKUP(B20,'HECVAT - Full'!A:E,3,FALSE)</f>
        <v>0</v>
      </c>
      <c r="J20" s="71">
        <f>IF(Table1[[#This Row],[Column7]]=Table1[[#This Row],[Column9]],1,0)</f>
        <v>0</v>
      </c>
      <c r="K20" s="71">
        <f>IF(Table1[[#This Row],[Column8]]=1,20,"")</f>
        <v>20</v>
      </c>
      <c r="L20" s="71">
        <f>IF(Table1[[#This Row],[Column8]]=1,J20*K20,"")</f>
        <v>0</v>
      </c>
      <c r="M20" s="72">
        <f>VLOOKUP($B20,'Standards Crosswalk'!$A:$H,3,FALSE)</f>
        <v>0</v>
      </c>
      <c r="N20" s="100">
        <f>VLOOKUP($B20,'Standards Crosswalk'!$A:$H,4,FALSE)</f>
        <v>0</v>
      </c>
      <c r="O20" s="100" t="str">
        <f>VLOOKUP($B20,'Standards Crosswalk'!$A:$H,5,FALSE)</f>
        <v>15.2.1</v>
      </c>
      <c r="P20" s="100" t="str">
        <f>VLOOKUP($B20,'Standards Crosswalk'!$A:$H,6,FALSE)</f>
        <v>ID.AM-6, PR.AT-3</v>
      </c>
      <c r="Q20" s="100">
        <f>VLOOKUP($B20,'Standards Crosswalk'!$A:$H,7,FALSE)</f>
        <v>0</v>
      </c>
      <c r="R20" s="100">
        <f>VLOOKUP($B20,'Standards Crosswalk'!$A:$H,8,FALSE)</f>
        <v>0</v>
      </c>
      <c r="S20" s="72">
        <f>VLOOKUP($B20,'Standards Crosswalk'!$A:$I,9,FALSE)</f>
        <v>0</v>
      </c>
      <c r="T20" s="71" t="str">
        <f>IF(I8="Yes","PCI DSS","")</f>
        <v/>
      </c>
      <c r="U20" s="71" t="str">
        <f>IF(I8="Yes",(COUNTIFS(B:B,"PCID*",J:J,"=1")),"")</f>
        <v/>
      </c>
      <c r="V20" s="71" t="str">
        <f>IF(I8="Yes",(COUNTIF(B:B,"PCID*")),"")</f>
        <v/>
      </c>
      <c r="W20" s="71" t="str">
        <f>IF(I8="Yes",(SUMIFS(L:L,B:B, "PCID*")),"")</f>
        <v/>
      </c>
      <c r="X20" s="71" t="str">
        <f>IF(I8="Yes",(SUMIFS(K:K,B:B, "PCID*")),"")</f>
        <v/>
      </c>
      <c r="Y20" s="101" t="str">
        <f t="shared" si="3"/>
        <v/>
      </c>
    </row>
    <row r="21" spans="1:25" ht="31" thickBot="1" x14ac:dyDescent="0.2">
      <c r="A21" s="71">
        <f t="shared" si="1"/>
        <v>19</v>
      </c>
      <c r="B21" s="77" t="s">
        <v>188</v>
      </c>
      <c r="C21" s="78" t="str">
        <f>VLOOKUP(B21,'HECVAT - Full'!A:E,2,FALSE)</f>
        <v>Will the consultant require access to Institution's network resources?</v>
      </c>
      <c r="D21" s="71">
        <f>VLOOKUP(B21,'HECVAT - Full'!A:E,4,FALSE)</f>
        <v>0</v>
      </c>
      <c r="E21" s="79" t="b">
        <f>IF(Table1[[#This Row],[Column11]]&gt;20,TRUE,FALSE)</f>
        <v>0</v>
      </c>
      <c r="F21" s="79" t="s">
        <v>94</v>
      </c>
      <c r="G21" s="80" t="s">
        <v>21</v>
      </c>
      <c r="H21" s="81">
        <v>1</v>
      </c>
      <c r="I21" s="94">
        <f>VLOOKUP(B21,'HECVAT - Full'!A:E,3,FALSE)</f>
        <v>0</v>
      </c>
      <c r="J21" s="71">
        <f>IF(Table1[[#This Row],[Column7]]=Table1[[#This Row],[Column9]],1,0)</f>
        <v>0</v>
      </c>
      <c r="K21" s="71">
        <f>IF(Table1[[#This Row],[Column8]]=1,20,"")</f>
        <v>20</v>
      </c>
      <c r="L21" s="71">
        <f>IF(Table1[[#This Row],[Column8]]=1,J21*K21,"")</f>
        <v>0</v>
      </c>
      <c r="M21" s="72" t="str">
        <f>VLOOKUP($B21,'Standards Crosswalk'!$A:$H,3,FALSE)</f>
        <v>CSC 14</v>
      </c>
      <c r="N21" s="72">
        <f>VLOOKUP($B21,'Standards Crosswalk'!$A:$H,4,FALSE)</f>
        <v>0</v>
      </c>
      <c r="O21" s="72" t="str">
        <f>VLOOKUP($B21,'Standards Crosswalk'!$A:$H,5,FALSE)</f>
        <v>9.1.2</v>
      </c>
      <c r="P21" s="72" t="str">
        <f>VLOOKUP($B21,'Standards Crosswalk'!$A:$H,6,FALSE)</f>
        <v>ID.AM-6, PR.AT-3</v>
      </c>
      <c r="Q21" s="72" t="str">
        <f>VLOOKUP($B21,'Standards Crosswalk'!$A:$H,7,FALSE)</f>
        <v>3.1.2, 3.1.3</v>
      </c>
      <c r="R21" s="72" t="str">
        <f>VLOOKUP($B21,'Standards Crosswalk'!$A:$H,8,FALSE)</f>
        <v>AC-4</v>
      </c>
      <c r="S21" s="72">
        <f>VLOOKUP($B21,'Standards Crosswalk'!$A:$I,9,FALSE)</f>
        <v>0</v>
      </c>
      <c r="T21" s="71" t="str">
        <f>IF(I9="Yes","Consulting Only","")</f>
        <v/>
      </c>
      <c r="U21" s="71" t="str">
        <f>IF(I9="Yes",(COUNTIFS(B:B,"CONS*",J:J,"=1")),"")</f>
        <v/>
      </c>
      <c r="V21" s="71" t="str">
        <f>IF(I9="Yes",(COUNTIF(B:B,"CONS*")),"")</f>
        <v/>
      </c>
      <c r="W21" s="71" t="str">
        <f>IF(I9="Yes",(SUMIFS(L:L,B:B, "CONS*")),"")</f>
        <v/>
      </c>
      <c r="X21" s="71" t="str">
        <f>IF(I9="Yes",(SUMIFS(K:K,B:B, "CONS*")),"")</f>
        <v/>
      </c>
      <c r="Y21" s="101" t="str">
        <f t="shared" si="3"/>
        <v/>
      </c>
    </row>
    <row r="22" spans="1:25" ht="46" thickBot="1" x14ac:dyDescent="0.2">
      <c r="A22" s="71">
        <f t="shared" si="1"/>
        <v>20</v>
      </c>
      <c r="B22" s="77" t="s">
        <v>189</v>
      </c>
      <c r="C22" s="78" t="str">
        <f>VLOOKUP(B22,'HECVAT - Full'!A:E,2,FALSE)</f>
        <v>Will the consultant require access to hardware in the Institution's data centers?</v>
      </c>
      <c r="D22" s="71">
        <f>VLOOKUP(B22,'HECVAT - Full'!A:E,4,FALSE)</f>
        <v>0</v>
      </c>
      <c r="E22" s="79" t="b">
        <f>IF(Table1[[#This Row],[Column11]]&gt;20,TRUE,FALSE)</f>
        <v>1</v>
      </c>
      <c r="F22" s="79" t="s">
        <v>94</v>
      </c>
      <c r="G22" s="80" t="s">
        <v>21</v>
      </c>
      <c r="H22" s="81">
        <v>1</v>
      </c>
      <c r="I22" s="94">
        <f>VLOOKUP(B22,'HECVAT - Full'!A:E,3,FALSE)</f>
        <v>0</v>
      </c>
      <c r="J22" s="71">
        <f>IF(Table1[[#This Row],[Column7]]=Table1[[#This Row],[Column9]],1,0)</f>
        <v>0</v>
      </c>
      <c r="K22" s="71">
        <f>IF(Table1[[#This Row],[Column8]]=1,25,"")</f>
        <v>25</v>
      </c>
      <c r="L22" s="71">
        <f>IF(Table1[[#This Row],[Column8]]=1,J22*K22,"")</f>
        <v>0</v>
      </c>
      <c r="M22" s="72" t="str">
        <f>VLOOKUP($B22,'Standards Crosswalk'!$A:$H,3,FALSE)</f>
        <v>CSC 14</v>
      </c>
      <c r="N22" s="72">
        <f>VLOOKUP($B22,'Standards Crosswalk'!$A:$H,4,FALSE)</f>
        <v>0</v>
      </c>
      <c r="O22" s="72" t="str">
        <f>VLOOKUP($B22,'Standards Crosswalk'!$A:$H,5,FALSE)</f>
        <v>9.2.6</v>
      </c>
      <c r="P22" s="72" t="str">
        <f>VLOOKUP($B22,'Standards Crosswalk'!$A:$H,6,FALSE)</f>
        <v>ID.AM-6, PR.AT-3</v>
      </c>
      <c r="Q22" s="72" t="str">
        <f>VLOOKUP($B22,'Standards Crosswalk'!$A:$H,7,FALSE)</f>
        <v>3.1.2</v>
      </c>
      <c r="R22" s="72">
        <f>VLOOKUP($B22,'Standards Crosswalk'!$A:$H,8,FALSE)</f>
        <v>0</v>
      </c>
      <c r="S22" s="72">
        <f>VLOOKUP($B22,'Standards Crosswalk'!$A:$I,9,FALSE)</f>
        <v>0</v>
      </c>
      <c r="W22" s="71" t="s">
        <v>2101</v>
      </c>
      <c r="Y22" s="71" t="s">
        <v>2102</v>
      </c>
    </row>
    <row r="23" spans="1:25" ht="46" thickBot="1" x14ac:dyDescent="0.2">
      <c r="A23" s="71">
        <f t="shared" si="1"/>
        <v>21</v>
      </c>
      <c r="B23" s="77" t="s">
        <v>190</v>
      </c>
      <c r="C23" s="78" t="str">
        <f>VLOOKUP(B23,'HECVAT - Full'!A:E,2,FALSE)</f>
        <v>Will the consultant require an account within the Institution's domain (@*.edu)?</v>
      </c>
      <c r="D23" s="71">
        <f>VLOOKUP(B23,'HECVAT - Full'!A:E,4,FALSE)</f>
        <v>0</v>
      </c>
      <c r="E23" s="79" t="b">
        <f>IF(Table1[[#This Row],[Column11]]&gt;20,TRUE,FALSE)</f>
        <v>0</v>
      </c>
      <c r="F23" s="79" t="s">
        <v>94</v>
      </c>
      <c r="G23" s="80" t="s">
        <v>21</v>
      </c>
      <c r="H23" s="81">
        <v>1</v>
      </c>
      <c r="I23" s="94">
        <f>VLOOKUP(B23,'HECVAT - Full'!A:E,3,FALSE)</f>
        <v>0</v>
      </c>
      <c r="J23" s="71">
        <f>IF(Table1[[#This Row],[Column7]]=Table1[[#This Row],[Column9]],1,0)</f>
        <v>0</v>
      </c>
      <c r="K23" s="71">
        <f>IF(Table1[[#This Row],[Column8]]=1,20,"")</f>
        <v>20</v>
      </c>
      <c r="L23" s="71">
        <f>IF(Table1[[#This Row],[Column8]]=1,J23*K23,"")</f>
        <v>0</v>
      </c>
      <c r="M23" s="72" t="str">
        <f>VLOOKUP($B23,'Standards Crosswalk'!$A:$H,3,FALSE)</f>
        <v>CSC 14</v>
      </c>
      <c r="N23" s="72">
        <f>VLOOKUP($B23,'Standards Crosswalk'!$A:$H,4,FALSE)</f>
        <v>0</v>
      </c>
      <c r="O23" s="72">
        <f>VLOOKUP($B23,'Standards Crosswalk'!$A:$H,5,FALSE)</f>
        <v>0</v>
      </c>
      <c r="P23" s="72" t="str">
        <f>VLOOKUP($B23,'Standards Crosswalk'!$A:$H,6,FALSE)</f>
        <v>ID.AM-6, PR.AT-3</v>
      </c>
      <c r="Q23" s="72">
        <f>VLOOKUP($B23,'Standards Crosswalk'!$A:$H,7,FALSE)</f>
        <v>0</v>
      </c>
      <c r="R23" s="72">
        <f>VLOOKUP($B23,'Standards Crosswalk'!$A:$H,8,FALSE)</f>
        <v>0</v>
      </c>
      <c r="S23" s="72">
        <f>VLOOKUP($B23,'Standards Crosswalk'!$A:$I,9,FALSE)</f>
        <v>0</v>
      </c>
      <c r="T23" s="91"/>
      <c r="U23" s="92">
        <f>SUM(U7:U21)</f>
        <v>0</v>
      </c>
      <c r="V23" s="92">
        <f>SUM(V7:V21)</f>
        <v>97</v>
      </c>
      <c r="W23" s="105">
        <f>AVERAGE(Y2:Y21)</f>
        <v>0</v>
      </c>
      <c r="X23" s="91" t="str">
        <f>IF(W23&gt;=0.9,"A",IF(W23&gt;=0.8,"B",IF(W23&gt;=0.7,"C",IF(W23&gt;=0.6,"D","F"))))</f>
        <v>F</v>
      </c>
      <c r="Y23" s="91">
        <f>SUM(W2:W21)</f>
        <v>0</v>
      </c>
    </row>
    <row r="24" spans="1:25" ht="46" thickBot="1" x14ac:dyDescent="0.2">
      <c r="A24" s="71">
        <f t="shared" si="1"/>
        <v>22</v>
      </c>
      <c r="B24" s="77" t="s">
        <v>191</v>
      </c>
      <c r="C24" s="78" t="str">
        <f>VLOOKUP(B24,'HECVAT - Full'!A:E,2,FALSE)</f>
        <v>Has the consultant received training on [sensitive, HIPAA, PCI, etc.] data handling?</v>
      </c>
      <c r="D24" s="71">
        <f>VLOOKUP(B24,'HECVAT - Full'!A:E,4,FALSE)</f>
        <v>0</v>
      </c>
      <c r="E24" s="79" t="b">
        <f>IF(Table1[[#This Row],[Column11]]&gt;20,TRUE,FALSE)</f>
        <v>0</v>
      </c>
      <c r="F24" s="79" t="s">
        <v>94</v>
      </c>
      <c r="G24" s="80" t="s">
        <v>17</v>
      </c>
      <c r="H24" s="81">
        <v>1</v>
      </c>
      <c r="I24" s="94">
        <f>VLOOKUP(B24,'HECVAT - Full'!A:E,3,FALSE)</f>
        <v>0</v>
      </c>
      <c r="J24" s="71">
        <f>IF(Table1[[#This Row],[Column7]]=Table1[[#This Row],[Column9]],1,0)</f>
        <v>0</v>
      </c>
      <c r="K24" s="71">
        <f>IF(Table1[[#This Row],[Column8]]=1,20,"")</f>
        <v>20</v>
      </c>
      <c r="L24" s="71">
        <f>IF(Table1[[#This Row],[Column8]]=1,J24*K24,"")</f>
        <v>0</v>
      </c>
      <c r="M24" s="72" t="str">
        <f>VLOOKUP($B24,'Standards Crosswalk'!$A:$H,3,FALSE)</f>
        <v>CSC 13</v>
      </c>
      <c r="N24" s="72">
        <f>VLOOKUP($B24,'Standards Crosswalk'!$A:$H,4,FALSE)</f>
        <v>0</v>
      </c>
      <c r="O24" s="72" t="str">
        <f>VLOOKUP($B24,'Standards Crosswalk'!$A:$H,5,FALSE)</f>
        <v>18.1.1</v>
      </c>
      <c r="P24" s="72" t="str">
        <f>VLOOKUP($B24,'Standards Crosswalk'!$A:$H,6,FALSE)</f>
        <v>ID.AM-6, PR.AT-3</v>
      </c>
      <c r="Q24" s="72">
        <f>VLOOKUP($B24,'Standards Crosswalk'!$A:$H,7,FALSE)</f>
        <v>0</v>
      </c>
      <c r="R24" s="72">
        <f>VLOOKUP($B24,'Standards Crosswalk'!$A:$H,8,FALSE)</f>
        <v>0</v>
      </c>
      <c r="S24" s="72">
        <f>VLOOKUP($B24,'Standards Crosswalk'!$A:$I,9,FALSE)</f>
        <v>0</v>
      </c>
    </row>
    <row r="25" spans="1:25" ht="31" thickBot="1" x14ac:dyDescent="0.2">
      <c r="A25" s="71">
        <f t="shared" si="1"/>
        <v>23</v>
      </c>
      <c r="B25" s="77" t="s">
        <v>192</v>
      </c>
      <c r="C25" s="78" t="str">
        <f>VLOOKUP(B25,'HECVAT - Full'!A:E,2,FALSE)</f>
        <v>Will any data be transferred to the consultant's possession?</v>
      </c>
      <c r="D25" s="71">
        <f>VLOOKUP(B25,'HECVAT - Full'!A:E,4,FALSE)</f>
        <v>0</v>
      </c>
      <c r="E25" s="79" t="b">
        <f>IF(Table1[[#This Row],[Column11]]&gt;20,TRUE,FALSE)</f>
        <v>1</v>
      </c>
      <c r="F25" s="79" t="s">
        <v>94</v>
      </c>
      <c r="G25" s="80" t="s">
        <v>21</v>
      </c>
      <c r="H25" s="81">
        <v>1</v>
      </c>
      <c r="I25" s="94">
        <f>VLOOKUP(B25,'HECVAT - Full'!A:E,3,FALSE)</f>
        <v>0</v>
      </c>
      <c r="J25" s="71">
        <f>IF(Table1[[#This Row],[Column7]]=Table1[[#This Row],[Column9]],1,0)</f>
        <v>0</v>
      </c>
      <c r="K25" s="71">
        <f>IF(Table1[[#This Row],[Column8]]=1,25,"")</f>
        <v>25</v>
      </c>
      <c r="L25" s="71">
        <f>IF(Table1[[#This Row],[Column8]]=1,J25*K25,"")</f>
        <v>0</v>
      </c>
      <c r="M25" s="72" t="str">
        <f>VLOOKUP($B25,'Standards Crosswalk'!$A:$H,3,FALSE)</f>
        <v>CSC 13</v>
      </c>
      <c r="N25" s="72">
        <f>VLOOKUP($B25,'Standards Crosswalk'!$A:$H,4,FALSE)</f>
        <v>0</v>
      </c>
      <c r="O25" s="72" t="str">
        <f>VLOOKUP($B25,'Standards Crosswalk'!$A:$H,5,FALSE)</f>
        <v>9</v>
      </c>
      <c r="P25" s="72" t="str">
        <f>VLOOKUP($B25,'Standards Crosswalk'!$A:$H,6,FALSE)</f>
        <v>ID.AM-6, PR.AT-3</v>
      </c>
      <c r="Q25" s="72" t="str">
        <f>VLOOKUP($B25,'Standards Crosswalk'!$A:$H,7,FALSE)</f>
        <v>3.8.2</v>
      </c>
      <c r="R25" s="72" t="str">
        <f>VLOOKUP($B25,'Standards Crosswalk'!$A:$H,8,FALSE)</f>
        <v>MP-2</v>
      </c>
      <c r="S25" s="72">
        <f>VLOOKUP($B25,'Standards Crosswalk'!$A:$I,9,FALSE)</f>
        <v>0</v>
      </c>
    </row>
    <row r="26" spans="1:25" ht="31" thickBot="1" x14ac:dyDescent="0.2">
      <c r="A26" s="71">
        <f t="shared" si="1"/>
        <v>24</v>
      </c>
      <c r="B26" s="95" t="s">
        <v>193</v>
      </c>
      <c r="C26" s="78" t="str">
        <f>VLOOKUP(B26,'HECVAT - Full'!A:E,2,FALSE)</f>
        <v>Is it encrypted (at rest) while in the consultant's possession?</v>
      </c>
      <c r="D26" s="71">
        <f>VLOOKUP(B26,'HECVAT - Full'!A:E,4,FALSE)</f>
        <v>0</v>
      </c>
      <c r="E26" s="79" t="b">
        <f>IF(Table1[[#This Row],[Column11]]&gt;20,TRUE,FALSE)</f>
        <v>1</v>
      </c>
      <c r="F26" s="79" t="s">
        <v>94</v>
      </c>
      <c r="G26" s="80" t="s">
        <v>17</v>
      </c>
      <c r="H26" s="81">
        <f>IF(I25="Yes",1,0)</f>
        <v>0</v>
      </c>
      <c r="I26" s="94">
        <f>VLOOKUP(B26,'HECVAT - Full'!A:E,3,FALSE)</f>
        <v>0</v>
      </c>
      <c r="J26" s="71">
        <f>IF(Table1[[#This Row],[Column7]]=Table1[[#This Row],[Column9]],1,0)</f>
        <v>0</v>
      </c>
      <c r="K26" s="71" t="str">
        <f>IF(Table1[[#This Row],[Column8]]=1,25,"")</f>
        <v/>
      </c>
      <c r="L26" s="71" t="str">
        <f>IF(Table1[[#This Row],[Column8]]=1,J26*K26,"")</f>
        <v/>
      </c>
      <c r="M26" s="72" t="str">
        <f>VLOOKUP($B26,'Standards Crosswalk'!$A:$H,3,FALSE)</f>
        <v>CSC 13</v>
      </c>
      <c r="N26" s="72">
        <f>VLOOKUP($B26,'Standards Crosswalk'!$A:$H,4,FALSE)</f>
        <v>0</v>
      </c>
      <c r="O26" s="72" t="str">
        <f>VLOOKUP($B26,'Standards Crosswalk'!$A:$H,5,FALSE)</f>
        <v>10</v>
      </c>
      <c r="P26" s="72" t="str">
        <f>VLOOKUP($B26,'Standards Crosswalk'!$A:$H,6,FALSE)</f>
        <v>ID.AM-6, PR.AT-3</v>
      </c>
      <c r="Q26" s="72" t="str">
        <f>VLOOKUP($B26,'Standards Crosswalk'!$A:$H,7,FALSE)</f>
        <v>3.1.2, 3.1.19, 3.8.2</v>
      </c>
      <c r="R26" s="72" t="str">
        <f>VLOOKUP($B26,'Standards Crosswalk'!$A:$H,8,FALSE)</f>
        <v>MP-2</v>
      </c>
      <c r="S26" s="72">
        <f>VLOOKUP($B26,'Standards Crosswalk'!$A:$I,9,FALSE)</f>
        <v>0</v>
      </c>
    </row>
    <row r="27" spans="1:25" ht="46" thickBot="1" x14ac:dyDescent="0.2">
      <c r="A27" s="71">
        <f t="shared" si="1"/>
        <v>25</v>
      </c>
      <c r="B27" s="77" t="s">
        <v>194</v>
      </c>
      <c r="C27" s="78" t="str">
        <f>VLOOKUP(B27,'HECVAT - Full'!A:E,2,FALSE)</f>
        <v>Will the consultant need remote access to the Institution's network or systems?</v>
      </c>
      <c r="D27" s="71">
        <f>VLOOKUP(B27,'HECVAT - Full'!A:E,4,FALSE)</f>
        <v>0</v>
      </c>
      <c r="E27" s="79" t="b">
        <f>IF(Table1[[#This Row],[Column11]]&gt;20,TRUE,FALSE)</f>
        <v>1</v>
      </c>
      <c r="F27" s="79" t="s">
        <v>94</v>
      </c>
      <c r="G27" s="98" t="s">
        <v>21</v>
      </c>
      <c r="H27" s="81">
        <v>1</v>
      </c>
      <c r="I27" s="94">
        <f>VLOOKUP(B27,'HECVAT - Full'!A:E,3,FALSE)</f>
        <v>0</v>
      </c>
      <c r="J27" s="71">
        <f>IF(Table1[[#This Row],[Column7]]=Table1[[#This Row],[Column9]],1,0)</f>
        <v>0</v>
      </c>
      <c r="K27" s="71">
        <f>IF(Table1[[#This Row],[Column8]]=1,25,"")</f>
        <v>25</v>
      </c>
      <c r="L27" s="71">
        <f>IF(Table1[[#This Row],[Column8]]=1,J27*K27,"")</f>
        <v>0</v>
      </c>
      <c r="M27" s="72" t="str">
        <f>VLOOKUP($B27,'Standards Crosswalk'!$A:$H,3,FALSE)</f>
        <v>CSC 14</v>
      </c>
      <c r="N27" s="72">
        <f>VLOOKUP($B27,'Standards Crosswalk'!$A:$H,4,FALSE)</f>
        <v>0</v>
      </c>
      <c r="O27" s="72" t="str">
        <f>VLOOKUP($B27,'Standards Crosswalk'!$A:$H,5,FALSE)</f>
        <v>9</v>
      </c>
      <c r="P27" s="72" t="str">
        <f>VLOOKUP($B27,'Standards Crosswalk'!$A:$H,6,FALSE)</f>
        <v>ID.AM-6, PR.AT-3</v>
      </c>
      <c r="Q27" s="72">
        <f>VLOOKUP($B27,'Standards Crosswalk'!$A:$H,7,FALSE)</f>
        <v>0</v>
      </c>
      <c r="R27" s="72">
        <f>VLOOKUP($B27,'Standards Crosswalk'!$A:$H,8,FALSE)</f>
        <v>0</v>
      </c>
      <c r="S27" s="72">
        <f>VLOOKUP($B27,'Standards Crosswalk'!$A:$I,9,FALSE)</f>
        <v>0</v>
      </c>
    </row>
    <row r="28" spans="1:25" ht="31" thickBot="1" x14ac:dyDescent="0.2">
      <c r="A28" s="71">
        <f t="shared" si="1"/>
        <v>26</v>
      </c>
      <c r="B28" s="95" t="s">
        <v>195</v>
      </c>
      <c r="C28" s="78" t="str">
        <f>VLOOKUP(B28,'HECVAT - Full'!A:E,2,FALSE)</f>
        <v>Can we restrict that access based on source IP address?</v>
      </c>
      <c r="D28" s="71">
        <f>VLOOKUP(B28,'HECVAT - Full'!A:E,4,FALSE)</f>
        <v>0</v>
      </c>
      <c r="E28" s="79" t="b">
        <f>IF(Table1[[#This Row],[Column11]]&gt;20,TRUE,FALSE)</f>
        <v>1</v>
      </c>
      <c r="F28" s="79" t="s">
        <v>94</v>
      </c>
      <c r="G28" s="98" t="s">
        <v>17</v>
      </c>
      <c r="H28" s="81">
        <f>IF(I27="Yes",1,0)</f>
        <v>0</v>
      </c>
      <c r="I28" s="94">
        <f>VLOOKUP(B28,'HECVAT - Full'!A:E,3,FALSE)</f>
        <v>0</v>
      </c>
      <c r="J28" s="71">
        <f>IF(OR(Table1[[#This Row],[Column7]]=Table1[[#This Row],[Column9]],Table1[[#This Row],[Column9]]="N/A"),1,0)</f>
        <v>0</v>
      </c>
      <c r="K28" s="71" t="str">
        <f>IF(Table1[[#This Row],[Column8]]=1,20,"")</f>
        <v/>
      </c>
      <c r="L28" s="71" t="str">
        <f>IF(Table1[[#This Row],[Column8]]=1,J28*K28,"")</f>
        <v/>
      </c>
      <c r="M28" s="72">
        <f>VLOOKUP($B28,'Standards Crosswalk'!$A:$H,3,FALSE)</f>
        <v>0</v>
      </c>
      <c r="N28" s="72">
        <f>VLOOKUP($B28,'Standards Crosswalk'!$A:$H,4,FALSE)</f>
        <v>0</v>
      </c>
      <c r="O28" s="72" t="str">
        <f>VLOOKUP($B28,'Standards Crosswalk'!$A:$H,5,FALSE)</f>
        <v>9</v>
      </c>
      <c r="P28" s="72" t="str">
        <f>VLOOKUP($B28,'Standards Crosswalk'!$A:$H,6,FALSE)</f>
        <v>ID.AM-6, PR.AT-3</v>
      </c>
      <c r="Q28" s="72">
        <f>VLOOKUP($B28,'Standards Crosswalk'!$A:$H,7,FALSE)</f>
        <v>0</v>
      </c>
      <c r="R28" s="72">
        <f>VLOOKUP($B28,'Standards Crosswalk'!$A:$H,8,FALSE)</f>
        <v>0</v>
      </c>
      <c r="S28" s="72">
        <f>VLOOKUP($B28,'Standards Crosswalk'!$A:$I,9,FALSE)</f>
        <v>0</v>
      </c>
    </row>
    <row r="29" spans="1:25" ht="46" thickBot="1" x14ac:dyDescent="0.2">
      <c r="A29" s="71">
        <f t="shared" si="1"/>
        <v>27</v>
      </c>
      <c r="B29" s="77" t="s">
        <v>196</v>
      </c>
      <c r="C29" s="78" t="str">
        <f>VLOOKUP(B29,'HECVAT - Full'!A:E,2,FALSE)</f>
        <v>Do you support role-based access control (RBAC) for end-users?</v>
      </c>
      <c r="D29" s="71">
        <f>VLOOKUP(B29,'HECVAT - Full'!A:E,4,FALSE)</f>
        <v>0</v>
      </c>
      <c r="E29" s="79" t="b">
        <f>IF(Table1[[#This Row],[Column11]]&gt;20,TRUE,FALSE)</f>
        <v>1</v>
      </c>
      <c r="F29" s="86" t="s">
        <v>2030</v>
      </c>
      <c r="G29" s="80" t="s">
        <v>17</v>
      </c>
      <c r="H29" s="81">
        <v>1</v>
      </c>
      <c r="I29" s="71">
        <f>VLOOKUP(B29,'HECVAT - Full'!A:E,3,FALSE)</f>
        <v>0</v>
      </c>
      <c r="J29" s="71">
        <f>IF(Table1[[#This Row],[Column7]]=Table1[[#This Row],[Column9]],1,0)</f>
        <v>0</v>
      </c>
      <c r="K29" s="71">
        <f>IF(Table1[[#This Row],[Column8]]=1,25,"")</f>
        <v>25</v>
      </c>
      <c r="L29" s="71">
        <f>IF(Table1[[#This Row],[Column8]]=1,J29*K29,"")</f>
        <v>0</v>
      </c>
      <c r="M29" s="72" t="str">
        <f>VLOOKUP($B29,'Standards Crosswalk'!$A:$H,3,FALSE)</f>
        <v>CSC 18</v>
      </c>
      <c r="N29" s="72">
        <f>VLOOKUP($B29,'Standards Crosswalk'!$A:$H,4,FALSE)</f>
        <v>0</v>
      </c>
      <c r="O29" s="72">
        <f>VLOOKUP($B29,'Standards Crosswalk'!$A:$H,5,FALSE)</f>
        <v>0</v>
      </c>
      <c r="P29" s="72" t="str">
        <f>VLOOKUP($B29,'Standards Crosswalk'!$A:$H,6,FALSE)</f>
        <v>ID.AM-5</v>
      </c>
      <c r="Q29" s="72">
        <f>VLOOKUP($B29,'Standards Crosswalk'!$A:$H,7,FALSE)</f>
        <v>0</v>
      </c>
      <c r="R29" s="72">
        <f>VLOOKUP($B29,'Standards Crosswalk'!$A:$H,8,FALSE)</f>
        <v>0</v>
      </c>
      <c r="S29" s="72">
        <f>VLOOKUP($B29,'Standards Crosswalk'!$A:$I,9,FALSE)</f>
        <v>0</v>
      </c>
    </row>
    <row r="30" spans="1:25" ht="46" thickBot="1" x14ac:dyDescent="0.2">
      <c r="A30" s="71">
        <f t="shared" si="1"/>
        <v>28</v>
      </c>
      <c r="B30" s="77" t="s">
        <v>197</v>
      </c>
      <c r="C30" s="78" t="str">
        <f>VLOOKUP(B30,'HECVAT - Full'!A:E,2,FALSE)</f>
        <v>Do you support role-based access control (RBAC) for system administrators?</v>
      </c>
      <c r="D30" s="71">
        <f>VLOOKUP(B30,'HECVAT - Full'!A:E,4,FALSE)</f>
        <v>0</v>
      </c>
      <c r="E30" s="79" t="b">
        <f>IF(Table1[[#This Row],[Column11]]&gt;20,TRUE,FALSE)</f>
        <v>1</v>
      </c>
      <c r="F30" s="86" t="s">
        <v>2030</v>
      </c>
      <c r="G30" s="80" t="s">
        <v>17</v>
      </c>
      <c r="H30" s="81">
        <v>1</v>
      </c>
      <c r="I30" s="71">
        <f>VLOOKUP(B30,'HECVAT - Full'!A:E,3,FALSE)</f>
        <v>0</v>
      </c>
      <c r="J30" s="71">
        <f>IF(Table1[[#This Row],[Column7]]=Table1[[#This Row],[Column9]],1,0)</f>
        <v>0</v>
      </c>
      <c r="K30" s="71">
        <f>IF(Table1[[#This Row],[Column8]]=1,25,"")</f>
        <v>25</v>
      </c>
      <c r="L30" s="71">
        <f>IF(Table1[[#This Row],[Column8]]=1,J30*K30,"")</f>
        <v>0</v>
      </c>
      <c r="M30" s="72" t="str">
        <f>VLOOKUP($B30,'Standards Crosswalk'!$A:$H,3,FALSE)</f>
        <v>CSC 2, CSC 3</v>
      </c>
      <c r="N30" s="72">
        <f>VLOOKUP($B30,'Standards Crosswalk'!$A:$H,4,FALSE)</f>
        <v>0</v>
      </c>
      <c r="O30" s="72" t="str">
        <f>VLOOKUP($B30,'Standards Crosswalk'!$A:$H,5,FALSE)</f>
        <v>11.2.6</v>
      </c>
      <c r="P30" s="72" t="str">
        <f>VLOOKUP($B30,'Standards Crosswalk'!$A:$H,6,FALSE)</f>
        <v>ID.AM-5</v>
      </c>
      <c r="Q30" s="72">
        <f>VLOOKUP($B30,'Standards Crosswalk'!$A:$H,7,FALSE)</f>
        <v>0</v>
      </c>
      <c r="R30" s="72">
        <f>VLOOKUP($B30,'Standards Crosswalk'!$A:$H,8,FALSE)</f>
        <v>0</v>
      </c>
      <c r="S30" s="72">
        <f>VLOOKUP($B30,'Standards Crosswalk'!$A:$I,9,FALSE)</f>
        <v>0</v>
      </c>
    </row>
    <row r="31" spans="1:25" ht="46" thickBot="1" x14ac:dyDescent="0.2">
      <c r="A31" s="71">
        <f t="shared" si="1"/>
        <v>29</v>
      </c>
      <c r="B31" s="77" t="s">
        <v>540</v>
      </c>
      <c r="C31" s="78" t="str">
        <f>VLOOKUP(B31,'HECVAT - Full'!A:E,2,FALSE)</f>
        <v>Can employees access customer data remotely?</v>
      </c>
      <c r="D31" s="71">
        <f>VLOOKUP(B31,'HECVAT - Full'!A:E,4,FALSE)</f>
        <v>0</v>
      </c>
      <c r="E31" s="79" t="b">
        <f>IF(Table1[[#This Row],[Column11]]&gt;20,TRUE,FALSE)</f>
        <v>0</v>
      </c>
      <c r="F31" s="86" t="s">
        <v>2030</v>
      </c>
      <c r="G31" s="80" t="s">
        <v>17</v>
      </c>
      <c r="H31" s="81">
        <v>1</v>
      </c>
      <c r="I31" s="71">
        <f>VLOOKUP(B31,'HECVAT - Full'!A:E,3,FALSE)</f>
        <v>0</v>
      </c>
      <c r="J31" s="71">
        <f>IF(Table1[[#This Row],[Column7]]=Table1[[#This Row],[Column9]],1,0)</f>
        <v>0</v>
      </c>
      <c r="K31" s="71">
        <f>IF(Table1[[#This Row],[Column8]]=1,20,"")</f>
        <v>20</v>
      </c>
      <c r="L31" s="71">
        <f>IF(Table1[[#This Row],[Column8]]=1,J31*K31,"")</f>
        <v>0</v>
      </c>
      <c r="M31" s="72" t="str">
        <f>VLOOKUP($B31,'Standards Crosswalk'!$A:$H,3,FALSE)</f>
        <v>CSC 14</v>
      </c>
      <c r="N31" s="72">
        <f>VLOOKUP($B31,'Standards Crosswalk'!$A:$H,4,FALSE)</f>
        <v>0</v>
      </c>
      <c r="O31" s="72">
        <f>VLOOKUP($B31,'Standards Crosswalk'!$A:$H,5,FALSE)</f>
        <v>6.2</v>
      </c>
      <c r="P31" s="72" t="str">
        <f>VLOOKUP($B31,'Standards Crosswalk'!$A:$H,6,FALSE)</f>
        <v>PR.AC-3, PR.MA-2</v>
      </c>
      <c r="Q31" s="72" t="str">
        <f>VLOOKUP($B31,'Standards Crosswalk'!$A:$H,7,FALSE)</f>
        <v>3.1.2</v>
      </c>
      <c r="R31" s="72" t="str">
        <f>VLOOKUP($B31,'Standards Crosswalk'!$A:$H,8,FALSE)</f>
        <v>AC-17; NIST SP 800-46</v>
      </c>
      <c r="S31" s="72" t="str">
        <f>VLOOKUP($B31,'Standards Crosswalk'!$A:$I,9,FALSE)</f>
        <v>7.x</v>
      </c>
    </row>
    <row r="32" spans="1:25" ht="91" thickBot="1" x14ac:dyDescent="0.2">
      <c r="A32" s="71">
        <f t="shared" si="1"/>
        <v>30</v>
      </c>
      <c r="B32" s="77" t="s">
        <v>198</v>
      </c>
      <c r="C32" s="78" t="str">
        <f>VLOOKUP(B32,'HECVAT - Full'!A:E,2,FALSE)</f>
        <v>Can you provide overall system and/or application architecture diagrams including a full description of the data communications architecture for all components of the system?</v>
      </c>
      <c r="D32" s="71">
        <f>VLOOKUP(B32,'HECVAT - Full'!A:E,4,FALSE)</f>
        <v>0</v>
      </c>
      <c r="E32" s="79" t="b">
        <f>IF(Table1[[#This Row],[Column11]]&gt;20,TRUE,FALSE)</f>
        <v>0</v>
      </c>
      <c r="F32" s="86" t="s">
        <v>2030</v>
      </c>
      <c r="G32" s="98" t="s">
        <v>17</v>
      </c>
      <c r="H32" s="81">
        <v>1</v>
      </c>
      <c r="I32" s="71">
        <f>VLOOKUP(B32,'HECVAT - Full'!A:E,3,FALSE)</f>
        <v>0</v>
      </c>
      <c r="J32" s="71">
        <f>IF(Table1[[#This Row],[Column7]]=Table1[[#This Row],[Column9]],1,0)</f>
        <v>0</v>
      </c>
      <c r="K32" s="71">
        <f>IF(Table1[[#This Row],[Column8]]=1,20,"")</f>
        <v>20</v>
      </c>
      <c r="L32" s="71">
        <f>IF(Table1[[#This Row],[Column8]]=1,J32*K32,"")</f>
        <v>0</v>
      </c>
      <c r="M32" s="72" t="str">
        <f>VLOOKUP($B32,'Standards Crosswalk'!$A:$H,3,FALSE)</f>
        <v>CSC16</v>
      </c>
      <c r="N32" s="72">
        <f>VLOOKUP($B32,'Standards Crosswalk'!$A:$H,4,FALSE)</f>
        <v>0</v>
      </c>
      <c r="O32" s="72" t="str">
        <f>VLOOKUP($B32,'Standards Crosswalk'!$A:$H,5,FALSE)</f>
        <v>9.1.1</v>
      </c>
      <c r="P32" s="72" t="str">
        <f>VLOOKUP($B32,'Standards Crosswalk'!$A:$H,6,FALSE)</f>
        <v>PR.AC-4, PR.PT-3</v>
      </c>
      <c r="Q32" s="72" t="str">
        <f>VLOOKUP($B32,'Standards Crosswalk'!$A:$H,7,FALSE)</f>
        <v>3.4.9</v>
      </c>
      <c r="R32" s="72" t="str">
        <f>VLOOKUP($B32,'Standards Crosswalk'!$A:$H,8,FALSE)</f>
        <v>CM-11</v>
      </c>
      <c r="S32" s="72" t="str">
        <f>VLOOKUP($B32,'Standards Crosswalk'!$A:$I,9,FALSE)</f>
        <v>7.x</v>
      </c>
    </row>
    <row r="33" spans="1:19" ht="46" thickBot="1" x14ac:dyDescent="0.2">
      <c r="A33" s="71">
        <f t="shared" si="1"/>
        <v>31</v>
      </c>
      <c r="B33" s="77" t="s">
        <v>199</v>
      </c>
      <c r="C33" s="78" t="str">
        <f>VLOOKUP(B33,'HECVAT - Full'!A:E,2,FALSE)</f>
        <v xml:space="preserve">Does the system provide data input validation and error messages? </v>
      </c>
      <c r="D33" s="71">
        <f>VLOOKUP(B33,'HECVAT - Full'!A:E,4,FALSE)</f>
        <v>0</v>
      </c>
      <c r="E33" s="79" t="b">
        <f>IF(Table1[[#This Row],[Column11]]&gt;20,TRUE,FALSE)</f>
        <v>0</v>
      </c>
      <c r="F33" s="86" t="s">
        <v>2030</v>
      </c>
      <c r="G33" s="98" t="s">
        <v>17</v>
      </c>
      <c r="H33" s="81">
        <v>1</v>
      </c>
      <c r="I33" s="71">
        <f>VLOOKUP(B33,'HECVAT - Full'!A:E,3,FALSE)</f>
        <v>0</v>
      </c>
      <c r="J33" s="71">
        <f>IF(Table1[[#This Row],[Column7]]=Table1[[#This Row],[Column9]],1,0)</f>
        <v>0</v>
      </c>
      <c r="K33" s="71">
        <f>IF(Table1[[#This Row],[Column8]]=1,20,"")</f>
        <v>20</v>
      </c>
      <c r="L33" s="71">
        <f>IF(Table1[[#This Row],[Column8]]=1,J33*K33,"")</f>
        <v>0</v>
      </c>
      <c r="M33" s="72" t="str">
        <f>VLOOKUP($B33,'Standards Crosswalk'!$A:$H,3,FALSE)</f>
        <v>CSC 18</v>
      </c>
      <c r="N33" s="72">
        <f>VLOOKUP($B33,'Standards Crosswalk'!$A:$H,4,FALSE)</f>
        <v>0</v>
      </c>
      <c r="O33" s="72">
        <f>VLOOKUP($B33,'Standards Crosswalk'!$A:$H,5,FALSE)</f>
        <v>0</v>
      </c>
      <c r="P33" s="72" t="str">
        <f>VLOOKUP($B33,'Standards Crosswalk'!$A:$H,6,FALSE)</f>
        <v>ID.AM-5</v>
      </c>
      <c r="Q33" s="72">
        <f>VLOOKUP($B33,'Standards Crosswalk'!$A:$H,7,FALSE)</f>
        <v>0</v>
      </c>
      <c r="R33" s="72">
        <f>VLOOKUP($B33,'Standards Crosswalk'!$A:$H,8,FALSE)</f>
        <v>0</v>
      </c>
      <c r="S33" s="72">
        <f>VLOOKUP($B33,'Standards Crosswalk'!$A:$I,9,FALSE)</f>
        <v>0</v>
      </c>
    </row>
    <row r="34" spans="1:19" ht="76" thickBot="1" x14ac:dyDescent="0.2">
      <c r="A34" s="71">
        <f t="shared" si="1"/>
        <v>32</v>
      </c>
      <c r="B34" s="77" t="s">
        <v>200</v>
      </c>
      <c r="C34" s="78" t="str">
        <f>VLOOKUP(B34,'HECVAT - Full'!A:E,2,FALSE)</f>
        <v xml:space="preserve">Do you employ a single-tenant environment? </v>
      </c>
      <c r="D34" s="71">
        <f>VLOOKUP(B34,'HECVAT - Full'!A:E,4,FALSE)</f>
        <v>0</v>
      </c>
      <c r="E34" s="79" t="b">
        <f>IF(Table1[[#This Row],[Column11]]&gt;20,TRUE,FALSE)</f>
        <v>1</v>
      </c>
      <c r="F34" s="86" t="s">
        <v>2030</v>
      </c>
      <c r="G34" s="98" t="s">
        <v>17</v>
      </c>
      <c r="H34" s="81">
        <v>1</v>
      </c>
      <c r="I34" s="71">
        <f>VLOOKUP(B34,'HECVAT - Full'!A:E,3,FALSE)</f>
        <v>0</v>
      </c>
      <c r="J34" s="71">
        <f>IF(Table1[[#This Row],[Column7]]=Table1[[#This Row],[Column9]],1,0)</f>
        <v>0</v>
      </c>
      <c r="K34" s="71">
        <f>IF(Table1[[#This Row],[Column8]]=1,25,"")</f>
        <v>25</v>
      </c>
      <c r="L34" s="71">
        <f>IF(Table1[[#This Row],[Column8]]=1,J34*K34,"")</f>
        <v>0</v>
      </c>
      <c r="M34" s="72" t="str">
        <f>VLOOKUP($B34,'Standards Crosswalk'!$A:$H,3,FALSE)</f>
        <v>CSC 12</v>
      </c>
      <c r="N34" s="72">
        <f>VLOOKUP($B34,'Standards Crosswalk'!$A:$H,4,FALSE)</f>
        <v>0</v>
      </c>
      <c r="O34" s="72">
        <f>VLOOKUP($B34,'Standards Crosswalk'!$A:$H,5,FALSE)</f>
        <v>6.2</v>
      </c>
      <c r="P34" s="72" t="str">
        <f>VLOOKUP($B34,'Standards Crosswalk'!$A:$H,6,FALSE)</f>
        <v>PR.PT-3</v>
      </c>
      <c r="Q34" s="72" t="str">
        <f>VLOOKUP($B34,'Standards Crosswalk'!$A:$H,7,FALSE)</f>
        <v>3.1.12, 3.1.13, 3.1.14, 3.1.14, 3.1.15, 3.1.8, 3.1.20, 3.7.5, 3.8.2, 3.13.7</v>
      </c>
      <c r="R34" s="72" t="str">
        <f>VLOOKUP($B34,'Standards Crosswalk'!$A:$H,8,FALSE)</f>
        <v>AC-3, CM-7; NIST SP 800-46</v>
      </c>
      <c r="S34" s="72">
        <f>VLOOKUP($B34,'Standards Crosswalk'!$A:$I,9,FALSE)</f>
        <v>0</v>
      </c>
    </row>
    <row r="35" spans="1:19" ht="61" thickBot="1" x14ac:dyDescent="0.2">
      <c r="A35" s="71">
        <f t="shared" si="1"/>
        <v>33</v>
      </c>
      <c r="B35" s="77" t="s">
        <v>201</v>
      </c>
      <c r="C35" s="78" t="str">
        <f>VLOOKUP(B35,'HECVAT - Full'!A:E,2,FALSE)</f>
        <v>What operating system(s) is/are leveraged by the system(s)/application(s) that will have access to institution's data?</v>
      </c>
      <c r="D35" s="71">
        <f>VLOOKUP(B35,'HECVAT - Full'!A:E,4,FALSE)</f>
        <v>0</v>
      </c>
      <c r="E35" s="79" t="b">
        <f>IF(Table1[[#This Row],[Column11]]&gt;20,TRUE,FALSE)</f>
        <v>0</v>
      </c>
      <c r="F35" s="86" t="s">
        <v>2030</v>
      </c>
      <c r="G35" s="80"/>
      <c r="H35" s="81">
        <v>1</v>
      </c>
      <c r="I35" s="71">
        <f>VLOOKUP(B35,'HECVAT - Full'!A:E,3,FALSE)</f>
        <v>0</v>
      </c>
      <c r="J35" s="71">
        <f>IF(VLOOKUP(Table1[[#This Row],[Column2]],'Analyst Report'!$A$41:$G$88,7,FALSE)="Yes",1,0)</f>
        <v>0</v>
      </c>
      <c r="K35" s="71">
        <f>IF(Table1[[#This Row],[Column8]]=1,20,"")</f>
        <v>20</v>
      </c>
      <c r="L35" s="71">
        <f>IF(Table1[[#This Row],[Column8]]=1,J35*K35,"")</f>
        <v>0</v>
      </c>
      <c r="M35" s="72" t="str">
        <f>VLOOKUP($B35,'Standards Crosswalk'!$A:$H,3,FALSE)</f>
        <v>CSC 2</v>
      </c>
      <c r="N35" s="72">
        <f>VLOOKUP($B35,'Standards Crosswalk'!$A:$H,4,FALSE)</f>
        <v>0</v>
      </c>
      <c r="O35" s="72" t="str">
        <f>VLOOKUP($B35,'Standards Crosswalk'!$A:$H,5,FALSE)</f>
        <v>12.5.1</v>
      </c>
      <c r="P35" s="72" t="str">
        <f>VLOOKUP($B35,'Standards Crosswalk'!$A:$H,6,FALSE)</f>
        <v>PR.PT-3</v>
      </c>
      <c r="Q35" s="72">
        <f>VLOOKUP($B35,'Standards Crosswalk'!$A:$H,7,FALSE)</f>
        <v>0</v>
      </c>
      <c r="R35" s="72" t="str">
        <f>VLOOKUP($B35,'Standards Crosswalk'!$A:$H,8,FALSE)</f>
        <v>AC-17; NIST SP 800-46</v>
      </c>
      <c r="S35" s="72">
        <f>VLOOKUP($B35,'Standards Crosswalk'!$A:$I,9,FALSE)</f>
        <v>0</v>
      </c>
    </row>
    <row r="36" spans="1:19" ht="61" thickBot="1" x14ac:dyDescent="0.2">
      <c r="A36" s="71">
        <f t="shared" si="1"/>
        <v>34</v>
      </c>
      <c r="B36" s="77" t="s">
        <v>202</v>
      </c>
      <c r="C36" s="78" t="str">
        <f>VLOOKUP(B36,'HECVAT - Full'!A:E,2,FALSE)</f>
        <v>Have you or any third party you contract with that may have access or allow access to the institution's data experienced a breach?</v>
      </c>
      <c r="D36" s="71">
        <f>VLOOKUP(B36,'HECVAT - Full'!A:E,4,FALSE)</f>
        <v>0</v>
      </c>
      <c r="E36" s="79" t="b">
        <f>IF(Table1[[#This Row],[Column11]]&gt;20,TRUE,FALSE)</f>
        <v>1</v>
      </c>
      <c r="F36" s="86" t="s">
        <v>2030</v>
      </c>
      <c r="G36" s="80" t="s">
        <v>21</v>
      </c>
      <c r="H36" s="81">
        <v>1</v>
      </c>
      <c r="I36" s="71">
        <f>VLOOKUP(B36,'HECVAT - Full'!A:E,3,FALSE)</f>
        <v>0</v>
      </c>
      <c r="J36" s="71">
        <f>IF(Table1[[#This Row],[Column7]]=Table1[[#This Row],[Column9]],1,0)</f>
        <v>0</v>
      </c>
      <c r="K36" s="71">
        <f>IF(Table1[[#This Row],[Column8]]=1,25,"")</f>
        <v>25</v>
      </c>
      <c r="L36" s="71">
        <f>IF(Table1[[#This Row],[Column8]]=1,J36*K36,"")</f>
        <v>0</v>
      </c>
      <c r="M36" s="72">
        <f>VLOOKUP($B36,'Standards Crosswalk'!$A:$H,3,FALSE)</f>
        <v>0</v>
      </c>
      <c r="N36" s="72">
        <f>VLOOKUP($B36,'Standards Crosswalk'!$A:$H,4,FALSE)</f>
        <v>0</v>
      </c>
      <c r="O36" s="72">
        <f>VLOOKUP($B36,'Standards Crosswalk'!$A:$H,5,FALSE)</f>
        <v>16</v>
      </c>
      <c r="P36" s="72">
        <f>VLOOKUP($B36,'Standards Crosswalk'!$A:$H,6,FALSE)</f>
        <v>0</v>
      </c>
      <c r="Q36" s="72">
        <f>VLOOKUP($B36,'Standards Crosswalk'!$A:$H,7,FALSE)</f>
        <v>0</v>
      </c>
      <c r="R36" s="72">
        <f>VLOOKUP($B36,'Standards Crosswalk'!$A:$H,8,FALSE)</f>
        <v>0</v>
      </c>
      <c r="S36" s="72" t="str">
        <f>VLOOKUP($B36,'Standards Crosswalk'!$A:$I,9,FALSE)</f>
        <v>12.8, 4.2</v>
      </c>
    </row>
    <row r="37" spans="1:19" ht="76" thickBot="1" x14ac:dyDescent="0.2">
      <c r="A37" s="71">
        <f t="shared" si="1"/>
        <v>35</v>
      </c>
      <c r="B37" s="77" t="s">
        <v>203</v>
      </c>
      <c r="C37" s="78" t="str">
        <f>VLOOKUP(B37,'HECVAT - Full'!A:E,2,FALSE)</f>
        <v xml:space="preserve">Describe or provide a reference to additional software/products necessary to implement a functional system on either the backend or user-interface side of the system. </v>
      </c>
      <c r="D37" s="71">
        <f>VLOOKUP(B37,'HECVAT - Full'!A:E,4,FALSE)</f>
        <v>0</v>
      </c>
      <c r="E37" s="79" t="b">
        <f>IF(Table1[[#This Row],[Column11]]&gt;20,TRUE,FALSE)</f>
        <v>0</v>
      </c>
      <c r="F37" s="86" t="s">
        <v>2030</v>
      </c>
      <c r="G37" s="80"/>
      <c r="H37" s="81">
        <v>1</v>
      </c>
      <c r="I37" s="71">
        <f>VLOOKUP(B37,'HECVAT - Full'!A:E,3,FALSE)</f>
        <v>0</v>
      </c>
      <c r="J37" s="71">
        <f>IF(VLOOKUP(Table1[[#This Row],[Column2]],'Analyst Report'!$A$41:$G$88,7,FALSE)="Yes",1,0)</f>
        <v>0</v>
      </c>
      <c r="K37" s="71">
        <f>IF(Table1[[#This Row],[Column8]]=1,15,"")</f>
        <v>15</v>
      </c>
      <c r="L37" s="71">
        <f>IF(Table1[[#This Row],[Column8]]=1,J37*K37,"")</f>
        <v>0</v>
      </c>
      <c r="M37" s="72" t="str">
        <f>VLOOKUP($B37,'Standards Crosswalk'!$A:$H,3,FALSE)</f>
        <v>CSC 2</v>
      </c>
      <c r="N37" s="72">
        <f>VLOOKUP($B37,'Standards Crosswalk'!$A:$H,4,FALSE)</f>
        <v>0</v>
      </c>
      <c r="O37" s="72" t="str">
        <f>VLOOKUP($B37,'Standards Crosswalk'!$A:$H,5,FALSE)</f>
        <v>12.5.1</v>
      </c>
      <c r="P37" s="72" t="str">
        <f>VLOOKUP($B37,'Standards Crosswalk'!$A:$H,6,FALSE)</f>
        <v>ID.AM-2</v>
      </c>
      <c r="Q37" s="72">
        <f>VLOOKUP($B37,'Standards Crosswalk'!$A:$H,7,FALSE)</f>
        <v>0</v>
      </c>
      <c r="R37" s="72">
        <f>VLOOKUP($B37,'Standards Crosswalk'!$A:$H,8,FALSE)</f>
        <v>0</v>
      </c>
      <c r="S37" s="72">
        <f>VLOOKUP($B37,'Standards Crosswalk'!$A:$I,9,FALSE)</f>
        <v>0</v>
      </c>
    </row>
    <row r="38" spans="1:19" ht="91" thickBot="1" x14ac:dyDescent="0.2">
      <c r="A38" s="71">
        <f t="shared" si="1"/>
        <v>36</v>
      </c>
      <c r="B38" s="77" t="s">
        <v>204</v>
      </c>
      <c r="C38" s="78" t="str">
        <f>VLOOKUP(B38,'HECVAT - Full'!A:E,2,FALSE)</f>
        <v xml:space="preserve">Describe or provide a reference to the overall system and/or application architecture(s), including appropriate diagrams. Include a full description of the data communications architecture for all components of the system. </v>
      </c>
      <c r="D38" s="71">
        <f>VLOOKUP(B38,'HECVAT - Full'!A:E,4,FALSE)</f>
        <v>0</v>
      </c>
      <c r="E38" s="79" t="b">
        <f>IF(Table1[[#This Row],[Column11]]&gt;20,TRUE,FALSE)</f>
        <v>1</v>
      </c>
      <c r="F38" s="86" t="s">
        <v>2030</v>
      </c>
      <c r="G38" s="80"/>
      <c r="H38" s="81">
        <v>1</v>
      </c>
      <c r="I38" s="71">
        <f>VLOOKUP(B38,'HECVAT - Full'!A:E,3,FALSE)</f>
        <v>0</v>
      </c>
      <c r="J38" s="71">
        <f>IF(VLOOKUP(Table1[[#This Row],[Column2]],'Analyst Report'!$A$41:$G$88,7,FALSE)="Yes",1,0)</f>
        <v>0</v>
      </c>
      <c r="K38" s="71">
        <f>IF(Table1[[#This Row],[Column8]]=1,25,"")</f>
        <v>25</v>
      </c>
      <c r="L38" s="71">
        <f>IF(Table1[[#This Row],[Column8]]=1,J38*K38,"")</f>
        <v>0</v>
      </c>
      <c r="M38" s="72" t="str">
        <f>VLOOKUP($B38,'Standards Crosswalk'!$A:$H,3,FALSE)</f>
        <v>CSC 2</v>
      </c>
      <c r="N38" s="72">
        <f>VLOOKUP($B38,'Standards Crosswalk'!$A:$H,4,FALSE)</f>
        <v>0</v>
      </c>
      <c r="O38" s="72" t="str">
        <f>VLOOKUP($B38,'Standards Crosswalk'!$A:$H,5,FALSE)</f>
        <v>12.1.1</v>
      </c>
      <c r="P38" s="72" t="str">
        <f>VLOOKUP($B38,'Standards Crosswalk'!$A:$H,6,FALSE)</f>
        <v>ID.AM-1, ID.AM-2, ID.AM-4</v>
      </c>
      <c r="Q38" s="72">
        <f>VLOOKUP($B38,'Standards Crosswalk'!$A:$H,7,FALSE)</f>
        <v>0</v>
      </c>
      <c r="R38" s="72" t="str">
        <f>VLOOKUP($B38,'Standards Crosswalk'!$A:$H,8,FALSE)</f>
        <v>CA-9, SC-4</v>
      </c>
      <c r="S38" s="72">
        <f>VLOOKUP($B38,'Standards Crosswalk'!$A:$I,9,FALSE)</f>
        <v>2.4</v>
      </c>
    </row>
    <row r="39" spans="1:19" ht="46" thickBot="1" x14ac:dyDescent="0.2">
      <c r="A39" s="71">
        <f t="shared" si="1"/>
        <v>37</v>
      </c>
      <c r="B39" s="77" t="s">
        <v>205</v>
      </c>
      <c r="C39" s="78" t="str">
        <f>VLOOKUP(B39,'HECVAT - Full'!A:E,2,FALSE)</f>
        <v>Are databases used in the system segregated from front-end systems? (e.g. web and application servers)</v>
      </c>
      <c r="D39" s="71">
        <f>VLOOKUP(B39,'HECVAT - Full'!A:E,4,FALSE)</f>
        <v>0</v>
      </c>
      <c r="E39" s="79" t="b">
        <f>IF(Table1[[#This Row],[Column11]]&gt;20,TRUE,FALSE)</f>
        <v>1</v>
      </c>
      <c r="F39" s="86" t="s">
        <v>2030</v>
      </c>
      <c r="G39" s="98" t="s">
        <v>17</v>
      </c>
      <c r="H39" s="81">
        <v>1</v>
      </c>
      <c r="I39" s="71">
        <f>VLOOKUP(B39,'HECVAT - Full'!A:E,3,FALSE)</f>
        <v>0</v>
      </c>
      <c r="J39" s="71">
        <f>IF(Table1[[#This Row],[Column7]]=Table1[[#This Row],[Column9]],1,0)</f>
        <v>0</v>
      </c>
      <c r="K39" s="71">
        <f>IF(Table1[[#This Row],[Column8]]=1,40,"")</f>
        <v>40</v>
      </c>
      <c r="L39" s="71">
        <f>IF(Table1[[#This Row],[Column8]]=1,J39*K39,"")</f>
        <v>0</v>
      </c>
      <c r="M39" s="72" t="str">
        <f>VLOOKUP($B39,'Standards Crosswalk'!$A:$H,3,FALSE)</f>
        <v>CSC 13</v>
      </c>
      <c r="N39" s="72">
        <f>VLOOKUP($B39,'Standards Crosswalk'!$A:$H,4,FALSE)</f>
        <v>0</v>
      </c>
      <c r="O39" s="72" t="str">
        <f>VLOOKUP($B39,'Standards Crosswalk'!$A:$H,5,FALSE)</f>
        <v>12.1.4</v>
      </c>
      <c r="P39" s="72">
        <f>VLOOKUP($B39,'Standards Crosswalk'!$A:$H,6,FALSE)</f>
        <v>0</v>
      </c>
      <c r="Q39" s="72">
        <f>VLOOKUP($B39,'Standards Crosswalk'!$A:$H,7,FALSE)</f>
        <v>0</v>
      </c>
      <c r="R39" s="72">
        <f>VLOOKUP($B39,'Standards Crosswalk'!$A:$H,8,FALSE)</f>
        <v>0</v>
      </c>
      <c r="S39" s="72">
        <f>VLOOKUP($B39,'Standards Crosswalk'!$A:$I,9,FALSE)</f>
        <v>0</v>
      </c>
    </row>
    <row r="40" spans="1:19" ht="61" thickBot="1" x14ac:dyDescent="0.2">
      <c r="A40" s="71">
        <f t="shared" si="1"/>
        <v>38</v>
      </c>
      <c r="B40" s="95" t="s">
        <v>206</v>
      </c>
      <c r="C40" s="78" t="str">
        <f>VLOOKUP(B40,'HECVAT - Full'!A:E,2,FALSE)</f>
        <v xml:space="preserve">Describe or provide a reference to all web-enabled features and functionality of the system (i.e. accessed via a web-based interface). </v>
      </c>
      <c r="D40" s="71">
        <f>VLOOKUP(B40,'HECVAT - Full'!A:E,4,FALSE)</f>
        <v>0</v>
      </c>
      <c r="E40" s="79" t="b">
        <f>IF(Table1[[#This Row],[Column11]]&gt;20,TRUE,FALSE)</f>
        <v>0</v>
      </c>
      <c r="F40" s="86" t="s">
        <v>2030</v>
      </c>
      <c r="G40" s="80" t="s">
        <v>21</v>
      </c>
      <c r="H40" s="81">
        <v>1</v>
      </c>
      <c r="I40" s="71">
        <f>VLOOKUP(B40,'HECVAT - Full'!A:E,3,FALSE)</f>
        <v>0</v>
      </c>
      <c r="J40" s="71">
        <f>IF(VLOOKUP(Table1[[#This Row],[Column2]],'Analyst Report'!$A$41:$G$88,7,FALSE)="Yes",1,0)</f>
        <v>0</v>
      </c>
      <c r="K40" s="71">
        <f>IF(Table1[[#This Row],[Column8]]=1,10,"")</f>
        <v>10</v>
      </c>
      <c r="L40" s="71">
        <f>IF(Table1[[#This Row],[Column8]]=1,J40*K40,"")</f>
        <v>0</v>
      </c>
      <c r="M40" s="72" t="str">
        <f>VLOOKUP($B40,'Standards Crosswalk'!$A:$H,3,FALSE)</f>
        <v>CSC 7</v>
      </c>
      <c r="N40" s="72">
        <f>VLOOKUP($B40,'Standards Crosswalk'!$A:$H,4,FALSE)</f>
        <v>0</v>
      </c>
      <c r="O40" s="72" t="str">
        <f>VLOOKUP($B40,'Standards Crosswalk'!$A:$H,5,FALSE)</f>
        <v>12.1.1</v>
      </c>
      <c r="P40" s="72">
        <f>VLOOKUP($B40,'Standards Crosswalk'!$A:$H,6,FALSE)</f>
        <v>0</v>
      </c>
      <c r="Q40" s="72">
        <f>VLOOKUP($B40,'Standards Crosswalk'!$A:$H,7,FALSE)</f>
        <v>0</v>
      </c>
      <c r="R40" s="72">
        <f>VLOOKUP($B40,'Standards Crosswalk'!$A:$H,8,FALSE)</f>
        <v>0</v>
      </c>
      <c r="S40" s="72">
        <f>VLOOKUP($B40,'Standards Crosswalk'!$A:$I,9,FALSE)</f>
        <v>0</v>
      </c>
    </row>
    <row r="41" spans="1:19" ht="46" thickBot="1" x14ac:dyDescent="0.2">
      <c r="A41" s="71">
        <f t="shared" si="1"/>
        <v>39</v>
      </c>
      <c r="B41" s="77" t="s">
        <v>207</v>
      </c>
      <c r="C41" s="78" t="str">
        <f>VLOOKUP(B41,'HECVAT - Full'!A:E,2,FALSE)</f>
        <v>Are there any OS and/or web-browser combinations that are not currently supported?</v>
      </c>
      <c r="D41" s="71">
        <f>VLOOKUP(B41,'HECVAT - Full'!A:E,4,FALSE)</f>
        <v>0</v>
      </c>
      <c r="E41" s="79" t="b">
        <f>IF(Table1[[#This Row],[Column11]]&gt;20,TRUE,FALSE)</f>
        <v>0</v>
      </c>
      <c r="F41" s="86" t="s">
        <v>2030</v>
      </c>
      <c r="G41" s="80" t="s">
        <v>21</v>
      </c>
      <c r="H41" s="81">
        <v>1</v>
      </c>
      <c r="I41" s="71">
        <f>VLOOKUP(B41,'HECVAT - Full'!A:E,3,FALSE)</f>
        <v>0</v>
      </c>
      <c r="J41" s="71">
        <f>IF(VLOOKUP(Table1[[#This Row],[Column2]],'Analyst Report'!$A$41:$G$88,7,FALSE)="Yes",1,0)</f>
        <v>0</v>
      </c>
      <c r="K41" s="71">
        <f>IF(Table1[[#This Row],[Column8]]=1,15,"")</f>
        <v>15</v>
      </c>
      <c r="L41" s="71">
        <f>IF(Table1[[#This Row],[Column8]]=1,J41*K41,"")</f>
        <v>0</v>
      </c>
      <c r="M41" s="72" t="str">
        <f>VLOOKUP($B41,'Standards Crosswalk'!$A:$H,3,FALSE)</f>
        <v>CSC 7</v>
      </c>
      <c r="N41" s="72">
        <f>VLOOKUP($B41,'Standards Crosswalk'!$A:$H,4,FALSE)</f>
        <v>0</v>
      </c>
      <c r="O41" s="72" t="str">
        <f>VLOOKUP($B41,'Standards Crosswalk'!$A:$H,5,FALSE)</f>
        <v>12.5.1</v>
      </c>
      <c r="P41" s="72">
        <f>VLOOKUP($B41,'Standards Crosswalk'!$A:$H,6,FALSE)</f>
        <v>0</v>
      </c>
      <c r="Q41" s="72">
        <f>VLOOKUP($B41,'Standards Crosswalk'!$A:$H,7,FALSE)</f>
        <v>0</v>
      </c>
      <c r="R41" s="72">
        <f>VLOOKUP($B41,'Standards Crosswalk'!$A:$H,8,FALSE)</f>
        <v>0</v>
      </c>
      <c r="S41" s="72">
        <f>VLOOKUP($B41,'Standards Crosswalk'!$A:$I,9,FALSE)</f>
        <v>0</v>
      </c>
    </row>
    <row r="42" spans="1:19" ht="46" thickBot="1" x14ac:dyDescent="0.2">
      <c r="A42" s="71">
        <f t="shared" si="1"/>
        <v>40</v>
      </c>
      <c r="B42" s="77" t="s">
        <v>208</v>
      </c>
      <c r="C42" s="78" t="str">
        <f>VLOOKUP(B42,'HECVAT - Full'!A:E,2,FALSE)</f>
        <v xml:space="preserve">Can your system take advantage of mobile and/or GPS enabled mobile devices?  </v>
      </c>
      <c r="D42" s="71">
        <f>VLOOKUP(B42,'HECVAT - Full'!A:E,4,FALSE)</f>
        <v>0</v>
      </c>
      <c r="E42" s="79" t="b">
        <f>IF(Table1[[#This Row],[Column11]]&gt;20,TRUE,FALSE)</f>
        <v>1</v>
      </c>
      <c r="F42" s="86" t="s">
        <v>2030</v>
      </c>
      <c r="G42" s="80" t="s">
        <v>17</v>
      </c>
      <c r="H42" s="81">
        <v>1</v>
      </c>
      <c r="I42" s="71">
        <f>VLOOKUP(B42,'HECVAT - Full'!A:E,3,FALSE)</f>
        <v>0</v>
      </c>
      <c r="J42" s="71">
        <f>IF(Table1[[#This Row],[Column7]]=Table1[[#This Row],[Column9]],1,0)</f>
        <v>0</v>
      </c>
      <c r="K42" s="71">
        <f>IF(Table1[[#This Row],[Column8]]=1,25,"")</f>
        <v>25</v>
      </c>
      <c r="L42" s="71">
        <f>IF(Table1[[#This Row],[Column8]]=1,J42*K42,"")</f>
        <v>0</v>
      </c>
      <c r="M42" s="72" t="str">
        <f>VLOOKUP($B42,'Standards Crosswalk'!$A:$H,3,FALSE)</f>
        <v>CSC 2</v>
      </c>
      <c r="N42" s="72">
        <f>VLOOKUP($B42,'Standards Crosswalk'!$A:$H,4,FALSE)</f>
        <v>0</v>
      </c>
      <c r="O42" s="72">
        <f>VLOOKUP($B42,'Standards Crosswalk'!$A:$H,5,FALSE)</f>
        <v>0</v>
      </c>
      <c r="P42" s="72">
        <f>VLOOKUP($B42,'Standards Crosswalk'!$A:$H,6,FALSE)</f>
        <v>0</v>
      </c>
      <c r="Q42" s="72">
        <f>VLOOKUP($B42,'Standards Crosswalk'!$A:$H,7,FALSE)</f>
        <v>0</v>
      </c>
      <c r="R42" s="72">
        <f>VLOOKUP($B42,'Standards Crosswalk'!$A:$H,8,FALSE)</f>
        <v>0</v>
      </c>
      <c r="S42" s="72">
        <f>VLOOKUP($B42,'Standards Crosswalk'!$A:$I,9,FALSE)</f>
        <v>0</v>
      </c>
    </row>
    <row r="43" spans="1:19" ht="76" thickBot="1" x14ac:dyDescent="0.2">
      <c r="A43" s="71">
        <f t="shared" si="1"/>
        <v>41</v>
      </c>
      <c r="B43" s="77" t="s">
        <v>541</v>
      </c>
      <c r="C43" s="78" t="str">
        <f>VLOOKUP(B43,'HECVAT - Full'!A:E,2,FALSE)</f>
        <v>Describe or provide a reference to the facilities available in the system to provide separation of duties between security administration and system administration functions.</v>
      </c>
      <c r="D43" s="71">
        <f>VLOOKUP(B43,'HECVAT - Full'!A:E,4,FALSE)</f>
        <v>0</v>
      </c>
      <c r="E43" s="79" t="b">
        <f>IF(Table1[[#This Row],[Column11]]&gt;20,TRUE,FALSE)</f>
        <v>1</v>
      </c>
      <c r="F43" s="86" t="s">
        <v>2030</v>
      </c>
      <c r="G43" s="80" t="s">
        <v>17</v>
      </c>
      <c r="H43" s="81">
        <v>1</v>
      </c>
      <c r="I43" s="71">
        <f>VLOOKUP(B43,'HECVAT - Full'!A:E,3,FALSE)</f>
        <v>0</v>
      </c>
      <c r="J43" s="71">
        <f>IF(VLOOKUP(Table1[[#This Row],[Column2]],'Analyst Report'!$A$41:$G$88,7,FALSE)="Yes",1,0)</f>
        <v>0</v>
      </c>
      <c r="K43" s="71">
        <f>IF(Table1[[#This Row],[Column8]]=1,25,"")</f>
        <v>25</v>
      </c>
      <c r="L43" s="71">
        <f>IF(Table1[[#This Row],[Column8]]=1,J43*K43,"")</f>
        <v>0</v>
      </c>
      <c r="M43" s="72" t="str">
        <f>VLOOKUP($B43,'Standards Crosswalk'!$A:$H,3,FALSE)</f>
        <v>CSC 14</v>
      </c>
      <c r="N43" s="72">
        <f>VLOOKUP($B43,'Standards Crosswalk'!$A:$H,4,FALSE)</f>
        <v>0</v>
      </c>
      <c r="O43" s="72" t="str">
        <f>VLOOKUP($B43,'Standards Crosswalk'!$A:$H,5,FALSE)</f>
        <v>9.2.3, 12.1.4</v>
      </c>
      <c r="P43" s="72" t="str">
        <f>VLOOKUP($B43,'Standards Crosswalk'!$A:$H,6,FALSE)</f>
        <v>PR.AC-4, PR.PT-3</v>
      </c>
      <c r="Q43" s="72" t="str">
        <f>VLOOKUP($B43,'Standards Crosswalk'!$A:$H,7,FALSE)</f>
        <v>3.1.4</v>
      </c>
      <c r="R43" s="72" t="str">
        <f>VLOOKUP($B43,'Standards Crosswalk'!$A:$H,8,FALSE)</f>
        <v>AC-5</v>
      </c>
      <c r="S43" s="72" t="str">
        <f>VLOOKUP($B43,'Standards Crosswalk'!$A:$I,9,FALSE)</f>
        <v>12.x</v>
      </c>
    </row>
    <row r="44" spans="1:19" ht="76" thickBot="1" x14ac:dyDescent="0.2">
      <c r="A44" s="71">
        <f t="shared" si="1"/>
        <v>42</v>
      </c>
      <c r="B44" s="77" t="s">
        <v>209</v>
      </c>
      <c r="C44" s="78" t="str">
        <f>VLOOKUP(B44,'HECVAT - Full'!A:E,2,FALSE)</f>
        <v>Describe or provide a reference that details how administrator access is handled (e.g. provisioning, principle of least privilege, deprovisioning, etc.)</v>
      </c>
      <c r="D44" s="71">
        <f>VLOOKUP(B44,'HECVAT - Full'!A:E,4,FALSE)</f>
        <v>0</v>
      </c>
      <c r="E44" s="79" t="b">
        <f>IF(Table1[[#This Row],[Column11]]&gt;20,TRUE,FALSE)</f>
        <v>1</v>
      </c>
      <c r="F44" s="86" t="s">
        <v>2030</v>
      </c>
      <c r="G44" s="80" t="s">
        <v>17</v>
      </c>
      <c r="H44" s="81">
        <v>1</v>
      </c>
      <c r="I44" s="71">
        <f>VLOOKUP(B44,'HECVAT - Full'!A:E,3,FALSE)</f>
        <v>0</v>
      </c>
      <c r="J44" s="71">
        <f>IF(VLOOKUP(Table1[[#This Row],[Column2]],'Analyst Report'!$A$41:$G$88,7,FALSE)="Yes",1,0)</f>
        <v>0</v>
      </c>
      <c r="K44" s="71">
        <f>IF(Table1[[#This Row],[Column8]]=1,25,"")</f>
        <v>25</v>
      </c>
      <c r="L44" s="71">
        <f>IF(Table1[[#This Row],[Column8]]=1,J44*K44,"")</f>
        <v>0</v>
      </c>
      <c r="M44" s="72" t="str">
        <f>VLOOKUP($B44,'Standards Crosswalk'!$A:$H,3,FALSE)</f>
        <v>CSC 5</v>
      </c>
      <c r="N44" s="72">
        <f>VLOOKUP($B44,'Standards Crosswalk'!$A:$H,4,FALSE)</f>
        <v>0</v>
      </c>
      <c r="O44" s="72">
        <f>VLOOKUP($B44,'Standards Crosswalk'!$A:$H,5,FALSE)</f>
        <v>9.1999999999999993</v>
      </c>
      <c r="P44" s="72" t="str">
        <f>VLOOKUP($B44,'Standards Crosswalk'!$A:$H,6,FALSE)</f>
        <v>PR.AC-4, PR.PT-3</v>
      </c>
      <c r="Q44" s="72" t="str">
        <f>VLOOKUP($B44,'Standards Crosswalk'!$A:$H,7,FALSE)</f>
        <v>3.1.1, 3.1.5, 3.1.6, 3.7.1, 3.7.2</v>
      </c>
      <c r="R44" s="72" t="str">
        <f>VLOOKUP($B44,'Standards Crosswalk'!$A:$H,8,FALSE)</f>
        <v>AC-2, AC-3, AC-6, MA-2, MA-3</v>
      </c>
      <c r="S44" s="72" t="str">
        <f>VLOOKUP($B44,'Standards Crosswalk'!$A:$I,9,FALSE)</f>
        <v>7.x, 8.x</v>
      </c>
    </row>
    <row r="45" spans="1:19" ht="46" thickBot="1" x14ac:dyDescent="0.2">
      <c r="A45" s="71">
        <f t="shared" si="1"/>
        <v>43</v>
      </c>
      <c r="B45" s="77" t="s">
        <v>210</v>
      </c>
      <c r="C45" s="78" t="str">
        <f>VLOOKUP(B45,'HECVAT - Full'!A:E,2,FALSE)</f>
        <v>Describe or provide references explaining how tertiary services are redundant (i.e. DNS, ISP, etc.).</v>
      </c>
      <c r="D45" s="71">
        <f>VLOOKUP(B45,'HECVAT - Full'!A:E,4,FALSE)</f>
        <v>0</v>
      </c>
      <c r="E45" s="79" t="b">
        <f>IF(Table1[[#This Row],[Column11]]&gt;20,TRUE,FALSE)</f>
        <v>0</v>
      </c>
      <c r="F45" s="86" t="s">
        <v>2030</v>
      </c>
      <c r="G45" s="80" t="s">
        <v>17</v>
      </c>
      <c r="H45" s="81">
        <v>1</v>
      </c>
      <c r="I45" s="71">
        <f>VLOOKUP(B45,'HECVAT - Full'!A:E,3,FALSE)</f>
        <v>0</v>
      </c>
      <c r="J45" s="71">
        <f>IF(VLOOKUP(Table1[[#This Row],[Column2]],'Analyst Report'!$A$41:$G$88,7,FALSE)="Yes",1,0)</f>
        <v>0</v>
      </c>
      <c r="K45" s="71">
        <f>IF(Table1[[#This Row],[Column8]]=1,15,"")</f>
        <v>15</v>
      </c>
      <c r="L45" s="71">
        <f>IF(Table1[[#This Row],[Column8]]=1,J45*K45,"")</f>
        <v>0</v>
      </c>
      <c r="M45" s="72" t="str">
        <f>VLOOKUP($B45,'Standards Crosswalk'!$A:$H,3,FALSE)</f>
        <v>CSC 14</v>
      </c>
      <c r="N45" s="72">
        <f>VLOOKUP($B45,'Standards Crosswalk'!$A:$H,4,FALSE)</f>
        <v>0</v>
      </c>
      <c r="O45" s="72" t="str">
        <f>VLOOKUP($B45,'Standards Crosswalk'!$A:$H,5,FALSE)</f>
        <v>9.1.1</v>
      </c>
      <c r="P45" s="72" t="str">
        <f>VLOOKUP($B45,'Standards Crosswalk'!$A:$H,6,FALSE)</f>
        <v>PR.AC-4</v>
      </c>
      <c r="Q45" s="72" t="str">
        <f>VLOOKUP($B45,'Standards Crosswalk'!$A:$H,7,FALSE)</f>
        <v>3.1.2</v>
      </c>
      <c r="R45" s="72">
        <f>VLOOKUP($B45,'Standards Crosswalk'!$A:$H,8,FALSE)</f>
        <v>0</v>
      </c>
      <c r="S45" s="72">
        <f>VLOOKUP($B45,'Standards Crosswalk'!$A:$I,9,FALSE)</f>
        <v>0</v>
      </c>
    </row>
    <row r="46" spans="1:19" ht="76" thickBot="1" x14ac:dyDescent="0.2">
      <c r="A46" s="71">
        <f t="shared" si="1"/>
        <v>44</v>
      </c>
      <c r="B46" s="77" t="s">
        <v>212</v>
      </c>
      <c r="C46" s="78" t="str">
        <f>VLOOKUP(B46,'HECVAT - Full'!A:E,2,FALSE)</f>
        <v>Can you enforce password/passphrase aging requirements?</v>
      </c>
      <c r="D46" s="71">
        <f>VLOOKUP(B46,'HECVAT - Full'!A:E,4,FALSE)</f>
        <v>0</v>
      </c>
      <c r="E46" s="79" t="b">
        <f>IF(Table1[[#This Row],[Column11]]&gt;20,TRUE,FALSE)</f>
        <v>1</v>
      </c>
      <c r="F46" s="79" t="s">
        <v>2031</v>
      </c>
      <c r="G46" s="80" t="s">
        <v>17</v>
      </c>
      <c r="H46" s="81">
        <v>1</v>
      </c>
      <c r="I46" s="71">
        <f>VLOOKUP(B46,'HECVAT - Full'!A:E,3,FALSE)</f>
        <v>0</v>
      </c>
      <c r="J46" s="71">
        <f>IF(Table1[[#This Row],[Column7]]=Table1[[#This Row],[Column9]],1,0)</f>
        <v>0</v>
      </c>
      <c r="K46" s="71">
        <f>IF(Table1[[#This Row],[Column8]]=1,25,"")</f>
        <v>25</v>
      </c>
      <c r="L46" s="71">
        <f>IF(Table1[[#This Row],[Column8]]=1,J46*K46,"")</f>
        <v>0</v>
      </c>
      <c r="M46" s="72" t="str">
        <f>VLOOKUP($B46,'Standards Crosswalk'!$A:$H,3,FALSE)</f>
        <v>CSC 16</v>
      </c>
      <c r="N46" s="72">
        <f>VLOOKUP($B46,'Standards Crosswalk'!$A:$H,4,FALSE)</f>
        <v>0</v>
      </c>
      <c r="O46" s="72" t="str">
        <f>VLOOKUP($B46,'Standards Crosswalk'!$A:$H,5,FALSE)</f>
        <v>9.2.3, 9.3.1, 9.4.3</v>
      </c>
      <c r="P46" s="72" t="str">
        <f>VLOOKUP($B46,'Standards Crosswalk'!$A:$H,6,FALSE)</f>
        <v>PR.AC-1</v>
      </c>
      <c r="Q46" s="72" t="str">
        <f>VLOOKUP($B46,'Standards Crosswalk'!$A:$H,7,FALSE)</f>
        <v>3.5.6</v>
      </c>
      <c r="R46" s="72" t="str">
        <f>VLOOKUP($B46,'Standards Crosswalk'!$A:$H,8,FALSE)</f>
        <v>IA-4</v>
      </c>
      <c r="S46" s="72" t="str">
        <f>VLOOKUP($B46,'Standards Crosswalk'!$A:$I,9,FALSE)</f>
        <v>8.x</v>
      </c>
    </row>
    <row r="47" spans="1:19" ht="76" thickBot="1" x14ac:dyDescent="0.2">
      <c r="A47" s="71">
        <f t="shared" si="1"/>
        <v>45</v>
      </c>
      <c r="B47" s="77" t="s">
        <v>213</v>
      </c>
      <c r="C47" s="78" t="str">
        <f>VLOOKUP(B47,'HECVAT - Full'!A:E,2,FALSE)</f>
        <v>Can you enforce password/passphrase complexity requirements [provided by the institution]?</v>
      </c>
      <c r="D47" s="71">
        <f>VLOOKUP(B47,'HECVAT - Full'!A:E,4,FALSE)</f>
        <v>0</v>
      </c>
      <c r="E47" s="79" t="b">
        <f>IF(Table1[[#This Row],[Column11]]&gt;20,TRUE,FALSE)</f>
        <v>1</v>
      </c>
      <c r="F47" s="79" t="s">
        <v>2031</v>
      </c>
      <c r="G47" s="80" t="s">
        <v>17</v>
      </c>
      <c r="H47" s="81">
        <v>1</v>
      </c>
      <c r="I47" s="71">
        <f>VLOOKUP(B47,'HECVAT - Full'!A:E,3,FALSE)</f>
        <v>0</v>
      </c>
      <c r="J47" s="71">
        <f>IF(Table1[[#This Row],[Column7]]=Table1[[#This Row],[Column9]],1,0)</f>
        <v>0</v>
      </c>
      <c r="K47" s="71">
        <f>IF(Table1[[#This Row],[Column8]]=1,25,"")</f>
        <v>25</v>
      </c>
      <c r="L47" s="71">
        <f>IF(Table1[[#This Row],[Column8]]=1,J47*K47,"")</f>
        <v>0</v>
      </c>
      <c r="M47" s="72" t="str">
        <f>VLOOKUP($B47,'Standards Crosswalk'!$A:$H,3,FALSE)</f>
        <v>CSC 16</v>
      </c>
      <c r="N47" s="72">
        <f>VLOOKUP($B47,'Standards Crosswalk'!$A:$H,4,FALSE)</f>
        <v>0</v>
      </c>
      <c r="O47" s="72" t="str">
        <f>VLOOKUP($B47,'Standards Crosswalk'!$A:$H,5,FALSE)</f>
        <v>9.2.3, 9.3.1, 9.4.3</v>
      </c>
      <c r="P47" s="72" t="str">
        <f>VLOOKUP($B47,'Standards Crosswalk'!$A:$H,6,FALSE)</f>
        <v>PR.AC-1</v>
      </c>
      <c r="Q47" s="72" t="str">
        <f>VLOOKUP($B47,'Standards Crosswalk'!$A:$H,7,FALSE)</f>
        <v>3.5.7</v>
      </c>
      <c r="R47" s="72" t="str">
        <f>VLOOKUP($B47,'Standards Crosswalk'!$A:$H,8,FALSE)</f>
        <v>IA-5(1)</v>
      </c>
      <c r="S47" s="72" t="str">
        <f>VLOOKUP($B47,'Standards Crosswalk'!$A:$I,9,FALSE)</f>
        <v>8.x</v>
      </c>
    </row>
    <row r="48" spans="1:19" ht="76" thickBot="1" x14ac:dyDescent="0.2">
      <c r="A48" s="71">
        <f t="shared" si="1"/>
        <v>46</v>
      </c>
      <c r="B48" s="77" t="s">
        <v>214</v>
      </c>
      <c r="C48" s="78" t="str">
        <f>VLOOKUP(B48,'HECVAT - Full'!A:E,2,FALSE)</f>
        <v>Does the system have password complexity or length limitations and/or restrictions?</v>
      </c>
      <c r="D48" s="71">
        <f>VLOOKUP(B48,'HECVAT - Full'!A:E,4,FALSE)</f>
        <v>0</v>
      </c>
      <c r="E48" s="79" t="b">
        <f>IF(Table1[[#This Row],[Column11]]&gt;20,TRUE,FALSE)</f>
        <v>1</v>
      </c>
      <c r="F48" s="79" t="s">
        <v>2031</v>
      </c>
      <c r="G48" s="80" t="s">
        <v>17</v>
      </c>
      <c r="H48" s="81">
        <v>1</v>
      </c>
      <c r="I48" s="71">
        <f>VLOOKUP(B48,'HECVAT - Full'!A:E,3,FALSE)</f>
        <v>0</v>
      </c>
      <c r="J48" s="71">
        <f>IF(Table1[[#This Row],[Column7]]=Table1[[#This Row],[Column9]],1,0)</f>
        <v>0</v>
      </c>
      <c r="K48" s="71">
        <f>IF(Table1[[#This Row],[Column8]]=1,25,"")</f>
        <v>25</v>
      </c>
      <c r="L48" s="71">
        <f>IF(Table1[[#This Row],[Column8]]=1,J48*K48,"")</f>
        <v>0</v>
      </c>
      <c r="M48" s="72" t="str">
        <f>VLOOKUP($B48,'Standards Crosswalk'!$A:$H,3,FALSE)</f>
        <v>CSC 16</v>
      </c>
      <c r="N48" s="72">
        <f>VLOOKUP($B48,'Standards Crosswalk'!$A:$H,4,FALSE)</f>
        <v>0</v>
      </c>
      <c r="O48" s="72" t="str">
        <f>VLOOKUP($B48,'Standards Crosswalk'!$A:$H,5,FALSE)</f>
        <v>9.2.3, 9.3.1, 9.4.3</v>
      </c>
      <c r="P48" s="72" t="str">
        <f>VLOOKUP($B48,'Standards Crosswalk'!$A:$H,6,FALSE)</f>
        <v>PR.AC-1</v>
      </c>
      <c r="Q48" s="72">
        <f>VLOOKUP($B48,'Standards Crosswalk'!$A:$H,7,FALSE)</f>
        <v>0</v>
      </c>
      <c r="R48" s="72">
        <f>VLOOKUP($B48,'Standards Crosswalk'!$A:$H,8,FALSE)</f>
        <v>0</v>
      </c>
      <c r="S48" s="72" t="str">
        <f>VLOOKUP($B48,'Standards Crosswalk'!$A:$I,9,FALSE)</f>
        <v>8.x</v>
      </c>
    </row>
    <row r="49" spans="1:19" ht="76" thickBot="1" x14ac:dyDescent="0.2">
      <c r="A49" s="71">
        <f t="shared" si="1"/>
        <v>47</v>
      </c>
      <c r="B49" s="77" t="s">
        <v>215</v>
      </c>
      <c r="C49" s="78" t="str">
        <f>VLOOKUP(B49,'HECVAT - Full'!A:E,2,FALSE)</f>
        <v>Do you have documented password/passphrase reset procedures that are currently implemented in the system and/or customer support?</v>
      </c>
      <c r="D49" s="71">
        <f>VLOOKUP(B49,'HECVAT - Full'!A:E,4,FALSE)</f>
        <v>0</v>
      </c>
      <c r="E49" s="79" t="b">
        <f>IF(Table1[[#This Row],[Column11]]&gt;20,TRUE,FALSE)</f>
        <v>0</v>
      </c>
      <c r="F49" s="79" t="s">
        <v>2031</v>
      </c>
      <c r="G49" s="80" t="s">
        <v>17</v>
      </c>
      <c r="H49" s="81">
        <v>1</v>
      </c>
      <c r="I49" s="71">
        <f>VLOOKUP(B49,'HECVAT - Full'!A:E,3,FALSE)</f>
        <v>0</v>
      </c>
      <c r="J49" s="71">
        <f>IF(Table1[[#This Row],[Column7]]=Table1[[#This Row],[Column9]],1,0)</f>
        <v>0</v>
      </c>
      <c r="K49" s="71">
        <f>IF(Table1[[#This Row],[Column8]]=1,20,"")</f>
        <v>20</v>
      </c>
      <c r="L49" s="71">
        <f>IF(Table1[[#This Row],[Column8]]=1,J49*K49,"")</f>
        <v>0</v>
      </c>
      <c r="M49" s="72" t="str">
        <f>VLOOKUP($B49,'Standards Crosswalk'!$A:$H,3,FALSE)</f>
        <v>CSC 16</v>
      </c>
      <c r="N49" s="72">
        <f>VLOOKUP($B49,'Standards Crosswalk'!$A:$H,4,FALSE)</f>
        <v>0</v>
      </c>
      <c r="O49" s="72" t="str">
        <f>VLOOKUP($B49,'Standards Crosswalk'!$A:$H,5,FALSE)</f>
        <v>9.2.3, 9.3.1, 9.4.3</v>
      </c>
      <c r="P49" s="72" t="str">
        <f>VLOOKUP($B49,'Standards Crosswalk'!$A:$H,6,FALSE)</f>
        <v>PR.AC-1</v>
      </c>
      <c r="Q49" s="72" t="str">
        <f>VLOOKUP($B49,'Standards Crosswalk'!$A:$H,7,FALSE)</f>
        <v>3.5.5, 3.5.8</v>
      </c>
      <c r="R49" s="72" t="str">
        <f>VLOOKUP($B49,'Standards Crosswalk'!$A:$H,8,FALSE)</f>
        <v>IA-4</v>
      </c>
      <c r="S49" s="72" t="str">
        <f>VLOOKUP($B49,'Standards Crosswalk'!$A:$I,9,FALSE)</f>
        <v>2.1, 8.x</v>
      </c>
    </row>
    <row r="50" spans="1:19" ht="76" thickBot="1" x14ac:dyDescent="0.2">
      <c r="A50" s="71">
        <f t="shared" si="1"/>
        <v>48</v>
      </c>
      <c r="B50" s="77" t="s">
        <v>216</v>
      </c>
      <c r="C50" s="78" t="str">
        <f>VLOOKUP(B50,'HECVAT - Full'!A:E,2,FALSE)</f>
        <v>Does your web-based interface support authentication, including standards-based single-sign-on? (e.g. InCommon)</v>
      </c>
      <c r="D50" s="71">
        <f>VLOOKUP(B50,'HECVAT - Full'!A:E,4,FALSE)</f>
        <v>0</v>
      </c>
      <c r="E50" s="79" t="b">
        <f>IF(Table1[[#This Row],[Column11]]&gt;20,TRUE,FALSE)</f>
        <v>1</v>
      </c>
      <c r="F50" s="79" t="s">
        <v>2031</v>
      </c>
      <c r="G50" s="80" t="s">
        <v>17</v>
      </c>
      <c r="H50" s="81">
        <v>1</v>
      </c>
      <c r="I50" s="71">
        <f>VLOOKUP(B50,'HECVAT - Full'!A:E,3,FALSE)</f>
        <v>0</v>
      </c>
      <c r="J50" s="71">
        <f>IF(Table1[[#This Row],[Column7]]=Table1[[#This Row],[Column9]],1,0)</f>
        <v>0</v>
      </c>
      <c r="K50" s="71">
        <f>IF(Table1[[#This Row],[Column8]]=1,40,"")</f>
        <v>40</v>
      </c>
      <c r="L50" s="71">
        <f>IF(Table1[[#This Row],[Column8]]=1,J50*K50,"")</f>
        <v>0</v>
      </c>
      <c r="M50" s="72" t="str">
        <f>VLOOKUP($B50,'Standards Crosswalk'!$A:$H,3,FALSE)</f>
        <v>CSC 16</v>
      </c>
      <c r="N50" s="72">
        <f>VLOOKUP($B50,'Standards Crosswalk'!$A:$H,4,FALSE)</f>
        <v>0</v>
      </c>
      <c r="O50" s="72" t="str">
        <f>VLOOKUP($B50,'Standards Crosswalk'!$A:$H,5,FALSE)</f>
        <v>9.1.1, 9.2.3, 9.3.1, 9.4.3</v>
      </c>
      <c r="P50" s="72" t="str">
        <f>VLOOKUP($B50,'Standards Crosswalk'!$A:$H,6,FALSE)</f>
        <v>PR.AC-1</v>
      </c>
      <c r="Q50" s="72" t="str">
        <f>VLOOKUP($B50,'Standards Crosswalk'!$A:$H,7,FALSE)</f>
        <v>3.5.1</v>
      </c>
      <c r="R50" s="72" t="str">
        <f>VLOOKUP($B50,'Standards Crosswalk'!$A:$H,8,FALSE)</f>
        <v>IA-2, IA-5</v>
      </c>
      <c r="S50" s="72" t="str">
        <f>VLOOKUP($B50,'Standards Crosswalk'!$A:$I,9,FALSE)</f>
        <v>8.x</v>
      </c>
    </row>
    <row r="51" spans="1:19" ht="76" thickBot="1" x14ac:dyDescent="0.2">
      <c r="A51" s="71">
        <f t="shared" si="1"/>
        <v>49</v>
      </c>
      <c r="B51" s="77" t="s">
        <v>217</v>
      </c>
      <c r="C51" s="78" t="str">
        <f>VLOOKUP(B51,'HECVAT - Full'!A:E,2,FALSE)</f>
        <v>Are there any passwords/passphrases hard coded into your systems or products?</v>
      </c>
      <c r="D51" s="71">
        <f>VLOOKUP(B51,'HECVAT - Full'!A:E,4,FALSE)</f>
        <v>0</v>
      </c>
      <c r="E51" s="79" t="b">
        <f>IF(Table1[[#This Row],[Column11]]&gt;20,TRUE,FALSE)</f>
        <v>1</v>
      </c>
      <c r="F51" s="79" t="s">
        <v>2031</v>
      </c>
      <c r="G51" s="80" t="s">
        <v>21</v>
      </c>
      <c r="H51" s="81">
        <v>1</v>
      </c>
      <c r="I51" s="71">
        <f>VLOOKUP(B51,'HECVAT - Full'!A:E,3,FALSE)</f>
        <v>0</v>
      </c>
      <c r="J51" s="71">
        <f>IF(Table1[[#This Row],[Column7]]=Table1[[#This Row],[Column9]],1,0)</f>
        <v>0</v>
      </c>
      <c r="K51" s="71">
        <f>IF(Table1[[#This Row],[Column8]]=1,40,"")</f>
        <v>40</v>
      </c>
      <c r="L51" s="71">
        <f>IF(Table1[[#This Row],[Column8]]=1,J51*K51,"")</f>
        <v>0</v>
      </c>
      <c r="M51" s="72" t="str">
        <f>VLOOKUP($B51,'Standards Crosswalk'!$A:$H,3,FALSE)</f>
        <v>CSC 16</v>
      </c>
      <c r="N51" s="72">
        <f>VLOOKUP($B51,'Standards Crosswalk'!$A:$H,4,FALSE)</f>
        <v>0</v>
      </c>
      <c r="O51" s="72" t="str">
        <f>VLOOKUP($B51,'Standards Crosswalk'!$A:$H,5,FALSE)</f>
        <v>9</v>
      </c>
      <c r="P51" s="72">
        <f>VLOOKUP($B51,'Standards Crosswalk'!$A:$H,6,FALSE)</f>
        <v>0</v>
      </c>
      <c r="Q51" s="72">
        <f>VLOOKUP($B51,'Standards Crosswalk'!$A:$H,7,FALSE)</f>
        <v>0</v>
      </c>
      <c r="R51" s="72">
        <f>VLOOKUP($B51,'Standards Crosswalk'!$A:$H,8,FALSE)</f>
        <v>0</v>
      </c>
      <c r="S51" s="72" t="str">
        <f>VLOOKUP($B51,'Standards Crosswalk'!$A:$I,9,FALSE)</f>
        <v>2.1, 8.x</v>
      </c>
    </row>
    <row r="52" spans="1:19" ht="76" thickBot="1" x14ac:dyDescent="0.2">
      <c r="A52" s="71">
        <f t="shared" si="1"/>
        <v>50</v>
      </c>
      <c r="B52" s="77" t="s">
        <v>218</v>
      </c>
      <c r="C52" s="78" t="str">
        <f>VLOOKUP(B52,'HECVAT - Full'!A:E,2,FALSE)</f>
        <v>Are user account passwords/passphrases visible in administration modules?</v>
      </c>
      <c r="D52" s="71">
        <f>VLOOKUP(B52,'HECVAT - Full'!A:E,4,FALSE)</f>
        <v>0</v>
      </c>
      <c r="E52" s="79" t="b">
        <f>IF(Table1[[#This Row],[Column11]]&gt;20,TRUE,FALSE)</f>
        <v>1</v>
      </c>
      <c r="F52" s="79" t="s">
        <v>2031</v>
      </c>
      <c r="G52" s="80" t="s">
        <v>21</v>
      </c>
      <c r="H52" s="81">
        <v>1</v>
      </c>
      <c r="I52" s="71">
        <f>VLOOKUP(B52,'HECVAT - Full'!A:E,3,FALSE)</f>
        <v>0</v>
      </c>
      <c r="J52" s="71">
        <f>IF(Table1[[#This Row],[Column7]]=Table1[[#This Row],[Column9]],1,0)</f>
        <v>0</v>
      </c>
      <c r="K52" s="71">
        <f>IF(Table1[[#This Row],[Column8]]=1,25,"")</f>
        <v>25</v>
      </c>
      <c r="L52" s="71">
        <f>IF(Table1[[#This Row],[Column8]]=1,J52*K52,"")</f>
        <v>0</v>
      </c>
      <c r="M52" s="72" t="str">
        <f>VLOOKUP($B52,'Standards Crosswalk'!$A:$H,3,FALSE)</f>
        <v>CSC 16</v>
      </c>
      <c r="N52" s="72">
        <f>VLOOKUP($B52,'Standards Crosswalk'!$A:$H,4,FALSE)</f>
        <v>0</v>
      </c>
      <c r="O52" s="72" t="str">
        <f>VLOOKUP($B52,'Standards Crosswalk'!$A:$H,5,FALSE)</f>
        <v>9</v>
      </c>
      <c r="P52" s="72" t="str">
        <f>VLOOKUP($B52,'Standards Crosswalk'!$A:$H,6,FALSE)</f>
        <v>PR.AC-1</v>
      </c>
      <c r="Q52" s="72">
        <f>VLOOKUP($B52,'Standards Crosswalk'!$A:$H,7,FALSE)</f>
        <v>0</v>
      </c>
      <c r="R52" s="72">
        <f>VLOOKUP($B52,'Standards Crosswalk'!$A:$H,8,FALSE)</f>
        <v>0</v>
      </c>
      <c r="S52" s="72" t="str">
        <f>VLOOKUP($B52,'Standards Crosswalk'!$A:$I,9,FALSE)</f>
        <v>8.x</v>
      </c>
    </row>
    <row r="53" spans="1:19" ht="76" thickBot="1" x14ac:dyDescent="0.2">
      <c r="A53" s="71">
        <f t="shared" si="1"/>
        <v>51</v>
      </c>
      <c r="B53" s="77" t="s">
        <v>219</v>
      </c>
      <c r="C53" s="78" t="str">
        <f>VLOOKUP(B53,'HECVAT - Full'!A:E,2,FALSE)</f>
        <v>Are user account passwords/passphrases stored encrypted?</v>
      </c>
      <c r="D53" s="71">
        <f>VLOOKUP(B53,'HECVAT - Full'!A:E,4,FALSE)</f>
        <v>0</v>
      </c>
      <c r="E53" s="79" t="b">
        <f>IF(Table1[[#This Row],[Column11]]&gt;20,TRUE,FALSE)</f>
        <v>1</v>
      </c>
      <c r="F53" s="79" t="s">
        <v>2031</v>
      </c>
      <c r="G53" s="80" t="s">
        <v>17</v>
      </c>
      <c r="H53" s="81">
        <v>1</v>
      </c>
      <c r="I53" s="71">
        <f>VLOOKUP(B53,'HECVAT - Full'!A:E,3,FALSE)</f>
        <v>0</v>
      </c>
      <c r="J53" s="71">
        <f>IF(Table1[[#This Row],[Column7]]=Table1[[#This Row],[Column9]],1,0)</f>
        <v>0</v>
      </c>
      <c r="K53" s="71">
        <f>IF(Table1[[#This Row],[Column8]]=1,40,"")</f>
        <v>40</v>
      </c>
      <c r="L53" s="71">
        <f>IF(Table1[[#This Row],[Column8]]=1,J53*K53,"")</f>
        <v>0</v>
      </c>
      <c r="M53" s="72" t="str">
        <f>VLOOKUP($B53,'Standards Crosswalk'!$A:$H,3,FALSE)</f>
        <v>CSC 16</v>
      </c>
      <c r="N53" s="72">
        <f>VLOOKUP($B53,'Standards Crosswalk'!$A:$H,4,FALSE)</f>
        <v>0</v>
      </c>
      <c r="O53" s="72" t="str">
        <f>VLOOKUP($B53,'Standards Crosswalk'!$A:$H,5,FALSE)</f>
        <v>9</v>
      </c>
      <c r="P53" s="72" t="str">
        <f>VLOOKUP($B53,'Standards Crosswalk'!$A:$H,6,FALSE)</f>
        <v>PR.AC-1</v>
      </c>
      <c r="Q53" s="72" t="str">
        <f>VLOOKUP($B53,'Standards Crosswalk'!$A:$H,7,FALSE)</f>
        <v>3.5.10</v>
      </c>
      <c r="R53" s="72" t="str">
        <f>VLOOKUP($B53,'Standards Crosswalk'!$A:$H,8,FALSE)</f>
        <v>IA-5(1)</v>
      </c>
      <c r="S53" s="72" t="str">
        <f>VLOOKUP($B53,'Standards Crosswalk'!$A:$I,9,FALSE)</f>
        <v>8.x</v>
      </c>
    </row>
    <row r="54" spans="1:19" ht="76" thickBot="1" x14ac:dyDescent="0.2">
      <c r="A54" s="71">
        <f t="shared" si="1"/>
        <v>52</v>
      </c>
      <c r="B54" s="77" t="s">
        <v>220</v>
      </c>
      <c r="C54" s="78" t="str">
        <f>VLOOKUP(B54,'HECVAT - Full'!A:E,2,FALSE)</f>
        <v>Does your application and/or user-frontend/portal support multi-factor authentication? (e.g. Duo, Google Authenticator, OTP, etc.)</v>
      </c>
      <c r="D54" s="71">
        <f>VLOOKUP(B54,'HECVAT - Full'!A:E,4,FALSE)</f>
        <v>0</v>
      </c>
      <c r="E54" s="79" t="b">
        <f>IF(Table1[[#This Row],[Column11]]&gt;20,TRUE,FALSE)</f>
        <v>0</v>
      </c>
      <c r="F54" s="79" t="s">
        <v>2031</v>
      </c>
      <c r="G54" s="80" t="s">
        <v>17</v>
      </c>
      <c r="H54" s="81">
        <v>1</v>
      </c>
      <c r="I54" s="71">
        <f>VLOOKUP(B54,'HECVAT - Full'!A:E,3,FALSE)</f>
        <v>0</v>
      </c>
      <c r="J54" s="71">
        <f>IF(Table1[[#This Row],[Column7]]=Table1[[#This Row],[Column9]],1,0)</f>
        <v>0</v>
      </c>
      <c r="K54" s="71">
        <f>IF(Table1[[#This Row],[Column8]]=1,20,"")</f>
        <v>20</v>
      </c>
      <c r="L54" s="71">
        <f>IF(Table1[[#This Row],[Column8]]=1,J54*K54,"")</f>
        <v>0</v>
      </c>
      <c r="M54" s="72" t="str">
        <f>VLOOKUP($B54,'Standards Crosswalk'!$A:$H,3,FALSE)</f>
        <v>CSC 16</v>
      </c>
      <c r="N54" s="72">
        <f>VLOOKUP($B54,'Standards Crosswalk'!$A:$H,4,FALSE)</f>
        <v>0</v>
      </c>
      <c r="O54" s="72" t="str">
        <f>VLOOKUP($B54,'Standards Crosswalk'!$A:$H,5,FALSE)</f>
        <v>9</v>
      </c>
      <c r="P54" s="72" t="str">
        <f>VLOOKUP($B54,'Standards Crosswalk'!$A:$H,6,FALSE)</f>
        <v>PR.AC-4</v>
      </c>
      <c r="Q54" s="72" t="str">
        <f>VLOOKUP($B54,'Standards Crosswalk'!$A:$H,7,FALSE)</f>
        <v>3.5.2, 3.5.3</v>
      </c>
      <c r="R54" s="72" t="str">
        <f>VLOOKUP($B54,'Standards Crosswalk'!$A:$H,8,FALSE)</f>
        <v>IA-5</v>
      </c>
      <c r="S54" s="72" t="str">
        <f>VLOOKUP($B54,'Standards Crosswalk'!$A:$I,9,FALSE)</f>
        <v>8.x</v>
      </c>
    </row>
    <row r="55" spans="1:19" ht="91" thickBot="1" x14ac:dyDescent="0.2">
      <c r="A55" s="71">
        <f t="shared" si="1"/>
        <v>53</v>
      </c>
      <c r="B55" s="77" t="s">
        <v>221</v>
      </c>
      <c r="C55" s="78" t="str">
        <f>VLOOKUP(B55,'HECVAT - Full'!A:E,2,FALSE)</f>
        <v>Does your application support integration with other authentication and authorization systems?  List which ones (such as Active Directory, Kerberos and what version) in Additional Info?</v>
      </c>
      <c r="D55" s="71">
        <f>VLOOKUP(B55,'HECVAT - Full'!A:E,4,FALSE)</f>
        <v>0</v>
      </c>
      <c r="E55" s="79" t="b">
        <f>IF(Table1[[#This Row],[Column11]]&gt;20,TRUE,FALSE)</f>
        <v>0</v>
      </c>
      <c r="F55" s="79" t="s">
        <v>2031</v>
      </c>
      <c r="G55" s="80" t="s">
        <v>17</v>
      </c>
      <c r="H55" s="81">
        <v>1</v>
      </c>
      <c r="I55" s="71">
        <f>VLOOKUP(B55,'HECVAT - Full'!A:E,3,FALSE)</f>
        <v>0</v>
      </c>
      <c r="J55" s="71">
        <f>IF(Table1[[#This Row],[Column7]]=Table1[[#This Row],[Column9]],1,0)</f>
        <v>0</v>
      </c>
      <c r="K55" s="71">
        <f>IF(Table1[[#This Row],[Column8]]=1,15,"")</f>
        <v>15</v>
      </c>
      <c r="L55" s="71">
        <f>IF(Table1[[#This Row],[Column8]]=1,J55*K55,"")</f>
        <v>0</v>
      </c>
      <c r="M55" s="72" t="str">
        <f>VLOOKUP($B55,'Standards Crosswalk'!$A:$H,3,FALSE)</f>
        <v>CSC 16</v>
      </c>
      <c r="N55" s="72">
        <f>VLOOKUP($B55,'Standards Crosswalk'!$A:$H,4,FALSE)</f>
        <v>0</v>
      </c>
      <c r="O55" s="72" t="str">
        <f>VLOOKUP($B55,'Standards Crosswalk'!$A:$H,5,FALSE)</f>
        <v>9.4.3</v>
      </c>
      <c r="P55" s="72" t="str">
        <f>VLOOKUP($B55,'Standards Crosswalk'!$A:$H,6,FALSE)</f>
        <v>PR.AC-1, PR.AC-4</v>
      </c>
      <c r="Q55" s="72">
        <f>VLOOKUP($B55,'Standards Crosswalk'!$A:$H,7,FALSE)</f>
        <v>0</v>
      </c>
      <c r="R55" s="72">
        <f>VLOOKUP($B55,'Standards Crosswalk'!$A:$H,8,FALSE)</f>
        <v>0</v>
      </c>
      <c r="S55" s="72">
        <f>VLOOKUP($B55,'Standards Crosswalk'!$A:$I,9,FALSE)</f>
        <v>0</v>
      </c>
    </row>
    <row r="56" spans="1:19" ht="76" thickBot="1" x14ac:dyDescent="0.2">
      <c r="A56" s="71">
        <f t="shared" si="1"/>
        <v>54</v>
      </c>
      <c r="B56" s="77" t="s">
        <v>222</v>
      </c>
      <c r="C56" s="78" t="str">
        <f>VLOOKUP(B56,'HECVAT - Full'!A:E,2,FALSE)</f>
        <v>Will any external authentication or authorization system be utilized by an application with access to the institution's data?</v>
      </c>
      <c r="D56" s="71">
        <f>VLOOKUP(B56,'HECVAT - Full'!A:E,4,FALSE)</f>
        <v>0</v>
      </c>
      <c r="E56" s="79" t="b">
        <f>IF(Table1[[#This Row],[Column11]]&gt;20,TRUE,FALSE)</f>
        <v>1</v>
      </c>
      <c r="F56" s="79" t="s">
        <v>2031</v>
      </c>
      <c r="G56" s="80" t="s">
        <v>21</v>
      </c>
      <c r="H56" s="81">
        <f>IF(I55="Yes",1,0)</f>
        <v>0</v>
      </c>
      <c r="I56" s="71">
        <f>VLOOKUP(B56,'HECVAT - Full'!A:E,3,FALSE)</f>
        <v>0</v>
      </c>
      <c r="J56" s="71">
        <f>IF(Table1[[#This Row],[Column7]]=Table1[[#This Row],[Column9]],1,0)</f>
        <v>0</v>
      </c>
      <c r="K56" s="71" t="str">
        <f>IF(Table1[[#This Row],[Column8]]=1,20,"")</f>
        <v/>
      </c>
      <c r="L56" s="71" t="str">
        <f>IF(Table1[[#This Row],[Column8]]=1,J56*K56,"")</f>
        <v/>
      </c>
      <c r="M56" s="72" t="str">
        <f>VLOOKUP($B56,'Standards Crosswalk'!$A:$H,3,FALSE)</f>
        <v>CSC 16</v>
      </c>
      <c r="N56" s="72">
        <f>VLOOKUP($B56,'Standards Crosswalk'!$A:$H,4,FALSE)</f>
        <v>0</v>
      </c>
      <c r="O56" s="72" t="str">
        <f>VLOOKUP($B56,'Standards Crosswalk'!$A:$H,5,FALSE)</f>
        <v>9</v>
      </c>
      <c r="P56" s="72" t="str">
        <f>VLOOKUP($B56,'Standards Crosswalk'!$A:$H,6,FALSE)</f>
        <v>PR.AC-1, PR.AC-4</v>
      </c>
      <c r="Q56" s="72">
        <f>VLOOKUP($B56,'Standards Crosswalk'!$A:$H,7,FALSE)</f>
        <v>0</v>
      </c>
      <c r="R56" s="72">
        <f>VLOOKUP($B56,'Standards Crosswalk'!$A:$H,8,FALSE)</f>
        <v>0</v>
      </c>
      <c r="S56" s="72" t="str">
        <f>VLOOKUP($B56,'Standards Crosswalk'!$A:$I,9,FALSE)</f>
        <v>8.x</v>
      </c>
    </row>
    <row r="57" spans="1:19" ht="76" thickBot="1" x14ac:dyDescent="0.2">
      <c r="A57" s="71">
        <f t="shared" si="1"/>
        <v>55</v>
      </c>
      <c r="B57" s="77" t="s">
        <v>223</v>
      </c>
      <c r="C57" s="78" t="str">
        <f>VLOOKUP(B57,'HECVAT - Full'!A:E,2,FALSE)</f>
        <v>Does the system (servers/infrastructure) support external authentication services (e.g. Active Directory, LDAP) in place of local authentication?</v>
      </c>
      <c r="D57" s="71">
        <f>VLOOKUP(B57,'HECVAT - Full'!A:E,4,FALSE)</f>
        <v>0</v>
      </c>
      <c r="E57" s="79" t="b">
        <f>IF(Table1[[#This Row],[Column11]]&gt;20,TRUE,FALSE)</f>
        <v>0</v>
      </c>
      <c r="F57" s="79" t="s">
        <v>2031</v>
      </c>
      <c r="G57" s="80" t="s">
        <v>17</v>
      </c>
      <c r="H57" s="81">
        <v>1</v>
      </c>
      <c r="I57" s="71">
        <f>VLOOKUP(B57,'HECVAT - Full'!A:E,3,FALSE)</f>
        <v>0</v>
      </c>
      <c r="J57" s="71">
        <f>IF(Table1[[#This Row],[Column7]]=Table1[[#This Row],[Column9]],1,0)</f>
        <v>0</v>
      </c>
      <c r="K57" s="71">
        <f>IF(Table1[[#This Row],[Column8]]=1,20,"")</f>
        <v>20</v>
      </c>
      <c r="L57" s="71">
        <f>IF(Table1[[#This Row],[Column8]]=1,J57*K57,"")</f>
        <v>0</v>
      </c>
      <c r="M57" s="72" t="str">
        <f>VLOOKUP($B57,'Standards Crosswalk'!$A:$H,3,FALSE)</f>
        <v>CSC 16</v>
      </c>
      <c r="N57" s="72">
        <f>VLOOKUP($B57,'Standards Crosswalk'!$A:$H,4,FALSE)</f>
        <v>0</v>
      </c>
      <c r="O57" s="72" t="str">
        <f>VLOOKUP($B57,'Standards Crosswalk'!$A:$H,5,FALSE)</f>
        <v>9.4.3</v>
      </c>
      <c r="P57" s="72" t="str">
        <f>VLOOKUP($B57,'Standards Crosswalk'!$A:$H,6,FALSE)</f>
        <v>PR.AC-1, PR.AC-4</v>
      </c>
      <c r="Q57" s="72">
        <f>VLOOKUP($B57,'Standards Crosswalk'!$A:$H,7,FALSE)</f>
        <v>0</v>
      </c>
      <c r="R57" s="72">
        <f>VLOOKUP($B57,'Standards Crosswalk'!$A:$H,8,FALSE)</f>
        <v>0</v>
      </c>
      <c r="S57" s="72">
        <f>VLOOKUP($B57,'Standards Crosswalk'!$A:$I,9,FALSE)</f>
        <v>0</v>
      </c>
    </row>
    <row r="58" spans="1:19" ht="73.5" customHeight="1" thickBot="1" x14ac:dyDescent="0.2">
      <c r="A58" s="71">
        <f t="shared" si="1"/>
        <v>56</v>
      </c>
      <c r="B58" s="77" t="s">
        <v>224</v>
      </c>
      <c r="C58" s="78" t="str">
        <f>VLOOKUP(B58,'HECVAT - Full'!A:E,2,FALSE)</f>
        <v>Does the system operate in a mixed authentication mode (i.e. external and local authentication)?</v>
      </c>
      <c r="D58" s="71">
        <f>VLOOKUP(B58,'HECVAT - Full'!A:E,4,FALSE)</f>
        <v>0</v>
      </c>
      <c r="E58" s="79" t="b">
        <f>IF(Table1[[#This Row],[Column11]]&gt;20,TRUE,FALSE)</f>
        <v>1</v>
      </c>
      <c r="F58" s="79" t="s">
        <v>2031</v>
      </c>
      <c r="G58" s="80" t="s">
        <v>21</v>
      </c>
      <c r="H58" s="81">
        <f>IF(I57="Yes",1,0)</f>
        <v>0</v>
      </c>
      <c r="I58" s="71">
        <f>VLOOKUP(B58,'HECVAT - Full'!A:E,3,FALSE)</f>
        <v>0</v>
      </c>
      <c r="J58" s="71">
        <f>IF(Table1[[#This Row],[Column7]]=Table1[[#This Row],[Column9]],1,0)</f>
        <v>0</v>
      </c>
      <c r="K58" s="71" t="str">
        <f>IF(Table1[[#This Row],[Column8]]=1,20,"")</f>
        <v/>
      </c>
      <c r="L58" s="71" t="str">
        <f>IF(Table1[[#This Row],[Column8]]=1,J58*K58,"")</f>
        <v/>
      </c>
      <c r="M58" s="72" t="str">
        <f>VLOOKUP($B58,'Standards Crosswalk'!$A:$H,3,FALSE)</f>
        <v>CSC 16</v>
      </c>
      <c r="N58" s="72">
        <f>VLOOKUP($B58,'Standards Crosswalk'!$A:$H,4,FALSE)</f>
        <v>0</v>
      </c>
      <c r="O58" s="72">
        <f>VLOOKUP($B58,'Standards Crosswalk'!$A:$H,5,FALSE)</f>
        <v>0</v>
      </c>
      <c r="P58" s="72" t="str">
        <f>VLOOKUP($B58,'Standards Crosswalk'!$A:$H,6,FALSE)</f>
        <v>PR.AC-1, PR.AC-4</v>
      </c>
      <c r="Q58" s="72">
        <f>VLOOKUP($B58,'Standards Crosswalk'!$A:$H,7,FALSE)</f>
        <v>0</v>
      </c>
      <c r="R58" s="72">
        <f>VLOOKUP($B58,'Standards Crosswalk'!$A:$H,8,FALSE)</f>
        <v>0</v>
      </c>
      <c r="S58" s="72">
        <f>VLOOKUP($B58,'Standards Crosswalk'!$A:$I,9,FALSE)</f>
        <v>0</v>
      </c>
    </row>
    <row r="59" spans="1:19" ht="73.5" customHeight="1" thickBot="1" x14ac:dyDescent="0.2">
      <c r="A59" s="71">
        <f t="shared" si="1"/>
        <v>57</v>
      </c>
      <c r="B59" s="77" t="s">
        <v>225</v>
      </c>
      <c r="C59" s="78" t="str">
        <f>VLOOKUP(B59,'HECVAT - Full'!A:E,2,FALSE)</f>
        <v>Will any external authentication or authorization system be utilized by a system with access to institution data?</v>
      </c>
      <c r="D59" s="71">
        <f>VLOOKUP(B59,'HECVAT - Full'!A:E,4,FALSE)</f>
        <v>0</v>
      </c>
      <c r="E59" s="79" t="b">
        <f>IF(Table1[[#This Row],[Column11]]&gt;20,TRUE,FALSE)</f>
        <v>1</v>
      </c>
      <c r="F59" s="79" t="s">
        <v>2031</v>
      </c>
      <c r="G59" s="80" t="s">
        <v>21</v>
      </c>
      <c r="H59" s="81">
        <f>IF(I57="Yes",1,0)</f>
        <v>0</v>
      </c>
      <c r="I59" s="71">
        <f>VLOOKUP(B59,'HECVAT - Full'!A:E,3,FALSE)</f>
        <v>0</v>
      </c>
      <c r="J59" s="71">
        <f>IF(Table1[[#This Row],[Column7]]=Table1[[#This Row],[Column9]],1,0)</f>
        <v>0</v>
      </c>
      <c r="K59" s="71" t="str">
        <f>IF(Table1[[#This Row],[Column8]]=1,20,"")</f>
        <v/>
      </c>
      <c r="L59" s="71" t="str">
        <f>IF(Table1[[#This Row],[Column8]]=1,J59*K59,"")</f>
        <v/>
      </c>
      <c r="M59" s="72" t="str">
        <f>VLOOKUP($B59,'Standards Crosswalk'!$A:$H,3,FALSE)</f>
        <v>CSC 16</v>
      </c>
      <c r="N59" s="72">
        <f>VLOOKUP($B59,'Standards Crosswalk'!$A:$H,4,FALSE)</f>
        <v>0</v>
      </c>
      <c r="O59" s="72">
        <f>VLOOKUP($B59,'Standards Crosswalk'!$A:$H,5,FALSE)</f>
        <v>0</v>
      </c>
      <c r="P59" s="72" t="str">
        <f>VLOOKUP($B59,'Standards Crosswalk'!$A:$H,6,FALSE)</f>
        <v>PR.AC-1, PR.AC-4</v>
      </c>
      <c r="Q59" s="72" t="str">
        <f>VLOOKUP($B59,'Standards Crosswalk'!$A:$H,7,FALSE)</f>
        <v>3.1.1</v>
      </c>
      <c r="R59" s="72">
        <f>VLOOKUP($B59,'Standards Crosswalk'!$A:$H,8,FALSE)</f>
        <v>0</v>
      </c>
      <c r="S59" s="72" t="str">
        <f>VLOOKUP($B59,'Standards Crosswalk'!$A:$I,9,FALSE)</f>
        <v>8.x</v>
      </c>
    </row>
    <row r="60" spans="1:19" ht="73.5" customHeight="1" thickBot="1" x14ac:dyDescent="0.2">
      <c r="A60" s="71">
        <f t="shared" si="1"/>
        <v>58</v>
      </c>
      <c r="B60" s="77" t="s">
        <v>226</v>
      </c>
      <c r="C60" s="78" t="str">
        <f>VLOOKUP(B60,'HECVAT - Full'!A:E,2,FALSE)</f>
        <v>Are audit logs available that include AT LEAST all of the following; login, logout, actions performed, and source IP address?</v>
      </c>
      <c r="D60" s="71">
        <f>VLOOKUP(B60,'HECVAT - Full'!A:E,4,FALSE)</f>
        <v>0</v>
      </c>
      <c r="E60" s="79" t="b">
        <f>IF(Table1[[#This Row],[Column11]]&gt;20,TRUE,FALSE)</f>
        <v>1</v>
      </c>
      <c r="F60" s="79" t="s">
        <v>2031</v>
      </c>
      <c r="G60" s="98" t="s">
        <v>17</v>
      </c>
      <c r="H60" s="81">
        <v>1</v>
      </c>
      <c r="I60" s="71">
        <f>VLOOKUP(B60,'HECVAT - Full'!A:E,3,FALSE)</f>
        <v>0</v>
      </c>
      <c r="J60" s="71">
        <f>IF(Table1[[#This Row],[Column7]]=Table1[[#This Row],[Column9]],1,0)</f>
        <v>0</v>
      </c>
      <c r="K60" s="71">
        <f>IF(Table1[[#This Row],[Column8]]=1,25,"")</f>
        <v>25</v>
      </c>
      <c r="L60" s="71">
        <f>IF(Table1[[#This Row],[Column8]]=1,J60*K60,"")</f>
        <v>0</v>
      </c>
      <c r="M60" s="72" t="str">
        <f>VLOOKUP($B60,'Standards Crosswalk'!$A:$H,3,FALSE)</f>
        <v>CSC 6</v>
      </c>
      <c r="N60" s="72">
        <f>VLOOKUP($B60,'Standards Crosswalk'!$A:$H,4,FALSE)</f>
        <v>0</v>
      </c>
      <c r="O60" s="72" t="str">
        <f>VLOOKUP($B60,'Standards Crosswalk'!$A:$H,5,FALSE)</f>
        <v>12.4</v>
      </c>
      <c r="P60" s="72" t="str">
        <f>VLOOKUP($B60,'Standards Crosswalk'!$A:$H,6,FALSE)</f>
        <v>PR.PT-1</v>
      </c>
      <c r="Q60" s="72" t="str">
        <f>VLOOKUP($B60,'Standards Crosswalk'!$A:$H,7,FALSE)</f>
        <v>3.1.7, 3.3.1</v>
      </c>
      <c r="R60" s="72" t="str">
        <f>VLOOKUP($B60,'Standards Crosswalk'!$A:$H,8,FALSE)</f>
        <v>AC-6(1,3,9), AU-2, AU-2(3), AU-3, AU-7, AU-9(4), AU-12, NIST 800-92</v>
      </c>
      <c r="S60" s="72" t="str">
        <f>VLOOKUP($B60,'Standards Crosswalk'!$A:$I,9,FALSE)</f>
        <v>10.1, 10.2, 10.3, 10.5, 10.6, 10.7</v>
      </c>
    </row>
    <row r="61" spans="1:19" ht="73.5" customHeight="1" thickBot="1" x14ac:dyDescent="0.2">
      <c r="A61" s="71">
        <f t="shared" si="1"/>
        <v>59</v>
      </c>
      <c r="B61" s="77" t="s">
        <v>227</v>
      </c>
      <c r="C61" s="78" t="str">
        <f>VLOOKUP(B61,'HECVAT - Full'!A:E,2,FALSE)</f>
        <v>Describe or provide a reference to the a) system capability to log security/authorization changes as well as user and administrator security events (i.e. physical or electronic)(e.g. login failures, access denied, changes accepted), and b) all requirements necessary to implement logging and monitoring on the system. Include c) information about SIEM/log collector usage.</v>
      </c>
      <c r="D61" s="71">
        <f>VLOOKUP(B61,'HECVAT - Full'!A:E,4,FALSE)</f>
        <v>0</v>
      </c>
      <c r="E61" s="79" t="b">
        <f>IF(Table1[[#This Row],[Column11]]&gt;20,TRUE,FALSE)</f>
        <v>1</v>
      </c>
      <c r="F61" s="79" t="s">
        <v>2031</v>
      </c>
      <c r="G61" s="80" t="s">
        <v>21</v>
      </c>
      <c r="H61" s="81">
        <v>1</v>
      </c>
      <c r="I61" s="71">
        <f>VLOOKUP(B61,'HECVAT - Full'!A:E,3,FALSE)</f>
        <v>0</v>
      </c>
      <c r="J61" s="71">
        <f>IF(VLOOKUP(Table1[[#This Row],[Column2]],'Analyst Report'!$A$41:$G$88,7,FALSE)="Yes",1,0)</f>
        <v>0</v>
      </c>
      <c r="K61" s="71">
        <f>IF(Table1[[#This Row],[Column8]]=1,25,"")</f>
        <v>25</v>
      </c>
      <c r="L61" s="71">
        <f>IF(Table1[[#This Row],[Column8]]=1,J61*K61,"")</f>
        <v>0</v>
      </c>
      <c r="M61" s="72" t="str">
        <f>VLOOKUP($B61,'Standards Crosswalk'!$A:$H,3,FALSE)</f>
        <v>CSC 6</v>
      </c>
      <c r="N61" s="72">
        <f>VLOOKUP($B61,'Standards Crosswalk'!$A:$H,4,FALSE)</f>
        <v>0</v>
      </c>
      <c r="O61" s="72" t="str">
        <f>VLOOKUP($B61,'Standards Crosswalk'!$A:$H,5,FALSE)</f>
        <v>12.4</v>
      </c>
      <c r="P61" s="72" t="str">
        <f>VLOOKUP($B61,'Standards Crosswalk'!$A:$H,6,FALSE)</f>
        <v>PR.PT-1</v>
      </c>
      <c r="Q61" s="72" t="str">
        <f>VLOOKUP($B61,'Standards Crosswalk'!$A:$H,7,FALSE)</f>
        <v>3.1.7, 3.3.2, 3.3.3, 3.3.4, 3.3.5, 3.4.3, 3.7.1, 3.7.6, 3.10.4, 3.10.5</v>
      </c>
      <c r="R61" s="72" t="str">
        <f>VLOOKUP($B61,'Standards Crosswalk'!$A:$H,8,FALSE)</f>
        <v>AU-2(3), AU-6, AU-12, AC-6(9), CM-3, MA-2, MA-5, PE-3</v>
      </c>
      <c r="S61" s="72" t="str">
        <f>VLOOKUP($B61,'Standards Crosswalk'!$A:$I,9,FALSE)</f>
        <v>10.1, 10.2, 10.3, 10.5, 10.6, 10.7, 9.x</v>
      </c>
    </row>
    <row r="62" spans="1:19" ht="76" thickBot="1" x14ac:dyDescent="0.2">
      <c r="A62" s="71">
        <f t="shared" si="1"/>
        <v>60</v>
      </c>
      <c r="B62" s="77" t="s">
        <v>228</v>
      </c>
      <c r="C62" s="78" t="str">
        <f>VLOOKUP(B62,'HECVAT - Full'!A:E,2,FALSE)</f>
        <v>Describe or provide a reference to the retention period for those logs, how logs are protected, and whether they are accessible to the customer (and if so, how).</v>
      </c>
      <c r="D62" s="71">
        <f>VLOOKUP(B62,'HECVAT - Full'!A:E,4,FALSE)</f>
        <v>0</v>
      </c>
      <c r="E62" s="79" t="b">
        <f>IF(Table1[[#This Row],[Column11]]&gt;20,TRUE,FALSE)</f>
        <v>0</v>
      </c>
      <c r="F62" s="79" t="s">
        <v>2031</v>
      </c>
      <c r="G62" s="98" t="s">
        <v>17</v>
      </c>
      <c r="H62" s="81">
        <v>1</v>
      </c>
      <c r="I62" s="71">
        <f>VLOOKUP(B62,'HECVAT - Full'!A:E,3,FALSE)</f>
        <v>0</v>
      </c>
      <c r="J62" s="71">
        <f>IF(Table1[[#This Row],[Column7]]=Table1[[#This Row],[Column9]],1,0)</f>
        <v>0</v>
      </c>
      <c r="K62" s="71">
        <f>IF(Table1[[#This Row],[Column8]]=1,20,"")</f>
        <v>20</v>
      </c>
      <c r="L62" s="71">
        <f>IF(Table1[[#This Row],[Column8]]=1,J62*K62,"")</f>
        <v>0</v>
      </c>
      <c r="M62" s="72" t="str">
        <f>VLOOKUP($B62,'Standards Crosswalk'!$A:$H,3,FALSE)</f>
        <v>CSC 6</v>
      </c>
      <c r="N62" s="72">
        <f>VLOOKUP($B62,'Standards Crosswalk'!$A:$H,4,FALSE)</f>
        <v>0</v>
      </c>
      <c r="O62" s="72" t="str">
        <f>VLOOKUP($B62,'Standards Crosswalk'!$A:$H,5,FALSE)</f>
        <v>12.4</v>
      </c>
      <c r="P62" s="72" t="str">
        <f>VLOOKUP($B62,'Standards Crosswalk'!$A:$H,6,FALSE)</f>
        <v>PR.PT-1</v>
      </c>
      <c r="Q62" s="72" t="str">
        <f>VLOOKUP($B62,'Standards Crosswalk'!$A:$H,7,FALSE)</f>
        <v>3.3.8, 3.3.9</v>
      </c>
      <c r="R62" s="72" t="str">
        <f>VLOOKUP($B62,'Standards Crosswalk'!$A:$H,8,FALSE)</f>
        <v>AU-9</v>
      </c>
      <c r="S62" s="72">
        <f>VLOOKUP($B62,'Standards Crosswalk'!$A:$I,9,FALSE)</f>
        <v>10.7</v>
      </c>
    </row>
    <row r="63" spans="1:19" ht="61" thickBot="1" x14ac:dyDescent="0.2">
      <c r="A63" s="71">
        <f t="shared" si="1"/>
        <v>61</v>
      </c>
      <c r="B63" s="77" t="s">
        <v>211</v>
      </c>
      <c r="C63" s="78" t="str">
        <f>VLOOKUP(B63,'HECVAT - Full'!A:E,2,FALSE)</f>
        <v>Describe or provide a reference to your Business Continuity Plan (BCP).</v>
      </c>
      <c r="D63" s="71">
        <f>VLOOKUP(B63,'HECVAT - Full'!A:E,4,FALSE)</f>
        <v>0</v>
      </c>
      <c r="E63" s="79" t="b">
        <f>IF(Table1[[#This Row],[Column11]]&gt;20,TRUE,FALSE)</f>
        <v>1</v>
      </c>
      <c r="F63" s="79" t="s">
        <v>2032</v>
      </c>
      <c r="G63" s="80" t="s">
        <v>17</v>
      </c>
      <c r="H63" s="81">
        <v>1</v>
      </c>
      <c r="I63" s="71">
        <f>VLOOKUP(B63,'HECVAT - Full'!A:E,3,FALSE)</f>
        <v>0</v>
      </c>
      <c r="J63" s="71">
        <f>IF(VLOOKUP(Table1[[#This Row],[Column2]],'Analyst Report'!$A$41:$G$88,7,FALSE)="Yes",1,0)</f>
        <v>0</v>
      </c>
      <c r="K63" s="71">
        <f>IF(Table1[[#This Row],[Column8]]=1,25,"")</f>
        <v>25</v>
      </c>
      <c r="L63" s="71">
        <f>IF(Table1[[#This Row],[Column8]]=1,J63*K63,"")</f>
        <v>0</v>
      </c>
      <c r="M63" s="72" t="str">
        <f>VLOOKUP($B63,'Standards Crosswalk'!$A:$H,3,FALSE)</f>
        <v>CSC 10</v>
      </c>
      <c r="N63" s="72">
        <f>VLOOKUP($B63,'Standards Crosswalk'!$A:$H,4,FALSE)</f>
        <v>0</v>
      </c>
      <c r="O63" s="72" t="str">
        <f>VLOOKUP($B63,'Standards Crosswalk'!$A:$H,5,FALSE)</f>
        <v>17.1.1</v>
      </c>
      <c r="P63" s="72" t="str">
        <f>VLOOKUP($B63,'Standards Crosswalk'!$A:$H,6,FALSE)</f>
        <v>PR.IP-9</v>
      </c>
      <c r="Q63" s="72" t="str">
        <f>VLOOKUP($B63,'Standards Crosswalk'!$A:$H,7,FALSE)</f>
        <v>3.12.2</v>
      </c>
      <c r="R63" s="72" t="str">
        <f>VLOOKUP($B63,'Standards Crosswalk'!$A:$H,8,FALSE)</f>
        <v>AU-7, AU-9, IR-4, AC-5, CP-4, CP-10; NIST SP 800-34</v>
      </c>
      <c r="S63" s="72">
        <f>VLOOKUP($B63,'Standards Crosswalk'!$A:$I,9,FALSE)</f>
        <v>0</v>
      </c>
    </row>
    <row r="64" spans="1:19" ht="46" thickBot="1" x14ac:dyDescent="0.2">
      <c r="A64" s="71">
        <f t="shared" si="1"/>
        <v>62</v>
      </c>
      <c r="B64" s="77" t="s">
        <v>229</v>
      </c>
      <c r="C64" s="78" t="str">
        <f>VLOOKUP(B64,'HECVAT - Full'!A:E,2,FALSE)</f>
        <v>May the Institution review your BCP and supporting documentation?</v>
      </c>
      <c r="D64" s="71">
        <f>VLOOKUP(B64,'HECVAT - Full'!A:E,4,FALSE)</f>
        <v>0</v>
      </c>
      <c r="E64" s="79" t="b">
        <f>IF(Table1[[#This Row],[Column11]]&gt;20,TRUE,FALSE)</f>
        <v>0</v>
      </c>
      <c r="F64" s="79" t="s">
        <v>2032</v>
      </c>
      <c r="G64" s="80" t="s">
        <v>17</v>
      </c>
      <c r="H64" s="81">
        <v>1</v>
      </c>
      <c r="I64" s="71">
        <f>VLOOKUP(B64,'HECVAT - Full'!A:E,3,FALSE)</f>
        <v>0</v>
      </c>
      <c r="J64" s="71">
        <f>IF(Table1[[#This Row],[Column7]]=Table1[[#This Row],[Column9]],1,0)</f>
        <v>0</v>
      </c>
      <c r="K64" s="71">
        <f>IF(Table1[[#This Row],[Column8]]=1,20,"")</f>
        <v>20</v>
      </c>
      <c r="L64" s="71">
        <f>IF(Table1[[#This Row],[Column8]]=1,J64*K64,"")</f>
        <v>0</v>
      </c>
      <c r="M64" s="72" t="str">
        <f>VLOOKUP($B64,'Standards Crosswalk'!$A:$H,3,FALSE)</f>
        <v>CSC 10</v>
      </c>
      <c r="N64" s="72">
        <f>VLOOKUP($B64,'Standards Crosswalk'!$A:$H,4,FALSE)</f>
        <v>0</v>
      </c>
      <c r="O64" s="72">
        <f>VLOOKUP($B64,'Standards Crosswalk'!$A:$H,5,FALSE)</f>
        <v>0</v>
      </c>
      <c r="P64" s="72" t="str">
        <f>VLOOKUP($B64,'Standards Crosswalk'!$A:$H,6,FALSE)</f>
        <v>PR.IP-9</v>
      </c>
      <c r="Q64" s="72" t="str">
        <f>VLOOKUP($B64,'Standards Crosswalk'!$A:$H,7,FALSE)</f>
        <v>3.12.2</v>
      </c>
      <c r="R64" s="72" t="str">
        <f>VLOOKUP($B64,'Standards Crosswalk'!$A:$H,8,FALSE)</f>
        <v>AC-5, CP-4, CP-10; NIST SP 800-34</v>
      </c>
      <c r="S64" s="72">
        <f>VLOOKUP($B64,'Standards Crosswalk'!$A:$I,9,FALSE)</f>
        <v>0</v>
      </c>
    </row>
    <row r="65" spans="1:19" ht="61" thickBot="1" x14ac:dyDescent="0.2">
      <c r="A65" s="71">
        <f t="shared" si="1"/>
        <v>63</v>
      </c>
      <c r="B65" s="77" t="s">
        <v>230</v>
      </c>
      <c r="C65" s="78" t="str">
        <f>VLOOKUP(B65,'HECVAT - Full'!A:E,2,FALSE)</f>
        <v>Is an owner assigned who is responsible for the maintenance and review of the Business Continuity Plan?</v>
      </c>
      <c r="D65" s="71">
        <f>VLOOKUP(B65,'HECVAT - Full'!A:E,4,FALSE)</f>
        <v>0</v>
      </c>
      <c r="E65" s="79" t="b">
        <f>IF(Table1[[#This Row],[Column11]]&gt;20,TRUE,FALSE)</f>
        <v>0</v>
      </c>
      <c r="F65" s="79" t="s">
        <v>2032</v>
      </c>
      <c r="G65" s="80" t="s">
        <v>17</v>
      </c>
      <c r="H65" s="81">
        <v>1</v>
      </c>
      <c r="I65" s="71">
        <f>VLOOKUP(B65,'HECVAT - Full'!A:E,3,FALSE)</f>
        <v>0</v>
      </c>
      <c r="J65" s="71">
        <f>IF(Table1[[#This Row],[Column7]]=Table1[[#This Row],[Column9]],1,0)</f>
        <v>0</v>
      </c>
      <c r="K65" s="71">
        <f>IF(Table1[[#This Row],[Column8]]=1,20,"")</f>
        <v>20</v>
      </c>
      <c r="L65" s="71">
        <f>IF(Table1[[#This Row],[Column8]]=1,J65*K65,"")</f>
        <v>0</v>
      </c>
      <c r="M65" s="72" t="str">
        <f>VLOOKUP($B65,'Standards Crosswalk'!$A:$H,3,FALSE)</f>
        <v>CSC 10</v>
      </c>
      <c r="N65" s="72">
        <f>VLOOKUP($B65,'Standards Crosswalk'!$A:$H,4,FALSE)</f>
        <v>0</v>
      </c>
      <c r="O65" s="72" t="str">
        <f>VLOOKUP($B65,'Standards Crosswalk'!$A:$H,5,FALSE)</f>
        <v>17.1.1</v>
      </c>
      <c r="P65" s="72" t="str">
        <f>VLOOKUP($B65,'Standards Crosswalk'!$A:$H,6,FALSE)</f>
        <v>PR.IP-9</v>
      </c>
      <c r="Q65" s="72" t="str">
        <f>VLOOKUP($B65,'Standards Crosswalk'!$A:$H,7,FALSE)</f>
        <v>3.12.2</v>
      </c>
      <c r="R65" s="72" t="str">
        <f>VLOOKUP($B65,'Standards Crosswalk'!$A:$H,8,FALSE)</f>
        <v>AU-7, AU-9, IR-4, AC-5, CP-4, CP-10; NIST SP 800-34</v>
      </c>
      <c r="S65" s="72">
        <f>VLOOKUP($B65,'Standards Crosswalk'!$A:$I,9,FALSE)</f>
        <v>0</v>
      </c>
    </row>
    <row r="66" spans="1:19" ht="61" thickBot="1" x14ac:dyDescent="0.2">
      <c r="A66" s="71">
        <f t="shared" si="1"/>
        <v>64</v>
      </c>
      <c r="B66" s="77" t="s">
        <v>231</v>
      </c>
      <c r="C66" s="78" t="str">
        <f>VLOOKUP(B66,'HECVAT - Full'!A:E,2,FALSE)</f>
        <v>Is there a defined problem/issue escalation plan in your BCP for impacted clients?</v>
      </c>
      <c r="D66" s="71">
        <f>VLOOKUP(B66,'HECVAT - Full'!A:E,4,FALSE)</f>
        <v>0</v>
      </c>
      <c r="E66" s="79" t="b">
        <f>IF(Table1[[#This Row],[Column11]]&gt;20,TRUE,FALSE)</f>
        <v>0</v>
      </c>
      <c r="F66" s="79" t="s">
        <v>2032</v>
      </c>
      <c r="G66" s="80" t="s">
        <v>17</v>
      </c>
      <c r="H66" s="81">
        <v>1</v>
      </c>
      <c r="I66" s="71">
        <f>VLOOKUP(B66,'HECVAT - Full'!A:E,3,FALSE)</f>
        <v>0</v>
      </c>
      <c r="J66" s="71">
        <f>IF(Table1[[#This Row],[Column7]]=Table1[[#This Row],[Column9]],1,0)</f>
        <v>0</v>
      </c>
      <c r="K66" s="71">
        <f>IF(Table1[[#This Row],[Column8]]=1,20,"")</f>
        <v>20</v>
      </c>
      <c r="L66" s="71">
        <f>IF(Table1[[#This Row],[Column8]]=1,J66*K66,"")</f>
        <v>0</v>
      </c>
      <c r="M66" s="72" t="str">
        <f>VLOOKUP($B66,'Standards Crosswalk'!$A:$H,3,FALSE)</f>
        <v>CSC 10</v>
      </c>
      <c r="N66" s="72">
        <f>VLOOKUP($B66,'Standards Crosswalk'!$A:$H,4,FALSE)</f>
        <v>0</v>
      </c>
      <c r="O66" s="72" t="str">
        <f>VLOOKUP($B66,'Standards Crosswalk'!$A:$H,5,FALSE)</f>
        <v>17</v>
      </c>
      <c r="P66" s="72" t="str">
        <f>VLOOKUP($B66,'Standards Crosswalk'!$A:$H,6,FALSE)</f>
        <v>PR.IP-9</v>
      </c>
      <c r="Q66" s="72" t="str">
        <f>VLOOKUP($B66,'Standards Crosswalk'!$A:$H,7,FALSE)</f>
        <v>3.12.2</v>
      </c>
      <c r="R66" s="72" t="str">
        <f>VLOOKUP($B66,'Standards Crosswalk'!$A:$H,8,FALSE)</f>
        <v>AU-7, AU-9, IR-4, AC-5, CP-4, CP-10; NIST SP 800-34</v>
      </c>
      <c r="S66" s="72">
        <f>VLOOKUP($B66,'Standards Crosswalk'!$A:$I,9,FALSE)</f>
        <v>0</v>
      </c>
    </row>
    <row r="67" spans="1:19" ht="61" thickBot="1" x14ac:dyDescent="0.2">
      <c r="A67" s="71">
        <f t="shared" si="1"/>
        <v>65</v>
      </c>
      <c r="B67" s="77" t="s">
        <v>232</v>
      </c>
      <c r="C67" s="78" t="str">
        <f>VLOOKUP(B67,'HECVAT - Full'!A:E,2,FALSE)</f>
        <v>Is there a documented communication plan in your BCP for impacted clients?</v>
      </c>
      <c r="D67" s="71">
        <f>VLOOKUP(B67,'HECVAT - Full'!A:E,4,FALSE)</f>
        <v>0</v>
      </c>
      <c r="E67" s="79" t="b">
        <f>IF(Table1[[#This Row],[Column11]]&gt;20,TRUE,FALSE)</f>
        <v>0</v>
      </c>
      <c r="F67" s="79" t="s">
        <v>2032</v>
      </c>
      <c r="G67" s="80" t="s">
        <v>17</v>
      </c>
      <c r="H67" s="81">
        <v>1</v>
      </c>
      <c r="I67" s="71">
        <f>VLOOKUP(B67,'HECVAT - Full'!A:E,3,FALSE)</f>
        <v>0</v>
      </c>
      <c r="J67" s="71">
        <f>IF(Table1[[#This Row],[Column7]]=Table1[[#This Row],[Column9]],1,0)</f>
        <v>0</v>
      </c>
      <c r="K67" s="71">
        <f>IF(Table1[[#This Row],[Column8]]=1,20,"")</f>
        <v>20</v>
      </c>
      <c r="L67" s="71">
        <f>IF(Table1[[#This Row],[Column8]]=1,J67*K67,"")</f>
        <v>0</v>
      </c>
      <c r="M67" s="72" t="str">
        <f>VLOOKUP($B67,'Standards Crosswalk'!$A:$H,3,FALSE)</f>
        <v>CSC 10</v>
      </c>
      <c r="N67" s="72">
        <f>VLOOKUP($B67,'Standards Crosswalk'!$A:$H,4,FALSE)</f>
        <v>0</v>
      </c>
      <c r="O67" s="72" t="str">
        <f>VLOOKUP($B67,'Standards Crosswalk'!$A:$H,5,FALSE)</f>
        <v>17.1.2</v>
      </c>
      <c r="P67" s="72" t="str">
        <f>VLOOKUP($B67,'Standards Crosswalk'!$A:$H,6,FALSE)</f>
        <v>PR.IP-9</v>
      </c>
      <c r="Q67" s="72" t="str">
        <f>VLOOKUP($B67,'Standards Crosswalk'!$A:$H,7,FALSE)</f>
        <v>3.12.2</v>
      </c>
      <c r="R67" s="72" t="str">
        <f>VLOOKUP($B67,'Standards Crosswalk'!$A:$H,8,FALSE)</f>
        <v>AU-7, AU-9, IR-4, AC-5, CP-4, CP-10; NIST SP 800-34</v>
      </c>
      <c r="S67" s="72">
        <f>VLOOKUP($B67,'Standards Crosswalk'!$A:$I,9,FALSE)</f>
        <v>0</v>
      </c>
    </row>
    <row r="68" spans="1:19" ht="61" thickBot="1" x14ac:dyDescent="0.2">
      <c r="A68" s="71">
        <f t="shared" ref="A68:A131" si="4">A67+1</f>
        <v>66</v>
      </c>
      <c r="B68" s="77" t="s">
        <v>233</v>
      </c>
      <c r="C68" s="78" t="str">
        <f>VLOOKUP(B68,'HECVAT - Full'!A:E,2,FALSE)</f>
        <v xml:space="preserve">Are all components of the BCP reviewed at least annually and updated as needed to reflect change? </v>
      </c>
      <c r="D68" s="71">
        <f>VLOOKUP(B68,'HECVAT - Full'!A:E,4,FALSE)</f>
        <v>0</v>
      </c>
      <c r="E68" s="79" t="b">
        <f>IF(Table1[[#This Row],[Column11]]&gt;20,TRUE,FALSE)</f>
        <v>1</v>
      </c>
      <c r="F68" s="79" t="s">
        <v>2032</v>
      </c>
      <c r="G68" s="80" t="s">
        <v>17</v>
      </c>
      <c r="H68" s="81">
        <v>1</v>
      </c>
      <c r="I68" s="71">
        <f>VLOOKUP(B68,'HECVAT - Full'!A:E,3,FALSE)</f>
        <v>0</v>
      </c>
      <c r="J68" s="71">
        <f>IF(Table1[[#This Row],[Column7]]=Table1[[#This Row],[Column9]],1,0)</f>
        <v>0</v>
      </c>
      <c r="K68" s="71">
        <f>IF(Table1[[#This Row],[Column8]]=1,25,"")</f>
        <v>25</v>
      </c>
      <c r="L68" s="71">
        <f>IF(Table1[[#This Row],[Column8]]=1,J68*K68,"")</f>
        <v>0</v>
      </c>
      <c r="M68" s="72" t="str">
        <f>VLOOKUP($B68,'Standards Crosswalk'!$A:$H,3,FALSE)</f>
        <v>CSC 10</v>
      </c>
      <c r="N68" s="72">
        <f>VLOOKUP($B68,'Standards Crosswalk'!$A:$H,4,FALSE)</f>
        <v>0</v>
      </c>
      <c r="O68" s="72" t="str">
        <f>VLOOKUP($B68,'Standards Crosswalk'!$A:$H,5,FALSE)</f>
        <v>17.1.2</v>
      </c>
      <c r="P68" s="72" t="str">
        <f>VLOOKUP($B68,'Standards Crosswalk'!$A:$H,6,FALSE)</f>
        <v>PR.IP-9</v>
      </c>
      <c r="Q68" s="72" t="str">
        <f>VLOOKUP($B68,'Standards Crosswalk'!$A:$H,7,FALSE)</f>
        <v>3.12.2</v>
      </c>
      <c r="R68" s="72" t="str">
        <f>VLOOKUP($B68,'Standards Crosswalk'!$A:$H,8,FALSE)</f>
        <v>AU-7, AU-9, IR-4, AC-5, CP-4, CP-10; NIST SP 800-34</v>
      </c>
      <c r="S68" s="72">
        <f>VLOOKUP($B68,'Standards Crosswalk'!$A:$I,9,FALSE)</f>
        <v>0</v>
      </c>
    </row>
    <row r="69" spans="1:19" ht="61" thickBot="1" x14ac:dyDescent="0.2">
      <c r="A69" s="71">
        <f t="shared" si="4"/>
        <v>67</v>
      </c>
      <c r="B69" s="77" t="s">
        <v>234</v>
      </c>
      <c r="C69" s="78" t="str">
        <f>VLOOKUP(B69,'HECVAT - Full'!A:E,2,FALSE)</f>
        <v xml:space="preserve">Has your BCP been tested in the last year? </v>
      </c>
      <c r="D69" s="71">
        <f>VLOOKUP(B69,'HECVAT - Full'!A:E,4,FALSE)</f>
        <v>0</v>
      </c>
      <c r="E69" s="79" t="b">
        <f>IF(Table1[[#This Row],[Column11]]&gt;20,TRUE,FALSE)</f>
        <v>1</v>
      </c>
      <c r="F69" s="79" t="s">
        <v>2032</v>
      </c>
      <c r="G69" s="80" t="s">
        <v>17</v>
      </c>
      <c r="H69" s="81">
        <v>1</v>
      </c>
      <c r="I69" s="71">
        <f>VLOOKUP(B69,'HECVAT - Full'!A:E,3,FALSE)</f>
        <v>0</v>
      </c>
      <c r="J69" s="71">
        <f>IF(Table1[[#This Row],[Column7]]=Table1[[#This Row],[Column9]],1,0)</f>
        <v>0</v>
      </c>
      <c r="K69" s="71">
        <f>IF(Table1[[#This Row],[Column8]]=1,25,"")</f>
        <v>25</v>
      </c>
      <c r="L69" s="71">
        <f>IF(Table1[[#This Row],[Column8]]=1,J69*K69,"")</f>
        <v>0</v>
      </c>
      <c r="M69" s="72" t="str">
        <f>VLOOKUP($B69,'Standards Crosswalk'!$A:$H,3,FALSE)</f>
        <v>CSC 10</v>
      </c>
      <c r="N69" s="72">
        <f>VLOOKUP($B69,'Standards Crosswalk'!$A:$H,4,FALSE)</f>
        <v>0</v>
      </c>
      <c r="O69" s="72" t="str">
        <f>VLOOKUP($B69,'Standards Crosswalk'!$A:$H,5,FALSE)</f>
        <v>17.1.3</v>
      </c>
      <c r="P69" s="72" t="str">
        <f>VLOOKUP($B69,'Standards Crosswalk'!$A:$H,6,FALSE)</f>
        <v>PR.IP-9</v>
      </c>
      <c r="Q69" s="72" t="str">
        <f>VLOOKUP($B69,'Standards Crosswalk'!$A:$H,7,FALSE)</f>
        <v>3.12.2</v>
      </c>
      <c r="R69" s="72" t="str">
        <f>VLOOKUP($B69,'Standards Crosswalk'!$A:$H,8,FALSE)</f>
        <v>AU-7, AU-9, IR-4, AC-5, CP-4, CP-10; NIST SP 800-34</v>
      </c>
      <c r="S69" s="72">
        <f>VLOOKUP($B69,'Standards Crosswalk'!$A:$I,9,FALSE)</f>
        <v>0</v>
      </c>
    </row>
    <row r="70" spans="1:19" ht="76" thickBot="1" x14ac:dyDescent="0.2">
      <c r="A70" s="71">
        <f t="shared" si="4"/>
        <v>68</v>
      </c>
      <c r="B70" s="77" t="s">
        <v>235</v>
      </c>
      <c r="C70" s="78" t="str">
        <f>VLOOKUP(B70,'HECVAT - Full'!A:E,2,FALSE)</f>
        <v>Does your organization conduct training and awareness activities to validate its employees understanding of their roles and responsibilities during a crisis?</v>
      </c>
      <c r="D70" s="71">
        <f>VLOOKUP(B70,'HECVAT - Full'!A:E,4,FALSE)</f>
        <v>0</v>
      </c>
      <c r="E70" s="79" t="b">
        <f>IF(Table1[[#This Row],[Column11]]&gt;20,TRUE,FALSE)</f>
        <v>0</v>
      </c>
      <c r="F70" s="79" t="s">
        <v>2032</v>
      </c>
      <c r="G70" s="80" t="s">
        <v>17</v>
      </c>
      <c r="H70" s="81">
        <v>1</v>
      </c>
      <c r="I70" s="71">
        <f>VLOOKUP(B70,'HECVAT - Full'!A:E,3,FALSE)</f>
        <v>0</v>
      </c>
      <c r="J70" s="71">
        <f>IF(Table1[[#This Row],[Column7]]=Table1[[#This Row],[Column9]],1,0)</f>
        <v>0</v>
      </c>
      <c r="K70" s="71">
        <f>IF(Table1[[#This Row],[Column8]]=1,20,"")</f>
        <v>20</v>
      </c>
      <c r="L70" s="71">
        <f>IF(Table1[[#This Row],[Column8]]=1,J70*K70,"")</f>
        <v>0</v>
      </c>
      <c r="M70" s="72" t="str">
        <f>VLOOKUP($B70,'Standards Crosswalk'!$A:$H,3,FALSE)</f>
        <v>CSC 10</v>
      </c>
      <c r="N70" s="72">
        <f>VLOOKUP($B70,'Standards Crosswalk'!$A:$H,4,FALSE)</f>
        <v>0</v>
      </c>
      <c r="O70" s="72" t="str">
        <f>VLOOKUP($B70,'Standards Crosswalk'!$A:$H,5,FALSE)</f>
        <v>7.2.2, 17.1.3</v>
      </c>
      <c r="P70" s="72" t="str">
        <f>VLOOKUP($B70,'Standards Crosswalk'!$A:$H,6,FALSE)</f>
        <v>PR.IP-9</v>
      </c>
      <c r="Q70" s="72" t="str">
        <f>VLOOKUP($B70,'Standards Crosswalk'!$A:$H,7,FALSE)</f>
        <v>3.2.1, 3.2.2</v>
      </c>
      <c r="R70" s="72" t="str">
        <f>VLOOKUP($B70,'Standards Crosswalk'!$A:$H,8,FALSE)</f>
        <v>AT-3, AC-5, CP-4, CP-10; NIST SP 800-34</v>
      </c>
      <c r="S70" s="72" t="str">
        <f>VLOOKUP($B70,'Standards Crosswalk'!$A:$I,9,FALSE)</f>
        <v>12.x</v>
      </c>
    </row>
    <row r="71" spans="1:19" ht="46" thickBot="1" x14ac:dyDescent="0.2">
      <c r="A71" s="71">
        <f t="shared" si="4"/>
        <v>69</v>
      </c>
      <c r="B71" s="77" t="s">
        <v>236</v>
      </c>
      <c r="C71" s="78" t="str">
        <f>VLOOKUP(B71,'HECVAT - Full'!A:E,2,FALSE)</f>
        <v>Are specific crisis management roles and responsibilities defined and documented?</v>
      </c>
      <c r="D71" s="71">
        <f>VLOOKUP(B71,'HECVAT - Full'!A:E,4,FALSE)</f>
        <v>0</v>
      </c>
      <c r="E71" s="79" t="b">
        <f>IF(Table1[[#This Row],[Column11]]&gt;20,TRUE,FALSE)</f>
        <v>0</v>
      </c>
      <c r="F71" s="79" t="s">
        <v>2032</v>
      </c>
      <c r="G71" s="80" t="s">
        <v>17</v>
      </c>
      <c r="H71" s="81">
        <v>1</v>
      </c>
      <c r="I71" s="71">
        <f>VLOOKUP(B71,'HECVAT - Full'!A:E,3,FALSE)</f>
        <v>0</v>
      </c>
      <c r="J71" s="71">
        <f>IF(Table1[[#This Row],[Column7]]=Table1[[#This Row],[Column9]],1,0)</f>
        <v>0</v>
      </c>
      <c r="K71" s="71">
        <f>IF(Table1[[#This Row],[Column8]]=1,20,"")</f>
        <v>20</v>
      </c>
      <c r="L71" s="71">
        <f>IF(Table1[[#This Row],[Column8]]=1,J71*K71,"")</f>
        <v>0</v>
      </c>
      <c r="M71" s="72" t="str">
        <f>VLOOKUP($B71,'Standards Crosswalk'!$A:$H,3,FALSE)</f>
        <v>CSC 10</v>
      </c>
      <c r="N71" s="72">
        <f>VLOOKUP($B71,'Standards Crosswalk'!$A:$H,4,FALSE)</f>
        <v>0</v>
      </c>
      <c r="O71" s="72" t="str">
        <f>VLOOKUP($B71,'Standards Crosswalk'!$A:$H,5,FALSE)</f>
        <v>7.2.2, 16.1.1, 17.1.3</v>
      </c>
      <c r="P71" s="72" t="str">
        <f>VLOOKUP($B71,'Standards Crosswalk'!$A:$H,6,FALSE)</f>
        <v>PR.IP-9</v>
      </c>
      <c r="Q71" s="72">
        <f>VLOOKUP($B71,'Standards Crosswalk'!$A:$H,7,FALSE)</f>
        <v>0</v>
      </c>
      <c r="R71" s="72" t="str">
        <f>VLOOKUP($B71,'Standards Crosswalk'!$A:$H,8,FALSE)</f>
        <v>AC-5, CP-4, CP-10; NIST SP 800-34</v>
      </c>
      <c r="S71" s="72" t="str">
        <f>VLOOKUP($B71,'Standards Crosswalk'!$A:$I,9,FALSE)</f>
        <v>12.x</v>
      </c>
    </row>
    <row r="72" spans="1:19" ht="61" thickBot="1" x14ac:dyDescent="0.2">
      <c r="A72" s="71">
        <f t="shared" si="4"/>
        <v>70</v>
      </c>
      <c r="B72" s="77" t="s">
        <v>237</v>
      </c>
      <c r="C72" s="78" t="str">
        <f>VLOOKUP(B72,'HECVAT - Full'!A:E,2,FALSE)</f>
        <v>Does your organization have an alternative business site or a contracted Business Recovery provider?</v>
      </c>
      <c r="D72" s="71">
        <f>VLOOKUP(B72,'HECVAT - Full'!A:E,4,FALSE)</f>
        <v>0</v>
      </c>
      <c r="E72" s="79" t="b">
        <f>IF(Table1[[#This Row],[Column11]]&gt;20,TRUE,FALSE)</f>
        <v>0</v>
      </c>
      <c r="F72" s="79" t="s">
        <v>2032</v>
      </c>
      <c r="G72" s="80" t="s">
        <v>17</v>
      </c>
      <c r="H72" s="81">
        <v>1</v>
      </c>
      <c r="I72" s="71">
        <f>VLOOKUP(B72,'HECVAT - Full'!A:E,3,FALSE)</f>
        <v>0</v>
      </c>
      <c r="J72" s="71">
        <f>IF(Table1[[#This Row],[Column7]]=Table1[[#This Row],[Column9]],1,0)</f>
        <v>0</v>
      </c>
      <c r="K72" s="71">
        <f>IF(Table1[[#This Row],[Column8]]=1,20,"")</f>
        <v>20</v>
      </c>
      <c r="L72" s="71">
        <f>IF(Table1[[#This Row],[Column8]]=1,J72*K72,"")</f>
        <v>0</v>
      </c>
      <c r="M72" s="72" t="str">
        <f>VLOOKUP($B72,'Standards Crosswalk'!$A:$H,3,FALSE)</f>
        <v>CSC 10</v>
      </c>
      <c r="N72" s="72">
        <f>VLOOKUP($B72,'Standards Crosswalk'!$A:$H,4,FALSE)</f>
        <v>0</v>
      </c>
      <c r="O72" s="72" t="str">
        <f>VLOOKUP($B72,'Standards Crosswalk'!$A:$H,5,FALSE)</f>
        <v>17.2.1</v>
      </c>
      <c r="P72" s="72" t="str">
        <f>VLOOKUP($B72,'Standards Crosswalk'!$A:$H,6,FALSE)</f>
        <v>PR.IP-9</v>
      </c>
      <c r="Q72" s="72">
        <f>VLOOKUP($B72,'Standards Crosswalk'!$A:$H,7,FALSE)</f>
        <v>0</v>
      </c>
      <c r="R72" s="72" t="str">
        <f>VLOOKUP($B72,'Standards Crosswalk'!$A:$H,8,FALSE)</f>
        <v>AC-5, CP-4, CP-10; NIST SP 800-34</v>
      </c>
      <c r="S72" s="72">
        <f>VLOOKUP($B72,'Standards Crosswalk'!$A:$I,9,FALSE)</f>
        <v>12.1</v>
      </c>
    </row>
    <row r="73" spans="1:19" ht="61" thickBot="1" x14ac:dyDescent="0.2">
      <c r="A73" s="71">
        <f t="shared" si="4"/>
        <v>71</v>
      </c>
      <c r="B73" s="77" t="s">
        <v>238</v>
      </c>
      <c r="C73" s="78" t="str">
        <f>VLOOKUP(B73,'HECVAT - Full'!A:E,2,FALSE)</f>
        <v>Does your organization conduct an annual test of relocating to an alternate site for business recovery purposes?</v>
      </c>
      <c r="D73" s="71">
        <f>VLOOKUP(B73,'HECVAT - Full'!A:E,4,FALSE)</f>
        <v>0</v>
      </c>
      <c r="E73" s="79" t="b">
        <f>IF(Table1[[#This Row],[Column11]]&gt;20,TRUE,FALSE)</f>
        <v>0</v>
      </c>
      <c r="F73" s="79" t="s">
        <v>2032</v>
      </c>
      <c r="G73" s="80" t="s">
        <v>17</v>
      </c>
      <c r="H73" s="81">
        <f>IF(I72="Yes",1,0)</f>
        <v>0</v>
      </c>
      <c r="I73" s="71">
        <f>VLOOKUP(B73,'HECVAT - Full'!A:E,3,FALSE)</f>
        <v>0</v>
      </c>
      <c r="J73" s="71">
        <f>IF(Table1[[#This Row],[Column7]]=Table1[[#This Row],[Column9]],1,0)</f>
        <v>0</v>
      </c>
      <c r="K73" s="71">
        <v>20</v>
      </c>
      <c r="L73" s="71" t="str">
        <f>IF(Table1[[#This Row],[Column8]]=1,J73*K73,"")</f>
        <v/>
      </c>
      <c r="M73" s="72" t="str">
        <f>VLOOKUP($B73,'Standards Crosswalk'!$A:$H,3,FALSE)</f>
        <v>CSC 10</v>
      </c>
      <c r="N73" s="72">
        <f>VLOOKUP($B73,'Standards Crosswalk'!$A:$H,4,FALSE)</f>
        <v>0</v>
      </c>
      <c r="O73" s="72" t="str">
        <f>VLOOKUP($B73,'Standards Crosswalk'!$A:$H,5,FALSE)</f>
        <v>17.1.3</v>
      </c>
      <c r="P73" s="72" t="str">
        <f>VLOOKUP($B73,'Standards Crosswalk'!$A:$H,6,FALSE)</f>
        <v>PR.IP-9</v>
      </c>
      <c r="Q73" s="72">
        <f>VLOOKUP($B73,'Standards Crosswalk'!$A:$H,7,FALSE)</f>
        <v>0</v>
      </c>
      <c r="R73" s="72" t="str">
        <f>VLOOKUP($B73,'Standards Crosswalk'!$A:$H,8,FALSE)</f>
        <v>AC-5, CP-4, CP-10; NIST SP 800-34</v>
      </c>
      <c r="S73" s="72">
        <f>VLOOKUP($B73,'Standards Crosswalk'!$A:$I,9,FALSE)</f>
        <v>12.1</v>
      </c>
    </row>
    <row r="74" spans="1:19" ht="61" thickBot="1" x14ac:dyDescent="0.2">
      <c r="A74" s="71">
        <f t="shared" si="4"/>
        <v>72</v>
      </c>
      <c r="B74" s="77" t="s">
        <v>239</v>
      </c>
      <c r="C74" s="78" t="str">
        <f>VLOOKUP(B74,'HECVAT - Full'!A:E,2,FALSE)</f>
        <v>Is this product a core service of your organization, and as such, the top priority during business continuity planning?</v>
      </c>
      <c r="D74" s="71">
        <f>VLOOKUP(B74,'HECVAT - Full'!A:E,4,FALSE)</f>
        <v>0</v>
      </c>
      <c r="E74" s="79" t="b">
        <f>IF(Table1[[#This Row],[Column11]]&gt;20,TRUE,FALSE)</f>
        <v>0</v>
      </c>
      <c r="F74" s="79" t="s">
        <v>2032</v>
      </c>
      <c r="G74" s="80" t="s">
        <v>17</v>
      </c>
      <c r="H74" s="81">
        <v>1</v>
      </c>
      <c r="I74" s="71">
        <f>VLOOKUP(B74,'HECVAT - Full'!A:E,3,FALSE)</f>
        <v>0</v>
      </c>
      <c r="J74" s="71">
        <f>IF(Table1[[#This Row],[Column7]]=Table1[[#This Row],[Column9]],1,0)</f>
        <v>0</v>
      </c>
      <c r="K74" s="71">
        <f>IF(Table1[[#This Row],[Column8]]=1,15,"")</f>
        <v>15</v>
      </c>
      <c r="L74" s="71">
        <f>IF(Table1[[#This Row],[Column8]]=1,J74*K74,"")</f>
        <v>0</v>
      </c>
      <c r="M74" s="72" t="str">
        <f>VLOOKUP($B74,'Standards Crosswalk'!$A:$H,3,FALSE)</f>
        <v>CSC 10</v>
      </c>
      <c r="N74" s="72">
        <f>VLOOKUP($B74,'Standards Crosswalk'!$A:$H,4,FALSE)</f>
        <v>0</v>
      </c>
      <c r="O74" s="72">
        <f>VLOOKUP($B74,'Standards Crosswalk'!$A:$H,5,FALSE)</f>
        <v>0</v>
      </c>
      <c r="P74" s="72" t="str">
        <f>VLOOKUP($B74,'Standards Crosswalk'!$A:$H,6,FALSE)</f>
        <v>PR.IP-9</v>
      </c>
      <c r="Q74" s="72">
        <f>VLOOKUP($B74,'Standards Crosswalk'!$A:$H,7,FALSE)</f>
        <v>0</v>
      </c>
      <c r="R74" s="72" t="str">
        <f>VLOOKUP($B74,'Standards Crosswalk'!$A:$H,8,FALSE)</f>
        <v>AC-5, CP-4, CP-10; NIST SP 800-34</v>
      </c>
      <c r="S74" s="72">
        <f>VLOOKUP($B74,'Standards Crosswalk'!$A:$I,9,FALSE)</f>
        <v>12.1</v>
      </c>
    </row>
    <row r="75" spans="1:19" ht="46" thickBot="1" x14ac:dyDescent="0.2">
      <c r="A75" s="71">
        <f t="shared" si="4"/>
        <v>73</v>
      </c>
      <c r="B75" s="77" t="s">
        <v>240</v>
      </c>
      <c r="C75" s="78" t="str">
        <f>VLOOKUP(B75,'HECVAT - Full'!A:E,2,FALSE)</f>
        <v xml:space="preserve">Do you have a documented and currently followed change management process (CMP)? </v>
      </c>
      <c r="D75" s="71">
        <f>VLOOKUP(B75,'HECVAT - Full'!A:E,4,FALSE)</f>
        <v>0</v>
      </c>
      <c r="E75" s="79" t="b">
        <f>IF(Table1[[#This Row],[Column11]]&gt;20,TRUE,FALSE)</f>
        <v>1</v>
      </c>
      <c r="F75" s="79" t="s">
        <v>2033</v>
      </c>
      <c r="G75" s="80" t="s">
        <v>17</v>
      </c>
      <c r="H75" s="81">
        <v>1</v>
      </c>
      <c r="I75" s="71">
        <f>VLOOKUP(B75,'HECVAT - Full'!A:E,3,FALSE)</f>
        <v>0</v>
      </c>
      <c r="J75" s="71">
        <f>IF(Table1[[#This Row],[Column7]]=Table1[[#This Row],[Column9]],1,0)</f>
        <v>0</v>
      </c>
      <c r="K75" s="71">
        <f>IF(Table1[[#This Row],[Column8]]=1,25,"")</f>
        <v>25</v>
      </c>
      <c r="L75" s="71">
        <f>IF(Table1[[#This Row],[Column8]]=1,J75*K75,"")</f>
        <v>0</v>
      </c>
      <c r="M75" s="72" t="str">
        <f>VLOOKUP($B75,'Standards Crosswalk'!$A:$H,3,FALSE)</f>
        <v>CSC 10</v>
      </c>
      <c r="N75" s="72">
        <f>VLOOKUP($B75,'Standards Crosswalk'!$A:$H,4,FALSE)</f>
        <v>0</v>
      </c>
      <c r="O75" s="72" t="str">
        <f>VLOOKUP($B75,'Standards Crosswalk'!$A:$H,5,FALSE)</f>
        <v>12.1.2</v>
      </c>
      <c r="P75" s="72" t="str">
        <f>VLOOKUP($B75,'Standards Crosswalk'!$A:$H,6,FALSE)</f>
        <v>PR.IP-3</v>
      </c>
      <c r="Q75" s="72" t="str">
        <f>VLOOKUP($B75,'Standards Crosswalk'!$A:$H,7,FALSE)</f>
        <v>3.4.3, 3.4.4</v>
      </c>
      <c r="R75" s="72" t="str">
        <f>VLOOKUP($B75,'Standards Crosswalk'!$A:$H,8,FALSE)</f>
        <v>CM-3, CM-4, CM-5</v>
      </c>
      <c r="S75" s="72" t="str">
        <f>VLOOKUP($B75,'Standards Crosswalk'!$A:$I,9,FALSE)</f>
        <v>6.4, 6.4.5, 6.4.5.1, 6.4.5.2</v>
      </c>
    </row>
    <row r="76" spans="1:19" ht="151" thickBot="1" x14ac:dyDescent="0.2">
      <c r="A76" s="71">
        <f t="shared" si="4"/>
        <v>74</v>
      </c>
      <c r="B76" s="77" t="s">
        <v>241</v>
      </c>
      <c r="C76" s="78" t="str">
        <f>VLOOKUP(B76,'HECVAT - Full'!A:E,2,FALSE)</f>
        <v>Indicate all procedures that are implemented in your CMP. a.) An impact analysis of the upgrade is performed.  b.) The change is appropriately authorized. c.) Changes are made first in a test environment. d.) The ability to implement the upgrades/changes in the production environment is limited to appropriate IT personnel.</v>
      </c>
      <c r="D76" s="71">
        <f>VLOOKUP(B76,'HECVAT - Full'!A:E,4,FALSE)</f>
        <v>0</v>
      </c>
      <c r="E76" s="79" t="b">
        <f>IF(Table1[[#This Row],[Column11]]&gt;20,TRUE,FALSE)</f>
        <v>0</v>
      </c>
      <c r="F76" s="79" t="s">
        <v>2033</v>
      </c>
      <c r="G76" s="80" t="s">
        <v>17</v>
      </c>
      <c r="H76" s="81">
        <v>1</v>
      </c>
      <c r="I76" s="71">
        <f>VLOOKUP(B76,'HECVAT - Full'!A:E,3,FALSE)</f>
        <v>0</v>
      </c>
      <c r="J76" s="71">
        <f>IF(VLOOKUP(Table1[[#This Row],[Column2]],'Analyst Report'!$A$41:$G$88,7,FALSE)="Yes",1,0)</f>
        <v>0</v>
      </c>
      <c r="K76" s="71">
        <f>IF(Table1[[#This Row],[Column8]]=1,20,"")</f>
        <v>20</v>
      </c>
      <c r="L76" s="71">
        <f>IF(Table1[[#This Row],[Column8]]=1,J76*K76,"")</f>
        <v>0</v>
      </c>
      <c r="M76" s="72" t="str">
        <f>VLOOKUP($B76,'Standards Crosswalk'!$A:$H,3,FALSE)</f>
        <v>CSC 10</v>
      </c>
      <c r="N76" s="72">
        <f>VLOOKUP($B76,'Standards Crosswalk'!$A:$H,4,FALSE)</f>
        <v>0</v>
      </c>
      <c r="O76" s="72" t="str">
        <f>VLOOKUP($B76,'Standards Crosswalk'!$A:$H,5,FALSE)</f>
        <v>12.1.2</v>
      </c>
      <c r="P76" s="72" t="str">
        <f>VLOOKUP($B76,'Standards Crosswalk'!$A:$H,6,FALSE)</f>
        <v>PR.IP-3, PR.DS-7</v>
      </c>
      <c r="Q76" s="72" t="str">
        <f>VLOOKUP($B76,'Standards Crosswalk'!$A:$H,7,FALSE)</f>
        <v>3.4.3, 3.4.4, 3.4.5</v>
      </c>
      <c r="R76" s="72" t="str">
        <f>VLOOKUP($B76,'Standards Crosswalk'!$A:$H,8,FALSE)</f>
        <v>CM-3, CM-4, CM-5</v>
      </c>
      <c r="S76" s="72" t="str">
        <f>VLOOKUP($B76,'Standards Crosswalk'!$A:$I,9,FALSE)</f>
        <v>6.4, 6.4.5, 6.4.5.1, 6.4.5.2</v>
      </c>
    </row>
    <row r="77" spans="1:19" ht="61" thickBot="1" x14ac:dyDescent="0.2">
      <c r="A77" s="71">
        <f t="shared" si="4"/>
        <v>75</v>
      </c>
      <c r="B77" s="77" t="s">
        <v>242</v>
      </c>
      <c r="C77" s="78" t="str">
        <f>VLOOKUP(B77,'HECVAT - Full'!A:E,2,FALSE)</f>
        <v>Will the Institution be notified of major changes to your environment that could impact the Institution's security posture?</v>
      </c>
      <c r="D77" s="71">
        <f>VLOOKUP(B77,'HECVAT - Full'!A:E,4,FALSE)</f>
        <v>0</v>
      </c>
      <c r="E77" s="79" t="b">
        <f>IF(Table1[[#This Row],[Column11]]&gt;20,TRUE,FALSE)</f>
        <v>0</v>
      </c>
      <c r="F77" s="79" t="s">
        <v>2033</v>
      </c>
      <c r="G77" s="80" t="s">
        <v>17</v>
      </c>
      <c r="H77" s="81">
        <v>1</v>
      </c>
      <c r="I77" s="71">
        <f>VLOOKUP(B77,'HECVAT - Full'!A:E,3,FALSE)</f>
        <v>0</v>
      </c>
      <c r="J77" s="71">
        <f>IF(Table1[[#This Row],[Column7]]=Table1[[#This Row],[Column9]],1,0)</f>
        <v>0</v>
      </c>
      <c r="K77" s="71">
        <f>IF(Table1[[#This Row],[Column8]]=1,20,"")</f>
        <v>20</v>
      </c>
      <c r="L77" s="71">
        <f>IF(Table1[[#This Row],[Column8]]=1,J77*K77,"")</f>
        <v>0</v>
      </c>
      <c r="M77" s="72" t="str">
        <f>VLOOKUP($B77,'Standards Crosswalk'!$A:$H,3,FALSE)</f>
        <v>CSC 10</v>
      </c>
      <c r="N77" s="72">
        <f>VLOOKUP($B77,'Standards Crosswalk'!$A:$H,4,FALSE)</f>
        <v>0</v>
      </c>
      <c r="O77" s="72" t="str">
        <f>VLOOKUP($B77,'Standards Crosswalk'!$A:$H,5,FALSE)</f>
        <v>12.1.2</v>
      </c>
      <c r="P77" s="72">
        <f>VLOOKUP($B77,'Standards Crosswalk'!$A:$H,6,FALSE)</f>
        <v>0</v>
      </c>
      <c r="Q77" s="72">
        <f>VLOOKUP($B77,'Standards Crosswalk'!$A:$H,7,FALSE)</f>
        <v>0</v>
      </c>
      <c r="R77" s="72" t="str">
        <f>VLOOKUP($B77,'Standards Crosswalk'!$A:$H,8,FALSE)</f>
        <v>CM-3, CM-4, CM-5</v>
      </c>
      <c r="S77" s="72" t="str">
        <f>VLOOKUP($B77,'Standards Crosswalk'!$A:$I,9,FALSE)</f>
        <v>6.4, 12.8, 12.9</v>
      </c>
    </row>
    <row r="78" spans="1:19" ht="46" thickBot="1" x14ac:dyDescent="0.2">
      <c r="A78" s="71">
        <f t="shared" si="4"/>
        <v>76</v>
      </c>
      <c r="B78" s="77" t="s">
        <v>243</v>
      </c>
      <c r="C78" s="78" t="str">
        <f>VLOOKUP(B78,'HECVAT - Full'!A:E,2,FALSE)</f>
        <v>Do clients have the option to not participate in or postpone an upgrade to a new release?</v>
      </c>
      <c r="D78" s="71">
        <f>VLOOKUP(B78,'HECVAT - Full'!A:E,4,FALSE)</f>
        <v>0</v>
      </c>
      <c r="E78" s="79" t="b">
        <f>IF(Table1[[#This Row],[Column11]]&gt;20,TRUE,FALSE)</f>
        <v>0</v>
      </c>
      <c r="F78" s="79" t="s">
        <v>2033</v>
      </c>
      <c r="G78" s="80" t="s">
        <v>17</v>
      </c>
      <c r="H78" s="81">
        <v>1</v>
      </c>
      <c r="I78" s="71">
        <f>VLOOKUP(B78,'HECVAT - Full'!A:E,3,FALSE)</f>
        <v>0</v>
      </c>
      <c r="J78" s="71">
        <f>IF(Table1[[#This Row],[Column7]]=Table1[[#This Row],[Column9]],1,0)</f>
        <v>0</v>
      </c>
      <c r="K78" s="71">
        <f>IF(Table1[[#This Row],[Column8]]=1,20,"")</f>
        <v>20</v>
      </c>
      <c r="L78" s="71">
        <f>IF(Table1[[#This Row],[Column8]]=1,J78*K78,"")</f>
        <v>0</v>
      </c>
      <c r="M78" s="72" t="str">
        <f>VLOOKUP($B78,'Standards Crosswalk'!$A:$H,3,FALSE)</f>
        <v>CSC 10</v>
      </c>
      <c r="N78" s="72">
        <f>VLOOKUP($B78,'Standards Crosswalk'!$A:$H,4,FALSE)</f>
        <v>0</v>
      </c>
      <c r="O78" s="72">
        <f>VLOOKUP($B78,'Standards Crosswalk'!$A:$H,5,FALSE)</f>
        <v>0</v>
      </c>
      <c r="P78" s="72">
        <f>VLOOKUP($B78,'Standards Crosswalk'!$A:$H,6,FALSE)</f>
        <v>0</v>
      </c>
      <c r="Q78" s="72">
        <f>VLOOKUP($B78,'Standards Crosswalk'!$A:$H,7,FALSE)</f>
        <v>0</v>
      </c>
      <c r="R78" s="72" t="str">
        <f>VLOOKUP($B78,'Standards Crosswalk'!$A:$H,8,FALSE)</f>
        <v>CM-3, CM-4, CM-5</v>
      </c>
      <c r="S78" s="72">
        <f>VLOOKUP($B78,'Standards Crosswalk'!$A:$I,9,FALSE)</f>
        <v>12.1</v>
      </c>
    </row>
    <row r="79" spans="1:19" ht="91" thickBot="1" x14ac:dyDescent="0.2">
      <c r="A79" s="71">
        <f t="shared" si="4"/>
        <v>77</v>
      </c>
      <c r="B79" s="77" t="s">
        <v>244</v>
      </c>
      <c r="C79" s="78" t="str">
        <f>VLOOKUP(B79,'HECVAT - Full'!A:E,2,FALSE)</f>
        <v>Describe or provide a reference to your solution support strategy in relation to maintaining software currency. (i.e. how many concurrent versions are you willing to run and support?)</v>
      </c>
      <c r="D79" s="71">
        <f>VLOOKUP(B79,'HECVAT - Full'!A:E,4,FALSE)</f>
        <v>0</v>
      </c>
      <c r="E79" s="79" t="b">
        <f>IF(Table1[[#This Row],[Column11]]&gt;20,TRUE,FALSE)</f>
        <v>1</v>
      </c>
      <c r="F79" s="79" t="s">
        <v>2033</v>
      </c>
      <c r="G79" s="80" t="s">
        <v>17</v>
      </c>
      <c r="H79" s="81">
        <v>1</v>
      </c>
      <c r="I79" s="71">
        <f>VLOOKUP(B79,'HECVAT - Full'!A:E,3,FALSE)</f>
        <v>0</v>
      </c>
      <c r="J79" s="71">
        <f>IF(VLOOKUP(Table1[[#This Row],[Column2]],'Analyst Report'!$A$41:$G$88,7,FALSE)="Yes",1,0)</f>
        <v>0</v>
      </c>
      <c r="K79" s="71">
        <f>IF(Table1[[#This Row],[Column8]]=1,25,"")</f>
        <v>25</v>
      </c>
      <c r="L79" s="71">
        <f>IF(Table1[[#This Row],[Column8]]=1,J79*K79,"")</f>
        <v>0</v>
      </c>
      <c r="M79" s="72" t="str">
        <f>VLOOKUP($B79,'Standards Crosswalk'!$A:$H,3,FALSE)</f>
        <v>CSC 2</v>
      </c>
      <c r="N79" s="72">
        <f>VLOOKUP($B79,'Standards Crosswalk'!$A:$H,4,FALSE)</f>
        <v>0</v>
      </c>
      <c r="O79" s="72">
        <f>VLOOKUP($B79,'Standards Crosswalk'!$A:$H,5,FALSE)</f>
        <v>0</v>
      </c>
      <c r="P79" s="72">
        <f>VLOOKUP($B79,'Standards Crosswalk'!$A:$H,6,FALSE)</f>
        <v>0</v>
      </c>
      <c r="Q79" s="72">
        <f>VLOOKUP($B79,'Standards Crosswalk'!$A:$H,7,FALSE)</f>
        <v>0</v>
      </c>
      <c r="R79" s="72" t="str">
        <f>VLOOKUP($B79,'Standards Crosswalk'!$A:$H,8,FALSE)</f>
        <v>CM-3, CM-4, CM-5</v>
      </c>
      <c r="S79" s="72" t="str">
        <f>VLOOKUP($B79,'Standards Crosswalk'!$A:$I,9,FALSE)</f>
        <v>12.1, 12.8</v>
      </c>
    </row>
    <row r="80" spans="1:19" ht="91" thickBot="1" x14ac:dyDescent="0.2">
      <c r="A80" s="71">
        <f t="shared" si="4"/>
        <v>78</v>
      </c>
      <c r="B80" s="77" t="s">
        <v>245</v>
      </c>
      <c r="C80" s="78" t="str">
        <f>VLOOKUP(B80,'HECVAT - Full'!A:E,2,FALSE)</f>
        <v>Identify the most current version of the software. Detail the percentage of live customers that are utilizing the proposed version of the software as well as each version of the software currently in use.</v>
      </c>
      <c r="D80" s="71">
        <f>VLOOKUP(B80,'HECVAT - Full'!A:E,4,FALSE)</f>
        <v>0</v>
      </c>
      <c r="E80" s="79" t="b">
        <f>IF(Table1[[#This Row],[Column11]]&gt;20,TRUE,FALSE)</f>
        <v>0</v>
      </c>
      <c r="F80" s="79" t="s">
        <v>2033</v>
      </c>
      <c r="G80" s="80" t="s">
        <v>17</v>
      </c>
      <c r="H80" s="81">
        <v>1</v>
      </c>
      <c r="I80" s="71">
        <f>VLOOKUP(B80,'HECVAT - Full'!A:E,3,FALSE)</f>
        <v>0</v>
      </c>
      <c r="J80" s="71">
        <f>IF(VLOOKUP(Table1[[#This Row],[Column2]],'Analyst Report'!$A$41:$G$88,7,FALSE)="Yes",1,0)</f>
        <v>0</v>
      </c>
      <c r="K80" s="71">
        <f>IF(Table1[[#This Row],[Column8]]=1,10,"")</f>
        <v>10</v>
      </c>
      <c r="L80" s="71">
        <f>IF(Table1[[#This Row],[Column8]]=1,J80*K80,"")</f>
        <v>0</v>
      </c>
      <c r="M80" s="72" t="str">
        <f>VLOOKUP($B80,'Standards Crosswalk'!$A:$H,3,FALSE)</f>
        <v>CSC 2</v>
      </c>
      <c r="N80" s="72">
        <f>VLOOKUP($B80,'Standards Crosswalk'!$A:$H,4,FALSE)</f>
        <v>0</v>
      </c>
      <c r="O80" s="72">
        <f>VLOOKUP($B80,'Standards Crosswalk'!$A:$H,5,FALSE)</f>
        <v>0</v>
      </c>
      <c r="P80" s="72">
        <f>VLOOKUP($B80,'Standards Crosswalk'!$A:$H,6,FALSE)</f>
        <v>0</v>
      </c>
      <c r="Q80" s="72">
        <f>VLOOKUP($B80,'Standards Crosswalk'!$A:$H,7,FALSE)</f>
        <v>0</v>
      </c>
      <c r="R80" s="72" t="str">
        <f>VLOOKUP($B80,'Standards Crosswalk'!$A:$H,8,FALSE)</f>
        <v>CM-3, CM-4, CM-5</v>
      </c>
      <c r="S80" s="72">
        <f>VLOOKUP($B80,'Standards Crosswalk'!$A:$I,9,FALSE)</f>
        <v>0</v>
      </c>
    </row>
    <row r="81" spans="1:19" ht="46" thickBot="1" x14ac:dyDescent="0.2">
      <c r="A81" s="71">
        <f t="shared" si="4"/>
        <v>79</v>
      </c>
      <c r="B81" s="77" t="s">
        <v>246</v>
      </c>
      <c r="C81" s="78" t="str">
        <f>VLOOKUP(B81,'HECVAT - Full'!A:E,2,FALSE)</f>
        <v>Does the system support client customizations from one release to another?</v>
      </c>
      <c r="D81" s="71">
        <f>VLOOKUP(B81,'HECVAT - Full'!A:E,4,FALSE)</f>
        <v>0</v>
      </c>
      <c r="E81" s="79" t="b">
        <f>IF(Table1[[#This Row],[Column11]]&gt;20,TRUE,FALSE)</f>
        <v>0</v>
      </c>
      <c r="F81" s="79" t="s">
        <v>2033</v>
      </c>
      <c r="G81" s="80" t="s">
        <v>17</v>
      </c>
      <c r="H81" s="81">
        <v>1</v>
      </c>
      <c r="I81" s="71">
        <f>VLOOKUP(B81,'HECVAT - Full'!A:E,3,FALSE)</f>
        <v>0</v>
      </c>
      <c r="J81" s="71">
        <f>IF(Table1[[#This Row],[Column7]]=Table1[[#This Row],[Column9]],1,0)</f>
        <v>0</v>
      </c>
      <c r="K81" s="71">
        <f>IF(Table1[[#This Row],[Column8]]=1,15,"")</f>
        <v>15</v>
      </c>
      <c r="L81" s="71">
        <f>IF(Table1[[#This Row],[Column8]]=1,J81*K81,"")</f>
        <v>0</v>
      </c>
      <c r="M81" s="72" t="str">
        <f>VLOOKUP($B81,'Standards Crosswalk'!$A:$H,3,FALSE)</f>
        <v>CSC 10</v>
      </c>
      <c r="N81" s="72">
        <f>VLOOKUP($B81,'Standards Crosswalk'!$A:$H,4,FALSE)</f>
        <v>0</v>
      </c>
      <c r="O81" s="72">
        <f>VLOOKUP($B81,'Standards Crosswalk'!$A:$H,5,FALSE)</f>
        <v>0</v>
      </c>
      <c r="P81" s="72">
        <f>VLOOKUP($B81,'Standards Crosswalk'!$A:$H,6,FALSE)</f>
        <v>0</v>
      </c>
      <c r="Q81" s="72">
        <f>VLOOKUP($B81,'Standards Crosswalk'!$A:$H,7,FALSE)</f>
        <v>0</v>
      </c>
      <c r="R81" s="72" t="str">
        <f>VLOOKUP($B81,'Standards Crosswalk'!$A:$H,8,FALSE)</f>
        <v>CM-3, CM-4, CM-5</v>
      </c>
      <c r="S81" s="72">
        <f>VLOOKUP($B81,'Standards Crosswalk'!$A:$I,9,FALSE)</f>
        <v>0</v>
      </c>
    </row>
    <row r="82" spans="1:19" ht="136" thickBot="1" x14ac:dyDescent="0.2">
      <c r="A82" s="71">
        <f t="shared" si="4"/>
        <v>80</v>
      </c>
      <c r="B82" s="77" t="s">
        <v>247</v>
      </c>
      <c r="C82" s="78" t="str">
        <f>VLOOKUP(B82,'HECVAT - Full'!A:E,2,FALSE)</f>
        <v>Does your organization ensure through policy and procedure (that is currently implemented) that only application software verifiable as authorized, tested, and approved for production, and having met all other requirements and reviews necessary for commissioning, is placed into production?</v>
      </c>
      <c r="D82" s="71">
        <f>VLOOKUP(B82,'HECVAT - Full'!A:E,4,FALSE)</f>
        <v>0</v>
      </c>
      <c r="E82" s="79" t="b">
        <f>IF(Table1[[#This Row],[Column11]]&gt;20,TRUE,FALSE)</f>
        <v>1</v>
      </c>
      <c r="F82" s="79" t="s">
        <v>2033</v>
      </c>
      <c r="G82" s="80" t="s">
        <v>17</v>
      </c>
      <c r="H82" s="81">
        <v>1</v>
      </c>
      <c r="I82" s="71">
        <f>VLOOKUP(B82,'HECVAT - Full'!A:E,3,FALSE)</f>
        <v>0</v>
      </c>
      <c r="J82" s="71">
        <f>IF(Table1[[#This Row],[Column7]]=Table1[[#This Row],[Column9]],1,0)</f>
        <v>0</v>
      </c>
      <c r="K82" s="71">
        <f>IF(Table1[[#This Row],[Column8]]=1,25,"")</f>
        <v>25</v>
      </c>
      <c r="L82" s="71">
        <f>IF(Table1[[#This Row],[Column8]]=1,J82*K82,"")</f>
        <v>0</v>
      </c>
      <c r="M82" s="72" t="str">
        <f>VLOOKUP($B82,'Standards Crosswalk'!$A:$H,3,FALSE)</f>
        <v>CSC 2</v>
      </c>
      <c r="N82" s="72">
        <f>VLOOKUP($B82,'Standards Crosswalk'!$A:$H,4,FALSE)</f>
        <v>0</v>
      </c>
      <c r="O82" s="72" t="str">
        <f>VLOOKUP($B82,'Standards Crosswalk'!$A:$H,5,FALSE)</f>
        <v>12.1.1</v>
      </c>
      <c r="P82" s="72" t="str">
        <f>VLOOKUP($B82,'Standards Crosswalk'!$A:$H,6,FALSE)</f>
        <v>PR.DS-6</v>
      </c>
      <c r="Q82" s="72" t="str">
        <f>VLOOKUP($B82,'Standards Crosswalk'!$A:$H,7,FALSE)</f>
        <v>3.4.4</v>
      </c>
      <c r="R82" s="72" t="str">
        <f>VLOOKUP($B82,'Standards Crosswalk'!$A:$H,8,FALSE)</f>
        <v>CM-3, CM-4, CM-5</v>
      </c>
      <c r="S82" s="72">
        <f>VLOOKUP($B82,'Standards Crosswalk'!$A:$I,9,FALSE)</f>
        <v>12.1</v>
      </c>
    </row>
    <row r="83" spans="1:19" ht="46" thickBot="1" x14ac:dyDescent="0.2">
      <c r="A83" s="71">
        <f t="shared" si="4"/>
        <v>81</v>
      </c>
      <c r="B83" s="77" t="s">
        <v>248</v>
      </c>
      <c r="C83" s="78" t="str">
        <f>VLOOKUP(B83,'HECVAT - Full'!A:E,2,FALSE)</f>
        <v>Do you have a release schedule for product updates?</v>
      </c>
      <c r="D83" s="71">
        <f>VLOOKUP(B83,'HECVAT - Full'!A:E,4,FALSE)</f>
        <v>0</v>
      </c>
      <c r="E83" s="79" t="b">
        <f>IF(Table1[[#This Row],[Column11]]&gt;20,TRUE,FALSE)</f>
        <v>0</v>
      </c>
      <c r="F83" s="79" t="s">
        <v>2033</v>
      </c>
      <c r="G83" s="80" t="s">
        <v>17</v>
      </c>
      <c r="H83" s="81">
        <v>1</v>
      </c>
      <c r="I83" s="71">
        <f>VLOOKUP(B83,'HECVAT - Full'!A:E,3,FALSE)</f>
        <v>0</v>
      </c>
      <c r="J83" s="71">
        <f>IF(Table1[[#This Row],[Column7]]=Table1[[#This Row],[Column9]],1,0)</f>
        <v>0</v>
      </c>
      <c r="K83" s="71">
        <f>IF(Table1[[#This Row],[Column8]]=1,15,"")</f>
        <v>15</v>
      </c>
      <c r="L83" s="71">
        <f>IF(Table1[[#This Row],[Column8]]=1,J83*K83,"")</f>
        <v>0</v>
      </c>
      <c r="M83" s="72" t="str">
        <f>VLOOKUP($B83,'Standards Crosswalk'!$A:$H,3,FALSE)</f>
        <v>CSC 10</v>
      </c>
      <c r="N83" s="72">
        <f>VLOOKUP($B83,'Standards Crosswalk'!$A:$H,4,FALSE)</f>
        <v>0</v>
      </c>
      <c r="O83" s="72">
        <f>VLOOKUP($B83,'Standards Crosswalk'!$A:$H,5,FALSE)</f>
        <v>0</v>
      </c>
      <c r="P83" s="72">
        <f>VLOOKUP($B83,'Standards Crosswalk'!$A:$H,6,FALSE)</f>
        <v>0</v>
      </c>
      <c r="Q83" s="72" t="str">
        <f>VLOOKUP($B83,'Standards Crosswalk'!$A:$H,7,FALSE)</f>
        <v>3.14.4</v>
      </c>
      <c r="R83" s="72" t="str">
        <f>VLOOKUP($B83,'Standards Crosswalk'!$A:$H,8,FALSE)</f>
        <v>CM-3, CM-4, CM-5</v>
      </c>
      <c r="S83" s="72">
        <f>VLOOKUP($B83,'Standards Crosswalk'!$A:$I,9,FALSE)</f>
        <v>0</v>
      </c>
    </row>
    <row r="84" spans="1:19" ht="61" thickBot="1" x14ac:dyDescent="0.2">
      <c r="A84" s="71">
        <f t="shared" si="4"/>
        <v>82</v>
      </c>
      <c r="B84" s="77" t="s">
        <v>249</v>
      </c>
      <c r="C84" s="78" t="str">
        <f>VLOOKUP(B84,'HECVAT - Full'!A:E,2,FALSE)</f>
        <v>Do you have a technology roadmap, for the next 2 years, for enhancements and bug fixes for the product/service being assessed?</v>
      </c>
      <c r="D84" s="71">
        <f>VLOOKUP(B84,'HECVAT - Full'!A:E,4,FALSE)</f>
        <v>0</v>
      </c>
      <c r="E84" s="79" t="b">
        <f>IF(Table1[[#This Row],[Column11]]&gt;20,TRUE,FALSE)</f>
        <v>0</v>
      </c>
      <c r="F84" s="79" t="s">
        <v>2033</v>
      </c>
      <c r="G84" s="80" t="s">
        <v>17</v>
      </c>
      <c r="H84" s="81">
        <v>1</v>
      </c>
      <c r="I84" s="71">
        <f>VLOOKUP(B84,'HECVAT - Full'!A:E,3,FALSE)</f>
        <v>0</v>
      </c>
      <c r="J84" s="71">
        <f>IF(Table1[[#This Row],[Column7]]=Table1[[#This Row],[Column9]],1,0)</f>
        <v>0</v>
      </c>
      <c r="K84" s="71">
        <f>IF(Table1[[#This Row],[Column8]]=1,15,"")</f>
        <v>15</v>
      </c>
      <c r="L84" s="71">
        <f>IF(Table1[[#This Row],[Column8]]=1,J84*K84,"")</f>
        <v>0</v>
      </c>
      <c r="M84" s="72" t="str">
        <f>VLOOKUP($B84,'Standards Crosswalk'!$A:$H,3,FALSE)</f>
        <v>CSC 2</v>
      </c>
      <c r="N84" s="72">
        <f>VLOOKUP($B84,'Standards Crosswalk'!$A:$H,4,FALSE)</f>
        <v>0</v>
      </c>
      <c r="O84" s="72">
        <f>VLOOKUP($B84,'Standards Crosswalk'!$A:$H,5,FALSE)</f>
        <v>0</v>
      </c>
      <c r="P84" s="72">
        <f>VLOOKUP($B84,'Standards Crosswalk'!$A:$H,6,FALSE)</f>
        <v>0</v>
      </c>
      <c r="Q84" s="72">
        <f>VLOOKUP($B84,'Standards Crosswalk'!$A:$H,7,FALSE)</f>
        <v>0</v>
      </c>
      <c r="R84" s="72" t="str">
        <f>VLOOKUP($B84,'Standards Crosswalk'!$A:$H,8,FALSE)</f>
        <v>CM-3, CM-4, CM-5</v>
      </c>
      <c r="S84" s="72">
        <f>VLOOKUP($B84,'Standards Crosswalk'!$A:$I,9,FALSE)</f>
        <v>0</v>
      </c>
    </row>
    <row r="85" spans="1:19" ht="46" thickBot="1" x14ac:dyDescent="0.2">
      <c r="A85" s="71">
        <f t="shared" si="4"/>
        <v>83</v>
      </c>
      <c r="B85" s="77" t="s">
        <v>250</v>
      </c>
      <c r="C85" s="78" t="str">
        <f>VLOOKUP(B85,'HECVAT - Full'!A:E,2,FALSE)</f>
        <v>Is Institution involvement (i.e. technically or organizationally) required during product updates?</v>
      </c>
      <c r="D85" s="71">
        <f>VLOOKUP(B85,'HECVAT - Full'!A:E,4,FALSE)</f>
        <v>0</v>
      </c>
      <c r="E85" s="79" t="b">
        <f>IF(Table1[[#This Row],[Column11]]&gt;20,TRUE,FALSE)</f>
        <v>0</v>
      </c>
      <c r="F85" s="79" t="s">
        <v>2033</v>
      </c>
      <c r="G85" s="80" t="s">
        <v>17</v>
      </c>
      <c r="H85" s="81">
        <v>1</v>
      </c>
      <c r="I85" s="71">
        <f>VLOOKUP(B85,'HECVAT - Full'!A:E,3,FALSE)</f>
        <v>0</v>
      </c>
      <c r="J85" s="71">
        <f>IF(Table1[[#This Row],[Column7]]=Table1[[#This Row],[Column9]],1,0)</f>
        <v>0</v>
      </c>
      <c r="K85" s="71">
        <f>IF(Table1[[#This Row],[Column8]]=1,15,"")</f>
        <v>15</v>
      </c>
      <c r="L85" s="71">
        <f>IF(Table1[[#This Row],[Column8]]=1,J85*K85,"")</f>
        <v>0</v>
      </c>
      <c r="M85" s="72">
        <f>VLOOKUP($B85,'Standards Crosswalk'!$A:$H,3,FALSE)</f>
        <v>0</v>
      </c>
      <c r="N85" s="72">
        <f>VLOOKUP($B85,'Standards Crosswalk'!$A:$H,4,FALSE)</f>
        <v>0</v>
      </c>
      <c r="O85" s="72">
        <f>VLOOKUP($B85,'Standards Crosswalk'!$A:$H,5,FALSE)</f>
        <v>0</v>
      </c>
      <c r="P85" s="72">
        <f>VLOOKUP($B85,'Standards Crosswalk'!$A:$H,6,FALSE)</f>
        <v>0</v>
      </c>
      <c r="Q85" s="72">
        <f>VLOOKUP($B85,'Standards Crosswalk'!$A:$H,7,FALSE)</f>
        <v>0</v>
      </c>
      <c r="R85" s="72" t="str">
        <f>VLOOKUP($B85,'Standards Crosswalk'!$A:$H,8,FALSE)</f>
        <v>CM-3, CM-4, CM-5</v>
      </c>
      <c r="S85" s="72">
        <f>VLOOKUP($B85,'Standards Crosswalk'!$A:$I,9,FALSE)</f>
        <v>0</v>
      </c>
    </row>
    <row r="86" spans="1:19" ht="61" thickBot="1" x14ac:dyDescent="0.2">
      <c r="A86" s="71">
        <f t="shared" si="4"/>
        <v>84</v>
      </c>
      <c r="B86" s="77" t="s">
        <v>251</v>
      </c>
      <c r="C86" s="78" t="str">
        <f>VLOOKUP(B86,'HECVAT - Full'!A:E,2,FALSE)</f>
        <v>Do you have policy and procedure, currently implemented, managing how critical patches are applied to all systems and applications?</v>
      </c>
      <c r="D86" s="71">
        <f>VLOOKUP(B86,'HECVAT - Full'!A:E,4,FALSE)</f>
        <v>0</v>
      </c>
      <c r="E86" s="79" t="b">
        <f>IF(Table1[[#This Row],[Column11]]&gt;20,TRUE,FALSE)</f>
        <v>0</v>
      </c>
      <c r="F86" s="79" t="s">
        <v>2033</v>
      </c>
      <c r="G86" s="80" t="s">
        <v>17</v>
      </c>
      <c r="H86" s="81">
        <v>1</v>
      </c>
      <c r="I86" s="71">
        <f>VLOOKUP(B86,'HECVAT - Full'!A:E,3,FALSE)</f>
        <v>0</v>
      </c>
      <c r="J86" s="71">
        <f>IF(Table1[[#This Row],[Column7]]=Table1[[#This Row],[Column9]],1,0)</f>
        <v>0</v>
      </c>
      <c r="K86" s="71">
        <f>IF(Table1[[#This Row],[Column8]]=1,20,"")</f>
        <v>20</v>
      </c>
      <c r="L86" s="71">
        <f>IF(Table1[[#This Row],[Column8]]=1,J86*K86,"")</f>
        <v>0</v>
      </c>
      <c r="M86" s="72" t="str">
        <f>VLOOKUP($B86,'Standards Crosswalk'!$A:$H,3,FALSE)</f>
        <v>CSC 2</v>
      </c>
      <c r="N86" s="72">
        <f>VLOOKUP($B86,'Standards Crosswalk'!$A:$H,4,FALSE)</f>
        <v>0</v>
      </c>
      <c r="O86" s="72" t="str">
        <f>VLOOKUP($B86,'Standards Crosswalk'!$A:$H,5,FALSE)</f>
        <v>12.6.1</v>
      </c>
      <c r="P86" s="72">
        <f>VLOOKUP($B86,'Standards Crosswalk'!$A:$H,6,FALSE)</f>
        <v>0</v>
      </c>
      <c r="Q86" s="72">
        <f>VLOOKUP($B86,'Standards Crosswalk'!$A:$H,7,FALSE)</f>
        <v>0</v>
      </c>
      <c r="R86" s="72" t="str">
        <f>VLOOKUP($B86,'Standards Crosswalk'!$A:$H,8,FALSE)</f>
        <v>CM-3, CM-4, CM-5</v>
      </c>
      <c r="S86" s="72" t="str">
        <f>VLOOKUP($B86,'Standards Crosswalk'!$A:$I,9,FALSE)</f>
        <v>12.1, 12.8, 6.2</v>
      </c>
    </row>
    <row r="87" spans="1:19" ht="61" thickBot="1" x14ac:dyDescent="0.2">
      <c r="A87" s="71">
        <f t="shared" si="4"/>
        <v>85</v>
      </c>
      <c r="B87" s="77" t="s">
        <v>252</v>
      </c>
      <c r="C87" s="78" t="str">
        <f>VLOOKUP(B87,'HECVAT - Full'!A:E,2,FALSE)</f>
        <v>Do you have policy and procedure, currently implemented, guiding how security risks are mitigated until patches can be applied?</v>
      </c>
      <c r="D87" s="71">
        <f>VLOOKUP(B87,'HECVAT - Full'!A:E,4,FALSE)</f>
        <v>0</v>
      </c>
      <c r="E87" s="79" t="b">
        <f>IF(Table1[[#This Row],[Column11]]&gt;20,TRUE,FALSE)</f>
        <v>0</v>
      </c>
      <c r="F87" s="79" t="s">
        <v>2033</v>
      </c>
      <c r="G87" s="80" t="s">
        <v>17</v>
      </c>
      <c r="H87" s="81">
        <v>1</v>
      </c>
      <c r="I87" s="71">
        <f>VLOOKUP(B87,'HECVAT - Full'!A:E,3,FALSE)</f>
        <v>0</v>
      </c>
      <c r="J87" s="71">
        <f>IF(Table1[[#This Row],[Column7]]=Table1[[#This Row],[Column9]],1,0)</f>
        <v>0</v>
      </c>
      <c r="K87" s="71">
        <f>IF(Table1[[#This Row],[Column8]]=1,20,"")</f>
        <v>20</v>
      </c>
      <c r="L87" s="71">
        <f>IF(Table1[[#This Row],[Column8]]=1,J87*K87,"")</f>
        <v>0</v>
      </c>
      <c r="M87" s="72" t="str">
        <f>VLOOKUP($B87,'Standards Crosswalk'!$A:$H,3,FALSE)</f>
        <v>CSC 13</v>
      </c>
      <c r="N87" s="72" t="str">
        <f>VLOOKUP($B87,'Standards Crosswalk'!$A:$H,4,FALSE)</f>
        <v>§164.308(a)(1)(ii)(B)</v>
      </c>
      <c r="O87" s="72" t="str">
        <f>VLOOKUP($B87,'Standards Crosswalk'!$A:$H,5,FALSE)</f>
        <v>12.6.1</v>
      </c>
      <c r="P87" s="72">
        <f>VLOOKUP($B87,'Standards Crosswalk'!$A:$H,6,FALSE)</f>
        <v>0</v>
      </c>
      <c r="Q87" s="72">
        <f>VLOOKUP($B87,'Standards Crosswalk'!$A:$H,7,FALSE)</f>
        <v>0</v>
      </c>
      <c r="R87" s="72" t="str">
        <f>VLOOKUP($B87,'Standards Crosswalk'!$A:$H,8,FALSE)</f>
        <v>CM-3, CM-4, CM-5</v>
      </c>
      <c r="S87" s="72" t="str">
        <f>VLOOKUP($B87,'Standards Crosswalk'!$A:$I,9,FALSE)</f>
        <v>12.2, 12.8</v>
      </c>
    </row>
    <row r="88" spans="1:19" ht="61" thickBot="1" x14ac:dyDescent="0.2">
      <c r="A88" s="71">
        <f t="shared" si="4"/>
        <v>86</v>
      </c>
      <c r="B88" s="77" t="s">
        <v>253</v>
      </c>
      <c r="C88" s="78" t="str">
        <f>VLOOKUP(B88,'HECVAT - Full'!A:E,2,FALSE)</f>
        <v>Are upgrades or system changes installed during off-peak hours or in a manner that does not impact the customer?</v>
      </c>
      <c r="D88" s="71">
        <f>VLOOKUP(B88,'HECVAT - Full'!A:E,4,FALSE)</f>
        <v>0</v>
      </c>
      <c r="E88" s="79" t="b">
        <f>IF(Table1[[#This Row],[Column11]]&gt;20,TRUE,FALSE)</f>
        <v>0</v>
      </c>
      <c r="F88" s="79" t="s">
        <v>2033</v>
      </c>
      <c r="G88" s="80" t="s">
        <v>17</v>
      </c>
      <c r="H88" s="81">
        <v>1</v>
      </c>
      <c r="I88" s="71">
        <f>VLOOKUP(B88,'HECVAT - Full'!A:E,3,FALSE)</f>
        <v>0</v>
      </c>
      <c r="J88" s="71">
        <f>IF(Table1[[#This Row],[Column7]]=Table1[[#This Row],[Column9]],1,0)</f>
        <v>0</v>
      </c>
      <c r="K88" s="71">
        <f>IF(Table1[[#This Row],[Column8]]=1,15,"")</f>
        <v>15</v>
      </c>
      <c r="L88" s="71">
        <f>IF(Table1[[#This Row],[Column8]]=1,J88*K88,"")</f>
        <v>0</v>
      </c>
      <c r="M88" s="72" t="str">
        <f>VLOOKUP($B88,'Standards Crosswalk'!$A:$H,3,FALSE)</f>
        <v>CSC 10</v>
      </c>
      <c r="N88" s="72">
        <f>VLOOKUP($B88,'Standards Crosswalk'!$A:$H,4,FALSE)</f>
        <v>0</v>
      </c>
      <c r="O88" s="72">
        <f>VLOOKUP($B88,'Standards Crosswalk'!$A:$H,5,FALSE)</f>
        <v>0</v>
      </c>
      <c r="P88" s="72">
        <f>VLOOKUP($B88,'Standards Crosswalk'!$A:$H,6,FALSE)</f>
        <v>0</v>
      </c>
      <c r="Q88" s="72">
        <f>VLOOKUP($B88,'Standards Crosswalk'!$A:$H,7,FALSE)</f>
        <v>0</v>
      </c>
      <c r="R88" s="72" t="str">
        <f>VLOOKUP($B88,'Standards Crosswalk'!$A:$H,8,FALSE)</f>
        <v>CM-3, CM-4, CM-5</v>
      </c>
      <c r="S88" s="72" t="str">
        <f>VLOOKUP($B88,'Standards Crosswalk'!$A:$I,9,FALSE)</f>
        <v>12.1, 12.2, 12.8</v>
      </c>
    </row>
    <row r="89" spans="1:19" ht="61" thickBot="1" x14ac:dyDescent="0.2">
      <c r="A89" s="71">
        <f t="shared" si="4"/>
        <v>87</v>
      </c>
      <c r="B89" s="77" t="s">
        <v>254</v>
      </c>
      <c r="C89" s="78" t="str">
        <f>VLOOKUP(B89,'HECVAT - Full'!A:E,2,FALSE)</f>
        <v>Do procedures exist to provide that emergency changes are documented and authorized (including after the fact approval)?</v>
      </c>
      <c r="D89" s="71">
        <f>VLOOKUP(B89,'HECVAT - Full'!A:E,4,FALSE)</f>
        <v>0</v>
      </c>
      <c r="E89" s="79" t="b">
        <f>IF(Table1[[#This Row],[Column11]]&gt;20,TRUE,FALSE)</f>
        <v>0</v>
      </c>
      <c r="F89" s="79" t="s">
        <v>2033</v>
      </c>
      <c r="G89" s="80" t="s">
        <v>17</v>
      </c>
      <c r="H89" s="81">
        <v>1</v>
      </c>
      <c r="I89" s="71">
        <f>VLOOKUP(B89,'HECVAT - Full'!A:E,3,FALSE)</f>
        <v>0</v>
      </c>
      <c r="J89" s="71">
        <f>IF(Table1[[#This Row],[Column7]]=Table1[[#This Row],[Column9]],1,0)</f>
        <v>0</v>
      </c>
      <c r="K89" s="71">
        <f>IF(Table1[[#This Row],[Column8]]=1,15,"")</f>
        <v>15</v>
      </c>
      <c r="L89" s="71">
        <f>IF(Table1[[#This Row],[Column8]]=1,J89*K89,"")</f>
        <v>0</v>
      </c>
      <c r="M89" s="72" t="str">
        <f>VLOOKUP($B89,'Standards Crosswalk'!$A:$H,3,FALSE)</f>
        <v>CSC 10</v>
      </c>
      <c r="N89" s="72">
        <f>VLOOKUP($B89,'Standards Crosswalk'!$A:$H,4,FALSE)</f>
        <v>0</v>
      </c>
      <c r="O89" s="72" t="str">
        <f>VLOOKUP($B89,'Standards Crosswalk'!$A:$H,5,FALSE)</f>
        <v>12.1.2</v>
      </c>
      <c r="P89" s="72" t="str">
        <f>VLOOKUP($B89,'Standards Crosswalk'!$A:$H,6,FALSE)</f>
        <v>PR.IP-3</v>
      </c>
      <c r="Q89" s="72">
        <f>VLOOKUP($B89,'Standards Crosswalk'!$A:$H,7,FALSE)</f>
        <v>0</v>
      </c>
      <c r="R89" s="72" t="str">
        <f>VLOOKUP($B89,'Standards Crosswalk'!$A:$H,8,FALSE)</f>
        <v>CM-3, CM-4, CM-5</v>
      </c>
      <c r="S89" s="72" t="str">
        <f>VLOOKUP($B89,'Standards Crosswalk'!$A:$I,9,FALSE)</f>
        <v>12.10, 12.8, 6.4</v>
      </c>
    </row>
    <row r="90" spans="1:19" ht="46" thickBot="1" x14ac:dyDescent="0.2">
      <c r="A90" s="71">
        <f t="shared" si="4"/>
        <v>88</v>
      </c>
      <c r="B90" s="77" t="s">
        <v>255</v>
      </c>
      <c r="C90" s="78" t="str">
        <f>VLOOKUP(B90,'HECVAT - Full'!A:E,2,FALSE)</f>
        <v>Do you physically and logically separate Institution's data from that of other customers?</v>
      </c>
      <c r="D90" s="71">
        <f>VLOOKUP(B90,'HECVAT - Full'!A:E,4,FALSE)</f>
        <v>0</v>
      </c>
      <c r="E90" s="79" t="b">
        <f>IF(Table1[[#This Row],[Column11]]&gt;20,TRUE,FALSE)</f>
        <v>1</v>
      </c>
      <c r="F90" s="79" t="s">
        <v>2034</v>
      </c>
      <c r="G90" s="98" t="s">
        <v>17</v>
      </c>
      <c r="H90" s="81">
        <v>1</v>
      </c>
      <c r="I90" s="71">
        <f>VLOOKUP(B90,'HECVAT - Full'!A:E,3,FALSE)</f>
        <v>0</v>
      </c>
      <c r="J90" s="71">
        <f>IF(Table1[[#This Row],[Column7]]=Table1[[#This Row],[Column9]],1,0)</f>
        <v>0</v>
      </c>
      <c r="K90" s="71">
        <f>IF(Table1[[#This Row],[Column8]]=1,25,"")</f>
        <v>25</v>
      </c>
      <c r="L90" s="71">
        <f>IF(Table1[[#This Row],[Column8]]=1,J90*K90,"")</f>
        <v>0</v>
      </c>
      <c r="M90" s="72" t="str">
        <f>VLOOKUP($B90,'Standards Crosswalk'!$A:$H,3,FALSE)</f>
        <v>CSC 12</v>
      </c>
      <c r="N90" s="72">
        <f>VLOOKUP($B90,'Standards Crosswalk'!$A:$H,4,FALSE)</f>
        <v>0</v>
      </c>
      <c r="O90" s="72">
        <f>VLOOKUP($B90,'Standards Crosswalk'!$A:$H,5,FALSE)</f>
        <v>0</v>
      </c>
      <c r="P90" s="72" t="str">
        <f>VLOOKUP($B90,'Standards Crosswalk'!$A:$H,6,FALSE)</f>
        <v>PR.AC-2, PR.IP-5</v>
      </c>
      <c r="Q90" s="72" t="str">
        <f>VLOOKUP($B90,'Standards Crosswalk'!$A:$H,7,FALSE)</f>
        <v>3.1.3, 3.8.1</v>
      </c>
      <c r="R90" s="72" t="str">
        <f>VLOOKUP($B90,'Standards Crosswalk'!$A:$H,8,FALSE)</f>
        <v>AC-4, MP-2, MP-4</v>
      </c>
      <c r="S90" s="72">
        <f>VLOOKUP($B90,'Standards Crosswalk'!$A:$I,9,FALSE)</f>
        <v>12.8</v>
      </c>
    </row>
    <row r="91" spans="1:19" ht="76" thickBot="1" x14ac:dyDescent="0.2">
      <c r="A91" s="71">
        <f t="shared" si="4"/>
        <v>89</v>
      </c>
      <c r="B91" s="77" t="s">
        <v>256</v>
      </c>
      <c r="C91" s="78" t="str">
        <f>VLOOKUP(B91,'HECVAT - Full'!A:E,2,FALSE)</f>
        <v>Will Institution's data be stored on any devices (database servers, file servers, SAN, NAS, …) configured with non-RFC 1918/4193 (i.e. publicly routable) IP addresses?</v>
      </c>
      <c r="D91" s="71">
        <f>VLOOKUP(B91,'HECVAT - Full'!A:E,4,FALSE)</f>
        <v>0</v>
      </c>
      <c r="E91" s="79" t="b">
        <f>IF(Table1[[#This Row],[Column11]]&gt;20,TRUE,FALSE)</f>
        <v>0</v>
      </c>
      <c r="F91" s="79" t="s">
        <v>2034</v>
      </c>
      <c r="G91" s="98" t="s">
        <v>17</v>
      </c>
      <c r="H91" s="81">
        <v>1</v>
      </c>
      <c r="I91" s="71">
        <f>VLOOKUP(B91,'HECVAT - Full'!A:E,3,FALSE)</f>
        <v>0</v>
      </c>
      <c r="J91" s="71">
        <f>IF(Table1[[#This Row],[Column7]]=Table1[[#This Row],[Column9]],1,0)</f>
        <v>0</v>
      </c>
      <c r="K91" s="71">
        <f>IF(Table1[[#This Row],[Column8]]=1,15,"")</f>
        <v>15</v>
      </c>
      <c r="L91" s="71">
        <f>IF(Table1[[#This Row],[Column8]]=1,J91*K91,"")</f>
        <v>0</v>
      </c>
      <c r="M91" s="72" t="str">
        <f>VLOOKUP($B91,'Standards Crosswalk'!$A:$H,3,FALSE)</f>
        <v>CSC 12</v>
      </c>
      <c r="N91" s="72">
        <f>VLOOKUP($B91,'Standards Crosswalk'!$A:$H,4,FALSE)</f>
        <v>0</v>
      </c>
      <c r="O91" s="72">
        <f>VLOOKUP($B91,'Standards Crosswalk'!$A:$H,5,FALSE)</f>
        <v>0</v>
      </c>
      <c r="P91" s="72" t="str">
        <f>VLOOKUP($B91,'Standards Crosswalk'!$A:$H,6,FALSE)</f>
        <v>PR.AC-2, PR.IP-5</v>
      </c>
      <c r="Q91" s="72" t="str">
        <f>VLOOKUP($B91,'Standards Crosswalk'!$A:$H,7,FALSE)</f>
        <v>3.1.22</v>
      </c>
      <c r="R91" s="72" t="str">
        <f>VLOOKUP($B91,'Standards Crosswalk'!$A:$H,8,FALSE)</f>
        <v>AC-22</v>
      </c>
      <c r="S91" s="72" t="str">
        <f>VLOOKUP($B91,'Standards Crosswalk'!$A:$I,9,FALSE)</f>
        <v>12.8, 9.x</v>
      </c>
    </row>
    <row r="92" spans="1:19" ht="31" thickBot="1" x14ac:dyDescent="0.2">
      <c r="A92" s="71">
        <f t="shared" si="4"/>
        <v>90</v>
      </c>
      <c r="B92" s="77" t="s">
        <v>257</v>
      </c>
      <c r="C92" s="78" t="str">
        <f>VLOOKUP(B92,'HECVAT - Full'!A:E,2,FALSE)</f>
        <v>Is sensitive data encrypted in transport? (e.g. system-to-client)</v>
      </c>
      <c r="D92" s="71">
        <f>VLOOKUP(B92,'HECVAT - Full'!A:E,4,FALSE)</f>
        <v>0</v>
      </c>
      <c r="E92" s="79" t="b">
        <f>IF(Table1[[#This Row],[Column11]]&gt;20,TRUE,FALSE)</f>
        <v>1</v>
      </c>
      <c r="F92" s="79" t="s">
        <v>2034</v>
      </c>
      <c r="G92" s="98" t="s">
        <v>17</v>
      </c>
      <c r="H92" s="81">
        <v>1</v>
      </c>
      <c r="I92" s="71">
        <f>VLOOKUP(B92,'HECVAT - Full'!A:E,3,FALSE)</f>
        <v>0</v>
      </c>
      <c r="J92" s="71">
        <f>IF(Table1[[#This Row],[Column7]]=Table1[[#This Row],[Column9]],1,0)</f>
        <v>0</v>
      </c>
      <c r="K92" s="71">
        <f>IF(Table1[[#This Row],[Column8]]=1,25,"")</f>
        <v>25</v>
      </c>
      <c r="L92" s="71">
        <f>IF(Table1[[#This Row],[Column8]]=1,J92*K92,"")</f>
        <v>0</v>
      </c>
      <c r="M92" s="72" t="str">
        <f>VLOOKUP($B92,'Standards Crosswalk'!$A:$H,3,FALSE)</f>
        <v>CSC 13</v>
      </c>
      <c r="N92" s="72">
        <f>VLOOKUP($B92,'Standards Crosswalk'!$A:$H,4,FALSE)</f>
        <v>0</v>
      </c>
      <c r="O92" s="72" t="str">
        <f>VLOOKUP($B92,'Standards Crosswalk'!$A:$H,5,FALSE)</f>
        <v>10.1.1</v>
      </c>
      <c r="P92" s="72" t="str">
        <f>VLOOKUP($B92,'Standards Crosswalk'!$A:$H,6,FALSE)</f>
        <v>PR.DS-2</v>
      </c>
      <c r="Q92" s="72">
        <f>VLOOKUP($B92,'Standards Crosswalk'!$A:$H,7,FALSE)</f>
        <v>0</v>
      </c>
      <c r="R92" s="72">
        <f>VLOOKUP($B92,'Standards Crosswalk'!$A:$H,8,FALSE)</f>
        <v>0</v>
      </c>
      <c r="S92" s="72" t="str">
        <f>VLOOKUP($B92,'Standards Crosswalk'!$A:$I,9,FALSE)</f>
        <v>12.8, 4.1</v>
      </c>
    </row>
    <row r="93" spans="1:19" ht="31" thickBot="1" x14ac:dyDescent="0.2">
      <c r="A93" s="71">
        <f t="shared" si="4"/>
        <v>91</v>
      </c>
      <c r="B93" s="77" t="s">
        <v>258</v>
      </c>
      <c r="C93" s="78" t="str">
        <f>VLOOKUP(B93,'HECVAT - Full'!A:E,2,FALSE)</f>
        <v>Is sensitive data encrypted in storage (e.g. disk encryption, at-rest)?</v>
      </c>
      <c r="D93" s="71">
        <f>VLOOKUP(B93,'HECVAT - Full'!A:E,4,FALSE)</f>
        <v>0</v>
      </c>
      <c r="E93" s="79" t="b">
        <f>IF(Table1[[#This Row],[Column11]]&gt;20,TRUE,FALSE)</f>
        <v>1</v>
      </c>
      <c r="F93" s="79" t="s">
        <v>2034</v>
      </c>
      <c r="G93" s="98" t="s">
        <v>17</v>
      </c>
      <c r="H93" s="81">
        <v>1</v>
      </c>
      <c r="I93" s="71">
        <f>VLOOKUP(B93,'HECVAT - Full'!A:E,3,FALSE)</f>
        <v>0</v>
      </c>
      <c r="J93" s="71">
        <f>IF(Table1[[#This Row],[Column7]]=Table1[[#This Row],[Column9]],1,0)</f>
        <v>0</v>
      </c>
      <c r="K93" s="71">
        <f>IF(Table1[[#This Row],[Column8]]=1,40,"")</f>
        <v>40</v>
      </c>
      <c r="L93" s="71">
        <f>IF(Table1[[#This Row],[Column8]]=1,J93*K93,"")</f>
        <v>0</v>
      </c>
      <c r="M93" s="72" t="str">
        <f>VLOOKUP($B93,'Standards Crosswalk'!$A:$H,3,FALSE)</f>
        <v>CSC 13</v>
      </c>
      <c r="N93" s="72">
        <f>VLOOKUP($B93,'Standards Crosswalk'!$A:$H,4,FALSE)</f>
        <v>0</v>
      </c>
      <c r="O93" s="72" t="str">
        <f>VLOOKUP($B93,'Standards Crosswalk'!$A:$H,5,FALSE)</f>
        <v>8.2.3, 10.1.1</v>
      </c>
      <c r="P93" s="72" t="str">
        <f>VLOOKUP($B93,'Standards Crosswalk'!$A:$H,6,FALSE)</f>
        <v>PR.DS-1</v>
      </c>
      <c r="Q93" s="72" t="str">
        <f>VLOOKUP($B93,'Standards Crosswalk'!$A:$H,7,FALSE)</f>
        <v>3.1.19, 3.8.1</v>
      </c>
      <c r="R93" s="72" t="str">
        <f>VLOOKUP($B93,'Standards Crosswalk'!$A:$H,8,FALSE)</f>
        <v>MP-2, AC-19(5)</v>
      </c>
      <c r="S93" s="72">
        <f>VLOOKUP($B93,'Standards Crosswalk'!$A:$I,9,FALSE)</f>
        <v>12.8</v>
      </c>
    </row>
    <row r="94" spans="1:19" ht="76" thickBot="1" x14ac:dyDescent="0.2">
      <c r="A94" s="71">
        <f t="shared" si="4"/>
        <v>92</v>
      </c>
      <c r="B94" s="77" t="s">
        <v>259</v>
      </c>
      <c r="C94" s="78" t="str">
        <f>VLOOKUP(B94,'HECVAT - Full'!A:E,2,FALSE)</f>
        <v>Do you employ or allow any cryptographic modules that do not conform to the Federal Information Processing Standards (FIPS PUB 140-2)?</v>
      </c>
      <c r="D94" s="71">
        <f>VLOOKUP(B94,'HECVAT - Full'!A:E,4,FALSE)</f>
        <v>0</v>
      </c>
      <c r="E94" s="79" t="b">
        <f>IF(Table1[[#This Row],[Column11]]&gt;20,TRUE,FALSE)</f>
        <v>1</v>
      </c>
      <c r="F94" s="79" t="s">
        <v>2034</v>
      </c>
      <c r="G94" s="98" t="s">
        <v>21</v>
      </c>
      <c r="H94" s="81">
        <v>1</v>
      </c>
      <c r="I94" s="71">
        <f>VLOOKUP(B94,'HECVAT - Full'!A:E,3,FALSE)</f>
        <v>0</v>
      </c>
      <c r="J94" s="71">
        <f>IF(Table1[[#This Row],[Column7]]=Table1[[#This Row],[Column9]],1,0)</f>
        <v>0</v>
      </c>
      <c r="K94" s="71">
        <f>IF(Table1[[#This Row],[Column8]]=1,25,"")</f>
        <v>25</v>
      </c>
      <c r="L94" s="71">
        <f>IF(Table1[[#This Row],[Column8]]=1,J94*K94,"")</f>
        <v>0</v>
      </c>
      <c r="M94" s="72" t="str">
        <f>VLOOKUP($B94,'Standards Crosswalk'!$A:$H,3,FALSE)</f>
        <v>CSC 13</v>
      </c>
      <c r="N94" s="72">
        <f>VLOOKUP($B94,'Standards Crosswalk'!$A:$H,4,FALSE)</f>
        <v>0</v>
      </c>
      <c r="O94" s="72" t="str">
        <f>VLOOKUP($B94,'Standards Crosswalk'!$A:$H,5,FALSE)</f>
        <v>8.2.3, 10.1.1</v>
      </c>
      <c r="P94" s="72">
        <f>VLOOKUP($B94,'Standards Crosswalk'!$A:$H,6,FALSE)</f>
        <v>0</v>
      </c>
      <c r="Q94" s="72" t="str">
        <f>VLOOKUP($B94,'Standards Crosswalk'!$A:$H,7,FALSE)</f>
        <v>3.8.6, 3.13.11</v>
      </c>
      <c r="R94" s="72">
        <f>VLOOKUP($B94,'Standards Crosswalk'!$A:$H,8,FALSE)</f>
        <v>0</v>
      </c>
      <c r="S94" s="72">
        <f>VLOOKUP($B94,'Standards Crosswalk'!$A:$I,9,FALSE)</f>
        <v>12.1</v>
      </c>
    </row>
    <row r="95" spans="1:19" ht="91" thickBot="1" x14ac:dyDescent="0.2">
      <c r="A95" s="71">
        <f t="shared" si="4"/>
        <v>93</v>
      </c>
      <c r="B95" s="77" t="s">
        <v>260</v>
      </c>
      <c r="C95" s="78" t="str">
        <f>VLOOKUP(B95,'HECVAT - Full'!A:E,2,FALSE)</f>
        <v>Does your system employ encryption technologies when transmitting sensitive information over TCP/IP networks (e.g., SSH, SSL/TLS, VPN)? (e.g. system-to-system and system-to-client)</v>
      </c>
      <c r="D95" s="71">
        <f>VLOOKUP(B95,'HECVAT - Full'!A:E,4,FALSE)</f>
        <v>0</v>
      </c>
      <c r="E95" s="79" t="b">
        <f>IF(Table1[[#This Row],[Column11]]&gt;20,TRUE,FALSE)</f>
        <v>1</v>
      </c>
      <c r="F95" s="79" t="s">
        <v>2034</v>
      </c>
      <c r="G95" s="98" t="s">
        <v>17</v>
      </c>
      <c r="H95" s="81">
        <v>1</v>
      </c>
      <c r="I95" s="71">
        <f>VLOOKUP(B95,'HECVAT - Full'!A:E,3,FALSE)</f>
        <v>0</v>
      </c>
      <c r="J95" s="71">
        <f>IF(Table1[[#This Row],[Column7]]=Table1[[#This Row],[Column9]],1,0)</f>
        <v>0</v>
      </c>
      <c r="K95" s="71">
        <f>IF(Table1[[#This Row],[Column8]]=1,25,"")</f>
        <v>25</v>
      </c>
      <c r="L95" s="71">
        <f>IF(Table1[[#This Row],[Column8]]=1,J95*K95,"")</f>
        <v>0</v>
      </c>
      <c r="M95" s="72" t="str">
        <f>VLOOKUP($B95,'Standards Crosswalk'!$A:$H,3,FALSE)</f>
        <v>CSC 13</v>
      </c>
      <c r="N95" s="72">
        <f>VLOOKUP($B95,'Standards Crosswalk'!$A:$H,4,FALSE)</f>
        <v>0</v>
      </c>
      <c r="O95" s="72" t="str">
        <f>VLOOKUP($B95,'Standards Crosswalk'!$A:$H,5,FALSE)</f>
        <v>13.2</v>
      </c>
      <c r="P95" s="72" t="str">
        <f>VLOOKUP($B95,'Standards Crosswalk'!$A:$H,6,FALSE)</f>
        <v>PR.DS-2</v>
      </c>
      <c r="Q95" s="72">
        <f>VLOOKUP($B95,'Standards Crosswalk'!$A:$H,7,FALSE)</f>
        <v>0</v>
      </c>
      <c r="R95" s="72" t="str">
        <f>VLOOKUP($B95,'Standards Crosswalk'!$A:$H,8,FALSE)</f>
        <v>PE-2, PE-3, PE-5, MP-5</v>
      </c>
      <c r="S95" s="72" t="str">
        <f>VLOOKUP($B95,'Standards Crosswalk'!$A:$I,9,FALSE)</f>
        <v>12.8, 4.1</v>
      </c>
    </row>
    <row r="96" spans="1:19" ht="46" thickBot="1" x14ac:dyDescent="0.2">
      <c r="A96" s="71">
        <f t="shared" si="4"/>
        <v>94</v>
      </c>
      <c r="B96" s="77" t="s">
        <v>261</v>
      </c>
      <c r="C96" s="78" t="str">
        <f>VLOOKUP(B96,'HECVAT - Full'!A:E,2,FALSE)</f>
        <v>List all locations (i.e. city + datacenter name) where the institution's data will be stored?</v>
      </c>
      <c r="D96" s="71">
        <f>VLOOKUP(B96,'HECVAT - Full'!A:E,4,FALSE)</f>
        <v>0</v>
      </c>
      <c r="E96" s="79" t="b">
        <f>IF(Table1[[#This Row],[Column11]]&gt;20,TRUE,FALSE)</f>
        <v>0</v>
      </c>
      <c r="F96" s="79" t="s">
        <v>2034</v>
      </c>
      <c r="G96" s="98"/>
      <c r="H96" s="81">
        <v>1</v>
      </c>
      <c r="I96" s="71">
        <f>VLOOKUP(B96,'HECVAT - Full'!A:E,3,FALSE)</f>
        <v>0</v>
      </c>
      <c r="J96" s="71">
        <f>IF(VLOOKUP(Table1[[#This Row],[Column2]],'Analyst Report'!$A$41:$G$88,7,FALSE)="Yes",1,0)</f>
        <v>0</v>
      </c>
      <c r="K96" s="71">
        <f>IF(Table1[[#This Row],[Column8]]=1,20,"")</f>
        <v>20</v>
      </c>
      <c r="L96" s="71">
        <f>IF(Table1[[#This Row],[Column8]]=1,J96*K96,"")</f>
        <v>0</v>
      </c>
      <c r="M96" s="72" t="str">
        <f>VLOOKUP($B96,'Standards Crosswalk'!$A:$H,3,FALSE)</f>
        <v>CSC 1</v>
      </c>
      <c r="N96" s="72">
        <f>VLOOKUP($B96,'Standards Crosswalk'!$A:$H,4,FALSE)</f>
        <v>0</v>
      </c>
      <c r="O96" s="72">
        <f>VLOOKUP($B96,'Standards Crosswalk'!$A:$H,5,FALSE)</f>
        <v>0</v>
      </c>
      <c r="P96" s="72">
        <f>VLOOKUP($B96,'Standards Crosswalk'!$A:$H,6,FALSE)</f>
        <v>0</v>
      </c>
      <c r="Q96" s="72" t="str">
        <f>VLOOKUP($B96,'Standards Crosswalk'!$A:$H,7,FALSE)</f>
        <v>3.8.1</v>
      </c>
      <c r="R96" s="72" t="str">
        <f>VLOOKUP($B96,'Standards Crosswalk'!$A:$H,8,FALSE)</f>
        <v>MP-2</v>
      </c>
      <c r="S96" s="72" t="str">
        <f>VLOOKUP($B96,'Standards Crosswalk'!$A:$I,9,FALSE)</f>
        <v>12.8, 9.x</v>
      </c>
    </row>
    <row r="97" spans="1:19" ht="31" thickBot="1" x14ac:dyDescent="0.2">
      <c r="A97" s="71">
        <f t="shared" si="4"/>
        <v>95</v>
      </c>
      <c r="B97" s="77" t="s">
        <v>262</v>
      </c>
      <c r="C97" s="78" t="str">
        <f>VLOOKUP(B97,'HECVAT - Full'!A:E,2,FALSE)</f>
        <v>At the completion of this contract, will data be returned to the institution?</v>
      </c>
      <c r="D97" s="71">
        <f>VLOOKUP(B97,'HECVAT - Full'!A:E,4,FALSE)</f>
        <v>0</v>
      </c>
      <c r="E97" s="79" t="b">
        <f>IF(Table1[[#This Row],[Column11]]&gt;20,TRUE,FALSE)</f>
        <v>1</v>
      </c>
      <c r="F97" s="79" t="s">
        <v>2034</v>
      </c>
      <c r="G97" s="98" t="s">
        <v>17</v>
      </c>
      <c r="H97" s="81">
        <v>1</v>
      </c>
      <c r="I97" s="71">
        <f>VLOOKUP(B97,'HECVAT - Full'!A:E,3,FALSE)</f>
        <v>0</v>
      </c>
      <c r="J97" s="71">
        <f>IF(Table1[[#This Row],[Column7]]=Table1[[#This Row],[Column9]],1,0)</f>
        <v>0</v>
      </c>
      <c r="K97" s="71">
        <f>IF(Table1[[#This Row],[Column8]]=1,25,"")</f>
        <v>25</v>
      </c>
      <c r="L97" s="71">
        <f>IF(Table1[[#This Row],[Column8]]=1,J97*K97,"")</f>
        <v>0</v>
      </c>
      <c r="M97" s="72" t="str">
        <f>VLOOKUP($B97,'Standards Crosswalk'!$A:$H,3,FALSE)</f>
        <v>CSC 13</v>
      </c>
      <c r="N97" s="72">
        <f>VLOOKUP($B97,'Standards Crosswalk'!$A:$H,4,FALSE)</f>
        <v>0</v>
      </c>
      <c r="O97" s="72" t="str">
        <f>VLOOKUP($B97,'Standards Crosswalk'!$A:$H,5,FALSE)</f>
        <v>8.1.4</v>
      </c>
      <c r="P97" s="72">
        <f>VLOOKUP($B97,'Standards Crosswalk'!$A:$H,6,FALSE)</f>
        <v>0</v>
      </c>
      <c r="Q97" s="72" t="str">
        <f>VLOOKUP($B97,'Standards Crosswalk'!$A:$H,7,FALSE)</f>
        <v>3.8.1</v>
      </c>
      <c r="R97" s="72" t="str">
        <f>VLOOKUP($B97,'Standards Crosswalk'!$A:$H,8,FALSE)</f>
        <v>MP-2</v>
      </c>
      <c r="S97" s="72">
        <f>VLOOKUP($B97,'Standards Crosswalk'!$A:$I,9,FALSE)</f>
        <v>12.8</v>
      </c>
    </row>
    <row r="98" spans="1:19" ht="46" thickBot="1" x14ac:dyDescent="0.2">
      <c r="A98" s="71">
        <f t="shared" si="4"/>
        <v>96</v>
      </c>
      <c r="B98" s="77" t="s">
        <v>263</v>
      </c>
      <c r="C98" s="78" t="str">
        <f>VLOOKUP(B98,'HECVAT - Full'!A:E,2,FALSE)</f>
        <v>Will the institution's data be available within the system for a period of time at the completion of this contract?</v>
      </c>
      <c r="D98" s="71">
        <f>VLOOKUP(B98,'HECVAT - Full'!A:E,4,FALSE)</f>
        <v>0</v>
      </c>
      <c r="E98" s="79" t="b">
        <f>IF(Table1[[#This Row],[Column11]]&gt;20,TRUE,FALSE)</f>
        <v>0</v>
      </c>
      <c r="F98" s="79" t="s">
        <v>2034</v>
      </c>
      <c r="G98" s="98" t="s">
        <v>17</v>
      </c>
      <c r="H98" s="81">
        <v>1</v>
      </c>
      <c r="I98" s="71">
        <f>VLOOKUP(B98,'HECVAT - Full'!A:E,3,FALSE)</f>
        <v>0</v>
      </c>
      <c r="J98" s="71">
        <f>IF(Table1[[#This Row],[Column7]]=Table1[[#This Row],[Column9]],1,0)</f>
        <v>0</v>
      </c>
      <c r="K98" s="71">
        <f>IF(Table1[[#This Row],[Column8]]=1,20,"")</f>
        <v>20</v>
      </c>
      <c r="L98" s="71">
        <f>IF(Table1[[#This Row],[Column8]]=1,J98*K98,"")</f>
        <v>0</v>
      </c>
      <c r="M98" s="72" t="str">
        <f>VLOOKUP($B98,'Standards Crosswalk'!$A:$H,3,FALSE)</f>
        <v>CSC 13</v>
      </c>
      <c r="N98" s="72">
        <f>VLOOKUP($B98,'Standards Crosswalk'!$A:$H,4,FALSE)</f>
        <v>0</v>
      </c>
      <c r="O98" s="72" t="str">
        <f>VLOOKUP($B98,'Standards Crosswalk'!$A:$H,5,FALSE)</f>
        <v>8.1.4</v>
      </c>
      <c r="P98" s="72">
        <f>VLOOKUP($B98,'Standards Crosswalk'!$A:$H,6,FALSE)</f>
        <v>0</v>
      </c>
      <c r="Q98" s="72">
        <f>VLOOKUP($B98,'Standards Crosswalk'!$A:$H,7,FALSE)</f>
        <v>0</v>
      </c>
      <c r="R98" s="72">
        <f>VLOOKUP($B98,'Standards Crosswalk'!$A:$H,8,FALSE)</f>
        <v>0</v>
      </c>
      <c r="S98" s="72">
        <f>VLOOKUP($B98,'Standards Crosswalk'!$A:$I,9,FALSE)</f>
        <v>12.8</v>
      </c>
    </row>
    <row r="99" spans="1:19" ht="31" thickBot="1" x14ac:dyDescent="0.2">
      <c r="A99" s="71">
        <f t="shared" si="4"/>
        <v>97</v>
      </c>
      <c r="B99" s="77" t="s">
        <v>264</v>
      </c>
      <c r="C99" s="78" t="str">
        <f>VLOOKUP(B99,'HECVAT - Full'!A:E,2,FALSE)</f>
        <v>Can the institution extract a full backup of data?</v>
      </c>
      <c r="D99" s="71">
        <f>VLOOKUP(B99,'HECVAT - Full'!A:E,4,FALSE)</f>
        <v>0</v>
      </c>
      <c r="E99" s="79" t="b">
        <f>IF(Table1[[#This Row],[Column11]]&gt;20,TRUE,FALSE)</f>
        <v>0</v>
      </c>
      <c r="F99" s="79" t="s">
        <v>2034</v>
      </c>
      <c r="G99" s="98" t="s">
        <v>17</v>
      </c>
      <c r="H99" s="81">
        <v>1</v>
      </c>
      <c r="I99" s="71">
        <f>VLOOKUP(B99,'HECVAT - Full'!A:E,3,FALSE)</f>
        <v>0</v>
      </c>
      <c r="J99" s="71">
        <f>IF(Table1[[#This Row],[Column7]]=Table1[[#This Row],[Column9]],1,0)</f>
        <v>0</v>
      </c>
      <c r="K99" s="71">
        <f>IF(Table1[[#This Row],[Column8]]=1,15,"")</f>
        <v>15</v>
      </c>
      <c r="L99" s="71">
        <f>IF(Table1[[#This Row],[Column8]]=1,J99*K99,"")</f>
        <v>0</v>
      </c>
      <c r="M99" s="72">
        <f>VLOOKUP($B99,'Standards Crosswalk'!$A:$H,3,FALSE)</f>
        <v>0</v>
      </c>
      <c r="N99" s="72">
        <f>VLOOKUP($B99,'Standards Crosswalk'!$A:$H,4,FALSE)</f>
        <v>0</v>
      </c>
      <c r="O99" s="72" t="str">
        <f>VLOOKUP($B99,'Standards Crosswalk'!$A:$H,5,FALSE)</f>
        <v>12.3.1</v>
      </c>
      <c r="P99" s="72">
        <f>VLOOKUP($B99,'Standards Crosswalk'!$A:$H,6,FALSE)</f>
        <v>0</v>
      </c>
      <c r="Q99" s="72">
        <f>VLOOKUP($B99,'Standards Crosswalk'!$A:$H,7,FALSE)</f>
        <v>0</v>
      </c>
      <c r="R99" s="72">
        <f>VLOOKUP($B99,'Standards Crosswalk'!$A:$H,8,FALSE)</f>
        <v>0</v>
      </c>
      <c r="S99" s="72">
        <f>VLOOKUP($B99,'Standards Crosswalk'!$A:$I,9,FALSE)</f>
        <v>12.8</v>
      </c>
    </row>
    <row r="100" spans="1:19" ht="46" thickBot="1" x14ac:dyDescent="0.2">
      <c r="A100" s="71">
        <f t="shared" si="4"/>
        <v>98</v>
      </c>
      <c r="B100" s="77" t="s">
        <v>265</v>
      </c>
      <c r="C100" s="78" t="str">
        <f>VLOOKUP(B100,'HECVAT - Full'!A:E,2,FALSE)</f>
        <v>Are ownership rights to all data, inputs, outputs, and metadata retained by the institution?</v>
      </c>
      <c r="D100" s="71">
        <f>VLOOKUP(B100,'HECVAT - Full'!A:E,4,FALSE)</f>
        <v>0</v>
      </c>
      <c r="E100" s="79" t="b">
        <f>IF(Table1[[#This Row],[Column11]]&gt;20,TRUE,FALSE)</f>
        <v>1</v>
      </c>
      <c r="F100" s="79" t="s">
        <v>2034</v>
      </c>
      <c r="G100" s="98" t="s">
        <v>17</v>
      </c>
      <c r="H100" s="81">
        <v>1</v>
      </c>
      <c r="I100" s="71">
        <f>VLOOKUP(B100,'HECVAT - Full'!A:E,3,FALSE)</f>
        <v>0</v>
      </c>
      <c r="J100" s="71">
        <f>IF(Table1[[#This Row],[Column7]]=Table1[[#This Row],[Column9]],1,0)</f>
        <v>0</v>
      </c>
      <c r="K100" s="71">
        <f>IF(Table1[[#This Row],[Column8]]=1,25,"")</f>
        <v>25</v>
      </c>
      <c r="L100" s="71">
        <f>IF(Table1[[#This Row],[Column8]]=1,J100*K100,"")</f>
        <v>0</v>
      </c>
      <c r="M100" s="72" t="str">
        <f>VLOOKUP($B100,'Standards Crosswalk'!$A:$H,3,FALSE)</f>
        <v>CSC 13</v>
      </c>
      <c r="N100" s="72">
        <f>VLOOKUP($B100,'Standards Crosswalk'!$A:$H,4,FALSE)</f>
        <v>0</v>
      </c>
      <c r="O100" s="72" t="str">
        <f>VLOOKUP($B100,'Standards Crosswalk'!$A:$H,5,FALSE)</f>
        <v>8.1.2</v>
      </c>
      <c r="P100" s="72">
        <f>VLOOKUP($B100,'Standards Crosswalk'!$A:$H,6,FALSE)</f>
        <v>0</v>
      </c>
      <c r="Q100" s="72" t="str">
        <f>VLOOKUP($B100,'Standards Crosswalk'!$A:$H,7,FALSE)</f>
        <v>3.8.1</v>
      </c>
      <c r="R100" s="72">
        <f>VLOOKUP($B100,'Standards Crosswalk'!$A:$H,8,FALSE)</f>
        <v>0</v>
      </c>
      <c r="S100" s="72">
        <f>VLOOKUP($B100,'Standards Crosswalk'!$A:$I,9,FALSE)</f>
        <v>12.8</v>
      </c>
    </row>
    <row r="101" spans="1:19" ht="46" thickBot="1" x14ac:dyDescent="0.2">
      <c r="A101" s="71">
        <f t="shared" si="4"/>
        <v>99</v>
      </c>
      <c r="B101" s="95" t="s">
        <v>266</v>
      </c>
      <c r="C101" s="78" t="str">
        <f>VLOOKUP(B101,'HECVAT - Full'!A:E,2,FALSE)</f>
        <v>Are these rights retained even through a provider acquisition or bankruptcy event?</v>
      </c>
      <c r="D101" s="71">
        <f>VLOOKUP(B101,'HECVAT - Full'!A:E,4,FALSE)</f>
        <v>0</v>
      </c>
      <c r="E101" s="79" t="b">
        <f>IF(Table1[[#This Row],[Column11]]&gt;20,TRUE,FALSE)</f>
        <v>0</v>
      </c>
      <c r="F101" s="79" t="s">
        <v>2034</v>
      </c>
      <c r="G101" s="98" t="s">
        <v>17</v>
      </c>
      <c r="H101" s="81">
        <f>IF(I100="Yes",1,0)</f>
        <v>0</v>
      </c>
      <c r="I101" s="71">
        <f>VLOOKUP(B101,'HECVAT - Full'!A:E,3,FALSE)</f>
        <v>0</v>
      </c>
      <c r="J101" s="71">
        <f>IF(Table1[[#This Row],[Column7]]=Table1[[#This Row],[Column9]],1,0)</f>
        <v>0</v>
      </c>
      <c r="K101" s="71">
        <f>15*Table1[[#This Row],[Column8]]</f>
        <v>0</v>
      </c>
      <c r="L101" s="71" t="str">
        <f>IF(Table1[[#This Row],[Column8]]=1,J101*K101,"")</f>
        <v/>
      </c>
      <c r="M101" s="72" t="str">
        <f>VLOOKUP($B101,'Standards Crosswalk'!$A:$H,3,FALSE)</f>
        <v>CSC 13</v>
      </c>
      <c r="N101" s="72">
        <f>VLOOKUP($B101,'Standards Crosswalk'!$A:$H,4,FALSE)</f>
        <v>0</v>
      </c>
      <c r="O101" s="72" t="str">
        <f>VLOOKUP($B101,'Standards Crosswalk'!$A:$H,5,FALSE)</f>
        <v>8.1.2</v>
      </c>
      <c r="P101" s="72">
        <f>VLOOKUP($B101,'Standards Crosswalk'!$A:$H,6,FALSE)</f>
        <v>0</v>
      </c>
      <c r="Q101" s="72" t="str">
        <f>VLOOKUP($B101,'Standards Crosswalk'!$A:$H,7,FALSE)</f>
        <v>3.8.2</v>
      </c>
      <c r="R101" s="72">
        <f>VLOOKUP($B101,'Standards Crosswalk'!$A:$H,8,FALSE)</f>
        <v>0</v>
      </c>
      <c r="S101" s="72">
        <f>VLOOKUP($B101,'Standards Crosswalk'!$A:$I,9,FALSE)</f>
        <v>12.8</v>
      </c>
    </row>
    <row r="102" spans="1:19" ht="76" thickBot="1" x14ac:dyDescent="0.2">
      <c r="A102" s="71">
        <f t="shared" si="4"/>
        <v>100</v>
      </c>
      <c r="B102" s="77" t="s">
        <v>267</v>
      </c>
      <c r="C102" s="78" t="str">
        <f>VLOOKUP(B102,'HECVAT - Full'!A:E,2,FALSE)</f>
        <v>In the event of imminent bankruptcy, closing of business, or retirement of service, will you provide 90 days for customers to get their data out of the system and migrate applications?</v>
      </c>
      <c r="D102" s="71">
        <f>VLOOKUP(B102,'HECVAT - Full'!A:E,4,FALSE)</f>
        <v>0</v>
      </c>
      <c r="E102" s="79" t="b">
        <f>IF(Table1[[#This Row],[Column11]]&gt;20,TRUE,FALSE)</f>
        <v>0</v>
      </c>
      <c r="F102" s="79" t="s">
        <v>2034</v>
      </c>
      <c r="G102" s="98" t="s">
        <v>17</v>
      </c>
      <c r="H102" s="81">
        <v>1</v>
      </c>
      <c r="I102" s="71">
        <f>VLOOKUP(B102,'HECVAT - Full'!A:E,3,FALSE)</f>
        <v>0</v>
      </c>
      <c r="J102" s="71">
        <f>IF(Table1[[#This Row],[Column7]]=Table1[[#This Row],[Column9]],1,0)</f>
        <v>0</v>
      </c>
      <c r="K102" s="71">
        <f>IF(Table1[[#This Row],[Column8]]=1,15,"")</f>
        <v>15</v>
      </c>
      <c r="L102" s="71">
        <f>IF(Table1[[#This Row],[Column8]]=1,J102*K102,"")</f>
        <v>0</v>
      </c>
      <c r="M102" s="72" t="str">
        <f>VLOOKUP($B102,'Standards Crosswalk'!$A:$H,3,FALSE)</f>
        <v>CAC 13</v>
      </c>
      <c r="N102" s="72">
        <f>VLOOKUP($B102,'Standards Crosswalk'!$A:$H,4,FALSE)</f>
        <v>0</v>
      </c>
      <c r="O102" s="72" t="str">
        <f>VLOOKUP($B102,'Standards Crosswalk'!$A:$H,5,FALSE)</f>
        <v>8.1.2</v>
      </c>
      <c r="P102" s="72">
        <f>VLOOKUP($B102,'Standards Crosswalk'!$A:$H,6,FALSE)</f>
        <v>0</v>
      </c>
      <c r="Q102" s="72" t="str">
        <f>VLOOKUP($B102,'Standards Crosswalk'!$A:$H,7,FALSE)</f>
        <v>3.8.1</v>
      </c>
      <c r="R102" s="72">
        <f>VLOOKUP($B102,'Standards Crosswalk'!$A:$H,8,FALSE)</f>
        <v>0</v>
      </c>
      <c r="S102" s="72">
        <f>VLOOKUP($B102,'Standards Crosswalk'!$A:$I,9,FALSE)</f>
        <v>12.8</v>
      </c>
    </row>
    <row r="103" spans="1:19" ht="61" thickBot="1" x14ac:dyDescent="0.2">
      <c r="A103" s="71">
        <f t="shared" si="4"/>
        <v>101</v>
      </c>
      <c r="B103" s="77" t="s">
        <v>268</v>
      </c>
      <c r="C103" s="78" t="str">
        <f>VLOOKUP(B103,'HECVAT - Full'!A:E,2,FALSE)</f>
        <v xml:space="preserve">Describe or provide a reference to the backup processes for the servers on which the service and/or data resides. </v>
      </c>
      <c r="D103" s="71">
        <f>VLOOKUP(B103,'HECVAT - Full'!A:E,4,FALSE)</f>
        <v>0</v>
      </c>
      <c r="E103" s="79" t="b">
        <f>IF(Table1[[#This Row],[Column11]]&gt;20,TRUE,FALSE)</f>
        <v>0</v>
      </c>
      <c r="F103" s="79" t="s">
        <v>2034</v>
      </c>
      <c r="G103" s="98"/>
      <c r="H103" s="81">
        <v>1</v>
      </c>
      <c r="I103" s="71">
        <f>VLOOKUP(B103,'HECVAT - Full'!A:E,3,FALSE)</f>
        <v>0</v>
      </c>
      <c r="J103" s="71">
        <f>IF(VLOOKUP(Table1[[#This Row],[Column2]],'Analyst Report'!$A$41:$G$88,7,FALSE)="Yes",1,0)</f>
        <v>0</v>
      </c>
      <c r="K103" s="71">
        <f>IF(Table1[[#This Row],[Column8]]=1,20,"")</f>
        <v>20</v>
      </c>
      <c r="L103" s="71">
        <f>IF(Table1[[#This Row],[Column8]]=1,J103*K103,"")</f>
        <v>0</v>
      </c>
      <c r="M103" s="72" t="str">
        <f>VLOOKUP($B103,'Standards Crosswalk'!$A:$H,3,FALSE)</f>
        <v>CSC 10</v>
      </c>
      <c r="N103" s="72">
        <f>VLOOKUP($B103,'Standards Crosswalk'!$A:$H,4,FALSE)</f>
        <v>0</v>
      </c>
      <c r="O103" s="72" t="str">
        <f>VLOOKUP($B103,'Standards Crosswalk'!$A:$H,5,FALSE)</f>
        <v>12.3.1</v>
      </c>
      <c r="P103" s="72" t="str">
        <f>VLOOKUP($B103,'Standards Crosswalk'!$A:$H,6,FALSE)</f>
        <v>PR.IP-4</v>
      </c>
      <c r="Q103" s="72" t="str">
        <f>VLOOKUP($B103,'Standards Crosswalk'!$A:$H,7,FALSE)</f>
        <v>3.8.9</v>
      </c>
      <c r="R103" s="72" t="str">
        <f>VLOOKUP($B103,'Standards Crosswalk'!$A:$H,8,FALSE)</f>
        <v>CP-9</v>
      </c>
      <c r="S103" s="72" t="str">
        <f>VLOOKUP($B103,'Standards Crosswalk'!$A:$I,9,FALSE)</f>
        <v>9.x</v>
      </c>
    </row>
    <row r="104" spans="1:19" ht="46" thickBot="1" x14ac:dyDescent="0.2">
      <c r="A104" s="71">
        <f t="shared" si="4"/>
        <v>102</v>
      </c>
      <c r="B104" s="77" t="s">
        <v>269</v>
      </c>
      <c r="C104" s="78" t="str">
        <f>VLOOKUP(B104,'HECVAT - Full'!A:E,2,FALSE)</f>
        <v>Are backup copies made according to pre-defined schedules and securely stored and protected?</v>
      </c>
      <c r="D104" s="71">
        <f>VLOOKUP(B104,'HECVAT - Full'!A:E,4,FALSE)</f>
        <v>0</v>
      </c>
      <c r="E104" s="79" t="b">
        <f>IF(Table1[[#This Row],[Column11]]&gt;20,TRUE,FALSE)</f>
        <v>0</v>
      </c>
      <c r="F104" s="79" t="s">
        <v>2034</v>
      </c>
      <c r="G104" s="98" t="s">
        <v>17</v>
      </c>
      <c r="H104" s="81">
        <v>1</v>
      </c>
      <c r="I104" s="71">
        <f>VLOOKUP(B104,'HECVAT - Full'!A:E,3,FALSE)</f>
        <v>0</v>
      </c>
      <c r="J104" s="71">
        <f>IF(Table1[[#This Row],[Column7]]=Table1[[#This Row],[Column9]],1,0)</f>
        <v>0</v>
      </c>
      <c r="K104" s="71">
        <f>IF(Table1[[#This Row],[Column8]]=1,20,"")</f>
        <v>20</v>
      </c>
      <c r="L104" s="71">
        <f>IF(Table1[[#This Row],[Column8]]=1,J104*K104,"")</f>
        <v>0</v>
      </c>
      <c r="M104" s="72" t="str">
        <f>VLOOKUP($B104,'Standards Crosswalk'!$A:$H,3,FALSE)</f>
        <v>CSC 10</v>
      </c>
      <c r="N104" s="72">
        <f>VLOOKUP($B104,'Standards Crosswalk'!$A:$H,4,FALSE)</f>
        <v>0</v>
      </c>
      <c r="O104" s="72" t="str">
        <f>VLOOKUP($B104,'Standards Crosswalk'!$A:$H,5,FALSE)</f>
        <v>12.3.1</v>
      </c>
      <c r="P104" s="72" t="str">
        <f>VLOOKUP($B104,'Standards Crosswalk'!$A:$H,6,FALSE)</f>
        <v>PR.IP-4</v>
      </c>
      <c r="Q104" s="72" t="str">
        <f>VLOOKUP($B104,'Standards Crosswalk'!$A:$H,7,FALSE)</f>
        <v>3.8.9</v>
      </c>
      <c r="R104" s="72" t="str">
        <f>VLOOKUP($B104,'Standards Crosswalk'!$A:$H,8,FALSE)</f>
        <v>CP-9</v>
      </c>
      <c r="S104" s="72">
        <f>VLOOKUP($B104,'Standards Crosswalk'!$A:$I,9,FALSE)</f>
        <v>12.8</v>
      </c>
    </row>
    <row r="105" spans="1:19" ht="16" thickBot="1" x14ac:dyDescent="0.2">
      <c r="A105" s="71">
        <f t="shared" si="4"/>
        <v>103</v>
      </c>
      <c r="B105" s="77" t="s">
        <v>270</v>
      </c>
      <c r="C105" s="78" t="str">
        <f>VLOOKUP(B105,'HECVAT - Full'!A:E,2,FALSE)</f>
        <v>How long are data backups stored?</v>
      </c>
      <c r="D105" s="71">
        <f>VLOOKUP(B105,'HECVAT - Full'!A:E,4,FALSE)</f>
        <v>0</v>
      </c>
      <c r="E105" s="79" t="b">
        <f>IF(Table1[[#This Row],[Column11]]&gt;20,TRUE,FALSE)</f>
        <v>0</v>
      </c>
      <c r="F105" s="79" t="s">
        <v>2034</v>
      </c>
      <c r="G105" s="98"/>
      <c r="H105" s="81">
        <v>1</v>
      </c>
      <c r="I105" s="71">
        <f>VLOOKUP(B105,'HECVAT - Full'!A:E,3,FALSE)</f>
        <v>0</v>
      </c>
      <c r="J105" s="71">
        <f>IF(VLOOKUP(Table1[[#This Row],[Column2]],'Analyst Report'!$A$41:$G$88,7,FALSE)="Yes",1,0)</f>
        <v>0</v>
      </c>
      <c r="K105" s="71">
        <f>IF(Table1[[#This Row],[Column8]]=1,20,"")</f>
        <v>20</v>
      </c>
      <c r="L105" s="71">
        <f>IF(Table1[[#This Row],[Column8]]=1,J105*K105,"")</f>
        <v>0</v>
      </c>
      <c r="M105" s="72" t="str">
        <f>VLOOKUP($B105,'Standards Crosswalk'!$A:$H,3,FALSE)</f>
        <v>CSC 10</v>
      </c>
      <c r="N105" s="72">
        <f>VLOOKUP($B105,'Standards Crosswalk'!$A:$H,4,FALSE)</f>
        <v>0</v>
      </c>
      <c r="O105" s="72" t="str">
        <f>VLOOKUP($B105,'Standards Crosswalk'!$A:$H,5,FALSE)</f>
        <v>12.3.1</v>
      </c>
      <c r="P105" s="72" t="str">
        <f>VLOOKUP($B105,'Standards Crosswalk'!$A:$H,6,FALSE)</f>
        <v>PR.IP-4</v>
      </c>
      <c r="Q105" s="72" t="str">
        <f>VLOOKUP($B105,'Standards Crosswalk'!$A:$H,7,FALSE)</f>
        <v>3.8.9</v>
      </c>
      <c r="R105" s="72" t="str">
        <f>VLOOKUP($B105,'Standards Crosswalk'!$A:$H,8,FALSE)</f>
        <v>CP-9</v>
      </c>
      <c r="S105" s="72">
        <f>VLOOKUP($B105,'Standards Crosswalk'!$A:$I,9,FALSE)</f>
        <v>0</v>
      </c>
    </row>
    <row r="106" spans="1:19" ht="31" thickBot="1" x14ac:dyDescent="0.2">
      <c r="A106" s="71">
        <f t="shared" si="4"/>
        <v>104</v>
      </c>
      <c r="B106" s="77" t="s">
        <v>271</v>
      </c>
      <c r="C106" s="78" t="str">
        <f>VLOOKUP(B106,'HECVAT - Full'!A:E,2,FALSE)</f>
        <v>Are data backups encrypted?</v>
      </c>
      <c r="D106" s="71">
        <f>VLOOKUP(B106,'HECVAT - Full'!A:E,4,FALSE)</f>
        <v>0</v>
      </c>
      <c r="E106" s="79" t="b">
        <f>IF(Table1[[#This Row],[Column11]]&gt;20,TRUE,FALSE)</f>
        <v>1</v>
      </c>
      <c r="F106" s="79" t="s">
        <v>2034</v>
      </c>
      <c r="G106" s="98" t="s">
        <v>17</v>
      </c>
      <c r="H106" s="81">
        <v>1</v>
      </c>
      <c r="I106" s="71">
        <f>VLOOKUP(B106,'HECVAT - Full'!A:E,3,FALSE)</f>
        <v>0</v>
      </c>
      <c r="J106" s="71">
        <f>IF(Table1[[#This Row],[Column7]]=Table1[[#This Row],[Column9]],1,0)</f>
        <v>0</v>
      </c>
      <c r="K106" s="71">
        <f>IF(Table1[[#This Row],[Column8]]=1,25,"")</f>
        <v>25</v>
      </c>
      <c r="L106" s="71">
        <f>IF(Table1[[#This Row],[Column8]]=1,J106*K106,"")</f>
        <v>0</v>
      </c>
      <c r="M106" s="72" t="str">
        <f>VLOOKUP($B106,'Standards Crosswalk'!$A:$H,3,FALSE)</f>
        <v>CSC 10</v>
      </c>
      <c r="N106" s="72">
        <f>VLOOKUP($B106,'Standards Crosswalk'!$A:$H,4,FALSE)</f>
        <v>0</v>
      </c>
      <c r="O106" s="72" t="str">
        <f>VLOOKUP($B106,'Standards Crosswalk'!$A:$H,5,FALSE)</f>
        <v>12.3.1</v>
      </c>
      <c r="P106" s="72" t="str">
        <f>VLOOKUP($B106,'Standards Crosswalk'!$A:$H,6,FALSE)</f>
        <v>PR.DS-1, PR.IP-4</v>
      </c>
      <c r="Q106" s="72" t="str">
        <f>VLOOKUP($B106,'Standards Crosswalk'!$A:$H,7,FALSE)</f>
        <v>3.8.9</v>
      </c>
      <c r="R106" s="72" t="str">
        <f>VLOOKUP($B106,'Standards Crosswalk'!$A:$H,8,FALSE)</f>
        <v>CP-9</v>
      </c>
      <c r="S106" s="72">
        <f>VLOOKUP($B106,'Standards Crosswalk'!$A:$I,9,FALSE)</f>
        <v>0</v>
      </c>
    </row>
    <row r="107" spans="1:19" ht="121" thickBot="1" x14ac:dyDescent="0.2">
      <c r="A107" s="71">
        <f t="shared" si="4"/>
        <v>105</v>
      </c>
      <c r="B107" s="95" t="s">
        <v>272</v>
      </c>
      <c r="C107" s="78" t="str">
        <f>VLOOKUP(B107,'HECVAT - Full'!A:E,2,FALSE)</f>
        <v>Do you have a cryptographic key management process (generation, exchange, storage, safeguards, use, vetting, and replacement), that is documented and currently implemented, for all system components? (e.g. database, system, web, etc.)</v>
      </c>
      <c r="D107" s="71">
        <f>VLOOKUP(B107,'HECVAT - Full'!A:E,4,FALSE)</f>
        <v>0</v>
      </c>
      <c r="E107" s="79" t="b">
        <f>IF(Table1[[#This Row],[Column11]]&gt;20,TRUE,FALSE)</f>
        <v>0</v>
      </c>
      <c r="F107" s="79" t="s">
        <v>2034</v>
      </c>
      <c r="G107" s="98" t="s">
        <v>17</v>
      </c>
      <c r="H107" s="81">
        <v>1</v>
      </c>
      <c r="I107" s="71">
        <f>VLOOKUP(B107,'HECVAT - Full'!A:E,3,FALSE)</f>
        <v>0</v>
      </c>
      <c r="J107" s="71">
        <f>IF(Table1[[#This Row],[Column7]]=Table1[[#This Row],[Column9]],1,0)</f>
        <v>0</v>
      </c>
      <c r="K107" s="71">
        <f>IF(Table1[[#This Row],[Column8]]=1,15,"")</f>
        <v>15</v>
      </c>
      <c r="L107" s="71">
        <f>IF(Table1[[#This Row],[Column8]]=1,J107*K107,"")</f>
        <v>0</v>
      </c>
      <c r="M107" s="72" t="str">
        <f>VLOOKUP($B107,'Standards Crosswalk'!$A:$H,3,FALSE)</f>
        <v>CSC 10</v>
      </c>
      <c r="N107" s="72">
        <f>VLOOKUP($B107,'Standards Crosswalk'!$A:$H,4,FALSE)</f>
        <v>0</v>
      </c>
      <c r="O107" s="72" t="str">
        <f>VLOOKUP($B107,'Standards Crosswalk'!$A:$H,5,FALSE)</f>
        <v>10.1.2</v>
      </c>
      <c r="P107" s="72">
        <f>VLOOKUP($B107,'Standards Crosswalk'!$A:$H,6,FALSE)</f>
        <v>0</v>
      </c>
      <c r="Q107" s="72" t="str">
        <f>VLOOKUP($B107,'Standards Crosswalk'!$A:$H,7,FALSE)</f>
        <v>3.13.10</v>
      </c>
      <c r="R107" s="72" t="str">
        <f>VLOOKUP($B107,'Standards Crosswalk'!$A:$H,8,FALSE)</f>
        <v>SC-28, SC-13, FIPS PUB 140-2</v>
      </c>
      <c r="S107" s="72">
        <f>VLOOKUP($B107,'Standards Crosswalk'!$A:$I,9,FALSE)</f>
        <v>0</v>
      </c>
    </row>
    <row r="108" spans="1:19" ht="31" thickBot="1" x14ac:dyDescent="0.2">
      <c r="A108" s="71">
        <f t="shared" si="4"/>
        <v>106</v>
      </c>
      <c r="B108" s="77" t="s">
        <v>274</v>
      </c>
      <c r="C108" s="78" t="str">
        <f>VLOOKUP(B108,'HECVAT - Full'!A:E,2,FALSE)</f>
        <v>Are you performing off site backups? (i.e. digitally moved off site)</v>
      </c>
      <c r="D108" s="71">
        <f>VLOOKUP(B108,'HECVAT - Full'!A:E,4,FALSE)</f>
        <v>0</v>
      </c>
      <c r="E108" s="79" t="b">
        <f>IF(Table1[[#This Row],[Column11]]&gt;20,TRUE,FALSE)</f>
        <v>0</v>
      </c>
      <c r="F108" s="79" t="s">
        <v>2034</v>
      </c>
      <c r="G108" s="98" t="s">
        <v>17</v>
      </c>
      <c r="H108" s="81">
        <v>1</v>
      </c>
      <c r="I108" s="71">
        <f>VLOOKUP(B108,'HECVAT - Full'!A:E,3,FALSE)</f>
        <v>0</v>
      </c>
      <c r="J108" s="71">
        <f>IF(Table1[[#This Row],[Column7]]=Table1[[#This Row],[Column9]],1,0)</f>
        <v>0</v>
      </c>
      <c r="K108" s="71">
        <f>IF(Table1[[#This Row],[Column8]]=1,10,"")</f>
        <v>10</v>
      </c>
      <c r="L108" s="71">
        <f>IF(Table1[[#This Row],[Column8]]=1,J108*K108,"")</f>
        <v>0</v>
      </c>
      <c r="M108" s="72" t="str">
        <f>VLOOKUP($B108,'Standards Crosswalk'!$A:$H,3,FALSE)</f>
        <v>CSC 10</v>
      </c>
      <c r="N108" s="72">
        <f>VLOOKUP($B108,'Standards Crosswalk'!$A:$H,4,FALSE)</f>
        <v>0</v>
      </c>
      <c r="O108" s="72" t="str">
        <f>VLOOKUP($B108,'Standards Crosswalk'!$A:$H,5,FALSE)</f>
        <v>12.3.1</v>
      </c>
      <c r="P108" s="72" t="str">
        <f>VLOOKUP($B108,'Standards Crosswalk'!$A:$H,6,FALSE)</f>
        <v>PR.IP-4</v>
      </c>
      <c r="Q108" s="72" t="str">
        <f>VLOOKUP($B108,'Standards Crosswalk'!$A:$H,7,FALSE)</f>
        <v>3.8.1, 3.8.9</v>
      </c>
      <c r="R108" s="72" t="str">
        <f>VLOOKUP($B108,'Standards Crosswalk'!$A:$H,8,FALSE)</f>
        <v>CP-9</v>
      </c>
      <c r="S108" s="72" t="str">
        <f>VLOOKUP($B108,'Standards Crosswalk'!$A:$I,9,FALSE)</f>
        <v>9.x</v>
      </c>
    </row>
    <row r="109" spans="1:19" ht="31" thickBot="1" x14ac:dyDescent="0.2">
      <c r="A109" s="71">
        <f t="shared" si="4"/>
        <v>107</v>
      </c>
      <c r="B109" s="77" t="s">
        <v>275</v>
      </c>
      <c r="C109" s="78" t="str">
        <f>VLOOKUP(B109,'HECVAT - Full'!A:E,2,FALSE)</f>
        <v>Are physical backups taken off site? (i.e. physically moved off site)</v>
      </c>
      <c r="D109" s="71">
        <f>VLOOKUP(B109,'HECVAT - Full'!A:E,4,FALSE)</f>
        <v>0</v>
      </c>
      <c r="E109" s="79" t="b">
        <f>IF(Table1[[#This Row],[Column11]]&gt;20,TRUE,FALSE)</f>
        <v>0</v>
      </c>
      <c r="F109" s="79" t="s">
        <v>2034</v>
      </c>
      <c r="G109" s="98" t="s">
        <v>17</v>
      </c>
      <c r="H109" s="81">
        <v>1</v>
      </c>
      <c r="I109" s="71">
        <f>VLOOKUP(B109,'HECVAT - Full'!A:E,3,FALSE)</f>
        <v>0</v>
      </c>
      <c r="J109" s="71">
        <f>IF(Table1[[#This Row],[Column7]]=Table1[[#This Row],[Column9]],1,0)</f>
        <v>0</v>
      </c>
      <c r="K109" s="71">
        <f>IF(Table1[[#This Row],[Column8]]=1,20,"")</f>
        <v>20</v>
      </c>
      <c r="L109" s="71">
        <f>IF(Table1[[#This Row],[Column8]]=1,J109*K109,"")</f>
        <v>0</v>
      </c>
      <c r="M109" s="72" t="str">
        <f>VLOOKUP($B109,'Standards Crosswalk'!$A:$H,3,FALSE)</f>
        <v>CSC 10</v>
      </c>
      <c r="N109" s="72">
        <f>VLOOKUP($B109,'Standards Crosswalk'!$A:$H,4,FALSE)</f>
        <v>0</v>
      </c>
      <c r="O109" s="72" t="str">
        <f>VLOOKUP($B109,'Standards Crosswalk'!$A:$H,5,FALSE)</f>
        <v>12.3.1</v>
      </c>
      <c r="P109" s="72" t="str">
        <f>VLOOKUP($B109,'Standards Crosswalk'!$A:$H,6,FALSE)</f>
        <v>PR.IP-4</v>
      </c>
      <c r="Q109" s="72" t="str">
        <f>VLOOKUP($B109,'Standards Crosswalk'!$A:$H,7,FALSE)</f>
        <v>3.8.1, 3.8.5, 3.8.9</v>
      </c>
      <c r="R109" s="72" t="str">
        <f>VLOOKUP($B109,'Standards Crosswalk'!$A:$H,8,FALSE)</f>
        <v>CP-9, MP-5</v>
      </c>
      <c r="S109" s="72" t="str">
        <f>VLOOKUP($B109,'Standards Crosswalk'!$A:$I,9,FALSE)</f>
        <v>9.x</v>
      </c>
    </row>
    <row r="110" spans="1:19" ht="61" thickBot="1" x14ac:dyDescent="0.2">
      <c r="A110" s="71">
        <f t="shared" si="4"/>
        <v>108</v>
      </c>
      <c r="B110" s="77" t="s">
        <v>276</v>
      </c>
      <c r="C110" s="78" t="str">
        <f>VLOOKUP(B110,'HECVAT - Full'!A:E,2,FALSE)</f>
        <v>Do backups containing the institution's data ever leave the Institution's Data Zone either physically or via network routing?</v>
      </c>
      <c r="D110" s="71">
        <f>VLOOKUP(B110,'HECVAT - Full'!A:E,4,FALSE)</f>
        <v>0</v>
      </c>
      <c r="E110" s="79" t="b">
        <f>IF(Table1[[#This Row],[Column11]]&gt;20,TRUE,FALSE)</f>
        <v>0</v>
      </c>
      <c r="F110" s="79" t="s">
        <v>2034</v>
      </c>
      <c r="G110" s="98" t="s">
        <v>21</v>
      </c>
      <c r="H110" s="81">
        <v>1</v>
      </c>
      <c r="I110" s="71">
        <f>VLOOKUP(B110,'HECVAT - Full'!A:E,3,FALSE)</f>
        <v>0</v>
      </c>
      <c r="J110" s="71">
        <f>IF(Table1[[#This Row],[Column7]]=Table1[[#This Row],[Column9]],1,0)</f>
        <v>0</v>
      </c>
      <c r="K110" s="71">
        <f>IF(Table1[[#This Row],[Column8]]=1,20,"")</f>
        <v>20</v>
      </c>
      <c r="L110" s="71">
        <f>IF(Table1[[#This Row],[Column8]]=1,J110*K110,"")</f>
        <v>0</v>
      </c>
      <c r="M110" s="72" t="str">
        <f>VLOOKUP($B110,'Standards Crosswalk'!$A:$H,3,FALSE)</f>
        <v>CSC 13</v>
      </c>
      <c r="N110" s="72">
        <f>VLOOKUP($B110,'Standards Crosswalk'!$A:$H,4,FALSE)</f>
        <v>0</v>
      </c>
      <c r="O110" s="72" t="str">
        <f>VLOOKUP($B110,'Standards Crosswalk'!$A:$H,5,FALSE)</f>
        <v>12.3.1</v>
      </c>
      <c r="P110" s="72">
        <f>VLOOKUP($B110,'Standards Crosswalk'!$A:$H,6,FALSE)</f>
        <v>0</v>
      </c>
      <c r="Q110" s="72" t="str">
        <f>VLOOKUP($B110,'Standards Crosswalk'!$A:$H,7,FALSE)</f>
        <v>3.8.9</v>
      </c>
      <c r="R110" s="72" t="str">
        <f>VLOOKUP($B110,'Standards Crosswalk'!$A:$H,8,FALSE)</f>
        <v>CP-9, MP-5</v>
      </c>
      <c r="S110" s="72">
        <f>VLOOKUP($B110,'Standards Crosswalk'!$A:$I,9,FALSE)</f>
        <v>12.8</v>
      </c>
    </row>
    <row r="111" spans="1:19" ht="121" thickBot="1" x14ac:dyDescent="0.2">
      <c r="A111" s="71">
        <f t="shared" si="4"/>
        <v>109</v>
      </c>
      <c r="B111" s="77" t="s">
        <v>277</v>
      </c>
      <c r="C111" s="78" t="str">
        <f>VLOOKUP(B111,'HECVAT - Full'!A:E,2,FALSE)</f>
        <v>Do you have a media handling process, that is documented and currently implemented, including end-of-life, repurposing, and data sanitization procedures?</v>
      </c>
      <c r="D111" s="71">
        <f>VLOOKUP(B111,'HECVAT - Full'!A:E,4,FALSE)</f>
        <v>0</v>
      </c>
      <c r="E111" s="79" t="b">
        <f>IF(Table1[[#This Row],[Column11]]&gt;20,TRUE,FALSE)</f>
        <v>1</v>
      </c>
      <c r="F111" s="79" t="s">
        <v>2034</v>
      </c>
      <c r="G111" s="98" t="s">
        <v>17</v>
      </c>
      <c r="H111" s="81">
        <v>1</v>
      </c>
      <c r="I111" s="71">
        <f>VLOOKUP(B111,'HECVAT - Full'!A:E,3,FALSE)</f>
        <v>0</v>
      </c>
      <c r="J111" s="71">
        <f>IF(Table1[[#This Row],[Column7]]=Table1[[#This Row],[Column9]],1,0)</f>
        <v>0</v>
      </c>
      <c r="K111" s="71">
        <f>IF(Table1[[#This Row],[Column8]]=1,25,"")</f>
        <v>25</v>
      </c>
      <c r="L111" s="71">
        <f>IF(Table1[[#This Row],[Column8]]=1,J111*K111,"")</f>
        <v>0</v>
      </c>
      <c r="M111" s="72" t="str">
        <f>VLOOKUP($B111,'Standards Crosswalk'!$A:$H,3,FALSE)</f>
        <v>CSC 13</v>
      </c>
      <c r="N111" s="72">
        <f>VLOOKUP($B111,'Standards Crosswalk'!$A:$H,4,FALSE)</f>
        <v>0</v>
      </c>
      <c r="O111" s="72" t="str">
        <f>VLOOKUP($B111,'Standards Crosswalk'!$A:$H,5,FALSE)</f>
        <v>8.3.1</v>
      </c>
      <c r="P111" s="72" t="str">
        <f>VLOOKUP($B111,'Standards Crosswalk'!$A:$H,6,FALSE)</f>
        <v>PR.DS-3</v>
      </c>
      <c r="Q111" s="72" t="str">
        <f>VLOOKUP($B111,'Standards Crosswalk'!$A:$H,7,FALSE)</f>
        <v>3.7.1, 3.7.2, 3.8.3</v>
      </c>
      <c r="R111" s="72" t="str">
        <f>VLOOKUP($B111,'Standards Crosswalk'!$A:$H,8,FALSE)</f>
        <v>CP-9 MP-6, NIST SP 800-60, NIST SP 800-88, AC-2, AC-6, IA-4, PM-2, PM-10, SI-5, MA-2, MA-3, MP-6</v>
      </c>
      <c r="S111" s="72" t="str">
        <f>VLOOKUP($B111,'Standards Crosswalk'!$A:$I,9,FALSE)</f>
        <v>9.x</v>
      </c>
    </row>
    <row r="112" spans="1:19" ht="46" thickBot="1" x14ac:dyDescent="0.2">
      <c r="A112" s="71">
        <f t="shared" si="4"/>
        <v>110</v>
      </c>
      <c r="B112" s="77" t="s">
        <v>278</v>
      </c>
      <c r="C112" s="78" t="str">
        <f>VLOOKUP(B112,'HECVAT - Full'!A:E,2,FALSE)</f>
        <v>Does the process described in DATA-23 adhere to DoD 5220.22-M and/or NIST SP 800-88 standards?</v>
      </c>
      <c r="D112" s="71">
        <f>VLOOKUP(B112,'HECVAT - Full'!A:E,4,FALSE)</f>
        <v>0</v>
      </c>
      <c r="E112" s="79" t="b">
        <f>IF(Table1[[#This Row],[Column11]]&gt;20,TRUE,FALSE)</f>
        <v>0</v>
      </c>
      <c r="F112" s="79" t="s">
        <v>2034</v>
      </c>
      <c r="G112" s="98" t="s">
        <v>17</v>
      </c>
      <c r="H112" s="81">
        <v>1</v>
      </c>
      <c r="I112" s="71">
        <f>VLOOKUP(B112,'HECVAT - Full'!A:E,3,FALSE)</f>
        <v>0</v>
      </c>
      <c r="J112" s="71">
        <f>IF(Table1[[#This Row],[Column7]]=Table1[[#This Row],[Column9]],1,0)</f>
        <v>0</v>
      </c>
      <c r="K112" s="71">
        <f>IF(Table1[[#This Row],[Column8]]=1,15,"")</f>
        <v>15</v>
      </c>
      <c r="L112" s="71">
        <f>IF(Table1[[#This Row],[Column8]]=1,J112*K112,"")</f>
        <v>0</v>
      </c>
      <c r="M112" s="72" t="str">
        <f>VLOOKUP($B112,'Standards Crosswalk'!$A:$H,3,FALSE)</f>
        <v>CSC 13</v>
      </c>
      <c r="N112" s="72">
        <f>VLOOKUP($B112,'Standards Crosswalk'!$A:$H,4,FALSE)</f>
        <v>0</v>
      </c>
      <c r="O112" s="72" t="str">
        <f>VLOOKUP($B112,'Standards Crosswalk'!$A:$H,5,FALSE)</f>
        <v>8.3.1, 18.1.1</v>
      </c>
      <c r="P112" s="72" t="str">
        <f>VLOOKUP($B112,'Standards Crosswalk'!$A:$H,6,FALSE)</f>
        <v>PR.DS-3</v>
      </c>
      <c r="Q112" s="72" t="str">
        <f>VLOOKUP($B112,'Standards Crosswalk'!$A:$H,7,FALSE)</f>
        <v>3.7.3, 3.8.3,</v>
      </c>
      <c r="R112" s="72" t="str">
        <f>VLOOKUP($B112,'Standards Crosswalk'!$A:$H,8,FALSE)</f>
        <v>AC-2, AC-6, IA-4, PM-2, PM-10, SI-5, MA-2</v>
      </c>
      <c r="S112" s="72">
        <f>VLOOKUP($B112,'Standards Crosswalk'!$A:$I,9,FALSE)</f>
        <v>0</v>
      </c>
    </row>
    <row r="113" spans="1:19" ht="61" thickBot="1" x14ac:dyDescent="0.2">
      <c r="A113" s="71">
        <f t="shared" si="4"/>
        <v>111</v>
      </c>
      <c r="B113" s="77" t="s">
        <v>279</v>
      </c>
      <c r="C113" s="78" t="str">
        <f>VLOOKUP(B113,'HECVAT - Full'!A:E,2,FALSE)</f>
        <v>Do procedures exist to ensure that retention and destruction of data meets established business and regulatory requirements?</v>
      </c>
      <c r="D113" s="71">
        <f>VLOOKUP(B113,'HECVAT - Full'!A:E,4,FALSE)</f>
        <v>0</v>
      </c>
      <c r="E113" s="79" t="b">
        <f>IF(Table1[[#This Row],[Column11]]&gt;20,TRUE,FALSE)</f>
        <v>0</v>
      </c>
      <c r="F113" s="79" t="s">
        <v>2034</v>
      </c>
      <c r="G113" s="98" t="s">
        <v>17</v>
      </c>
      <c r="H113" s="81">
        <v>1</v>
      </c>
      <c r="I113" s="71">
        <f>VLOOKUP(B113,'HECVAT - Full'!A:E,3,FALSE)</f>
        <v>0</v>
      </c>
      <c r="J113" s="71">
        <f>IF(Table1[[#This Row],[Column7]]=Table1[[#This Row],[Column9]],1,0)</f>
        <v>0</v>
      </c>
      <c r="K113" s="71">
        <f>IF(Table1[[#This Row],[Column8]]=1,20,"")</f>
        <v>20</v>
      </c>
      <c r="L113" s="71">
        <f>IF(Table1[[#This Row],[Column8]]=1,J113*K113,"")</f>
        <v>0</v>
      </c>
      <c r="M113" s="72" t="str">
        <f>VLOOKUP($B113,'Standards Crosswalk'!$A:$H,3,FALSE)</f>
        <v>CSC 13</v>
      </c>
      <c r="N113" s="72">
        <f>VLOOKUP($B113,'Standards Crosswalk'!$A:$H,4,FALSE)</f>
        <v>0</v>
      </c>
      <c r="O113" s="72" t="str">
        <f>VLOOKUP($B113,'Standards Crosswalk'!$A:$H,5,FALSE)</f>
        <v>8.3.1, 18.1.1</v>
      </c>
      <c r="P113" s="72" t="str">
        <f>VLOOKUP($B113,'Standards Crosswalk'!$A:$H,6,FALSE)</f>
        <v>PR.DS-3, ID.GV-3</v>
      </c>
      <c r="Q113" s="72" t="str">
        <f>VLOOKUP($B113,'Standards Crosswalk'!$A:$H,7,FALSE)</f>
        <v>3.7.3, 3.8.3,</v>
      </c>
      <c r="R113" s="72" t="str">
        <f>VLOOKUP($B113,'Standards Crosswalk'!$A:$H,8,FALSE)</f>
        <v>SI-12, AC-2, AC-6, IA-4, PM-2, PM-10, SI-5, MA-2</v>
      </c>
      <c r="S113" s="72">
        <f>VLOOKUP($B113,'Standards Crosswalk'!$A:$I,9,FALSE)</f>
        <v>0</v>
      </c>
    </row>
    <row r="114" spans="1:19" ht="61" thickBot="1" x14ac:dyDescent="0.2">
      <c r="A114" s="71">
        <f t="shared" si="4"/>
        <v>112</v>
      </c>
      <c r="B114" s="77" t="s">
        <v>280</v>
      </c>
      <c r="C114" s="78" t="str">
        <f>VLOOKUP(B114,'HECVAT - Full'!A:E,2,FALSE)</f>
        <v>Is media used for long-term retention of business data and archival purposes stored in a secure, environmentally protected area?</v>
      </c>
      <c r="D114" s="71">
        <f>VLOOKUP(B114,'HECVAT - Full'!A:E,4,FALSE)</f>
        <v>0</v>
      </c>
      <c r="E114" s="79" t="b">
        <f>IF(Table1[[#This Row],[Column11]]&gt;20,TRUE,FALSE)</f>
        <v>0</v>
      </c>
      <c r="F114" s="79" t="s">
        <v>2034</v>
      </c>
      <c r="G114" s="98" t="s">
        <v>17</v>
      </c>
      <c r="H114" s="81">
        <v>1</v>
      </c>
      <c r="I114" s="71">
        <f>VLOOKUP(B114,'HECVAT - Full'!A:E,3,FALSE)</f>
        <v>0</v>
      </c>
      <c r="J114" s="71">
        <f>IF(Table1[[#This Row],[Column7]]=Table1[[#This Row],[Column9]],1,0)</f>
        <v>0</v>
      </c>
      <c r="K114" s="71">
        <f>IF(Table1[[#This Row],[Column8]]=1,20,"")</f>
        <v>20</v>
      </c>
      <c r="L114" s="71">
        <f>IF(Table1[[#This Row],[Column8]]=1,J114*K114,"")</f>
        <v>0</v>
      </c>
      <c r="M114" s="72" t="str">
        <f>VLOOKUP($B114,'Standards Crosswalk'!$A:$H,3,FALSE)</f>
        <v>CSC 13</v>
      </c>
      <c r="N114" s="72">
        <f>VLOOKUP($B114,'Standards Crosswalk'!$A:$H,4,FALSE)</f>
        <v>0</v>
      </c>
      <c r="O114" s="72" t="str">
        <f>VLOOKUP($B114,'Standards Crosswalk'!$A:$H,5,FALSE)</f>
        <v>8.3.1, 18.1.1</v>
      </c>
      <c r="P114" s="72" t="str">
        <f>VLOOKUP($B114,'Standards Crosswalk'!$A:$H,6,FALSE)</f>
        <v>PR.DS-3</v>
      </c>
      <c r="Q114" s="72" t="str">
        <f>VLOOKUP($B114,'Standards Crosswalk'!$A:$H,7,FALSE)</f>
        <v>3.8.1, 3.8.2</v>
      </c>
      <c r="R114" s="72" t="str">
        <f>VLOOKUP($B114,'Standards Crosswalk'!$A:$H,8,FALSE)</f>
        <v>AC-2, AC-6, IA-4, PM-2, PM-10, SI-5</v>
      </c>
      <c r="S114" s="72" t="str">
        <f>VLOOKUP($B114,'Standards Crosswalk'!$A:$I,9,FALSE)</f>
        <v>12.8, 9.x</v>
      </c>
    </row>
    <row r="115" spans="1:19" ht="31" thickBot="1" x14ac:dyDescent="0.2">
      <c r="A115" s="71">
        <f t="shared" si="4"/>
        <v>113</v>
      </c>
      <c r="B115" s="77" t="s">
        <v>281</v>
      </c>
      <c r="C115" s="78" t="str">
        <f>VLOOKUP(B115,'HECVAT - Full'!A:E,2,FALSE)</f>
        <v>Will you handle data in a FERPA compliant manner?</v>
      </c>
      <c r="D115" s="71">
        <f>VLOOKUP(B115,'HECVAT - Full'!A:E,4,FALSE)</f>
        <v>0</v>
      </c>
      <c r="E115" s="79" t="b">
        <f>IF(Table1[[#This Row],[Column11]]&gt;20,TRUE,FALSE)</f>
        <v>0</v>
      </c>
      <c r="F115" s="79" t="s">
        <v>2034</v>
      </c>
      <c r="G115" s="98" t="s">
        <v>17</v>
      </c>
      <c r="H115" s="81">
        <v>1</v>
      </c>
      <c r="I115" s="71">
        <f>VLOOKUP(B115,'HECVAT - Full'!A:E,3,FALSE)</f>
        <v>0</v>
      </c>
      <c r="J115" s="71">
        <f>IF(Table1[[#This Row],[Column7]]=Table1[[#This Row],[Column9]],1,0)</f>
        <v>0</v>
      </c>
      <c r="K115" s="71">
        <f>IF(Table1[[#This Row],[Column8]]=1,20,"")</f>
        <v>20</v>
      </c>
      <c r="L115" s="71">
        <f>IF(Table1[[#This Row],[Column8]]=1,J115*K115,"")</f>
        <v>0</v>
      </c>
      <c r="M115" s="72" t="str">
        <f>VLOOKUP($B115,'Standards Crosswalk'!$A:$H,3,FALSE)</f>
        <v>CSC 13</v>
      </c>
      <c r="N115" s="72">
        <f>VLOOKUP($B115,'Standards Crosswalk'!$A:$H,4,FALSE)</f>
        <v>0</v>
      </c>
      <c r="O115" s="72" t="str">
        <f>VLOOKUP($B115,'Standards Crosswalk'!$A:$H,5,FALSE)</f>
        <v>18.1.1</v>
      </c>
      <c r="P115" s="72" t="str">
        <f>VLOOKUP($B115,'Standards Crosswalk'!$A:$H,6,FALSE)</f>
        <v>ID.GV-3</v>
      </c>
      <c r="Q115" s="72">
        <f>VLOOKUP($B115,'Standards Crosswalk'!$A:$H,7,FALSE)</f>
        <v>0</v>
      </c>
      <c r="R115" s="72">
        <f>VLOOKUP($B115,'Standards Crosswalk'!$A:$H,8,FALSE)</f>
        <v>0</v>
      </c>
      <c r="S115" s="72">
        <f>VLOOKUP($B115,'Standards Crosswalk'!$A:$I,9,FALSE)</f>
        <v>0</v>
      </c>
    </row>
    <row r="116" spans="1:19" ht="31" thickBot="1" x14ac:dyDescent="0.2">
      <c r="A116" s="71">
        <f t="shared" si="4"/>
        <v>114</v>
      </c>
      <c r="B116" s="77" t="s">
        <v>282</v>
      </c>
      <c r="C116" s="78" t="str">
        <f>VLOOKUP(B116,'HECVAT - Full'!A:E,2,FALSE)</f>
        <v>Is any institution data visible in system administration modules/tools?</v>
      </c>
      <c r="D116" s="71">
        <f>VLOOKUP(B116,'HECVAT - Full'!A:E,4,FALSE)</f>
        <v>0</v>
      </c>
      <c r="E116" s="79" t="b">
        <f>IF(Table1[[#This Row],[Column11]]&gt;20,TRUE,FALSE)</f>
        <v>1</v>
      </c>
      <c r="F116" s="79" t="s">
        <v>2034</v>
      </c>
      <c r="G116" s="98" t="s">
        <v>21</v>
      </c>
      <c r="H116" s="81">
        <v>1</v>
      </c>
      <c r="I116" s="71">
        <f>VLOOKUP(B116,'HECVAT - Full'!A:E,3,FALSE)</f>
        <v>0</v>
      </c>
      <c r="J116" s="71">
        <f>IF(Table1[[#This Row],[Column7]]=Table1[[#This Row],[Column9]],1,0)</f>
        <v>0</v>
      </c>
      <c r="K116" s="71">
        <f>IF(Table1[[#This Row],[Column8]]=1,25,"")</f>
        <v>25</v>
      </c>
      <c r="L116" s="71">
        <f>IF(Table1[[#This Row],[Column8]]=1,J116*K116,"")</f>
        <v>0</v>
      </c>
      <c r="M116" s="72" t="str">
        <f>VLOOKUP($B116,'Standards Crosswalk'!$A:$H,3,FALSE)</f>
        <v>CSC 13, CSC 14</v>
      </c>
      <c r="N116" s="72">
        <f>VLOOKUP($B116,'Standards Crosswalk'!$A:$H,4,FALSE)</f>
        <v>0</v>
      </c>
      <c r="O116" s="72" t="str">
        <f>VLOOKUP($B116,'Standards Crosswalk'!$A:$H,5,FALSE)</f>
        <v>14.2.5</v>
      </c>
      <c r="P116" s="72" t="str">
        <f>VLOOKUP($B116,'Standards Crosswalk'!$A:$H,6,FALSE)</f>
        <v>PR.AC-4</v>
      </c>
      <c r="Q116" s="72">
        <f>VLOOKUP($B116,'Standards Crosswalk'!$A:$H,7,FALSE)</f>
        <v>0</v>
      </c>
      <c r="R116" s="72">
        <f>VLOOKUP($B116,'Standards Crosswalk'!$A:$H,8,FALSE)</f>
        <v>0</v>
      </c>
      <c r="S116" s="72">
        <f>VLOOKUP($B116,'Standards Crosswalk'!$A:$I,9,FALSE)</f>
        <v>0</v>
      </c>
    </row>
    <row r="117" spans="1:19" ht="31" thickBot="1" x14ac:dyDescent="0.2">
      <c r="A117" s="71">
        <f t="shared" si="4"/>
        <v>115</v>
      </c>
      <c r="B117" s="77" t="s">
        <v>283</v>
      </c>
      <c r="C117" s="78" t="str">
        <f>VLOOKUP(B117,'HECVAT - Full'!A:E,2,FALSE)</f>
        <v>Does the database support encryption of specified data elements in storage?</v>
      </c>
      <c r="D117" s="71">
        <f>VLOOKUP(B117,'HECVAT - Full'!A:E,4,FALSE)</f>
        <v>0</v>
      </c>
      <c r="E117" s="79" t="b">
        <f>IF(Table1[[#This Row],[Column11]]&gt;20,TRUE,FALSE)</f>
        <v>1</v>
      </c>
      <c r="F117" s="79" t="s">
        <v>2035</v>
      </c>
      <c r="G117" s="80" t="s">
        <v>17</v>
      </c>
      <c r="H117" s="81">
        <v>1</v>
      </c>
      <c r="I117" s="71">
        <f>VLOOKUP(B117,'HECVAT - Full'!A:E,3,FALSE)</f>
        <v>0</v>
      </c>
      <c r="J117" s="71">
        <f>IF(Table1[[#This Row],[Column7]]=Table1[[#This Row],[Column9]],1,0)</f>
        <v>0</v>
      </c>
      <c r="K117" s="71">
        <f>IF(Table1[[#This Row],[Column8]]=1,25,"")</f>
        <v>25</v>
      </c>
      <c r="L117" s="71">
        <f>IF(Table1[[#This Row],[Column8]]=1,J117*K117,"")</f>
        <v>0</v>
      </c>
      <c r="M117" s="72" t="str">
        <f>VLOOKUP($B117,'Standards Crosswalk'!$A:$H,3,FALSE)</f>
        <v>CSC 13</v>
      </c>
      <c r="N117" s="72">
        <f>VLOOKUP($B117,'Standards Crosswalk'!$A:$H,4,FALSE)</f>
        <v>0</v>
      </c>
      <c r="O117" s="72" t="str">
        <f>VLOOKUP($B117,'Standards Crosswalk'!$A:$H,5,FALSE)</f>
        <v>10.1.1</v>
      </c>
      <c r="P117" s="72" t="str">
        <f>VLOOKUP($B117,'Standards Crosswalk'!$A:$H,6,FALSE)</f>
        <v>PR.DS-1</v>
      </c>
      <c r="Q117" s="72">
        <f>VLOOKUP($B117,'Standards Crosswalk'!$A:$H,7,FALSE)</f>
        <v>0</v>
      </c>
      <c r="R117" s="72">
        <f>VLOOKUP($B117,'Standards Crosswalk'!$A:$H,8,FALSE)</f>
        <v>0</v>
      </c>
      <c r="S117" s="72">
        <f>VLOOKUP($B117,'Standards Crosswalk'!$A:$I,9,FALSE)</f>
        <v>0</v>
      </c>
    </row>
    <row r="118" spans="1:19" ht="31" thickBot="1" x14ac:dyDescent="0.2">
      <c r="A118" s="71">
        <f t="shared" si="4"/>
        <v>116</v>
      </c>
      <c r="B118" s="77" t="s">
        <v>284</v>
      </c>
      <c r="C118" s="78" t="str">
        <f>VLOOKUP(B118,'HECVAT - Full'!A:E,2,FALSE)</f>
        <v>Do you currently use encryption in your database(s)?</v>
      </c>
      <c r="D118" s="71">
        <f>VLOOKUP(B118,'HECVAT - Full'!A:E,4,FALSE)</f>
        <v>0</v>
      </c>
      <c r="E118" s="79" t="b">
        <f>IF(Table1[[#This Row],[Column11]]&gt;20,TRUE,FALSE)</f>
        <v>1</v>
      </c>
      <c r="F118" s="79" t="s">
        <v>2035</v>
      </c>
      <c r="G118" s="80" t="s">
        <v>17</v>
      </c>
      <c r="H118" s="81">
        <v>1</v>
      </c>
      <c r="I118" s="71">
        <f>VLOOKUP(B118,'HECVAT - Full'!A:E,3,FALSE)</f>
        <v>0</v>
      </c>
      <c r="J118" s="71">
        <f>IF(Table1[[#This Row],[Column7]]=Table1[[#This Row],[Column9]],1,0)</f>
        <v>0</v>
      </c>
      <c r="K118" s="71">
        <f>IF(Table1[[#This Row],[Column8]]=1,25,"")</f>
        <v>25</v>
      </c>
      <c r="L118" s="71">
        <f>IF(Table1[[#This Row],[Column8]]=1,J118*K118,"")</f>
        <v>0</v>
      </c>
      <c r="M118" s="72" t="str">
        <f>VLOOKUP($B118,'Standards Crosswalk'!$A:$H,3,FALSE)</f>
        <v>CSC 13</v>
      </c>
      <c r="N118" s="72">
        <f>VLOOKUP($B118,'Standards Crosswalk'!$A:$H,4,FALSE)</f>
        <v>0</v>
      </c>
      <c r="O118" s="72" t="str">
        <f>VLOOKUP($B118,'Standards Crosswalk'!$A:$H,5,FALSE)</f>
        <v>10.1.1</v>
      </c>
      <c r="P118" s="72" t="str">
        <f>VLOOKUP($B118,'Standards Crosswalk'!$A:$H,6,FALSE)</f>
        <v>PR.DS-1, PR.DS-2</v>
      </c>
      <c r="Q118" s="72">
        <f>VLOOKUP($B118,'Standards Crosswalk'!$A:$H,7,FALSE)</f>
        <v>0</v>
      </c>
      <c r="R118" s="72">
        <f>VLOOKUP($B118,'Standards Crosswalk'!$A:$H,8,FALSE)</f>
        <v>0</v>
      </c>
      <c r="S118" s="72">
        <f>VLOOKUP($B118,'Standards Crosswalk'!$A:$I,9,FALSE)</f>
        <v>0</v>
      </c>
    </row>
    <row r="119" spans="1:19" ht="46" thickBot="1" x14ac:dyDescent="0.2">
      <c r="A119" s="71">
        <f t="shared" si="4"/>
        <v>117</v>
      </c>
      <c r="B119" s="77" t="s">
        <v>285</v>
      </c>
      <c r="C119" s="78" t="str">
        <f>VLOOKUP(B119,'HECVAT - Full'!A:E,2,FALSE)</f>
        <v>Does your company own the physical data center where the Institution's data will reside?</v>
      </c>
      <c r="D119" s="71">
        <f>VLOOKUP(B119,'HECVAT - Full'!A:E,4,FALSE)</f>
        <v>0</v>
      </c>
      <c r="E119" s="79" t="b">
        <f>IF(Table1[[#This Row],[Column11]]&gt;20,TRUE,FALSE)</f>
        <v>0</v>
      </c>
      <c r="F119" s="79" t="s">
        <v>2036</v>
      </c>
      <c r="G119" s="80" t="s">
        <v>17</v>
      </c>
      <c r="H119" s="81">
        <v>1</v>
      </c>
      <c r="I119" s="71">
        <f>VLOOKUP(B119,'HECVAT - Full'!A:E,3,FALSE)</f>
        <v>0</v>
      </c>
      <c r="J119" s="71">
        <f>IF(Table1[[#This Row],[Column7]]=Table1[[#This Row],[Column9]],1,0)</f>
        <v>0</v>
      </c>
      <c r="K119" s="71">
        <f>IF(Table1[[#This Row],[Column8]]=1,15,"")</f>
        <v>15</v>
      </c>
      <c r="L119" s="71">
        <f>IF(Table1[[#This Row],[Column8]]=1,J119*K119,"")</f>
        <v>0</v>
      </c>
      <c r="M119" s="72" t="str">
        <f>VLOOKUP($B119,'Standards Crosswalk'!$A:$H,3,FALSE)</f>
        <v>CSC 14</v>
      </c>
      <c r="N119" s="72">
        <f>VLOOKUP($B119,'Standards Crosswalk'!$A:$H,4,FALSE)</f>
        <v>0</v>
      </c>
      <c r="O119" s="72" t="str">
        <f>VLOOKUP($B119,'Standards Crosswalk'!$A:$H,5,FALSE)</f>
        <v>11.1.1</v>
      </c>
      <c r="P119" s="72" t="str">
        <f>VLOOKUP($B119,'Standards Crosswalk'!$A:$H,6,FALSE)</f>
        <v>PR.AC-2, PR.IP-5</v>
      </c>
      <c r="Q119" s="72">
        <f>VLOOKUP($B119,'Standards Crosswalk'!$A:$H,7,FALSE)</f>
        <v>0</v>
      </c>
      <c r="R119" s="72">
        <f>VLOOKUP($B119,'Standards Crosswalk'!$A:$H,8,FALSE)</f>
        <v>0</v>
      </c>
      <c r="S119" s="72" t="str">
        <f>VLOOKUP($B119,'Standards Crosswalk'!$A:$I,9,FALSE)</f>
        <v>12.8, 9.x</v>
      </c>
    </row>
    <row r="120" spans="1:19" ht="31" thickBot="1" x14ac:dyDescent="0.2">
      <c r="A120" s="71">
        <f t="shared" si="4"/>
        <v>118</v>
      </c>
      <c r="B120" s="77" t="s">
        <v>286</v>
      </c>
      <c r="C120" s="78" t="str">
        <f>VLOOKUP(B120,'HECVAT - Full'!A:E,2,FALSE)</f>
        <v>Does the hosting provider have a SOC 2 Type 2 report available?</v>
      </c>
      <c r="D120" s="71">
        <f>VLOOKUP(B120,'HECVAT - Full'!A:E,4,FALSE)</f>
        <v>0</v>
      </c>
      <c r="E120" s="79" t="b">
        <f>IF(Table1[[#This Row],[Column11]]&gt;20,TRUE,FALSE)</f>
        <v>0</v>
      </c>
      <c r="F120" s="79" t="s">
        <v>2036</v>
      </c>
      <c r="G120" s="80" t="s">
        <v>17</v>
      </c>
      <c r="H120" s="81">
        <v>1</v>
      </c>
      <c r="I120" s="71">
        <f>VLOOKUP(B120,'HECVAT - Full'!A:E,3,FALSE)</f>
        <v>0</v>
      </c>
      <c r="J120" s="71">
        <f>IF(Table1[[#This Row],[Column7]]=Table1[[#This Row],[Column9]],1,0)</f>
        <v>0</v>
      </c>
      <c r="K120" s="71">
        <f>IF(Table1[[#This Row],[Column8]]=1,15,"")</f>
        <v>15</v>
      </c>
      <c r="L120" s="71">
        <f>IF(Table1[[#This Row],[Column8]]=1,J120*K120,"")</f>
        <v>0</v>
      </c>
      <c r="M120" s="72" t="str">
        <f>VLOOKUP($B120,'Standards Crosswalk'!$A:$H,3,FALSE)</f>
        <v>CSC 13</v>
      </c>
      <c r="N120" s="72">
        <f>VLOOKUP($B120,'Standards Crosswalk'!$A:$H,4,FALSE)</f>
        <v>0</v>
      </c>
      <c r="O120" s="72" t="str">
        <f>VLOOKUP($B120,'Standards Crosswalk'!$A:$H,5,FALSE)</f>
        <v>11.1.1</v>
      </c>
      <c r="P120" s="72">
        <f>VLOOKUP($B120,'Standards Crosswalk'!$A:$H,6,FALSE)</f>
        <v>0</v>
      </c>
      <c r="Q120" s="72">
        <f>VLOOKUP($B120,'Standards Crosswalk'!$A:$H,7,FALSE)</f>
        <v>0</v>
      </c>
      <c r="R120" s="72">
        <f>VLOOKUP($B120,'Standards Crosswalk'!$A:$H,8,FALSE)</f>
        <v>0</v>
      </c>
      <c r="S120" s="72">
        <f>VLOOKUP($B120,'Standards Crosswalk'!$A:$I,9,FALSE)</f>
        <v>0</v>
      </c>
    </row>
    <row r="121" spans="1:19" ht="46" thickBot="1" x14ac:dyDescent="0.2">
      <c r="A121" s="71">
        <f t="shared" si="4"/>
        <v>119</v>
      </c>
      <c r="B121" s="77" t="s">
        <v>287</v>
      </c>
      <c r="C121" s="78" t="str">
        <f>VLOOKUP(B121,'HECVAT - Full'!A:E,2,FALSE)</f>
        <v>Are the data centers staffed 24 hours a day, seven days a week (i.e., 24x7x365)?</v>
      </c>
      <c r="D121" s="71">
        <f>VLOOKUP(B121,'HECVAT - Full'!A:E,4,FALSE)</f>
        <v>0</v>
      </c>
      <c r="E121" s="79" t="b">
        <f>IF(Table1[[#This Row],[Column11]]&gt;20,TRUE,FALSE)</f>
        <v>0</v>
      </c>
      <c r="F121" s="79" t="s">
        <v>2036</v>
      </c>
      <c r="G121" s="80" t="s">
        <v>17</v>
      </c>
      <c r="H121" s="81">
        <v>1</v>
      </c>
      <c r="I121" s="71">
        <f>VLOOKUP(B121,'HECVAT - Full'!A:E,3,FALSE)</f>
        <v>0</v>
      </c>
      <c r="J121" s="71">
        <f>IF(Table1[[#This Row],[Column7]]=Table1[[#This Row],[Column9]],1,0)</f>
        <v>0</v>
      </c>
      <c r="K121" s="71">
        <f>IF(Table1[[#This Row],[Column8]]=1,15,"")</f>
        <v>15</v>
      </c>
      <c r="L121" s="71">
        <f>IF(Table1[[#This Row],[Column8]]=1,J121*K121,"")</f>
        <v>0</v>
      </c>
      <c r="M121" s="72" t="str">
        <f>VLOOKUP($B121,'Standards Crosswalk'!$A:$H,3,FALSE)</f>
        <v>CSC 3</v>
      </c>
      <c r="N121" s="72">
        <f>VLOOKUP($B121,'Standards Crosswalk'!$A:$H,4,FALSE)</f>
        <v>0</v>
      </c>
      <c r="O121" s="72" t="str">
        <f>VLOOKUP($B121,'Standards Crosswalk'!$A:$H,5,FALSE)</f>
        <v>17.2.1</v>
      </c>
      <c r="P121" s="72">
        <f>VLOOKUP($B121,'Standards Crosswalk'!$A:$H,6,FALSE)</f>
        <v>0</v>
      </c>
      <c r="Q121" s="72">
        <f>VLOOKUP($B121,'Standards Crosswalk'!$A:$H,7,FALSE)</f>
        <v>0</v>
      </c>
      <c r="R121" s="72">
        <f>VLOOKUP($B121,'Standards Crosswalk'!$A:$H,8,FALSE)</f>
        <v>0</v>
      </c>
      <c r="S121" s="72">
        <f>VLOOKUP($B121,'Standards Crosswalk'!$A:$I,9,FALSE)</f>
        <v>0</v>
      </c>
    </row>
    <row r="122" spans="1:19" ht="31" thickBot="1" x14ac:dyDescent="0.2">
      <c r="A122" s="71">
        <f t="shared" si="4"/>
        <v>120</v>
      </c>
      <c r="B122" s="77" t="s">
        <v>288</v>
      </c>
      <c r="C122" s="78" t="str">
        <f>VLOOKUP(B122,'HECVAT - Full'!A:E,2,FALSE)</f>
        <v>Do any of your servers reside in a co-located data center?</v>
      </c>
      <c r="D122" s="71">
        <f>VLOOKUP(B122,'HECVAT - Full'!A:E,4,FALSE)</f>
        <v>0</v>
      </c>
      <c r="E122" s="79" t="b">
        <f>IF(Table1[[#This Row],[Column11]]&gt;20,TRUE,FALSE)</f>
        <v>1</v>
      </c>
      <c r="F122" s="79" t="s">
        <v>2036</v>
      </c>
      <c r="G122" s="80" t="s">
        <v>21</v>
      </c>
      <c r="H122" s="81">
        <v>1</v>
      </c>
      <c r="I122" s="71">
        <f>VLOOKUP(B122,'HECVAT - Full'!A:E,3,FALSE)</f>
        <v>0</v>
      </c>
      <c r="J122" s="71">
        <f>IF(Table1[[#This Row],[Column7]]=Table1[[#This Row],[Column9]],1,0)</f>
        <v>0</v>
      </c>
      <c r="K122" s="71">
        <v>25</v>
      </c>
      <c r="L122" s="71">
        <f>IF(Table1[[#This Row],[Column8]]=1,J122*K122,"")</f>
        <v>0</v>
      </c>
      <c r="M122" s="72" t="str">
        <f>VLOOKUP($B122,'Standards Crosswalk'!$A:$H,3,FALSE)</f>
        <v>CSC 3, CSC 14</v>
      </c>
      <c r="N122" s="72">
        <f>VLOOKUP($B122,'Standards Crosswalk'!$A:$H,4,FALSE)</f>
        <v>0</v>
      </c>
      <c r="O122" s="72">
        <f>VLOOKUP($B122,'Standards Crosswalk'!$A:$H,5,FALSE)</f>
        <v>0</v>
      </c>
      <c r="P122" s="72">
        <f>VLOOKUP($B122,'Standards Crosswalk'!$A:$H,6,FALSE)</f>
        <v>0</v>
      </c>
      <c r="Q122" s="72">
        <f>VLOOKUP($B122,'Standards Crosswalk'!$A:$H,7,FALSE)</f>
        <v>0</v>
      </c>
      <c r="R122" s="72" t="str">
        <f>VLOOKUP($B122,'Standards Crosswalk'!$A:$H,8,FALSE)</f>
        <v>AC-4</v>
      </c>
      <c r="S122" s="72">
        <f>VLOOKUP($B122,'Standards Crosswalk'!$A:$I,9,FALSE)</f>
        <v>12.8</v>
      </c>
    </row>
    <row r="123" spans="1:19" ht="61" thickBot="1" x14ac:dyDescent="0.2">
      <c r="A123" s="71">
        <f t="shared" si="4"/>
        <v>121</v>
      </c>
      <c r="B123" s="95" t="s">
        <v>289</v>
      </c>
      <c r="C123" s="78" t="str">
        <f>VLOOKUP(B123,'HECVAT - Full'!A:E,2,FALSE)</f>
        <v>Are your servers separated from other companies via a physical barrier, such as a cage or hardened walls?</v>
      </c>
      <c r="D123" s="71">
        <f>VLOOKUP(B123,'HECVAT - Full'!A:E,4,FALSE)</f>
        <v>0</v>
      </c>
      <c r="E123" s="79" t="b">
        <f>IF(Table1[[#This Row],[Column11]]&gt;20,TRUE,FALSE)</f>
        <v>1</v>
      </c>
      <c r="F123" s="79" t="s">
        <v>2036</v>
      </c>
      <c r="G123" s="80" t="s">
        <v>17</v>
      </c>
      <c r="H123" s="81">
        <f>IF(I122="Yes",1,0)</f>
        <v>0</v>
      </c>
      <c r="I123" s="71">
        <f>VLOOKUP(B123,'HECVAT - Full'!A:E,3,FALSE)</f>
        <v>0</v>
      </c>
      <c r="J123" s="71">
        <f>IF(Table1[[#This Row],[Column7]]=Table1[[#This Row],[Column9]],1,0)</f>
        <v>0</v>
      </c>
      <c r="K123" s="71" t="str">
        <f>IF(Table1[[#This Row],[Column8]]=1,20,"")</f>
        <v/>
      </c>
      <c r="L123" s="71" t="str">
        <f>IF(Table1[[#This Row],[Column8]]=1,J123*K123,"")</f>
        <v/>
      </c>
      <c r="M123" s="72" t="str">
        <f>VLOOKUP($B123,'Standards Crosswalk'!$A:$H,3,FALSE)</f>
        <v>CSC 3, CSC 14</v>
      </c>
      <c r="N123" s="72">
        <f>VLOOKUP($B123,'Standards Crosswalk'!$A:$H,4,FALSE)</f>
        <v>0</v>
      </c>
      <c r="O123" s="72" t="str">
        <f>VLOOKUP($B123,'Standards Crosswalk'!$A:$H,5,FALSE)</f>
        <v>13.1.2</v>
      </c>
      <c r="P123" s="72" t="str">
        <f>VLOOKUP($B123,'Standards Crosswalk'!$A:$H,6,FALSE)</f>
        <v>PR.AC-2</v>
      </c>
      <c r="Q123" s="72">
        <f>VLOOKUP($B123,'Standards Crosswalk'!$A:$H,7,FALSE)</f>
        <v>0</v>
      </c>
      <c r="R123" s="72">
        <f>VLOOKUP($B123,'Standards Crosswalk'!$A:$H,8,FALSE)</f>
        <v>0</v>
      </c>
      <c r="S123" s="72" t="str">
        <f>VLOOKUP($B123,'Standards Crosswalk'!$A:$I,9,FALSE)</f>
        <v>9.x</v>
      </c>
    </row>
    <row r="124" spans="1:19" ht="61" thickBot="1" x14ac:dyDescent="0.2">
      <c r="A124" s="71">
        <f t="shared" si="4"/>
        <v>122</v>
      </c>
      <c r="B124" s="95" t="s">
        <v>290</v>
      </c>
      <c r="C124" s="78" t="str">
        <f>VLOOKUP(B124,'HECVAT - Full'!A:E,2,FALSE)</f>
        <v>Does a physical barrier fully enclose the physical space preventing unauthorized physical contact with any of your devices?</v>
      </c>
      <c r="D124" s="71">
        <f>VLOOKUP(B124,'HECVAT - Full'!A:E,4,FALSE)</f>
        <v>0</v>
      </c>
      <c r="E124" s="79" t="b">
        <f>IF(Table1[[#This Row],[Column11]]&gt;20,TRUE,FALSE)</f>
        <v>1</v>
      </c>
      <c r="F124" s="79" t="s">
        <v>2036</v>
      </c>
      <c r="G124" s="80" t="s">
        <v>17</v>
      </c>
      <c r="H124" s="81">
        <f>IF(I122="Yes",1,0)</f>
        <v>0</v>
      </c>
      <c r="I124" s="71">
        <f>VLOOKUP(B124,'HECVAT - Full'!A:E,3,FALSE)</f>
        <v>0</v>
      </c>
      <c r="J124" s="71">
        <f>IF(Table1[[#This Row],[Column7]]=Table1[[#This Row],[Column9]],1,0)</f>
        <v>0</v>
      </c>
      <c r="K124" s="71" t="str">
        <f>IF(Table1[[#This Row],[Column8]]=1,20,"")</f>
        <v/>
      </c>
      <c r="L124" s="71" t="str">
        <f>IF(Table1[[#This Row],[Column8]]=1,J124*K124,"")</f>
        <v/>
      </c>
      <c r="M124" s="72" t="str">
        <f>VLOOKUP($B124,'Standards Crosswalk'!$A:$H,3,FALSE)</f>
        <v>CSC 14</v>
      </c>
      <c r="N124" s="72">
        <f>VLOOKUP($B124,'Standards Crosswalk'!$A:$H,4,FALSE)</f>
        <v>0</v>
      </c>
      <c r="O124" s="72" t="str">
        <f>VLOOKUP($B124,'Standards Crosswalk'!$A:$H,5,FALSE)</f>
        <v>11.1.1, 11.1.2</v>
      </c>
      <c r="P124" s="72" t="str">
        <f>VLOOKUP($B124,'Standards Crosswalk'!$A:$H,6,FALSE)</f>
        <v>PR.AC-2</v>
      </c>
      <c r="Q124" s="72" t="str">
        <f>VLOOKUP($B124,'Standards Crosswalk'!$A:$H,7,FALSE)</f>
        <v>3.8.1, 3.8.2</v>
      </c>
      <c r="R124" s="72">
        <f>VLOOKUP($B124,'Standards Crosswalk'!$A:$H,8,FALSE)</f>
        <v>0</v>
      </c>
      <c r="S124" s="72" t="str">
        <f>VLOOKUP($B124,'Standards Crosswalk'!$A:$I,9,FALSE)</f>
        <v>9.x</v>
      </c>
    </row>
    <row r="125" spans="1:19" ht="46" thickBot="1" x14ac:dyDescent="0.2">
      <c r="A125" s="71">
        <f t="shared" si="4"/>
        <v>123</v>
      </c>
      <c r="B125" s="77" t="s">
        <v>291</v>
      </c>
      <c r="C125" s="78" t="str">
        <f>VLOOKUP(B125,'HECVAT - Full'!A:E,2,FALSE)</f>
        <v>Select the option that best describes the network segment that servers are connected to.</v>
      </c>
      <c r="D125" s="71">
        <f>VLOOKUP(B125,'HECVAT - Full'!A:E,4,FALSE)</f>
        <v>0</v>
      </c>
      <c r="E125" s="79" t="b">
        <f>IF(Table1[[#This Row],[Column11]]&gt;20,TRUE,FALSE)</f>
        <v>0</v>
      </c>
      <c r="F125" s="79" t="s">
        <v>2036</v>
      </c>
      <c r="G125" s="80" t="s">
        <v>17</v>
      </c>
      <c r="H125" s="81">
        <v>1</v>
      </c>
      <c r="I125" s="71">
        <f>VLOOKUP(B125,'HECVAT - Full'!A:E,3,FALSE)</f>
        <v>0</v>
      </c>
      <c r="J125" s="71">
        <f>IF(VLOOKUP(Table1[[#This Row],[Column2]],'Analyst Report'!$A$41:$G$88,7,FALSE)="Yes",1,0)</f>
        <v>0</v>
      </c>
      <c r="K125" s="71">
        <f>IF(Table1[[#This Row],[Column8]]=1,20,"")</f>
        <v>20</v>
      </c>
      <c r="L125" s="71">
        <f>IF(Table1[[#This Row],[Column8]]=1,J125*K125,"")</f>
        <v>0</v>
      </c>
      <c r="M125" s="72" t="str">
        <f>VLOOKUP($B125,'Standards Crosswalk'!$A:$H,3,FALSE)</f>
        <v>CSC 9</v>
      </c>
      <c r="N125" s="72">
        <f>VLOOKUP($B125,'Standards Crosswalk'!$A:$H,4,FALSE)</f>
        <v>0</v>
      </c>
      <c r="O125" s="72">
        <f>VLOOKUP($B125,'Standards Crosswalk'!$A:$H,5,FALSE)</f>
        <v>0</v>
      </c>
      <c r="P125" s="72" t="str">
        <f>VLOOKUP($B125,'Standards Crosswalk'!$A:$H,6,FALSE)</f>
        <v>PR.AC-5</v>
      </c>
      <c r="Q125" s="72" t="str">
        <f>VLOOKUP($B125,'Standards Crosswalk'!$A:$H,7,FALSE)</f>
        <v>3.1.3</v>
      </c>
      <c r="R125" s="72">
        <f>VLOOKUP($B125,'Standards Crosswalk'!$A:$H,8,FALSE)</f>
        <v>0</v>
      </c>
      <c r="S125" s="72">
        <f>VLOOKUP($B125,'Standards Crosswalk'!$A:$I,9,FALSE)</f>
        <v>0</v>
      </c>
    </row>
    <row r="126" spans="1:19" ht="31" thickBot="1" x14ac:dyDescent="0.2">
      <c r="A126" s="71">
        <f t="shared" si="4"/>
        <v>124</v>
      </c>
      <c r="B126" s="77" t="s">
        <v>292</v>
      </c>
      <c r="C126" s="78" t="str">
        <f>VLOOKUP(B126,'HECVAT - Full'!A:E,2,FALSE)</f>
        <v>Does this data center operate outside of the Institution's Data Zone?</v>
      </c>
      <c r="D126" s="71">
        <f>VLOOKUP(B126,'HECVAT - Full'!A:E,4,FALSE)</f>
        <v>0</v>
      </c>
      <c r="E126" s="79" t="b">
        <f>IF(Table1[[#This Row],[Column11]]&gt;20,TRUE,FALSE)</f>
        <v>0</v>
      </c>
      <c r="F126" s="79" t="s">
        <v>2036</v>
      </c>
      <c r="G126" s="80" t="s">
        <v>21</v>
      </c>
      <c r="H126" s="81">
        <v>1</v>
      </c>
      <c r="I126" s="71">
        <f>VLOOKUP(B126,'HECVAT - Full'!A:E,3,FALSE)</f>
        <v>0</v>
      </c>
      <c r="J126" s="71">
        <f>IF(Table1[[#This Row],[Column7]]=Table1[[#This Row],[Column9]],1,0)</f>
        <v>0</v>
      </c>
      <c r="K126" s="71">
        <f>IF(Table1[[#This Row],[Column8]]=1,20,"")</f>
        <v>20</v>
      </c>
      <c r="L126" s="71">
        <f>IF(Table1[[#This Row],[Column8]]=1,J126*K126,"")</f>
        <v>0</v>
      </c>
      <c r="M126" s="72" t="str">
        <f>VLOOKUP($B126,'Standards Crosswalk'!$A:$H,3,FALSE)</f>
        <v>CSC 12</v>
      </c>
      <c r="N126" s="72">
        <f>VLOOKUP($B126,'Standards Crosswalk'!$A:$H,4,FALSE)</f>
        <v>0</v>
      </c>
      <c r="O126" s="72" t="str">
        <f>VLOOKUP($B126,'Standards Crosswalk'!$A:$H,5,FALSE)</f>
        <v>18.1.1</v>
      </c>
      <c r="P126" s="72">
        <f>VLOOKUP($B126,'Standards Crosswalk'!$A:$H,6,FALSE)</f>
        <v>0</v>
      </c>
      <c r="Q126" s="72">
        <f>VLOOKUP($B126,'Standards Crosswalk'!$A:$H,7,FALSE)</f>
        <v>0</v>
      </c>
      <c r="R126" s="72">
        <f>VLOOKUP($B126,'Standards Crosswalk'!$A:$H,8,FALSE)</f>
        <v>0</v>
      </c>
      <c r="S126" s="72">
        <f>VLOOKUP($B126,'Standards Crosswalk'!$A:$I,9,FALSE)</f>
        <v>12.8</v>
      </c>
    </row>
    <row r="127" spans="1:19" ht="31" thickBot="1" x14ac:dyDescent="0.2">
      <c r="A127" s="71">
        <f t="shared" si="4"/>
        <v>125</v>
      </c>
      <c r="B127" s="77" t="s">
        <v>293</v>
      </c>
      <c r="C127" s="78" t="str">
        <f>VLOOKUP(B127,'HECVAT - Full'!A:E,2,FALSE)</f>
        <v>Will any institution data leave the Institution's Data Zone?</v>
      </c>
      <c r="D127" s="71">
        <f>VLOOKUP(B127,'HECVAT - Full'!A:E,4,FALSE)</f>
        <v>0</v>
      </c>
      <c r="E127" s="79" t="b">
        <f>IF(Table1[[#This Row],[Column11]]&gt;20,TRUE,FALSE)</f>
        <v>1</v>
      </c>
      <c r="F127" s="79" t="s">
        <v>2036</v>
      </c>
      <c r="G127" s="80" t="s">
        <v>21</v>
      </c>
      <c r="H127" s="81">
        <v>1</v>
      </c>
      <c r="I127" s="71">
        <f>VLOOKUP(B127,'HECVAT - Full'!A:E,3,FALSE)</f>
        <v>0</v>
      </c>
      <c r="J127" s="71">
        <f>IF(Table1[[#This Row],[Column7]]=Table1[[#This Row],[Column9]],1,0)</f>
        <v>0</v>
      </c>
      <c r="K127" s="71">
        <v>25</v>
      </c>
      <c r="L127" s="71">
        <f>IF(Table1[[#This Row],[Column8]]=1,J127*K127,"")</f>
        <v>0</v>
      </c>
      <c r="M127" s="72" t="str">
        <f>VLOOKUP($B127,'Standards Crosswalk'!$A:$H,3,FALSE)</f>
        <v>CSC 12</v>
      </c>
      <c r="N127" s="72">
        <f>VLOOKUP($B127,'Standards Crosswalk'!$A:$H,4,FALSE)</f>
        <v>0</v>
      </c>
      <c r="O127" s="72" t="str">
        <f>VLOOKUP($B127,'Standards Crosswalk'!$A:$H,5,FALSE)</f>
        <v>18.1.1</v>
      </c>
      <c r="P127" s="72">
        <f>VLOOKUP($B127,'Standards Crosswalk'!$A:$H,6,FALSE)</f>
        <v>0</v>
      </c>
      <c r="Q127" s="72">
        <f>VLOOKUP($B127,'Standards Crosswalk'!$A:$H,7,FALSE)</f>
        <v>0</v>
      </c>
      <c r="R127" s="72">
        <f>VLOOKUP($B127,'Standards Crosswalk'!$A:$H,8,FALSE)</f>
        <v>0</v>
      </c>
      <c r="S127" s="72">
        <f>VLOOKUP($B127,'Standards Crosswalk'!$A:$I,9,FALSE)</f>
        <v>12.9</v>
      </c>
    </row>
    <row r="128" spans="1:19" ht="16" thickBot="1" x14ac:dyDescent="0.2">
      <c r="A128" s="71">
        <f t="shared" si="4"/>
        <v>126</v>
      </c>
      <c r="B128" s="77" t="str">
        <f>IF(I127="Yes","DCTR-10","")</f>
        <v/>
      </c>
      <c r="C128" s="78" t="e">
        <f>VLOOKUP(B128,'HECVAT - Full'!A:E,2,FALSE)</f>
        <v>#N/A</v>
      </c>
      <c r="D128" s="71" t="e">
        <f>VLOOKUP(B128,'HECVAT - Full'!A:E,4,FALSE)</f>
        <v>#N/A</v>
      </c>
      <c r="E128" s="79" t="b">
        <f>IF(Table1[[#This Row],[Column11]]&gt;20,TRUE,FALSE)</f>
        <v>1</v>
      </c>
      <c r="F128" s="79" t="s">
        <v>2036</v>
      </c>
      <c r="G128" s="80" t="s">
        <v>21</v>
      </c>
      <c r="H128" s="81">
        <f>IF(I127="Yes",1,0)</f>
        <v>0</v>
      </c>
      <c r="I128" s="71" t="e">
        <f>VLOOKUP(B128,'HECVAT - Full'!A:E,3,FALSE)</f>
        <v>#N/A</v>
      </c>
      <c r="J128" s="71" t="e">
        <f>IF(VLOOKUP(Table1[[#This Row],[Column2]],'Analyst Report'!$A$41:$G$88,7,FALSE)="Yes",1,0)</f>
        <v>#N/A</v>
      </c>
      <c r="K128" s="71" t="str">
        <f>IF(Table1[[#This Row],[Column8]]=1,20,"")</f>
        <v/>
      </c>
      <c r="L128" s="71" t="str">
        <f>IF(Table1[[#This Row],[Column8]]=1,J128*K128,"")</f>
        <v/>
      </c>
      <c r="M128" s="72" t="e">
        <f>VLOOKUP($B128,'Standards Crosswalk'!$A:$H,3,FALSE)</f>
        <v>#N/A</v>
      </c>
      <c r="N128" s="72" t="e">
        <f>VLOOKUP($B128,'Standards Crosswalk'!$A:$H,4,FALSE)</f>
        <v>#N/A</v>
      </c>
      <c r="O128" s="72" t="e">
        <f>VLOOKUP($B128,'Standards Crosswalk'!$A:$H,5,FALSE)</f>
        <v>#N/A</v>
      </c>
      <c r="P128" s="72" t="e">
        <f>VLOOKUP($B128,'Standards Crosswalk'!$A:$H,6,FALSE)</f>
        <v>#N/A</v>
      </c>
      <c r="Q128" s="72" t="e">
        <f>VLOOKUP($B128,'Standards Crosswalk'!$A:$H,7,FALSE)</f>
        <v>#N/A</v>
      </c>
      <c r="R128" s="72" t="e">
        <f>VLOOKUP($B128,'Standards Crosswalk'!$A:$H,8,FALSE)</f>
        <v>#N/A</v>
      </c>
      <c r="S128" s="72" t="e">
        <f>VLOOKUP($B128,'Standards Crosswalk'!$A:$I,9,FALSE)</f>
        <v>#N/A</v>
      </c>
    </row>
    <row r="129" spans="1:19" ht="31" thickBot="1" x14ac:dyDescent="0.2">
      <c r="A129" s="71">
        <f t="shared" si="4"/>
        <v>127</v>
      </c>
      <c r="B129" s="77" t="s">
        <v>295</v>
      </c>
      <c r="C129" s="78" t="str">
        <f>VLOOKUP(B129,'HECVAT - Full'!A:E,2,FALSE)</f>
        <v>Are your primary and secondary data centers geographically diverse?</v>
      </c>
      <c r="D129" s="71">
        <f>VLOOKUP(B129,'HECVAT - Full'!A:E,4,FALSE)</f>
        <v>0</v>
      </c>
      <c r="E129" s="79" t="b">
        <f>IF(Table1[[#This Row],[Column11]]&gt;20,TRUE,FALSE)</f>
        <v>0</v>
      </c>
      <c r="F129" s="79" t="s">
        <v>2036</v>
      </c>
      <c r="G129" s="80" t="s">
        <v>17</v>
      </c>
      <c r="H129" s="81">
        <v>1</v>
      </c>
      <c r="I129" s="71">
        <f>VLOOKUP(B129,'HECVAT - Full'!A:E,3,FALSE)</f>
        <v>0</v>
      </c>
      <c r="J129" s="71">
        <f>IF(Table1[[#This Row],[Column7]]=Table1[[#This Row],[Column9]],1,0)</f>
        <v>0</v>
      </c>
      <c r="K129" s="71">
        <f>IF(Table1[[#This Row],[Column8]]=1,20,"")</f>
        <v>20</v>
      </c>
      <c r="L129" s="71">
        <f>IF(Table1[[#This Row],[Column8]]=1,J129*K129,"")</f>
        <v>0</v>
      </c>
      <c r="M129" s="72" t="str">
        <f>VLOOKUP($B129,'Standards Crosswalk'!$A:$H,3,FALSE)</f>
        <v>CSC 10</v>
      </c>
      <c r="N129" s="72">
        <f>VLOOKUP($B129,'Standards Crosswalk'!$A:$H,4,FALSE)</f>
        <v>0</v>
      </c>
      <c r="O129" s="72" t="str">
        <f>VLOOKUP($B129,'Standards Crosswalk'!$A:$H,5,FALSE)</f>
        <v>11.1.4</v>
      </c>
      <c r="P129" s="72">
        <f>VLOOKUP($B129,'Standards Crosswalk'!$A:$H,6,FALSE)</f>
        <v>0</v>
      </c>
      <c r="Q129" s="72">
        <f>VLOOKUP($B129,'Standards Crosswalk'!$A:$H,7,FALSE)</f>
        <v>0</v>
      </c>
      <c r="R129" s="72">
        <f>VLOOKUP($B129,'Standards Crosswalk'!$A:$H,8,FALSE)</f>
        <v>0</v>
      </c>
      <c r="S129" s="72">
        <f>VLOOKUP($B129,'Standards Crosswalk'!$A:$I,9,FALSE)</f>
        <v>12.8</v>
      </c>
    </row>
    <row r="130" spans="1:19" ht="46" thickBot="1" x14ac:dyDescent="0.2">
      <c r="A130" s="71">
        <f t="shared" si="4"/>
        <v>128</v>
      </c>
      <c r="B130" s="77" t="s">
        <v>296</v>
      </c>
      <c r="C130" s="78" t="str">
        <f>VLOOKUP(B130,'HECVAT - Full'!A:E,2,FALSE)</f>
        <v>If outsourced or co-located, is there a contract in place to prevent data from leaving the Institution's Data Zone?</v>
      </c>
      <c r="D130" s="71">
        <f>VLOOKUP(B130,'HECVAT - Full'!A:E,4,FALSE)</f>
        <v>0</v>
      </c>
      <c r="E130" s="79" t="b">
        <f>IF(Table1[[#This Row],[Column11]]&gt;20,TRUE,FALSE)</f>
        <v>0</v>
      </c>
      <c r="F130" s="79" t="s">
        <v>2036</v>
      </c>
      <c r="G130" s="80" t="s">
        <v>17</v>
      </c>
      <c r="H130" s="81">
        <v>1</v>
      </c>
      <c r="I130" s="71">
        <f>VLOOKUP(B130,'HECVAT - Full'!A:E,3,FALSE)</f>
        <v>0</v>
      </c>
      <c r="J130" s="71">
        <f>IF(Table1[[#This Row],[Column7]]=Table1[[#This Row],[Column9]],1,0)</f>
        <v>0</v>
      </c>
      <c r="K130" s="71">
        <f>IF(Table1[[#This Row],[Column8]]=1,20,"")</f>
        <v>20</v>
      </c>
      <c r="L130" s="71">
        <f>IF(Table1[[#This Row],[Column8]]=1,J130*K130,"")</f>
        <v>0</v>
      </c>
      <c r="M130" s="72" t="str">
        <f>VLOOKUP($B130,'Standards Crosswalk'!$A:$H,3,FALSE)</f>
        <v>CSC 12</v>
      </c>
      <c r="N130" s="72">
        <f>VLOOKUP($B130,'Standards Crosswalk'!$A:$H,4,FALSE)</f>
        <v>0</v>
      </c>
      <c r="O130" s="72" t="str">
        <f>VLOOKUP($B130,'Standards Crosswalk'!$A:$H,5,FALSE)</f>
        <v>18.1.1</v>
      </c>
      <c r="P130" s="72">
        <f>VLOOKUP($B130,'Standards Crosswalk'!$A:$H,6,FALSE)</f>
        <v>0</v>
      </c>
      <c r="Q130" s="72">
        <f>VLOOKUP($B130,'Standards Crosswalk'!$A:$H,7,FALSE)</f>
        <v>0</v>
      </c>
      <c r="R130" s="72">
        <f>VLOOKUP($B130,'Standards Crosswalk'!$A:$H,8,FALSE)</f>
        <v>0</v>
      </c>
      <c r="S130" s="72">
        <f>VLOOKUP($B130,'Standards Crosswalk'!$A:$I,9,FALSE)</f>
        <v>12.8</v>
      </c>
    </row>
    <row r="131" spans="1:19" ht="46" thickBot="1" x14ac:dyDescent="0.2">
      <c r="A131" s="71">
        <f t="shared" si="4"/>
        <v>129</v>
      </c>
      <c r="B131" s="77" t="s">
        <v>297</v>
      </c>
      <c r="C131" s="78" t="str">
        <f>VLOOKUP(B131,'HECVAT - Full'!A:E,2,FALSE)</f>
        <v>What Tier Level is your data center (per levels defined by the Uptime Institute)?</v>
      </c>
      <c r="D131" s="71">
        <f>VLOOKUP(B131,'HECVAT - Full'!A:E,4,FALSE)</f>
        <v>0</v>
      </c>
      <c r="E131" s="79" t="b">
        <f>IF(Table1[[#This Row],[Column11]]&gt;20,TRUE,FALSE)</f>
        <v>0</v>
      </c>
      <c r="F131" s="79" t="s">
        <v>2036</v>
      </c>
      <c r="G131" s="80" t="s">
        <v>17</v>
      </c>
      <c r="H131" s="81">
        <v>1</v>
      </c>
      <c r="I131" s="71">
        <f>VLOOKUP(B131,'HECVAT - Full'!A:E,3,FALSE)</f>
        <v>0</v>
      </c>
      <c r="J131" s="71">
        <f>IF(VLOOKUP(Table1[[#This Row],[Column2]],'Analyst Report'!$A$41:$G$88,7,FALSE)="Yes",1,0)</f>
        <v>0</v>
      </c>
      <c r="K131" s="71">
        <f>IF(Table1[[#This Row],[Column8]]=1,15,"")</f>
        <v>15</v>
      </c>
      <c r="L131" s="71">
        <f>IF(Table1[[#This Row],[Column8]]=1,J131*K131,"")</f>
        <v>0</v>
      </c>
      <c r="M131" s="72">
        <f>VLOOKUP($B131,'Standards Crosswalk'!$A:$H,3,FALSE)</f>
        <v>0</v>
      </c>
      <c r="N131" s="72">
        <f>VLOOKUP($B131,'Standards Crosswalk'!$A:$H,4,FALSE)</f>
        <v>0</v>
      </c>
      <c r="O131" s="72" t="str">
        <f>VLOOKUP($B131,'Standards Crosswalk'!$A:$H,5,FALSE)</f>
        <v>17.1.1</v>
      </c>
      <c r="P131" s="72">
        <f>VLOOKUP($B131,'Standards Crosswalk'!$A:$H,6,FALSE)</f>
        <v>0</v>
      </c>
      <c r="Q131" s="72">
        <f>VLOOKUP($B131,'Standards Crosswalk'!$A:$H,7,FALSE)</f>
        <v>0</v>
      </c>
      <c r="R131" s="72">
        <f>VLOOKUP($B131,'Standards Crosswalk'!$A:$H,8,FALSE)</f>
        <v>0</v>
      </c>
      <c r="S131" s="72">
        <f>VLOOKUP($B131,'Standards Crosswalk'!$A:$I,9,FALSE)</f>
        <v>0</v>
      </c>
    </row>
    <row r="132" spans="1:19" ht="31" thickBot="1" x14ac:dyDescent="0.2">
      <c r="A132" s="71">
        <f t="shared" ref="A132:A195" si="5">A131+1</f>
        <v>130</v>
      </c>
      <c r="B132" s="77" t="s">
        <v>298</v>
      </c>
      <c r="C132" s="78" t="str">
        <f>VLOOKUP(B132,'HECVAT - Full'!A:E,2,FALSE)</f>
        <v>Is the service hosted in a high availability environment?</v>
      </c>
      <c r="D132" s="71">
        <f>VLOOKUP(B132,'HECVAT - Full'!A:E,4,FALSE)</f>
        <v>0</v>
      </c>
      <c r="E132" s="79" t="b">
        <f>IF(Table1[[#This Row],[Column11]]&gt;20,TRUE,FALSE)</f>
        <v>0</v>
      </c>
      <c r="F132" s="79" t="s">
        <v>2036</v>
      </c>
      <c r="G132" s="80" t="s">
        <v>17</v>
      </c>
      <c r="H132" s="81">
        <v>1</v>
      </c>
      <c r="I132" s="71">
        <f>VLOOKUP(B132,'HECVAT - Full'!A:E,3,FALSE)</f>
        <v>0</v>
      </c>
      <c r="J132" s="71">
        <f>IF(Table1[[#This Row],[Column7]]=Table1[[#This Row],[Column9]],1,0)</f>
        <v>0</v>
      </c>
      <c r="K132" s="71">
        <f>IF(Table1[[#This Row],[Column8]]=1,20,"")</f>
        <v>20</v>
      </c>
      <c r="L132" s="71">
        <f>IF(Table1[[#This Row],[Column8]]=1,J132*K132,"")</f>
        <v>0</v>
      </c>
      <c r="M132" s="72" t="str">
        <f>VLOOKUP($B132,'Standards Crosswalk'!$A:$H,3,FALSE)</f>
        <v>CSC 10</v>
      </c>
      <c r="N132" s="72">
        <f>VLOOKUP($B132,'Standards Crosswalk'!$A:$H,4,FALSE)</f>
        <v>0</v>
      </c>
      <c r="O132" s="72" t="str">
        <f>VLOOKUP($B132,'Standards Crosswalk'!$A:$H,5,FALSE)</f>
        <v>17.1.1</v>
      </c>
      <c r="P132" s="72" t="str">
        <f>VLOOKUP($B132,'Standards Crosswalk'!$A:$H,6,FALSE)</f>
        <v>PR.DS-4</v>
      </c>
      <c r="Q132" s="72">
        <f>VLOOKUP($B132,'Standards Crosswalk'!$A:$H,7,FALSE)</f>
        <v>0</v>
      </c>
      <c r="R132" s="72">
        <f>VLOOKUP($B132,'Standards Crosswalk'!$A:$H,8,FALSE)</f>
        <v>0</v>
      </c>
      <c r="S132" s="72">
        <f>VLOOKUP($B132,'Standards Crosswalk'!$A:$I,9,FALSE)</f>
        <v>0</v>
      </c>
    </row>
    <row r="133" spans="1:19" ht="46" thickBot="1" x14ac:dyDescent="0.2">
      <c r="A133" s="71">
        <f t="shared" si="5"/>
        <v>131</v>
      </c>
      <c r="B133" s="77" t="s">
        <v>299</v>
      </c>
      <c r="C133" s="78" t="str">
        <f>VLOOKUP(B133,'HECVAT - Full'!A:E,2,FALSE)</f>
        <v xml:space="preserve">Is redundant power available for all datacenters where institution data will reside? </v>
      </c>
      <c r="D133" s="71">
        <f>VLOOKUP(B133,'HECVAT - Full'!A:E,4,FALSE)</f>
        <v>0</v>
      </c>
      <c r="E133" s="79" t="b">
        <f>IF(Table1[[#This Row],[Column11]]&gt;20,TRUE,FALSE)</f>
        <v>0</v>
      </c>
      <c r="F133" s="79" t="s">
        <v>2036</v>
      </c>
      <c r="G133" s="80" t="s">
        <v>17</v>
      </c>
      <c r="H133" s="81">
        <v>1</v>
      </c>
      <c r="I133" s="71">
        <f>VLOOKUP(B133,'HECVAT - Full'!A:E,3,FALSE)</f>
        <v>0</v>
      </c>
      <c r="J133" s="71">
        <f>IF(Table1[[#This Row],[Column7]]=Table1[[#This Row],[Column9]],1,0)</f>
        <v>0</v>
      </c>
      <c r="K133" s="71">
        <f>IF(Table1[[#This Row],[Column8]]=1,20,"")</f>
        <v>20</v>
      </c>
      <c r="L133" s="71">
        <f>IF(Table1[[#This Row],[Column8]]=1,J133*K133,"")</f>
        <v>0</v>
      </c>
      <c r="M133" s="72">
        <f>VLOOKUP($B133,'Standards Crosswalk'!$A:$H,3,FALSE)</f>
        <v>0</v>
      </c>
      <c r="N133" s="72">
        <f>VLOOKUP($B133,'Standards Crosswalk'!$A:$H,4,FALSE)</f>
        <v>0</v>
      </c>
      <c r="O133" s="72" t="str">
        <f>VLOOKUP($B133,'Standards Crosswalk'!$A:$H,5,FALSE)</f>
        <v>17.2.1</v>
      </c>
      <c r="P133" s="72" t="str">
        <f>VLOOKUP($B133,'Standards Crosswalk'!$A:$H,6,FALSE)</f>
        <v>PR.DS-4</v>
      </c>
      <c r="Q133" s="72">
        <f>VLOOKUP($B133,'Standards Crosswalk'!$A:$H,7,FALSE)</f>
        <v>0</v>
      </c>
      <c r="R133" s="72">
        <f>VLOOKUP($B133,'Standards Crosswalk'!$A:$H,8,FALSE)</f>
        <v>0</v>
      </c>
      <c r="S133" s="72">
        <f>VLOOKUP($B133,'Standards Crosswalk'!$A:$I,9,FALSE)</f>
        <v>0</v>
      </c>
    </row>
    <row r="134" spans="1:19" ht="31" thickBot="1" x14ac:dyDescent="0.2">
      <c r="A134" s="71">
        <f t="shared" si="5"/>
        <v>132</v>
      </c>
      <c r="B134" s="95" t="s">
        <v>300</v>
      </c>
      <c r="C134" s="78" t="str">
        <f>VLOOKUP(B134,'HECVAT - Full'!A:E,2,FALSE)</f>
        <v>Are redundant power strategies tested?</v>
      </c>
      <c r="D134" s="71">
        <f>VLOOKUP(B134,'HECVAT - Full'!A:E,4,FALSE)</f>
        <v>0</v>
      </c>
      <c r="E134" s="79" t="b">
        <f>IF(Table1[[#This Row],[Column11]]&gt;20,TRUE,FALSE)</f>
        <v>1</v>
      </c>
      <c r="F134" s="79" t="s">
        <v>2036</v>
      </c>
      <c r="G134" s="80" t="s">
        <v>17</v>
      </c>
      <c r="H134" s="81">
        <f>IF(I133="Yes",1,0)</f>
        <v>0</v>
      </c>
      <c r="I134" s="71">
        <f>VLOOKUP(B134,'HECVAT - Full'!A:E,3,FALSE)</f>
        <v>0</v>
      </c>
      <c r="J134" s="71">
        <f>IF(Table1[[#This Row],[Column7]]=Table1[[#This Row],[Column9]],1,0)</f>
        <v>0</v>
      </c>
      <c r="K134" s="71" t="str">
        <f>IF(Table1[[#This Row],[Column8]]=1,20,"")</f>
        <v/>
      </c>
      <c r="L134" s="71" t="str">
        <f>IF(Table1[[#This Row],[Column8]]=1,J134*K134,"")</f>
        <v/>
      </c>
      <c r="M134" s="72">
        <f>VLOOKUP($B134,'Standards Crosswalk'!$A:$H,3,FALSE)</f>
        <v>0</v>
      </c>
      <c r="N134" s="72">
        <f>VLOOKUP($B134,'Standards Crosswalk'!$A:$H,4,FALSE)</f>
        <v>0</v>
      </c>
      <c r="O134" s="72" t="str">
        <f>VLOOKUP($B134,'Standards Crosswalk'!$A:$H,5,FALSE)</f>
        <v>17.1.3</v>
      </c>
      <c r="P134" s="72" t="str">
        <f>VLOOKUP($B134,'Standards Crosswalk'!$A:$H,6,FALSE)</f>
        <v>PR.DS-4</v>
      </c>
      <c r="Q134" s="72">
        <f>VLOOKUP($B134,'Standards Crosswalk'!$A:$H,7,FALSE)</f>
        <v>0</v>
      </c>
      <c r="R134" s="72">
        <f>VLOOKUP($B134,'Standards Crosswalk'!$A:$H,8,FALSE)</f>
        <v>0</v>
      </c>
      <c r="S134" s="72">
        <f>VLOOKUP($B134,'Standards Crosswalk'!$A:$I,9,FALSE)</f>
        <v>0</v>
      </c>
    </row>
    <row r="135" spans="1:19" ht="76" thickBot="1" x14ac:dyDescent="0.2">
      <c r="A135" s="71">
        <f t="shared" si="5"/>
        <v>133</v>
      </c>
      <c r="B135" s="77" t="s">
        <v>301</v>
      </c>
      <c r="C135" s="78" t="str">
        <f>VLOOKUP(B135,'HECVAT - Full'!A:E,2,FALSE)</f>
        <v>Describe or provide a reference to the availability of cooling and fire suppression systems in all datacenters where institution data will reside.</v>
      </c>
      <c r="D135" s="71">
        <f>VLOOKUP(B135,'HECVAT - Full'!A:E,4,FALSE)</f>
        <v>0</v>
      </c>
      <c r="E135" s="79" t="b">
        <f>IF(Table1[[#This Row],[Column11]]&gt;20,TRUE,FALSE)</f>
        <v>0</v>
      </c>
      <c r="F135" s="79" t="s">
        <v>2036</v>
      </c>
      <c r="G135" s="80" t="s">
        <v>17</v>
      </c>
      <c r="H135" s="81">
        <v>1</v>
      </c>
      <c r="I135" s="71">
        <f>VLOOKUP(B135,'HECVAT - Full'!A:E,3,FALSE)</f>
        <v>0</v>
      </c>
      <c r="J135" s="71">
        <f>IF(VLOOKUP(B135,'Analyst Report'!$A$41:$H$88,7,FALSE)="Yes",1,0)</f>
        <v>0</v>
      </c>
      <c r="K135" s="71">
        <f>IF(Table1[[#This Row],[Column8]]=1,20,"")</f>
        <v>20</v>
      </c>
      <c r="L135" s="71">
        <f>IF(Table1[[#This Row],[Column8]]=1,J135*K135,"")</f>
        <v>0</v>
      </c>
      <c r="M135" s="72">
        <f>VLOOKUP($B135,'Standards Crosswalk'!$A:$H,3,FALSE)</f>
        <v>0</v>
      </c>
      <c r="N135" s="72">
        <f>VLOOKUP($B135,'Standards Crosswalk'!$A:$H,4,FALSE)</f>
        <v>0</v>
      </c>
      <c r="O135" s="72" t="str">
        <f>VLOOKUP($B135,'Standards Crosswalk'!$A:$H,5,FALSE)</f>
        <v>17.2.1</v>
      </c>
      <c r="P135" s="72">
        <f>VLOOKUP($B135,'Standards Crosswalk'!$A:$H,6,FALSE)</f>
        <v>0</v>
      </c>
      <c r="Q135" s="72">
        <f>VLOOKUP($B135,'Standards Crosswalk'!$A:$H,7,FALSE)</f>
        <v>0</v>
      </c>
      <c r="R135" s="72" t="str">
        <f>VLOOKUP($B135,'Standards Crosswalk'!$A:$H,8,FALSE)</f>
        <v>PE-2, PE-3, PE-5, PE-11, PE-13, PE-14</v>
      </c>
      <c r="S135" s="72">
        <f>VLOOKUP($B135,'Standards Crosswalk'!$A:$I,9,FALSE)</f>
        <v>0</v>
      </c>
    </row>
    <row r="136" spans="1:19" ht="61" thickBot="1" x14ac:dyDescent="0.2">
      <c r="A136" s="71">
        <f t="shared" si="5"/>
        <v>134</v>
      </c>
      <c r="B136" s="77" t="s">
        <v>302</v>
      </c>
      <c r="C136" s="78" t="str">
        <f>VLOOKUP(B136,'HECVAT - Full'!A:E,2,FALSE)</f>
        <v xml:space="preserve">State how many Internet Service Providers (ISPs) provide connectivity to each datacenter where the institution's data will reside. </v>
      </c>
      <c r="D136" s="71">
        <f>VLOOKUP(B136,'HECVAT - Full'!A:E,4,FALSE)</f>
        <v>0</v>
      </c>
      <c r="E136" s="79" t="b">
        <f>IF(Table1[[#This Row],[Column11]]&gt;20,TRUE,FALSE)</f>
        <v>0</v>
      </c>
      <c r="F136" s="79" t="s">
        <v>2036</v>
      </c>
      <c r="G136" s="80" t="s">
        <v>17</v>
      </c>
      <c r="H136" s="81">
        <v>1</v>
      </c>
      <c r="I136" s="71">
        <f>VLOOKUP(B136,'HECVAT - Full'!A:E,3,FALSE)</f>
        <v>0</v>
      </c>
      <c r="J136" s="71">
        <f>IF(VLOOKUP(B136,'Analyst Report'!$A$41:$H$88,7,FALSE)="Yes",1,0)</f>
        <v>0</v>
      </c>
      <c r="K136" s="71">
        <f>IF(Table1[[#This Row],[Column8]]=1,20,"")</f>
        <v>20</v>
      </c>
      <c r="L136" s="71">
        <f>IF(Table1[[#This Row],[Column8]]=1,J136*K136,"")</f>
        <v>0</v>
      </c>
      <c r="M136" s="72" t="str">
        <f>VLOOKUP($B136,'Standards Crosswalk'!$A:$H,3,FALSE)</f>
        <v>CSC 10</v>
      </c>
      <c r="N136" s="72">
        <f>VLOOKUP($B136,'Standards Crosswalk'!$A:$H,4,FALSE)</f>
        <v>0</v>
      </c>
      <c r="O136" s="72" t="str">
        <f>VLOOKUP($B136,'Standards Crosswalk'!$A:$H,5,FALSE)</f>
        <v>17.2.1</v>
      </c>
      <c r="P136" s="72" t="str">
        <f>VLOOKUP($B136,'Standards Crosswalk'!$A:$H,6,FALSE)</f>
        <v>PR.DS-4</v>
      </c>
      <c r="Q136" s="72">
        <f>VLOOKUP($B136,'Standards Crosswalk'!$A:$H,7,FALSE)</f>
        <v>0</v>
      </c>
      <c r="R136" s="72" t="str">
        <f>VLOOKUP($B136,'Standards Crosswalk'!$A:$H,8,FALSE)</f>
        <v>PE-2, PE-3, PE-5, PE-11, PE-13, PE-14</v>
      </c>
      <c r="S136" s="72">
        <f>VLOOKUP($B136,'Standards Crosswalk'!$A:$I,9,FALSE)</f>
        <v>12.8</v>
      </c>
    </row>
    <row r="137" spans="1:19" ht="76" thickBot="1" x14ac:dyDescent="0.2">
      <c r="A137" s="71">
        <f t="shared" si="5"/>
        <v>135</v>
      </c>
      <c r="B137" s="77" t="s">
        <v>303</v>
      </c>
      <c r="C137" s="78" t="str">
        <f>VLOOKUP(B137,'HECVAT - Full'!A:E,2,FALSE)</f>
        <v>Does every datacenter where the Institution's data will reside have multiple telephone company or network provider entrances to the facility?</v>
      </c>
      <c r="D137" s="71">
        <f>VLOOKUP(B137,'HECVAT - Full'!A:E,4,FALSE)</f>
        <v>0</v>
      </c>
      <c r="E137" s="79" t="b">
        <f>IF(Table1[[#This Row],[Column11]]&gt;20,TRUE,FALSE)</f>
        <v>0</v>
      </c>
      <c r="F137" s="79" t="s">
        <v>2036</v>
      </c>
      <c r="G137" s="80" t="s">
        <v>17</v>
      </c>
      <c r="H137" s="81">
        <v>1</v>
      </c>
      <c r="I137" s="71">
        <f>VLOOKUP(B137,'HECVAT - Full'!A:E,3,FALSE)</f>
        <v>0</v>
      </c>
      <c r="J137" s="71">
        <f>IF(Table1[[#This Row],[Column7]]=Table1[[#This Row],[Column9]],1,0)</f>
        <v>0</v>
      </c>
      <c r="K137" s="71">
        <f>IF(Table1[[#This Row],[Column8]]=1,20,"")</f>
        <v>20</v>
      </c>
      <c r="L137" s="71">
        <f>IF(Table1[[#This Row],[Column8]]=1,J137*K137,"")</f>
        <v>0</v>
      </c>
      <c r="M137" s="72" t="str">
        <f>VLOOKUP($B137,'Standards Crosswalk'!$A:$H,3,FALSE)</f>
        <v>CSC 13</v>
      </c>
      <c r="N137" s="72">
        <f>VLOOKUP($B137,'Standards Crosswalk'!$A:$H,4,FALSE)</f>
        <v>0</v>
      </c>
      <c r="O137" s="72" t="str">
        <f>VLOOKUP($B137,'Standards Crosswalk'!$A:$H,5,FALSE)</f>
        <v>17.2.1</v>
      </c>
      <c r="P137" s="72" t="str">
        <f>VLOOKUP($B137,'Standards Crosswalk'!$A:$H,6,FALSE)</f>
        <v>PR.DS-4</v>
      </c>
      <c r="Q137" s="72">
        <f>VLOOKUP($B137,'Standards Crosswalk'!$A:$H,7,FALSE)</f>
        <v>0</v>
      </c>
      <c r="R137" s="72" t="str">
        <f>VLOOKUP($B137,'Standards Crosswalk'!$A:$H,8,FALSE)</f>
        <v>PE-2, PE-3, PE-5, PE-11, PE-13, PE-14</v>
      </c>
      <c r="S137" s="72">
        <f>VLOOKUP($B137,'Standards Crosswalk'!$A:$I,9,FALSE)</f>
        <v>12.8</v>
      </c>
    </row>
    <row r="138" spans="1:19" ht="46" thickBot="1" x14ac:dyDescent="0.2">
      <c r="A138" s="71">
        <f t="shared" si="5"/>
        <v>136</v>
      </c>
      <c r="B138" s="77" t="s">
        <v>304</v>
      </c>
      <c r="C138" s="78" t="str">
        <f>VLOOKUP(B138,'HECVAT - Full'!A:E,2,FALSE)</f>
        <v>Describe or provide a reference to your Disaster Recovery Plan (DRP).</v>
      </c>
      <c r="D138" s="71">
        <f>VLOOKUP(B138,'HECVAT - Full'!A:E,4,FALSE)</f>
        <v>0</v>
      </c>
      <c r="E138" s="79" t="b">
        <f>IF(Table1[[#This Row],[Column11]]&gt;20,TRUE,FALSE)</f>
        <v>1</v>
      </c>
      <c r="F138" s="79" t="s">
        <v>2037</v>
      </c>
      <c r="G138" s="80" t="s">
        <v>17</v>
      </c>
      <c r="H138" s="81">
        <v>1</v>
      </c>
      <c r="I138" s="71">
        <f>VLOOKUP(B138,'HECVAT - Full'!A:E,3,FALSE)</f>
        <v>0</v>
      </c>
      <c r="J138" s="71">
        <f>IF(VLOOKUP(B138,'Analyst Report'!$A$41:$H$88,7,FALSE)="Yes",1,0)</f>
        <v>0</v>
      </c>
      <c r="K138" s="71">
        <f>IF(Table1[[#This Row],[Column8]]=1,25,"")</f>
        <v>25</v>
      </c>
      <c r="L138" s="71">
        <f>IF(Table1[[#This Row],[Column8]]=1,J138*K138,"")</f>
        <v>0</v>
      </c>
      <c r="M138" s="72" t="str">
        <f>VLOOKUP($B138,'Standards Crosswalk'!$A:$H,3,FALSE)</f>
        <v>CSC 10</v>
      </c>
      <c r="N138" s="72">
        <f>VLOOKUP($B138,'Standards Crosswalk'!$A:$H,4,FALSE)</f>
        <v>0</v>
      </c>
      <c r="O138" s="72" t="str">
        <f>VLOOKUP($B138,'Standards Crosswalk'!$A:$H,5,FALSE)</f>
        <v>17.1.1</v>
      </c>
      <c r="P138" s="72" t="str">
        <f>VLOOKUP($B138,'Standards Crosswalk'!$A:$H,6,FALSE)</f>
        <v>PR.IP-9</v>
      </c>
      <c r="Q138" s="72" t="str">
        <f>VLOOKUP($B138,'Standards Crosswalk'!$A:$H,7,FALSE)</f>
        <v>3.12.2</v>
      </c>
      <c r="R138" s="72" t="str">
        <f>VLOOKUP($B138,'Standards Crosswalk'!$A:$H,8,FALSE)</f>
        <v>AC-5, CP-4, CP-10; NIST SP 800-34</v>
      </c>
      <c r="S138" s="72">
        <f>VLOOKUP($B138,'Standards Crosswalk'!$A:$I,9,FALSE)</f>
        <v>12.8</v>
      </c>
    </row>
    <row r="139" spans="1:19" ht="46" thickBot="1" x14ac:dyDescent="0.2">
      <c r="A139" s="71">
        <f t="shared" si="5"/>
        <v>137</v>
      </c>
      <c r="B139" s="77" t="s">
        <v>305</v>
      </c>
      <c r="C139" s="78" t="str">
        <f>VLOOKUP(B139,'HECVAT - Full'!A:E,2,FALSE)</f>
        <v>Is an owner assigned who is responsible for the maintenance and review of the DRP?</v>
      </c>
      <c r="D139" s="71">
        <f>VLOOKUP(B139,'HECVAT - Full'!A:E,4,FALSE)</f>
        <v>0</v>
      </c>
      <c r="E139" s="79" t="b">
        <f>IF(Table1[[#This Row],[Column11]]&gt;20,TRUE,FALSE)</f>
        <v>0</v>
      </c>
      <c r="F139" s="79" t="s">
        <v>2037</v>
      </c>
      <c r="G139" s="80" t="s">
        <v>17</v>
      </c>
      <c r="H139" s="81">
        <v>1</v>
      </c>
      <c r="I139" s="71">
        <f>VLOOKUP(B139,'HECVAT - Full'!A:E,3,FALSE)</f>
        <v>0</v>
      </c>
      <c r="J139" s="71">
        <f>IF(Table1[[#This Row],[Column7]]=Table1[[#This Row],[Column9]],1,0)</f>
        <v>0</v>
      </c>
      <c r="K139" s="71">
        <f>IF(Table1[[#This Row],[Column8]]=1,20,"")</f>
        <v>20</v>
      </c>
      <c r="L139" s="71">
        <f>IF(Table1[[#This Row],[Column8]]=1,J139*K139,"")</f>
        <v>0</v>
      </c>
      <c r="M139" s="72" t="str">
        <f>VLOOKUP($B139,'Standards Crosswalk'!$A:$H,3,FALSE)</f>
        <v>CSC 10</v>
      </c>
      <c r="N139" s="72">
        <f>VLOOKUP($B139,'Standards Crosswalk'!$A:$H,4,FALSE)</f>
        <v>0</v>
      </c>
      <c r="O139" s="72" t="str">
        <f>VLOOKUP($B139,'Standards Crosswalk'!$A:$H,5,FALSE)</f>
        <v>16.1.1, 17.1.1</v>
      </c>
      <c r="P139" s="72" t="str">
        <f>VLOOKUP($B139,'Standards Crosswalk'!$A:$H,6,FALSE)</f>
        <v>PR.IP-9</v>
      </c>
      <c r="Q139" s="72" t="str">
        <f>VLOOKUP($B139,'Standards Crosswalk'!$A:$H,7,FALSE)</f>
        <v>3.12.2</v>
      </c>
      <c r="R139" s="72" t="str">
        <f>VLOOKUP($B139,'Standards Crosswalk'!$A:$H,8,FALSE)</f>
        <v>AC-5, CP-4, CP-10; NIST SP 800-34</v>
      </c>
      <c r="S139" s="72">
        <f>VLOOKUP($B139,'Standards Crosswalk'!$A:$I,9,FALSE)</f>
        <v>12.8</v>
      </c>
    </row>
    <row r="140" spans="1:19" ht="46" thickBot="1" x14ac:dyDescent="0.2">
      <c r="A140" s="71">
        <f t="shared" si="5"/>
        <v>138</v>
      </c>
      <c r="B140" s="77" t="s">
        <v>306</v>
      </c>
      <c r="C140" s="78" t="str">
        <f>VLOOKUP(B140,'HECVAT - Full'!A:E,2,FALSE)</f>
        <v>Can the Institution review your DRP and supporting documentation?</v>
      </c>
      <c r="D140" s="71">
        <f>VLOOKUP(B140,'HECVAT - Full'!A:E,4,FALSE)</f>
        <v>0</v>
      </c>
      <c r="E140" s="79" t="b">
        <f>IF(Table1[[#This Row],[Column11]]&gt;20,TRUE,FALSE)</f>
        <v>0</v>
      </c>
      <c r="F140" s="79" t="s">
        <v>2037</v>
      </c>
      <c r="G140" s="80" t="s">
        <v>17</v>
      </c>
      <c r="H140" s="81">
        <v>1</v>
      </c>
      <c r="I140" s="71">
        <f>VLOOKUP(B140,'HECVAT - Full'!A:E,3,FALSE)</f>
        <v>0</v>
      </c>
      <c r="J140" s="71">
        <f>IF(Table1[[#This Row],[Column7]]=Table1[[#This Row],[Column9]],1,0)</f>
        <v>0</v>
      </c>
      <c r="K140" s="71">
        <f>IF(Table1[[#This Row],[Column8]]=1,20,"")</f>
        <v>20</v>
      </c>
      <c r="L140" s="71">
        <f>IF(Table1[[#This Row],[Column8]]=1,J140*K140,"")</f>
        <v>0</v>
      </c>
      <c r="M140" s="72" t="str">
        <f>VLOOKUP($B140,'Standards Crosswalk'!$A:$H,3,FALSE)</f>
        <v>CSC 10</v>
      </c>
      <c r="N140" s="72">
        <f>VLOOKUP($B140,'Standards Crosswalk'!$A:$H,4,FALSE)</f>
        <v>0</v>
      </c>
      <c r="O140" s="72">
        <f>VLOOKUP($B140,'Standards Crosswalk'!$A:$H,5,FALSE)</f>
        <v>0</v>
      </c>
      <c r="P140" s="72" t="str">
        <f>VLOOKUP($B140,'Standards Crosswalk'!$A:$H,6,FALSE)</f>
        <v>PR.IP-9</v>
      </c>
      <c r="Q140" s="72" t="str">
        <f>VLOOKUP($B140,'Standards Crosswalk'!$A:$H,7,FALSE)</f>
        <v>3.12.2</v>
      </c>
      <c r="R140" s="72" t="str">
        <f>VLOOKUP($B140,'Standards Crosswalk'!$A:$H,8,FALSE)</f>
        <v>AC-5, CP-4, CP-10; NIST SP 800-34</v>
      </c>
      <c r="S140" s="72">
        <f>VLOOKUP($B140,'Standards Crosswalk'!$A:$I,9,FALSE)</f>
        <v>12.8</v>
      </c>
    </row>
    <row r="141" spans="1:19" ht="46" thickBot="1" x14ac:dyDescent="0.2">
      <c r="A141" s="71">
        <f t="shared" si="5"/>
        <v>139</v>
      </c>
      <c r="B141" s="77" t="s">
        <v>307</v>
      </c>
      <c r="C141" s="78" t="str">
        <f>VLOOKUP(B141,'HECVAT - Full'!A:E,2,FALSE)</f>
        <v>Are any disaster recovery locations outside the Institution's Data Zone?</v>
      </c>
      <c r="D141" s="71">
        <f>VLOOKUP(B141,'HECVAT - Full'!A:E,4,FALSE)</f>
        <v>0</v>
      </c>
      <c r="E141" s="79" t="b">
        <f>IF(Table1[[#This Row],[Column11]]&gt;20,TRUE,FALSE)</f>
        <v>0</v>
      </c>
      <c r="F141" s="79" t="s">
        <v>2037</v>
      </c>
      <c r="G141" s="80" t="s">
        <v>21</v>
      </c>
      <c r="H141" s="81">
        <v>1</v>
      </c>
      <c r="I141" s="71">
        <f>VLOOKUP(B141,'HECVAT - Full'!A:E,3,FALSE)</f>
        <v>0</v>
      </c>
      <c r="J141" s="71">
        <f>IF(Table1[[#This Row],[Column7]]=Table1[[#This Row],[Column9]],1,0)</f>
        <v>0</v>
      </c>
      <c r="K141" s="71">
        <f>IF(Table1[[#This Row],[Column8]]=1,20,"")</f>
        <v>20</v>
      </c>
      <c r="L141" s="71">
        <f>IF(Table1[[#This Row],[Column8]]=1,J141*K141,"")</f>
        <v>0</v>
      </c>
      <c r="M141" s="72" t="str">
        <f>VLOOKUP($B141,'Standards Crosswalk'!$A:$H,3,FALSE)</f>
        <v>CSC 10, CSC 12</v>
      </c>
      <c r="N141" s="72">
        <f>VLOOKUP($B141,'Standards Crosswalk'!$A:$H,4,FALSE)</f>
        <v>0</v>
      </c>
      <c r="O141" s="72" t="str">
        <f>VLOOKUP($B141,'Standards Crosswalk'!$A:$H,5,FALSE)</f>
        <v>17.1.1</v>
      </c>
      <c r="P141" s="72" t="str">
        <f>VLOOKUP($B141,'Standards Crosswalk'!$A:$H,6,FALSE)</f>
        <v>PR.IP-9</v>
      </c>
      <c r="Q141" s="72">
        <f>VLOOKUP($B141,'Standards Crosswalk'!$A:$H,7,FALSE)</f>
        <v>0</v>
      </c>
      <c r="R141" s="72" t="str">
        <f>VLOOKUP($B141,'Standards Crosswalk'!$A:$H,8,FALSE)</f>
        <v>AC-5, CP-4, CP-10; NIST SP 800-34</v>
      </c>
      <c r="S141" s="72">
        <f>VLOOKUP($B141,'Standards Crosswalk'!$A:$I,9,FALSE)</f>
        <v>12.8</v>
      </c>
    </row>
    <row r="142" spans="1:19" ht="46" thickBot="1" x14ac:dyDescent="0.2">
      <c r="A142" s="71">
        <f t="shared" si="5"/>
        <v>140</v>
      </c>
      <c r="B142" s="77" t="s">
        <v>308</v>
      </c>
      <c r="C142" s="78" t="str">
        <f>VLOOKUP(B142,'HECVAT - Full'!A:E,2,FALSE)</f>
        <v>Does your organization have a disaster recovery site or a contracted Disaster Recovery provider?</v>
      </c>
      <c r="D142" s="71">
        <f>VLOOKUP(B142,'HECVAT - Full'!A:E,4,FALSE)</f>
        <v>0</v>
      </c>
      <c r="E142" s="79" t="b">
        <f>IF(Table1[[#This Row],[Column11]]&gt;20,TRUE,FALSE)</f>
        <v>0</v>
      </c>
      <c r="F142" s="79" t="s">
        <v>2037</v>
      </c>
      <c r="G142" s="80" t="s">
        <v>17</v>
      </c>
      <c r="H142" s="81">
        <v>1</v>
      </c>
      <c r="I142" s="71">
        <f>VLOOKUP(B142,'HECVAT - Full'!A:E,3,FALSE)</f>
        <v>0</v>
      </c>
      <c r="J142" s="71">
        <f>IF(Table1[[#This Row],[Column7]]=Table1[[#This Row],[Column9]],1,0)</f>
        <v>0</v>
      </c>
      <c r="K142" s="71">
        <f>IF(Table1[[#This Row],[Column8]]=1,20,"")</f>
        <v>20</v>
      </c>
      <c r="L142" s="71">
        <f>IF(Table1[[#This Row],[Column8]]=1,J142*K142,"")</f>
        <v>0</v>
      </c>
      <c r="M142" s="72" t="str">
        <f>VLOOKUP($B142,'Standards Crosswalk'!$A:$H,3,FALSE)</f>
        <v>CSC 10</v>
      </c>
      <c r="N142" s="72">
        <f>VLOOKUP($B142,'Standards Crosswalk'!$A:$H,4,FALSE)</f>
        <v>0</v>
      </c>
      <c r="O142" s="72" t="str">
        <f>VLOOKUP($B142,'Standards Crosswalk'!$A:$H,5,FALSE)</f>
        <v>17.2.1</v>
      </c>
      <c r="P142" s="72" t="str">
        <f>VLOOKUP($B142,'Standards Crosswalk'!$A:$H,6,FALSE)</f>
        <v>PR.IP-9</v>
      </c>
      <c r="Q142" s="72">
        <f>VLOOKUP($B142,'Standards Crosswalk'!$A:$H,7,FALSE)</f>
        <v>0</v>
      </c>
      <c r="R142" s="72" t="str">
        <f>VLOOKUP($B142,'Standards Crosswalk'!$A:$H,8,FALSE)</f>
        <v>AC-5, CP-4, CP-10; NIST SP 800-34</v>
      </c>
      <c r="S142" s="72">
        <f>VLOOKUP($B142,'Standards Crosswalk'!$A:$I,9,FALSE)</f>
        <v>0</v>
      </c>
    </row>
    <row r="143" spans="1:19" ht="46" thickBot="1" x14ac:dyDescent="0.2">
      <c r="A143" s="71">
        <f t="shared" si="5"/>
        <v>141</v>
      </c>
      <c r="B143" s="95" t="s">
        <v>309</v>
      </c>
      <c r="C143" s="78" t="str">
        <f>VLOOKUP(B143,'HECVAT - Full'!A:E,2,FALSE)</f>
        <v>Does your organization conduct an annual test of relocating to this site for disaster recovery purposes?</v>
      </c>
      <c r="D143" s="71">
        <f>VLOOKUP(B143,'HECVAT - Full'!A:E,4,FALSE)</f>
        <v>0</v>
      </c>
      <c r="E143" s="79" t="b">
        <f>IF(Table1[[#This Row],[Column11]]&gt;20,TRUE,FALSE)</f>
        <v>1</v>
      </c>
      <c r="F143" s="79" t="s">
        <v>2037</v>
      </c>
      <c r="G143" s="80" t="s">
        <v>17</v>
      </c>
      <c r="H143" s="81">
        <f>IF(I142="Yes",1,0)</f>
        <v>0</v>
      </c>
      <c r="I143" s="71">
        <f>VLOOKUP(B143,'HECVAT - Full'!A:E,3,FALSE)</f>
        <v>0</v>
      </c>
      <c r="J143" s="71">
        <f>IF(Table1[[#This Row],[Column7]]=Table1[[#This Row],[Column9]],1,0)</f>
        <v>0</v>
      </c>
      <c r="K143" s="71" t="str">
        <f>IF(Table1[[#This Row],[Column8]]=1,20,"")</f>
        <v/>
      </c>
      <c r="L143" s="71" t="str">
        <f>IF(Table1[[#This Row],[Column8]]=1,J143*K143,"")</f>
        <v/>
      </c>
      <c r="M143" s="72" t="str">
        <f>VLOOKUP($B143,'Standards Crosswalk'!$A:$H,3,FALSE)</f>
        <v>CSC 10</v>
      </c>
      <c r="N143" s="72">
        <f>VLOOKUP($B143,'Standards Crosswalk'!$A:$H,4,FALSE)</f>
        <v>0</v>
      </c>
      <c r="O143" s="72" t="str">
        <f>VLOOKUP($B143,'Standards Crosswalk'!$A:$H,5,FALSE)</f>
        <v>17.1.3</v>
      </c>
      <c r="P143" s="72" t="str">
        <f>VLOOKUP($B143,'Standards Crosswalk'!$A:$H,6,FALSE)</f>
        <v>PR.IP-9</v>
      </c>
      <c r="Q143" s="72">
        <f>VLOOKUP($B143,'Standards Crosswalk'!$A:$H,7,FALSE)</f>
        <v>0</v>
      </c>
      <c r="R143" s="72" t="str">
        <f>VLOOKUP($B143,'Standards Crosswalk'!$A:$H,8,FALSE)</f>
        <v>AC-5, CP-4, CP-10; NIST SP 800-34</v>
      </c>
      <c r="S143" s="72">
        <f>VLOOKUP($B143,'Standards Crosswalk'!$A:$I,9,FALSE)</f>
        <v>0</v>
      </c>
    </row>
    <row r="144" spans="1:19" ht="46" thickBot="1" x14ac:dyDescent="0.2">
      <c r="A144" s="71">
        <f t="shared" si="5"/>
        <v>142</v>
      </c>
      <c r="B144" s="77" t="s">
        <v>310</v>
      </c>
      <c r="C144" s="78" t="str">
        <f>VLOOKUP(B144,'HECVAT - Full'!A:E,2,FALSE)</f>
        <v>Is there a defined problem/issue escalation plan in your DRP for impacted clients?</v>
      </c>
      <c r="D144" s="71">
        <f>VLOOKUP(B144,'HECVAT - Full'!A:E,4,FALSE)</f>
        <v>0</v>
      </c>
      <c r="E144" s="79" t="b">
        <f>IF(Table1[[#This Row],[Column11]]&gt;20,TRUE,FALSE)</f>
        <v>1</v>
      </c>
      <c r="F144" s="79" t="s">
        <v>2037</v>
      </c>
      <c r="G144" s="80" t="s">
        <v>17</v>
      </c>
      <c r="H144" s="81">
        <v>1</v>
      </c>
      <c r="I144" s="71">
        <f>VLOOKUP(B144,'HECVAT - Full'!A:E,3,FALSE)</f>
        <v>0</v>
      </c>
      <c r="J144" s="71">
        <f>IF(Table1[[#This Row],[Column7]]=Table1[[#This Row],[Column9]],1,0)</f>
        <v>0</v>
      </c>
      <c r="K144" s="71">
        <v>25</v>
      </c>
      <c r="L144" s="71">
        <f>IF(Table1[[#This Row],[Column8]]=1,J144*K144,"")</f>
        <v>0</v>
      </c>
      <c r="M144" s="72" t="str">
        <f>VLOOKUP($B144,'Standards Crosswalk'!$A:$H,3,FALSE)</f>
        <v>CSC 10</v>
      </c>
      <c r="N144" s="72">
        <f>VLOOKUP($B144,'Standards Crosswalk'!$A:$H,4,FALSE)</f>
        <v>0</v>
      </c>
      <c r="O144" s="72">
        <f>VLOOKUP($B144,'Standards Crosswalk'!$A:$H,5,FALSE)</f>
        <v>0</v>
      </c>
      <c r="P144" s="72" t="str">
        <f>VLOOKUP($B144,'Standards Crosswalk'!$A:$H,6,FALSE)</f>
        <v>PR.IP-9</v>
      </c>
      <c r="Q144" s="72" t="str">
        <f>VLOOKUP($B144,'Standards Crosswalk'!$A:$H,7,FALSE)</f>
        <v>3.12.2</v>
      </c>
      <c r="R144" s="72" t="str">
        <f>VLOOKUP($B144,'Standards Crosswalk'!$A:$H,8,FALSE)</f>
        <v>AC-5, CP-4, CP-10; NIST SP 800-34</v>
      </c>
      <c r="S144" s="72">
        <f>VLOOKUP($B144,'Standards Crosswalk'!$A:$I,9,FALSE)</f>
        <v>12.8</v>
      </c>
    </row>
    <row r="145" spans="1:19" ht="46" thickBot="1" x14ac:dyDescent="0.2">
      <c r="A145" s="71">
        <f t="shared" si="5"/>
        <v>143</v>
      </c>
      <c r="B145" s="77" t="s">
        <v>311</v>
      </c>
      <c r="C145" s="78" t="str">
        <f>VLOOKUP(B145,'HECVAT - Full'!A:E,2,FALSE)</f>
        <v>Is there a documented communication plan in your DRP for impacted clients?</v>
      </c>
      <c r="D145" s="71">
        <f>VLOOKUP(B145,'HECVAT - Full'!A:E,4,FALSE)</f>
        <v>0</v>
      </c>
      <c r="E145" s="79" t="b">
        <f>IF(Table1[[#This Row],[Column11]]&gt;20,TRUE,FALSE)</f>
        <v>0</v>
      </c>
      <c r="F145" s="79" t="s">
        <v>2037</v>
      </c>
      <c r="G145" s="80" t="s">
        <v>17</v>
      </c>
      <c r="H145" s="81">
        <v>1</v>
      </c>
      <c r="I145" s="71">
        <f>VLOOKUP(B145,'HECVAT - Full'!A:E,3,FALSE)</f>
        <v>0</v>
      </c>
      <c r="J145" s="71">
        <f>IF(Table1[[#This Row],[Column7]]=Table1[[#This Row],[Column9]],1,0)</f>
        <v>0</v>
      </c>
      <c r="K145" s="71">
        <f>IF(Table1[[#This Row],[Column8]]=1,20,"")</f>
        <v>20</v>
      </c>
      <c r="L145" s="71">
        <f>IF(Table1[[#This Row],[Column8]]=1,J145*K145,"")</f>
        <v>0</v>
      </c>
      <c r="M145" s="72" t="str">
        <f>VLOOKUP($B145,'Standards Crosswalk'!$A:$H,3,FALSE)</f>
        <v>CSC 10</v>
      </c>
      <c r="N145" s="72">
        <f>VLOOKUP($B145,'Standards Crosswalk'!$A:$H,4,FALSE)</f>
        <v>0</v>
      </c>
      <c r="O145" s="72" t="str">
        <f>VLOOKUP($B145,'Standards Crosswalk'!$A:$H,5,FALSE)</f>
        <v>17.1.2</v>
      </c>
      <c r="P145" s="72" t="str">
        <f>VLOOKUP($B145,'Standards Crosswalk'!$A:$H,6,FALSE)</f>
        <v>PR.IP-9</v>
      </c>
      <c r="Q145" s="72" t="str">
        <f>VLOOKUP($B145,'Standards Crosswalk'!$A:$H,7,FALSE)</f>
        <v>3.12.2</v>
      </c>
      <c r="R145" s="72" t="str">
        <f>VLOOKUP($B145,'Standards Crosswalk'!$A:$H,8,FALSE)</f>
        <v>AC-5, CP-4, CP-10; NIST SP 800-34</v>
      </c>
      <c r="S145" s="72">
        <f>VLOOKUP($B145,'Standards Crosswalk'!$A:$I,9,FALSE)</f>
        <v>12.8</v>
      </c>
    </row>
    <row r="146" spans="1:19" ht="61" thickBot="1" x14ac:dyDescent="0.2">
      <c r="A146" s="71">
        <f t="shared" si="5"/>
        <v>144</v>
      </c>
      <c r="B146" s="77" t="s">
        <v>312</v>
      </c>
      <c r="C146" s="78" t="str">
        <f>VLOOKUP(B146,'HECVAT - Full'!A:E,2,FALSE)</f>
        <v>Describe or provide a reference to how your disaster recovery plan is tested? (i.e. scope of DR tests, end-to-end testing, etc.)</v>
      </c>
      <c r="D146" s="71">
        <f>VLOOKUP(B146,'HECVAT - Full'!A:E,4,FALSE)</f>
        <v>0</v>
      </c>
      <c r="E146" s="79" t="b">
        <f>IF(Table1[[#This Row],[Column11]]&gt;20,TRUE,FALSE)</f>
        <v>0</v>
      </c>
      <c r="F146" s="79" t="s">
        <v>2037</v>
      </c>
      <c r="G146" s="80" t="s">
        <v>17</v>
      </c>
      <c r="H146" s="81">
        <v>1</v>
      </c>
      <c r="I146" s="71">
        <f>VLOOKUP(B146,'HECVAT - Full'!A:E,3,FALSE)</f>
        <v>0</v>
      </c>
      <c r="J146" s="71">
        <f>IF(VLOOKUP(B146,'Analyst Report'!$A$41:$H$88,7,FALSE)="Yes",1,0)</f>
        <v>0</v>
      </c>
      <c r="K146" s="71">
        <f>IF(Table1[[#This Row],[Column8]]=1,20,"")</f>
        <v>20</v>
      </c>
      <c r="L146" s="71">
        <f>IF(Table1[[#This Row],[Column8]]=1,J146*K146,"")</f>
        <v>0</v>
      </c>
      <c r="M146" s="72" t="str">
        <f>VLOOKUP($B146,'Standards Crosswalk'!$A:$H,3,FALSE)</f>
        <v>CSC 10</v>
      </c>
      <c r="N146" s="72">
        <f>VLOOKUP($B146,'Standards Crosswalk'!$A:$H,4,FALSE)</f>
        <v>0</v>
      </c>
      <c r="O146" s="72" t="str">
        <f>VLOOKUP($B146,'Standards Crosswalk'!$A:$H,5,FALSE)</f>
        <v>17.1.3</v>
      </c>
      <c r="P146" s="72" t="str">
        <f>VLOOKUP($B146,'Standards Crosswalk'!$A:$H,6,FALSE)</f>
        <v>PR.IP-9</v>
      </c>
      <c r="Q146" s="72" t="str">
        <f>VLOOKUP($B146,'Standards Crosswalk'!$A:$H,7,FALSE)</f>
        <v>3.12.2</v>
      </c>
      <c r="R146" s="72" t="str">
        <f>VLOOKUP($B146,'Standards Crosswalk'!$A:$H,8,FALSE)</f>
        <v>AC-5, CP-4, CP-10; NIST SP 800-34</v>
      </c>
      <c r="S146" s="72">
        <f>VLOOKUP($B146,'Standards Crosswalk'!$A:$I,9,FALSE)</f>
        <v>0</v>
      </c>
    </row>
    <row r="147" spans="1:19" ht="76" thickBot="1" x14ac:dyDescent="0.2">
      <c r="A147" s="71">
        <f t="shared" si="5"/>
        <v>145</v>
      </c>
      <c r="B147" s="77" t="s">
        <v>313</v>
      </c>
      <c r="C147" s="78" t="str">
        <f>VLOOKUP(B147,'HECVAT - Full'!A:E,2,FALSE)</f>
        <v>Has the Disaster Recovery Plan been tested in the last year?  Please provide a summary of the results in Additional Information (including actual recovery time).</v>
      </c>
      <c r="D147" s="71">
        <f>VLOOKUP(B147,'HECVAT - Full'!A:E,4,FALSE)</f>
        <v>0</v>
      </c>
      <c r="E147" s="79" t="b">
        <f>IF(Table1[[#This Row],[Column11]]&gt;20,TRUE,FALSE)</f>
        <v>0</v>
      </c>
      <c r="F147" s="79" t="s">
        <v>2037</v>
      </c>
      <c r="G147" s="80" t="s">
        <v>17</v>
      </c>
      <c r="H147" s="81">
        <v>1</v>
      </c>
      <c r="I147" s="71">
        <f>VLOOKUP(B147,'HECVAT - Full'!A:E,3,FALSE)</f>
        <v>0</v>
      </c>
      <c r="J147" s="71">
        <f>IF(Table1[[#This Row],[Column7]]=Table1[[#This Row],[Column9]],1,0)</f>
        <v>0</v>
      </c>
      <c r="K147" s="71">
        <f>IF(Table1[[#This Row],[Column8]]=1,20,"")</f>
        <v>20</v>
      </c>
      <c r="L147" s="71">
        <f>IF(Table1[[#This Row],[Column8]]=1,J147*K147,"")</f>
        <v>0</v>
      </c>
      <c r="M147" s="72" t="str">
        <f>VLOOKUP($B147,'Standards Crosswalk'!$A:$H,3,FALSE)</f>
        <v>CSC 10</v>
      </c>
      <c r="N147" s="72">
        <f>VLOOKUP($B147,'Standards Crosswalk'!$A:$H,4,FALSE)</f>
        <v>0</v>
      </c>
      <c r="O147" s="72" t="str">
        <f>VLOOKUP($B147,'Standards Crosswalk'!$A:$H,5,FALSE)</f>
        <v>17.1.3</v>
      </c>
      <c r="P147" s="72" t="str">
        <f>VLOOKUP($B147,'Standards Crosswalk'!$A:$H,6,FALSE)</f>
        <v>PR.IP-9</v>
      </c>
      <c r="Q147" s="72" t="str">
        <f>VLOOKUP($B147,'Standards Crosswalk'!$A:$H,7,FALSE)</f>
        <v>3.12.2</v>
      </c>
      <c r="R147" s="72" t="str">
        <f>VLOOKUP($B147,'Standards Crosswalk'!$A:$H,8,FALSE)</f>
        <v>AC-5, CP-4, CP-10; NIST SP 800-34</v>
      </c>
      <c r="S147" s="72">
        <f>VLOOKUP($B147,'Standards Crosswalk'!$A:$I,9,FALSE)</f>
        <v>0</v>
      </c>
    </row>
    <row r="148" spans="1:19" ht="61" thickBot="1" x14ac:dyDescent="0.2">
      <c r="A148" s="71">
        <f t="shared" si="5"/>
        <v>146</v>
      </c>
      <c r="B148" s="95" t="s">
        <v>314</v>
      </c>
      <c r="C148" s="78" t="str">
        <f>VLOOKUP(B148,'HECVAT - Full'!A:E,2,FALSE)</f>
        <v>Do the documented test results identify your organizations actual recovery time capabilities for technology and facilities?</v>
      </c>
      <c r="D148" s="71">
        <f>VLOOKUP(B148,'HECVAT - Full'!A:E,4,FALSE)</f>
        <v>0</v>
      </c>
      <c r="E148" s="79" t="b">
        <f>IF(Table1[[#This Row],[Column11]]&gt;20,TRUE,FALSE)</f>
        <v>1</v>
      </c>
      <c r="F148" s="79" t="s">
        <v>2037</v>
      </c>
      <c r="G148" s="80" t="s">
        <v>17</v>
      </c>
      <c r="H148" s="81">
        <f>IF(I147="Yes",1,0)</f>
        <v>0</v>
      </c>
      <c r="I148" s="71">
        <f>VLOOKUP(B148,'HECVAT - Full'!A:E,3,FALSE)</f>
        <v>0</v>
      </c>
      <c r="J148" s="71">
        <f>IF(Table1[[#This Row],[Column7]]=Table1[[#This Row],[Column9]],1,0)</f>
        <v>0</v>
      </c>
      <c r="K148" s="71" t="str">
        <f>IF(Table1[[#This Row],[Column8]]=1,20,"")</f>
        <v/>
      </c>
      <c r="L148" s="71" t="str">
        <f>IF(Table1[[#This Row],[Column8]]=1,J148*K148,"")</f>
        <v/>
      </c>
      <c r="M148" s="72" t="str">
        <f>VLOOKUP($B148,'Standards Crosswalk'!$A:$H,3,FALSE)</f>
        <v>CSC 10</v>
      </c>
      <c r="N148" s="72">
        <f>VLOOKUP($B148,'Standards Crosswalk'!$A:$H,4,FALSE)</f>
        <v>0</v>
      </c>
      <c r="O148" s="72" t="str">
        <f>VLOOKUP($B148,'Standards Crosswalk'!$A:$H,5,FALSE)</f>
        <v>7.1.3</v>
      </c>
      <c r="P148" s="72" t="str">
        <f>VLOOKUP($B148,'Standards Crosswalk'!$A:$H,6,FALSE)</f>
        <v>PR.IP-9</v>
      </c>
      <c r="Q148" s="72">
        <f>VLOOKUP($B148,'Standards Crosswalk'!$A:$H,7,FALSE)</f>
        <v>0</v>
      </c>
      <c r="R148" s="72" t="str">
        <f>VLOOKUP($B148,'Standards Crosswalk'!$A:$H,8,FALSE)</f>
        <v>AC-5, CP-4, CP-10; NIST SP 800-34</v>
      </c>
      <c r="S148" s="72">
        <f>VLOOKUP($B148,'Standards Crosswalk'!$A:$I,9,FALSE)</f>
        <v>12.8</v>
      </c>
    </row>
    <row r="149" spans="1:19" ht="46" thickBot="1" x14ac:dyDescent="0.2">
      <c r="A149" s="71">
        <f t="shared" si="5"/>
        <v>147</v>
      </c>
      <c r="B149" s="77" t="s">
        <v>315</v>
      </c>
      <c r="C149" s="78" t="str">
        <f>VLOOKUP(B149,'HECVAT - Full'!A:E,2,FALSE)</f>
        <v xml:space="preserve">Are all components of the DRP reviewed at least annually and updated as needed to reflect change? </v>
      </c>
      <c r="D149" s="71">
        <f>VLOOKUP(B149,'HECVAT - Full'!A:E,4,FALSE)</f>
        <v>0</v>
      </c>
      <c r="E149" s="79" t="b">
        <f>IF(Table1[[#This Row],[Column11]]&gt;20,TRUE,FALSE)</f>
        <v>0</v>
      </c>
      <c r="F149" s="79" t="s">
        <v>2037</v>
      </c>
      <c r="G149" s="80" t="s">
        <v>17</v>
      </c>
      <c r="H149" s="81">
        <v>1</v>
      </c>
      <c r="I149" s="71">
        <f>VLOOKUP(B149,'HECVAT - Full'!A:E,3,FALSE)</f>
        <v>0</v>
      </c>
      <c r="J149" s="71">
        <f>IF(Table1[[#This Row],[Column7]]=Table1[[#This Row],[Column9]],1,0)</f>
        <v>0</v>
      </c>
      <c r="K149" s="71">
        <f>IF(Table1[[#This Row],[Column8]]=1,20,"")</f>
        <v>20</v>
      </c>
      <c r="L149" s="71">
        <f>IF(Table1[[#This Row],[Column8]]=1,J149*K149,"")</f>
        <v>0</v>
      </c>
      <c r="M149" s="72" t="str">
        <f>VLOOKUP($B149,'Standards Crosswalk'!$A:$H,3,FALSE)</f>
        <v>CSC 10</v>
      </c>
      <c r="N149" s="72">
        <f>VLOOKUP($B149,'Standards Crosswalk'!$A:$H,4,FALSE)</f>
        <v>0</v>
      </c>
      <c r="O149" s="72" t="str">
        <f>VLOOKUP($B149,'Standards Crosswalk'!$A:$H,5,FALSE)</f>
        <v>17.1.1</v>
      </c>
      <c r="P149" s="72" t="str">
        <f>VLOOKUP($B149,'Standards Crosswalk'!$A:$H,6,FALSE)</f>
        <v>PR.IP-9</v>
      </c>
      <c r="Q149" s="72" t="str">
        <f>VLOOKUP($B149,'Standards Crosswalk'!$A:$H,7,FALSE)</f>
        <v>3.12.2</v>
      </c>
      <c r="R149" s="72" t="str">
        <f>VLOOKUP($B149,'Standards Crosswalk'!$A:$H,8,FALSE)</f>
        <v>AC-5, CP-4, CP-10; NIST SP 800-34</v>
      </c>
      <c r="S149" s="72">
        <f>VLOOKUP($B149,'Standards Crosswalk'!$A:$I,9,FALSE)</f>
        <v>0</v>
      </c>
    </row>
    <row r="150" spans="1:19" ht="61" thickBot="1" x14ac:dyDescent="0.2">
      <c r="A150" s="71">
        <f t="shared" si="5"/>
        <v>148</v>
      </c>
      <c r="B150" s="77" t="s">
        <v>316</v>
      </c>
      <c r="C150" s="78" t="str">
        <f>VLOOKUP(B150,'HECVAT - Full'!A:E,2,FALSE)</f>
        <v>Do you carry cyber-risk insurance to protect against unforeseen service outages, data that is lost or stolen, and security incidents?</v>
      </c>
      <c r="D150" s="71">
        <f>VLOOKUP(B150,'HECVAT - Full'!A:E,4,FALSE)</f>
        <v>0</v>
      </c>
      <c r="E150" s="79" t="b">
        <f>IF(Table1[[#This Row],[Column11]]&gt;20,TRUE,FALSE)</f>
        <v>0</v>
      </c>
      <c r="F150" s="79" t="s">
        <v>2037</v>
      </c>
      <c r="G150" s="80" t="s">
        <v>17</v>
      </c>
      <c r="H150" s="81">
        <v>1</v>
      </c>
      <c r="I150" s="71">
        <f>VLOOKUP(B150,'HECVAT - Full'!A:E,3,FALSE)</f>
        <v>0</v>
      </c>
      <c r="J150" s="71">
        <f>IF(Table1[[#This Row],[Column7]]=Table1[[#This Row],[Column9]],1,0)</f>
        <v>0</v>
      </c>
      <c r="K150" s="71">
        <f>IF(Table1[[#This Row],[Column8]]=1,20,"")</f>
        <v>20</v>
      </c>
      <c r="L150" s="71">
        <f>IF(Table1[[#This Row],[Column8]]=1,J150*K150,"")</f>
        <v>0</v>
      </c>
      <c r="M150" s="72">
        <f>VLOOKUP($B150,'Standards Crosswalk'!$A:$H,3,FALSE)</f>
        <v>0</v>
      </c>
      <c r="N150" s="72">
        <f>VLOOKUP($B150,'Standards Crosswalk'!$A:$H,4,FALSE)</f>
        <v>0</v>
      </c>
      <c r="O150" s="72">
        <f>VLOOKUP($B150,'Standards Crosswalk'!$A:$H,5,FALSE)</f>
        <v>0</v>
      </c>
      <c r="P150" s="72">
        <f>VLOOKUP($B150,'Standards Crosswalk'!$A:$H,6,FALSE)</f>
        <v>0</v>
      </c>
      <c r="Q150" s="72" t="str">
        <f>VLOOKUP($B150,'Standards Crosswalk'!$A:$H,7,FALSE)</f>
        <v>3.6.2</v>
      </c>
      <c r="R150" s="72" t="str">
        <f>VLOOKUP($B150,'Standards Crosswalk'!$A:$H,8,FALSE)</f>
        <v>AC-5, CP-4, CP-10; NIST SP 800-34</v>
      </c>
      <c r="S150" s="72">
        <f>VLOOKUP($B150,'Standards Crosswalk'!$A:$I,9,FALSE)</f>
        <v>12.8</v>
      </c>
    </row>
    <row r="151" spans="1:19" ht="76" thickBot="1" x14ac:dyDescent="0.2">
      <c r="A151" s="71">
        <f t="shared" si="5"/>
        <v>149</v>
      </c>
      <c r="B151" s="77" t="s">
        <v>317</v>
      </c>
      <c r="C151" s="78" t="str">
        <f>VLOOKUP(B151,'HECVAT - Full'!A:E,2,FALSE)</f>
        <v>Are you utilizing a web application firewall (WAF)?</v>
      </c>
      <c r="D151" s="71">
        <f>VLOOKUP(B151,'HECVAT - Full'!A:E,4,FALSE)</f>
        <v>0</v>
      </c>
      <c r="E151" s="79" t="b">
        <f>IF(Table1[[#This Row],[Column11]]&gt;20,TRUE,FALSE)</f>
        <v>1</v>
      </c>
      <c r="F151" s="79" t="s">
        <v>2038</v>
      </c>
      <c r="G151" s="80" t="s">
        <v>17</v>
      </c>
      <c r="H151" s="81">
        <v>1</v>
      </c>
      <c r="I151" s="71">
        <f>VLOOKUP(B151,'HECVAT - Full'!A:E,3,FALSE)</f>
        <v>0</v>
      </c>
      <c r="J151" s="71">
        <f>IF(Table1[[#This Row],[Column7]]=Table1[[#This Row],[Column9]],1,0)</f>
        <v>0</v>
      </c>
      <c r="K151" s="71">
        <v>25</v>
      </c>
      <c r="L151" s="71">
        <f>IF(Table1[[#This Row],[Column8]]=1,J151*K151,"")</f>
        <v>0</v>
      </c>
      <c r="M151" s="72" t="str">
        <f>VLOOKUP($B151,'Standards Crosswalk'!$A:$H,3,FALSE)</f>
        <v>CSC 9</v>
      </c>
      <c r="N151" s="72">
        <f>VLOOKUP($B151,'Standards Crosswalk'!$A:$H,4,FALSE)</f>
        <v>0</v>
      </c>
      <c r="O151" s="72" t="str">
        <f>VLOOKUP($B151,'Standards Crosswalk'!$A:$H,5,FALSE)</f>
        <v>13.1.1</v>
      </c>
      <c r="P151" s="72" t="str">
        <f>VLOOKUP($B151,'Standards Crosswalk'!$A:$H,6,FALSE)</f>
        <v>PR.DS-5</v>
      </c>
      <c r="Q151" s="72">
        <f>VLOOKUP($B151,'Standards Crosswalk'!$A:$H,7,FALSE)</f>
        <v>0</v>
      </c>
      <c r="R151" s="72">
        <f>VLOOKUP($B151,'Standards Crosswalk'!$A:$H,8,FALSE)</f>
        <v>0</v>
      </c>
      <c r="S151" s="72">
        <f>VLOOKUP($B151,'Standards Crosswalk'!$A:$I,9,FALSE)</f>
        <v>1.1000000000000001</v>
      </c>
    </row>
    <row r="152" spans="1:19" ht="76" thickBot="1" x14ac:dyDescent="0.2">
      <c r="A152" s="71">
        <f t="shared" si="5"/>
        <v>150</v>
      </c>
      <c r="B152" s="77" t="s">
        <v>318</v>
      </c>
      <c r="C152" s="78" t="str">
        <f>VLOOKUP(B152,'HECVAT - Full'!A:E,2,FALSE)</f>
        <v>Are you utilizing a stateful packet inspection (SPI) firewall?</v>
      </c>
      <c r="D152" s="71">
        <f>VLOOKUP(B152,'HECVAT - Full'!A:E,4,FALSE)</f>
        <v>0</v>
      </c>
      <c r="E152" s="79" t="b">
        <f>IF(Table1[[#This Row],[Column11]]&gt;20,TRUE,FALSE)</f>
        <v>1</v>
      </c>
      <c r="F152" s="79" t="s">
        <v>2038</v>
      </c>
      <c r="G152" s="80" t="s">
        <v>17</v>
      </c>
      <c r="H152" s="81">
        <v>1</v>
      </c>
      <c r="I152" s="71">
        <f>VLOOKUP(B152,'HECVAT - Full'!A:E,3,FALSE)</f>
        <v>0</v>
      </c>
      <c r="J152" s="71">
        <f>IF(Table1[[#This Row],[Column7]]=Table1[[#This Row],[Column9]],1,0)</f>
        <v>0</v>
      </c>
      <c r="K152" s="71">
        <v>25</v>
      </c>
      <c r="L152" s="71">
        <f>IF(Table1[[#This Row],[Column8]]=1,J152*K152,"")</f>
        <v>0</v>
      </c>
      <c r="M152" s="72" t="str">
        <f>VLOOKUP($B152,'Standards Crosswalk'!$A:$H,3,FALSE)</f>
        <v>CSC 9</v>
      </c>
      <c r="N152" s="72">
        <f>VLOOKUP($B152,'Standards Crosswalk'!$A:$H,4,FALSE)</f>
        <v>0</v>
      </c>
      <c r="O152" s="72" t="str">
        <f>VLOOKUP($B152,'Standards Crosswalk'!$A:$H,5,FALSE)</f>
        <v>13.1.1</v>
      </c>
      <c r="P152" s="72" t="str">
        <f>VLOOKUP($B152,'Standards Crosswalk'!$A:$H,6,FALSE)</f>
        <v>PR.DS-5</v>
      </c>
      <c r="Q152" s="72">
        <f>VLOOKUP($B152,'Standards Crosswalk'!$A:$H,7,FALSE)</f>
        <v>0</v>
      </c>
      <c r="R152" s="72">
        <f>VLOOKUP($B152,'Standards Crosswalk'!$A:$H,8,FALSE)</f>
        <v>0</v>
      </c>
      <c r="S152" s="72">
        <f>VLOOKUP($B152,'Standards Crosswalk'!$A:$I,9,FALSE)</f>
        <v>1.1000000000000001</v>
      </c>
    </row>
    <row r="153" spans="1:19" ht="76" thickBot="1" x14ac:dyDescent="0.2">
      <c r="A153" s="71">
        <f t="shared" si="5"/>
        <v>151</v>
      </c>
      <c r="B153" s="77" t="s">
        <v>319</v>
      </c>
      <c r="C153" s="78" t="str">
        <f>VLOOKUP(B153,'HECVAT - Full'!A:E,2,FALSE)</f>
        <v>State and describe who has the authority to change firewall rules?</v>
      </c>
      <c r="D153" s="71">
        <f>VLOOKUP(B153,'HECVAT - Full'!A:E,4,FALSE)</f>
        <v>0</v>
      </c>
      <c r="E153" s="79" t="b">
        <f>IF(Table1[[#This Row],[Column11]]&gt;20,TRUE,FALSE)</f>
        <v>0</v>
      </c>
      <c r="F153" s="79" t="s">
        <v>2038</v>
      </c>
      <c r="G153" s="80" t="s">
        <v>17</v>
      </c>
      <c r="H153" s="81">
        <v>1</v>
      </c>
      <c r="I153" s="71">
        <f>VLOOKUP(B153,'HECVAT - Full'!A:E,3,FALSE)</f>
        <v>0</v>
      </c>
      <c r="J153" s="71">
        <f>IF(VLOOKUP(Table1[[#This Row],[Column2]],'Analyst Report'!$A$41:$G$88,7,FALSE)="Yes",1,0)</f>
        <v>0</v>
      </c>
      <c r="K153" s="71">
        <f>IF(Table1[[#This Row],[Column8]]=1,20,"")</f>
        <v>20</v>
      </c>
      <c r="L153" s="71">
        <f>IF(Table1[[#This Row],[Column8]]=1,J153*K153,"")</f>
        <v>0</v>
      </c>
      <c r="M153" s="72" t="str">
        <f>VLOOKUP($B153,'Standards Crosswalk'!$A:$H,3,FALSE)</f>
        <v>CSC 9</v>
      </c>
      <c r="N153" s="72">
        <f>VLOOKUP($B153,'Standards Crosswalk'!$A:$H,4,FALSE)</f>
        <v>0</v>
      </c>
      <c r="O153" s="72" t="str">
        <f>VLOOKUP($B153,'Standards Crosswalk'!$A:$H,5,FALSE)</f>
        <v>13</v>
      </c>
      <c r="P153" s="72" t="str">
        <f>VLOOKUP($B153,'Standards Crosswalk'!$A:$H,6,FALSE)</f>
        <v>PR.AC-5</v>
      </c>
      <c r="Q153" s="72">
        <f>VLOOKUP($B153,'Standards Crosswalk'!$A:$H,7,FALSE)</f>
        <v>0</v>
      </c>
      <c r="R153" s="72">
        <f>VLOOKUP($B153,'Standards Crosswalk'!$A:$H,8,FALSE)</f>
        <v>0</v>
      </c>
      <c r="S153" s="72">
        <f>VLOOKUP($B153,'Standards Crosswalk'!$A:$I,9,FALSE)</f>
        <v>1.1000000000000001</v>
      </c>
    </row>
    <row r="154" spans="1:19" ht="76" thickBot="1" x14ac:dyDescent="0.2">
      <c r="A154" s="71">
        <f t="shared" si="5"/>
        <v>152</v>
      </c>
      <c r="B154" s="77" t="s">
        <v>320</v>
      </c>
      <c r="C154" s="78" t="str">
        <f>VLOOKUP(B154,'HECVAT - Full'!A:E,2,FALSE)</f>
        <v>Do you have a documented policy for firewall change requests?</v>
      </c>
      <c r="D154" s="71">
        <f>VLOOKUP(B154,'HECVAT - Full'!A:E,4,FALSE)</f>
        <v>0</v>
      </c>
      <c r="E154" s="79" t="b">
        <f>IF(Table1[[#This Row],[Column11]]&gt;20,TRUE,FALSE)</f>
        <v>1</v>
      </c>
      <c r="F154" s="79" t="s">
        <v>2038</v>
      </c>
      <c r="G154" s="80" t="s">
        <v>17</v>
      </c>
      <c r="H154" s="81">
        <v>1</v>
      </c>
      <c r="I154" s="71">
        <f>VLOOKUP(B154,'HECVAT - Full'!A:E,3,FALSE)</f>
        <v>0</v>
      </c>
      <c r="J154" s="71">
        <f>IF(Table1[[#This Row],[Column7]]=Table1[[#This Row],[Column9]],1,0)</f>
        <v>0</v>
      </c>
      <c r="K154" s="71">
        <v>25</v>
      </c>
      <c r="L154" s="71">
        <f>IF(Table1[[#This Row],[Column8]]=1,J154*K154,"")</f>
        <v>0</v>
      </c>
      <c r="M154" s="72" t="str">
        <f>VLOOKUP($B154,'Standards Crosswalk'!$A:$H,3,FALSE)</f>
        <v>CSC 9</v>
      </c>
      <c r="N154" s="72">
        <f>VLOOKUP($B154,'Standards Crosswalk'!$A:$H,4,FALSE)</f>
        <v>0</v>
      </c>
      <c r="O154" s="72" t="str">
        <f>VLOOKUP($B154,'Standards Crosswalk'!$A:$H,5,FALSE)</f>
        <v>12.1.2</v>
      </c>
      <c r="P154" s="72" t="str">
        <f>VLOOKUP($B154,'Standards Crosswalk'!$A:$H,6,FALSE)</f>
        <v>PR.AC-5</v>
      </c>
      <c r="Q154" s="72">
        <f>VLOOKUP($B154,'Standards Crosswalk'!$A:$H,7,FALSE)</f>
        <v>0</v>
      </c>
      <c r="R154" s="72">
        <f>VLOOKUP($B154,'Standards Crosswalk'!$A:$H,8,FALSE)</f>
        <v>0</v>
      </c>
      <c r="S154" s="72">
        <f>VLOOKUP($B154,'Standards Crosswalk'!$A:$I,9,FALSE)</f>
        <v>1.1000000000000001</v>
      </c>
    </row>
    <row r="155" spans="1:19" ht="76" thickBot="1" x14ac:dyDescent="0.2">
      <c r="A155" s="71">
        <f t="shared" si="5"/>
        <v>153</v>
      </c>
      <c r="B155" s="77" t="s">
        <v>321</v>
      </c>
      <c r="C155" s="78" t="str">
        <f>VLOOKUP(B155,'HECVAT - Full'!A:E,2,FALSE)</f>
        <v>Have you implemented an Intrusion Detection System (network-based)?</v>
      </c>
      <c r="D155" s="71">
        <f>VLOOKUP(B155,'HECVAT - Full'!A:E,4,FALSE)</f>
        <v>0</v>
      </c>
      <c r="E155" s="79" t="b">
        <f>IF(Table1[[#This Row],[Column11]]&gt;20,TRUE,FALSE)</f>
        <v>1</v>
      </c>
      <c r="F155" s="79" t="s">
        <v>2038</v>
      </c>
      <c r="G155" s="80" t="s">
        <v>17</v>
      </c>
      <c r="H155" s="81">
        <v>1</v>
      </c>
      <c r="I155" s="71">
        <f>VLOOKUP(B155,'HECVAT - Full'!A:E,3,FALSE)</f>
        <v>0</v>
      </c>
      <c r="J155" s="71">
        <f>IF(Table1[[#This Row],[Column7]]=Table1[[#This Row],[Column9]],1,0)</f>
        <v>0</v>
      </c>
      <c r="K155" s="71">
        <v>25</v>
      </c>
      <c r="L155" s="71">
        <f>IF(Table1[[#This Row],[Column8]]=1,J155*K155,"")</f>
        <v>0</v>
      </c>
      <c r="M155" s="72" t="str">
        <f>VLOOKUP($B155,'Standards Crosswalk'!$A:$H,3,FALSE)</f>
        <v>CSC 19</v>
      </c>
      <c r="N155" s="72">
        <f>VLOOKUP($B155,'Standards Crosswalk'!$A:$H,4,FALSE)</f>
        <v>0</v>
      </c>
      <c r="O155" s="72" t="str">
        <f>VLOOKUP($B155,'Standards Crosswalk'!$A:$H,5,FALSE)</f>
        <v>13.1.2</v>
      </c>
      <c r="P155" s="72" t="str">
        <f>VLOOKUP($B155,'Standards Crosswalk'!$A:$H,6,FALSE)</f>
        <v>DE.CM-1</v>
      </c>
      <c r="Q155" s="72" t="str">
        <f>VLOOKUP($B155,'Standards Crosswalk'!$A:$H,7,FALSE)</f>
        <v>3.6.1, 3.14.6, 3.14.7</v>
      </c>
      <c r="R155" s="72" t="str">
        <f>VLOOKUP($B155,'Standards Crosswalk'!$A:$H,8,FALSE)</f>
        <v>IR-2, IR-4, IR-5</v>
      </c>
      <c r="S155" s="72">
        <f>VLOOKUP($B155,'Standards Crosswalk'!$A:$I,9,FALSE)</f>
        <v>11.4</v>
      </c>
    </row>
    <row r="156" spans="1:19" ht="76" thickBot="1" x14ac:dyDescent="0.2">
      <c r="A156" s="71">
        <f t="shared" si="5"/>
        <v>154</v>
      </c>
      <c r="B156" s="77" t="s">
        <v>322</v>
      </c>
      <c r="C156" s="78" t="str">
        <f>VLOOKUP(B156,'HECVAT - Full'!A:E,2,FALSE)</f>
        <v>Have you implemented an Intrusion Prevention System (network-based)?</v>
      </c>
      <c r="D156" s="71">
        <f>VLOOKUP(B156,'HECVAT - Full'!A:E,4,FALSE)</f>
        <v>0</v>
      </c>
      <c r="E156" s="79" t="b">
        <f>IF(Table1[[#This Row],[Column11]]&gt;20,TRUE,FALSE)</f>
        <v>0</v>
      </c>
      <c r="F156" s="79" t="s">
        <v>2038</v>
      </c>
      <c r="G156" s="80" t="s">
        <v>17</v>
      </c>
      <c r="H156" s="81">
        <v>1</v>
      </c>
      <c r="I156" s="71">
        <f>VLOOKUP(B156,'HECVAT - Full'!A:E,3,FALSE)</f>
        <v>0</v>
      </c>
      <c r="J156" s="71">
        <f>IF(Table1[[#This Row],[Column7]]=Table1[[#This Row],[Column9]],1,0)</f>
        <v>0</v>
      </c>
      <c r="K156" s="71">
        <f>IF(Table1[[#This Row],[Column8]]=1,20,"")</f>
        <v>20</v>
      </c>
      <c r="L156" s="71">
        <f>IF(Table1[[#This Row],[Column8]]=1,J156*K156,"")</f>
        <v>0</v>
      </c>
      <c r="M156" s="72" t="str">
        <f>VLOOKUP($B156,'Standards Crosswalk'!$A:$H,3,FALSE)</f>
        <v>CSC 19</v>
      </c>
      <c r="N156" s="72">
        <f>VLOOKUP($B156,'Standards Crosswalk'!$A:$H,4,FALSE)</f>
        <v>0</v>
      </c>
      <c r="O156" s="72" t="str">
        <f>VLOOKUP($B156,'Standards Crosswalk'!$A:$H,5,FALSE)</f>
        <v>13.1.2</v>
      </c>
      <c r="P156" s="72" t="str">
        <f>VLOOKUP($B156,'Standards Crosswalk'!$A:$H,6,FALSE)</f>
        <v>DE.CM-1</v>
      </c>
      <c r="Q156" s="72" t="str">
        <f>VLOOKUP($B156,'Standards Crosswalk'!$A:$H,7,FALSE)</f>
        <v>3.6.1, 3.14.6, 3.14.7</v>
      </c>
      <c r="R156" s="72" t="str">
        <f>VLOOKUP($B156,'Standards Crosswalk'!$A:$H,8,FALSE)</f>
        <v>IR-2, IR-4, IR-5</v>
      </c>
      <c r="S156" s="72">
        <f>VLOOKUP($B156,'Standards Crosswalk'!$A:$I,9,FALSE)</f>
        <v>11.4</v>
      </c>
    </row>
    <row r="157" spans="1:19" ht="76" thickBot="1" x14ac:dyDescent="0.2">
      <c r="A157" s="71">
        <f t="shared" si="5"/>
        <v>155</v>
      </c>
      <c r="B157" s="77" t="s">
        <v>323</v>
      </c>
      <c r="C157" s="78" t="str">
        <f>VLOOKUP(B157,'HECVAT - Full'!A:E,2,FALSE)</f>
        <v>Do you employ host-based intrusion detection?</v>
      </c>
      <c r="D157" s="71">
        <f>VLOOKUP(B157,'HECVAT - Full'!A:E,4,FALSE)</f>
        <v>0</v>
      </c>
      <c r="E157" s="79" t="b">
        <f>IF(Table1[[#This Row],[Column11]]&gt;20,TRUE,FALSE)</f>
        <v>1</v>
      </c>
      <c r="F157" s="79" t="s">
        <v>2038</v>
      </c>
      <c r="G157" s="80" t="s">
        <v>17</v>
      </c>
      <c r="H157" s="81">
        <v>1</v>
      </c>
      <c r="I157" s="71">
        <f>VLOOKUP(B157,'HECVAT - Full'!A:E,3,FALSE)</f>
        <v>0</v>
      </c>
      <c r="J157" s="71">
        <f>IF(Table1[[#This Row],[Column7]]=Table1[[#This Row],[Column9]],1,0)</f>
        <v>0</v>
      </c>
      <c r="K157" s="71">
        <v>25</v>
      </c>
      <c r="L157" s="71">
        <f>IF(Table1[[#This Row],[Column8]]=1,J157*K157,"")</f>
        <v>0</v>
      </c>
      <c r="M157" s="72" t="str">
        <f>VLOOKUP($B157,'Standards Crosswalk'!$A:$H,3,FALSE)</f>
        <v>CSC 19</v>
      </c>
      <c r="N157" s="72">
        <f>VLOOKUP($B157,'Standards Crosswalk'!$A:$H,4,FALSE)</f>
        <v>0</v>
      </c>
      <c r="O157" s="72" t="str">
        <f>VLOOKUP($B157,'Standards Crosswalk'!$A:$H,5,FALSE)</f>
        <v>13.1.2</v>
      </c>
      <c r="P157" s="72" t="str">
        <f>VLOOKUP($B157,'Standards Crosswalk'!$A:$H,6,FALSE)</f>
        <v>DE.CM-1</v>
      </c>
      <c r="Q157" s="72" t="str">
        <f>VLOOKUP($B157,'Standards Crosswalk'!$A:$H,7,FALSE)</f>
        <v>3.6.1, 3.14.6, 3.14.7</v>
      </c>
      <c r="R157" s="72" t="str">
        <f>VLOOKUP($B157,'Standards Crosswalk'!$A:$H,8,FALSE)</f>
        <v>IR-2, IR-4, IR-5</v>
      </c>
      <c r="S157" s="72">
        <f>VLOOKUP($B157,'Standards Crosswalk'!$A:$I,9,FALSE)</f>
        <v>11.4</v>
      </c>
    </row>
    <row r="158" spans="1:19" ht="76" thickBot="1" x14ac:dyDescent="0.2">
      <c r="A158" s="71">
        <f t="shared" si="5"/>
        <v>156</v>
      </c>
      <c r="B158" s="77" t="s">
        <v>324</v>
      </c>
      <c r="C158" s="78" t="str">
        <f>VLOOKUP(B158,'HECVAT - Full'!A:E,2,FALSE)</f>
        <v>Do you employ host-based intrusion prevention?</v>
      </c>
      <c r="D158" s="71">
        <f>VLOOKUP(B158,'HECVAT - Full'!A:E,4,FALSE)</f>
        <v>0</v>
      </c>
      <c r="E158" s="79" t="b">
        <f>IF(Table1[[#This Row],[Column11]]&gt;20,TRUE,FALSE)</f>
        <v>0</v>
      </c>
      <c r="F158" s="79" t="s">
        <v>2038</v>
      </c>
      <c r="G158" s="80" t="s">
        <v>17</v>
      </c>
      <c r="H158" s="81">
        <v>1</v>
      </c>
      <c r="I158" s="71">
        <f>VLOOKUP(B158,'HECVAT - Full'!A:E,3,FALSE)</f>
        <v>0</v>
      </c>
      <c r="J158" s="71">
        <f>IF(Table1[[#This Row],[Column7]]=Table1[[#This Row],[Column9]],1,0)</f>
        <v>0</v>
      </c>
      <c r="K158" s="71">
        <f>IF(Table1[[#This Row],[Column8]]=1,20,"")</f>
        <v>20</v>
      </c>
      <c r="L158" s="71">
        <f>IF(Table1[[#This Row],[Column8]]=1,J158*K158,"")</f>
        <v>0</v>
      </c>
      <c r="M158" s="72" t="str">
        <f>VLOOKUP($B158,'Standards Crosswalk'!$A:$H,3,FALSE)</f>
        <v>CSC 19</v>
      </c>
      <c r="N158" s="72">
        <f>VLOOKUP($B158,'Standards Crosswalk'!$A:$H,4,FALSE)</f>
        <v>0</v>
      </c>
      <c r="O158" s="72" t="str">
        <f>VLOOKUP($B158,'Standards Crosswalk'!$A:$H,5,FALSE)</f>
        <v>13.1.2</v>
      </c>
      <c r="P158" s="72" t="str">
        <f>VLOOKUP($B158,'Standards Crosswalk'!$A:$H,6,FALSE)</f>
        <v>DE.CM-1</v>
      </c>
      <c r="Q158" s="72" t="str">
        <f>VLOOKUP($B158,'Standards Crosswalk'!$A:$H,7,FALSE)</f>
        <v>3.6.1, 3.14.6, 3.14.7</v>
      </c>
      <c r="R158" s="72" t="str">
        <f>VLOOKUP($B158,'Standards Crosswalk'!$A:$H,8,FALSE)</f>
        <v>IR-2, IR-4, IR-5</v>
      </c>
      <c r="S158" s="72">
        <f>VLOOKUP($B158,'Standards Crosswalk'!$A:$I,9,FALSE)</f>
        <v>11.4</v>
      </c>
    </row>
    <row r="159" spans="1:19" ht="76" thickBot="1" x14ac:dyDescent="0.2">
      <c r="A159" s="71">
        <f t="shared" si="5"/>
        <v>157</v>
      </c>
      <c r="B159" s="77" t="s">
        <v>325</v>
      </c>
      <c r="C159" s="78" t="str">
        <f>VLOOKUP(B159,'HECVAT - Full'!A:E,2,FALSE)</f>
        <v>Are you employing any next-generation persistent threat (NGPT) monitoring?</v>
      </c>
      <c r="D159" s="71">
        <f>VLOOKUP(B159,'HECVAT - Full'!A:E,4,FALSE)</f>
        <v>0</v>
      </c>
      <c r="E159" s="79" t="b">
        <f>IF(Table1[[#This Row],[Column11]]&gt;20,TRUE,FALSE)</f>
        <v>0</v>
      </c>
      <c r="F159" s="79" t="s">
        <v>2038</v>
      </c>
      <c r="G159" s="80" t="s">
        <v>17</v>
      </c>
      <c r="H159" s="81">
        <v>1</v>
      </c>
      <c r="I159" s="71">
        <f>VLOOKUP(B159,'HECVAT - Full'!A:E,3,FALSE)</f>
        <v>0</v>
      </c>
      <c r="J159" s="71">
        <f>IF(Table1[[#This Row],[Column7]]=Table1[[#This Row],[Column9]],1,0)</f>
        <v>0</v>
      </c>
      <c r="K159" s="71">
        <f>IF(Table1[[#This Row],[Column8]]=1,20,"")</f>
        <v>20</v>
      </c>
      <c r="L159" s="71">
        <f>IF(Table1[[#This Row],[Column8]]=1,J159*K159,"")</f>
        <v>0</v>
      </c>
      <c r="M159" s="72" t="str">
        <f>VLOOKUP($B159,'Standards Crosswalk'!$A:$H,3,FALSE)</f>
        <v>CSC 19</v>
      </c>
      <c r="N159" s="72">
        <f>VLOOKUP($B159,'Standards Crosswalk'!$A:$H,4,FALSE)</f>
        <v>0</v>
      </c>
      <c r="O159" s="72" t="str">
        <f>VLOOKUP($B159,'Standards Crosswalk'!$A:$H,5,FALSE)</f>
        <v>12.4.1</v>
      </c>
      <c r="P159" s="72">
        <f>VLOOKUP($B159,'Standards Crosswalk'!$A:$H,6,FALSE)</f>
        <v>0</v>
      </c>
      <c r="Q159" s="72" t="str">
        <f>VLOOKUP($B159,'Standards Crosswalk'!$A:$H,7,FALSE)</f>
        <v>3.6.1, 3.14.6, 3.14.7</v>
      </c>
      <c r="R159" s="72" t="str">
        <f>VLOOKUP($B159,'Standards Crosswalk'!$A:$H,8,FALSE)</f>
        <v>IR-2, IR-4, IR-5</v>
      </c>
      <c r="S159" s="72">
        <f>VLOOKUP($B159,'Standards Crosswalk'!$A:$I,9,FALSE)</f>
        <v>11.5</v>
      </c>
    </row>
    <row r="160" spans="1:19" ht="76" thickBot="1" x14ac:dyDescent="0.2">
      <c r="A160" s="71">
        <f t="shared" si="5"/>
        <v>158</v>
      </c>
      <c r="B160" s="77" t="s">
        <v>326</v>
      </c>
      <c r="C160" s="78" t="str">
        <f>VLOOKUP(B160,'HECVAT - Full'!A:E,2,FALSE)</f>
        <v>Do you monitor for intrusions on a 24x7x365 basis?</v>
      </c>
      <c r="D160" s="71">
        <f>VLOOKUP(B160,'HECVAT - Full'!A:E,4,FALSE)</f>
        <v>0</v>
      </c>
      <c r="E160" s="79" t="b">
        <f>IF(Table1[[#This Row],[Column11]]&gt;20,TRUE,FALSE)</f>
        <v>0</v>
      </c>
      <c r="F160" s="79" t="s">
        <v>2038</v>
      </c>
      <c r="G160" s="80" t="s">
        <v>17</v>
      </c>
      <c r="H160" s="81">
        <v>1</v>
      </c>
      <c r="I160" s="71">
        <f>VLOOKUP(B160,'HECVAT - Full'!A:E,3,FALSE)</f>
        <v>0</v>
      </c>
      <c r="J160" s="71">
        <f>IF(Table1[[#This Row],[Column7]]=Table1[[#This Row],[Column9]],1,0)</f>
        <v>0</v>
      </c>
      <c r="K160" s="71">
        <f>IF(Table1[[#This Row],[Column8]]=1,15,"")</f>
        <v>15</v>
      </c>
      <c r="L160" s="71">
        <f>IF(Table1[[#This Row],[Column8]]=1,J160*K160,"")</f>
        <v>0</v>
      </c>
      <c r="M160" s="72" t="str">
        <f>VLOOKUP($B160,'Standards Crosswalk'!$A:$H,3,FALSE)</f>
        <v>CSC 19</v>
      </c>
      <c r="N160" s="72">
        <f>VLOOKUP($B160,'Standards Crosswalk'!$A:$H,4,FALSE)</f>
        <v>0</v>
      </c>
      <c r="O160" s="72" t="str">
        <f>VLOOKUP($B160,'Standards Crosswalk'!$A:$H,5,FALSE)</f>
        <v>12.4.1</v>
      </c>
      <c r="P160" s="72" t="str">
        <f>VLOOKUP($B160,'Standards Crosswalk'!$A:$H,6,FALSE)</f>
        <v>DE.CM-1, DE.CM-2, DE.CM-7</v>
      </c>
      <c r="Q160" s="72" t="str">
        <f>VLOOKUP($B160,'Standards Crosswalk'!$A:$H,7,FALSE)</f>
        <v>3.6.1, 3.14.6, 3.14.7</v>
      </c>
      <c r="R160" s="72" t="str">
        <f>VLOOKUP($B160,'Standards Crosswalk'!$A:$H,8,FALSE)</f>
        <v>IR-2, IR-4, IR-5</v>
      </c>
      <c r="S160" s="72">
        <f>VLOOKUP($B160,'Standards Crosswalk'!$A:$I,9,FALSE)</f>
        <v>11.4</v>
      </c>
    </row>
    <row r="161" spans="1:19" ht="76" thickBot="1" x14ac:dyDescent="0.2">
      <c r="A161" s="71">
        <f t="shared" si="5"/>
        <v>159</v>
      </c>
      <c r="B161" s="95" t="s">
        <v>327</v>
      </c>
      <c r="C161" s="78" t="str">
        <f>VLOOKUP(B161,'HECVAT - Full'!A:E,2,FALSE)</f>
        <v>Is intrusion monitoring performed internally or by a third-party service?</v>
      </c>
      <c r="D161" s="71">
        <f>VLOOKUP(B161,'HECVAT - Full'!A:E,4,FALSE)</f>
        <v>0</v>
      </c>
      <c r="E161" s="79" t="b">
        <f>IF(Table1[[#This Row],[Column11]]&gt;20,TRUE,FALSE)</f>
        <v>1</v>
      </c>
      <c r="F161" s="79" t="s">
        <v>2038</v>
      </c>
      <c r="G161" s="80" t="s">
        <v>17</v>
      </c>
      <c r="H161" s="81">
        <f>IF(I160="Yes",1,0)</f>
        <v>0</v>
      </c>
      <c r="I161" s="71">
        <f>VLOOKUP(B161,'HECVAT - Full'!A:E,3,FALSE)</f>
        <v>0</v>
      </c>
      <c r="J161" s="71">
        <f>IF(VLOOKUP(Table1[[#This Row],[Column2]],'Analyst Report'!$A$41:$G$88,7,FALSE)="Yes",1,0)</f>
        <v>0</v>
      </c>
      <c r="K161" s="71" t="str">
        <f>IF(Table1[[#This Row],[Column8]]=1,20,"")</f>
        <v/>
      </c>
      <c r="L161" s="71" t="str">
        <f>IF(Table1[[#This Row],[Column8]]=1,J161*K161,"")</f>
        <v/>
      </c>
      <c r="M161" s="72" t="str">
        <f>VLOOKUP($B161,'Standards Crosswalk'!$A:$H,3,FALSE)</f>
        <v>CSC 6, CSC 19</v>
      </c>
      <c r="N161" s="72">
        <f>VLOOKUP($B161,'Standards Crosswalk'!$A:$H,4,FALSE)</f>
        <v>0</v>
      </c>
      <c r="O161" s="72" t="str">
        <f>VLOOKUP($B161,'Standards Crosswalk'!$A:$H,5,FALSE)</f>
        <v>12.4.1</v>
      </c>
      <c r="P161" s="72" t="str">
        <f>VLOOKUP($B161,'Standards Crosswalk'!$A:$H,6,FALSE)</f>
        <v>DE.CM-1, DE.CM-2, DE.CM-7</v>
      </c>
      <c r="Q161" s="72" t="str">
        <f>VLOOKUP($B161,'Standards Crosswalk'!$A:$H,7,FALSE)</f>
        <v>3.6.1, 3.14.6, 3.14.7</v>
      </c>
      <c r="R161" s="72" t="str">
        <f>VLOOKUP($B161,'Standards Crosswalk'!$A:$H,8,FALSE)</f>
        <v>IR-2, IR-4, IR-5</v>
      </c>
      <c r="S161" s="72" t="str">
        <f>VLOOKUP($B161,'Standards Crosswalk'!$A:$I,9,FALSE)</f>
        <v>11.4, 12.8</v>
      </c>
    </row>
    <row r="162" spans="1:19" ht="76" thickBot="1" x14ac:dyDescent="0.2">
      <c r="A162" s="71">
        <f t="shared" si="5"/>
        <v>160</v>
      </c>
      <c r="B162" s="77" t="s">
        <v>328</v>
      </c>
      <c r="C162" s="78" t="str">
        <f>VLOOKUP(B162,'HECVAT - Full'!A:E,2,FALSE)</f>
        <v>Are audit logs available for all changes to the network, firewall, IDS, and IPS systems?</v>
      </c>
      <c r="D162" s="71">
        <f>VLOOKUP(B162,'HECVAT - Full'!A:E,4,FALSE)</f>
        <v>0</v>
      </c>
      <c r="E162" s="79" t="b">
        <f>IF(Table1[[#This Row],[Column11]]&gt;20,TRUE,FALSE)</f>
        <v>1</v>
      </c>
      <c r="F162" s="79" t="s">
        <v>2038</v>
      </c>
      <c r="G162" s="80" t="s">
        <v>17</v>
      </c>
      <c r="H162" s="81">
        <v>1</v>
      </c>
      <c r="I162" s="71">
        <f>VLOOKUP(B162,'HECVAT - Full'!A:E,3,FALSE)</f>
        <v>0</v>
      </c>
      <c r="J162" s="71">
        <f>IF(Table1[[#This Row],[Column7]]=Table1[[#This Row],[Column9]],1,0)</f>
        <v>0</v>
      </c>
      <c r="K162" s="71">
        <f>IF(Table1[[#This Row],[Column8]]=1,25,"")</f>
        <v>25</v>
      </c>
      <c r="L162" s="71">
        <f>IF(Table1[[#This Row],[Column8]]=1,J162*K162,"")</f>
        <v>0</v>
      </c>
      <c r="M162" s="72" t="str">
        <f>VLOOKUP($B162,'Standards Crosswalk'!$A:$H,3,FALSE)</f>
        <v>CSC 6</v>
      </c>
      <c r="N162" s="72">
        <f>VLOOKUP($B162,'Standards Crosswalk'!$A:$H,4,FALSE)</f>
        <v>0</v>
      </c>
      <c r="O162" s="72" t="str">
        <f>VLOOKUP($B162,'Standards Crosswalk'!$A:$H,5,FALSE)</f>
        <v>12.4.1</v>
      </c>
      <c r="P162" s="72" t="str">
        <f>VLOOKUP($B162,'Standards Crosswalk'!$A:$H,6,FALSE)</f>
        <v>DE.AE-1, DE.CM-1, PR.PT-4</v>
      </c>
      <c r="Q162" s="72" t="str">
        <f>VLOOKUP($B162,'Standards Crosswalk'!$A:$H,7,FALSE)</f>
        <v>3.3.1</v>
      </c>
      <c r="R162" s="72" t="str">
        <f>VLOOKUP($B162,'Standards Crosswalk'!$A:$H,8,FALSE)</f>
        <v>AU-2</v>
      </c>
      <c r="S162" s="72" t="str">
        <f>VLOOKUP($B162,'Standards Crosswalk'!$A:$I,9,FALSE)</f>
        <v>1.1, 10.8, 10.6, 10.3, 10.2, 11.4</v>
      </c>
    </row>
    <row r="163" spans="1:19" ht="46" thickBot="1" x14ac:dyDescent="0.2">
      <c r="A163" s="71">
        <f t="shared" si="5"/>
        <v>161</v>
      </c>
      <c r="B163" s="77" t="s">
        <v>329</v>
      </c>
      <c r="C163" s="78" t="str">
        <f>VLOOKUP(B163,'HECVAT - Full'!A:E,2,FALSE)</f>
        <v>On which mobile operating systems is your software or service supported?</v>
      </c>
      <c r="D163" s="71">
        <f>VLOOKUP(B163,'HECVAT - Full'!A:E,4,FALSE)</f>
        <v>0</v>
      </c>
      <c r="E163" s="79" t="b">
        <f>IF(Table1[[#This Row],[Column11]]&gt;20,TRUE,FALSE)</f>
        <v>0</v>
      </c>
      <c r="F163" s="79" t="s">
        <v>2039</v>
      </c>
      <c r="G163" s="80" t="s">
        <v>17</v>
      </c>
      <c r="H163" s="81">
        <v>1</v>
      </c>
      <c r="I163" s="71">
        <f>VLOOKUP(B163,'HECVAT - Full'!A:E,3,FALSE)</f>
        <v>0</v>
      </c>
      <c r="J163" s="71">
        <f>IF(VLOOKUP(Table1[[#This Row],[Column2]],'Analyst Report'!$A$41:$G$88,7,FALSE)="Yes",1,0)</f>
        <v>0</v>
      </c>
      <c r="K163" s="71">
        <f>IF(Table1[[#This Row],[Column8]]=1,15,"")</f>
        <v>15</v>
      </c>
      <c r="L163" s="71">
        <f>IF(Table1[[#This Row],[Column8]]=1,J163*K163,"")</f>
        <v>0</v>
      </c>
      <c r="M163" s="72" t="str">
        <f>VLOOKUP($B163,'Standards Crosswalk'!$A:$H,3,FALSE)</f>
        <v>CSC 18</v>
      </c>
      <c r="N163" s="72">
        <f>VLOOKUP($B163,'Standards Crosswalk'!$A:$H,4,FALSE)</f>
        <v>0</v>
      </c>
      <c r="O163" s="72">
        <f>VLOOKUP($B163,'Standards Crosswalk'!$A:$H,5,FALSE)</f>
        <v>0</v>
      </c>
      <c r="P163" s="72">
        <f>VLOOKUP($B163,'Standards Crosswalk'!$A:$H,6,FALSE)</f>
        <v>0</v>
      </c>
      <c r="Q163" s="72">
        <f>VLOOKUP($B163,'Standards Crosswalk'!$A:$H,7,FALSE)</f>
        <v>0</v>
      </c>
      <c r="R163" s="72">
        <f>VLOOKUP($B163,'Standards Crosswalk'!$A:$H,8,FALSE)</f>
        <v>0</v>
      </c>
      <c r="S163" s="72">
        <f>VLOOKUP($B163,'Standards Crosswalk'!$A:$I,9,FALSE)</f>
        <v>0</v>
      </c>
    </row>
    <row r="164" spans="1:19" ht="46" thickBot="1" x14ac:dyDescent="0.2">
      <c r="A164" s="71">
        <f t="shared" si="5"/>
        <v>162</v>
      </c>
      <c r="B164" s="77" t="s">
        <v>330</v>
      </c>
      <c r="C164" s="78" t="str">
        <f>VLOOKUP(B164,'HECVAT - Full'!A:E,2,FALSE)</f>
        <v>Describe or provide a reference to the application's architecture and functionality.</v>
      </c>
      <c r="D164" s="71">
        <f>VLOOKUP(B164,'HECVAT - Full'!A:E,4,FALSE)</f>
        <v>0</v>
      </c>
      <c r="E164" s="79" t="b">
        <f>IF(Table1[[#This Row],[Column11]]&gt;20,TRUE,FALSE)</f>
        <v>0</v>
      </c>
      <c r="F164" s="79" t="s">
        <v>2039</v>
      </c>
      <c r="G164" s="80" t="s">
        <v>17</v>
      </c>
      <c r="H164" s="81">
        <v>1</v>
      </c>
      <c r="I164" s="71">
        <f>VLOOKUP(B164,'HECVAT - Full'!A:E,3,FALSE)</f>
        <v>0</v>
      </c>
      <c r="J164" s="71">
        <f>IF(VLOOKUP(Table1[[#This Row],[Column2]],'Analyst Report'!$A$41:$G$88,7,FALSE)="Yes",1,0)</f>
        <v>0</v>
      </c>
      <c r="K164" s="71">
        <f>IF(Table1[[#This Row],[Column8]]=1,20,"")</f>
        <v>20</v>
      </c>
      <c r="L164" s="71">
        <f>IF(Table1[[#This Row],[Column8]]=1,J164*K164,"")</f>
        <v>0</v>
      </c>
      <c r="M164" s="72" t="str">
        <f>VLOOKUP($B164,'Standards Crosswalk'!$A:$H,3,FALSE)</f>
        <v>CSC 3</v>
      </c>
      <c r="N164" s="72">
        <f>VLOOKUP($B164,'Standards Crosswalk'!$A:$H,4,FALSE)</f>
        <v>0</v>
      </c>
      <c r="O164" s="72">
        <f>VLOOKUP($B164,'Standards Crosswalk'!$A:$H,5,FALSE)</f>
        <v>0</v>
      </c>
      <c r="P164" s="72" t="str">
        <f>VLOOKUP($B164,'Standards Crosswalk'!$A:$H,6,FALSE)</f>
        <v>DE.CM-7</v>
      </c>
      <c r="Q164" s="72">
        <f>VLOOKUP($B164,'Standards Crosswalk'!$A:$H,7,FALSE)</f>
        <v>0</v>
      </c>
      <c r="R164" s="72">
        <f>VLOOKUP($B164,'Standards Crosswalk'!$A:$H,8,FALSE)</f>
        <v>0</v>
      </c>
      <c r="S164" s="72">
        <f>VLOOKUP($B164,'Standards Crosswalk'!$A:$I,9,FALSE)</f>
        <v>0</v>
      </c>
    </row>
    <row r="165" spans="1:19" ht="46" thickBot="1" x14ac:dyDescent="0.2">
      <c r="A165" s="71">
        <f t="shared" si="5"/>
        <v>163</v>
      </c>
      <c r="B165" s="77" t="s">
        <v>331</v>
      </c>
      <c r="C165" s="78" t="str">
        <f>VLOOKUP(B165,'HECVAT - Full'!A:E,2,FALSE)</f>
        <v>Is the application available from a trusted source (e.g., iTunes App Store, Android Market, BB World)?</v>
      </c>
      <c r="D165" s="71">
        <f>VLOOKUP(B165,'HECVAT - Full'!A:E,4,FALSE)</f>
        <v>0</v>
      </c>
      <c r="E165" s="79" t="b">
        <f>IF(Table1[[#This Row],[Column11]]&gt;20,TRUE,FALSE)</f>
        <v>1</v>
      </c>
      <c r="F165" s="79" t="s">
        <v>2039</v>
      </c>
      <c r="G165" s="80" t="s">
        <v>17</v>
      </c>
      <c r="H165" s="81">
        <v>1</v>
      </c>
      <c r="I165" s="71">
        <f>VLOOKUP(B165,'HECVAT - Full'!A:E,3,FALSE)</f>
        <v>0</v>
      </c>
      <c r="J165" s="71">
        <f>IF(Table1[[#This Row],[Column7]]=Table1[[#This Row],[Column9]],1,0)</f>
        <v>0</v>
      </c>
      <c r="K165" s="71">
        <f>IF(Table1[[#This Row],[Column8]]=1,25,"")</f>
        <v>25</v>
      </c>
      <c r="L165" s="71">
        <f>IF(Table1[[#This Row],[Column8]]=1,J165*K165,"")</f>
        <v>0</v>
      </c>
      <c r="M165" s="72" t="str">
        <f>VLOOKUP($B165,'Standards Crosswalk'!$A:$H,3,FALSE)</f>
        <v>CSC 18</v>
      </c>
      <c r="N165" s="72">
        <f>VLOOKUP($B165,'Standards Crosswalk'!$A:$H,4,FALSE)</f>
        <v>0</v>
      </c>
      <c r="O165" s="72">
        <f>VLOOKUP($B165,'Standards Crosswalk'!$A:$H,5,FALSE)</f>
        <v>0</v>
      </c>
      <c r="P165" s="72" t="str">
        <f>VLOOKUP($B165,'Standards Crosswalk'!$A:$H,6,FALSE)</f>
        <v>DE.CM-7</v>
      </c>
      <c r="Q165" s="72">
        <f>VLOOKUP($B165,'Standards Crosswalk'!$A:$H,7,FALSE)</f>
        <v>0</v>
      </c>
      <c r="R165" s="72">
        <f>VLOOKUP($B165,'Standards Crosswalk'!$A:$H,8,FALSE)</f>
        <v>0</v>
      </c>
      <c r="S165" s="72">
        <f>VLOOKUP($B165,'Standards Crosswalk'!$A:$I,9,FALSE)</f>
        <v>0</v>
      </c>
    </row>
    <row r="166" spans="1:19" ht="46" thickBot="1" x14ac:dyDescent="0.2">
      <c r="A166" s="71">
        <f t="shared" si="5"/>
        <v>164</v>
      </c>
      <c r="B166" s="77" t="s">
        <v>332</v>
      </c>
      <c r="C166" s="78" t="str">
        <f>VLOOKUP(B166,'HECVAT - Full'!A:E,2,FALSE)</f>
        <v>Does the application store, process, or transmit critical data?</v>
      </c>
      <c r="D166" s="71">
        <f>VLOOKUP(B166,'HECVAT - Full'!A:E,4,FALSE)</f>
        <v>0</v>
      </c>
      <c r="E166" s="79" t="b">
        <f>IF(Table1[[#This Row],[Column11]]&gt;20,TRUE,FALSE)</f>
        <v>0</v>
      </c>
      <c r="F166" s="79" t="s">
        <v>2039</v>
      </c>
      <c r="G166" s="80" t="s">
        <v>21</v>
      </c>
      <c r="H166" s="81">
        <v>1</v>
      </c>
      <c r="I166" s="71">
        <f>VLOOKUP(B166,'HECVAT - Full'!A:E,3,FALSE)</f>
        <v>0</v>
      </c>
      <c r="J166" s="71">
        <f>IF(Table1[[#This Row],[Column7]]=Table1[[#This Row],[Column9]],1,0)</f>
        <v>0</v>
      </c>
      <c r="K166" s="71">
        <f>IF(Table1[[#This Row],[Column8]]=1,20,"")</f>
        <v>20</v>
      </c>
      <c r="L166" s="71">
        <f>IF(Table1[[#This Row],[Column8]]=1,J166*K166,"")</f>
        <v>0</v>
      </c>
      <c r="M166" s="72" t="str">
        <f>VLOOKUP($B166,'Standards Crosswalk'!$A:$H,3,FALSE)</f>
        <v>CSC 13, CSC 18</v>
      </c>
      <c r="N166" s="72">
        <f>VLOOKUP($B166,'Standards Crosswalk'!$A:$H,4,FALSE)</f>
        <v>0</v>
      </c>
      <c r="O166" s="72" t="str">
        <f>VLOOKUP($B166,'Standards Crosswalk'!$A:$H,5,FALSE)</f>
        <v>8.2.1; 8.2.3</v>
      </c>
      <c r="P166" s="72" t="str">
        <f>VLOOKUP($B166,'Standards Crosswalk'!$A:$H,6,FALSE)</f>
        <v>DE.CM-7, PR.DS-2</v>
      </c>
      <c r="Q166" s="72">
        <f>VLOOKUP($B166,'Standards Crosswalk'!$A:$H,7,FALSE)</f>
        <v>0</v>
      </c>
      <c r="R166" s="72">
        <f>VLOOKUP($B166,'Standards Crosswalk'!$A:$H,8,FALSE)</f>
        <v>0</v>
      </c>
      <c r="S166" s="72">
        <f>VLOOKUP($B166,'Standards Crosswalk'!$A:$I,9,FALSE)</f>
        <v>0</v>
      </c>
    </row>
    <row r="167" spans="1:19" ht="46" thickBot="1" x14ac:dyDescent="0.2">
      <c r="A167" s="71">
        <f t="shared" si="5"/>
        <v>165</v>
      </c>
      <c r="B167" s="77" t="s">
        <v>333</v>
      </c>
      <c r="C167" s="78" t="str">
        <f>VLOOKUP(B167,'HECVAT - Full'!A:E,2,FALSE)</f>
        <v>Is Institution's data encrypted in transport?</v>
      </c>
      <c r="D167" s="71">
        <f>VLOOKUP(B167,'HECVAT - Full'!A:E,4,FALSE)</f>
        <v>0</v>
      </c>
      <c r="E167" s="79" t="b">
        <f>IF(Table1[[#This Row],[Column11]]&gt;20,TRUE,FALSE)</f>
        <v>1</v>
      </c>
      <c r="F167" s="79" t="s">
        <v>2039</v>
      </c>
      <c r="G167" s="80" t="s">
        <v>17</v>
      </c>
      <c r="H167" s="81">
        <v>1</v>
      </c>
      <c r="I167" s="71">
        <f>VLOOKUP(B167,'HECVAT - Full'!A:E,3,FALSE)</f>
        <v>0</v>
      </c>
      <c r="J167" s="71">
        <f>IF(Table1[[#This Row],[Column7]]=Table1[[#This Row],[Column9]],1,0)</f>
        <v>0</v>
      </c>
      <c r="K167" s="71">
        <f>IF(Table1[[#This Row],[Column8]]=1,25,"")</f>
        <v>25</v>
      </c>
      <c r="L167" s="71">
        <f>IF(Table1[[#This Row],[Column8]]=1,J167*K167,"")</f>
        <v>0</v>
      </c>
      <c r="M167" s="72" t="str">
        <f>VLOOKUP($B167,'Standards Crosswalk'!$A:$H,3,FALSE)</f>
        <v>CSC 13</v>
      </c>
      <c r="N167" s="72">
        <f>VLOOKUP($B167,'Standards Crosswalk'!$A:$H,4,FALSE)</f>
        <v>0</v>
      </c>
      <c r="O167" s="72" t="str">
        <f>VLOOKUP($B167,'Standards Crosswalk'!$A:$H,5,FALSE)</f>
        <v>8.2.3</v>
      </c>
      <c r="P167" s="72" t="str">
        <f>VLOOKUP($B167,'Standards Crosswalk'!$A:$H,6,FALSE)</f>
        <v>DE.CM-7, PR.DS-2</v>
      </c>
      <c r="Q167" s="72" t="str">
        <f>VLOOKUP($B167,'Standards Crosswalk'!$A:$H,7,FALSE)</f>
        <v>3.1.19</v>
      </c>
      <c r="R167" s="72" t="str">
        <f>VLOOKUP($B167,'Standards Crosswalk'!$A:$H,8,FALSE)</f>
        <v>AC-19(5)</v>
      </c>
      <c r="S167" s="72">
        <f>VLOOKUP($B167,'Standards Crosswalk'!$A:$I,9,FALSE)</f>
        <v>4.0999999999999996</v>
      </c>
    </row>
    <row r="168" spans="1:19" ht="46" thickBot="1" x14ac:dyDescent="0.2">
      <c r="A168" s="71">
        <f t="shared" si="5"/>
        <v>166</v>
      </c>
      <c r="B168" s="77" t="s">
        <v>334</v>
      </c>
      <c r="C168" s="78" t="str">
        <f>VLOOKUP(B168,'HECVAT - Full'!A:E,2,FALSE)</f>
        <v>Is Institution's data encrypted in storage? (e.g. disk encryption, at-rest)</v>
      </c>
      <c r="D168" s="71">
        <f>VLOOKUP(B168,'HECVAT - Full'!A:E,4,FALSE)</f>
        <v>0</v>
      </c>
      <c r="E168" s="79" t="b">
        <f>IF(Table1[[#This Row],[Column11]]&gt;20,TRUE,FALSE)</f>
        <v>1</v>
      </c>
      <c r="F168" s="79" t="s">
        <v>2039</v>
      </c>
      <c r="G168" s="80" t="s">
        <v>17</v>
      </c>
      <c r="H168" s="81">
        <v>1</v>
      </c>
      <c r="I168" s="71">
        <f>VLOOKUP(B168,'HECVAT - Full'!A:E,3,FALSE)</f>
        <v>0</v>
      </c>
      <c r="J168" s="71">
        <f>IF(Table1[[#This Row],[Column7]]=Table1[[#This Row],[Column9]],1,0)</f>
        <v>0</v>
      </c>
      <c r="K168" s="71">
        <f>IF(Table1[[#This Row],[Column8]]=1,40,"")</f>
        <v>40</v>
      </c>
      <c r="L168" s="71">
        <f>IF(Table1[[#This Row],[Column8]]=1,J168*K168,"")</f>
        <v>0</v>
      </c>
      <c r="M168" s="72" t="str">
        <f>VLOOKUP($B168,'Standards Crosswalk'!$A:$H,3,FALSE)</f>
        <v>CSC 14</v>
      </c>
      <c r="N168" s="72">
        <f>VLOOKUP($B168,'Standards Crosswalk'!$A:$H,4,FALSE)</f>
        <v>0</v>
      </c>
      <c r="O168" s="72" t="str">
        <f>VLOOKUP($B168,'Standards Crosswalk'!$A:$H,5,FALSE)</f>
        <v>8.2.3</v>
      </c>
      <c r="P168" s="72" t="str">
        <f>VLOOKUP($B168,'Standards Crosswalk'!$A:$H,6,FALSE)</f>
        <v>DE.CM-7, PR.DS-1</v>
      </c>
      <c r="Q168" s="72">
        <f>VLOOKUP($B168,'Standards Crosswalk'!$A:$H,7,FALSE)</f>
        <v>0</v>
      </c>
      <c r="R168" s="72">
        <f>VLOOKUP($B168,'Standards Crosswalk'!$A:$H,8,FALSE)</f>
        <v>0</v>
      </c>
      <c r="S168" s="72">
        <f>VLOOKUP($B168,'Standards Crosswalk'!$A:$I,9,FALSE)</f>
        <v>0</v>
      </c>
    </row>
    <row r="169" spans="1:19" ht="46" thickBot="1" x14ac:dyDescent="0.2">
      <c r="A169" s="71">
        <f t="shared" si="5"/>
        <v>167</v>
      </c>
      <c r="B169" s="77" t="s">
        <v>335</v>
      </c>
      <c r="C169" s="78" t="str">
        <f>VLOOKUP(B169,'HECVAT - Full'!A:E,2,FALSE)</f>
        <v>Does the mobile application support Kerberos, CAS, or Active Directory authentication?</v>
      </c>
      <c r="D169" s="71">
        <f>VLOOKUP(B169,'HECVAT - Full'!A:E,4,FALSE)</f>
        <v>0</v>
      </c>
      <c r="E169" s="79" t="b">
        <f>IF(Table1[[#This Row],[Column11]]&gt;20,TRUE,FALSE)</f>
        <v>1</v>
      </c>
      <c r="F169" s="79" t="s">
        <v>2039</v>
      </c>
      <c r="G169" s="80" t="s">
        <v>17</v>
      </c>
      <c r="H169" s="81">
        <v>1</v>
      </c>
      <c r="I169" s="71">
        <f>VLOOKUP(B169,'HECVAT - Full'!A:E,3,FALSE)</f>
        <v>0</v>
      </c>
      <c r="J169" s="71">
        <f>IF(Table1[[#This Row],[Column7]]=Table1[[#This Row],[Column9]],1,0)</f>
        <v>0</v>
      </c>
      <c r="K169" s="71">
        <f>IF(Table1[[#This Row],[Column8]]=1,25,"")</f>
        <v>25</v>
      </c>
      <c r="L169" s="71">
        <f>IF(Table1[[#This Row],[Column8]]=1,J169*K169,"")</f>
        <v>0</v>
      </c>
      <c r="M169" s="72" t="str">
        <f>VLOOKUP($B169,'Standards Crosswalk'!$A:$H,3,FALSE)</f>
        <v>CSC 16</v>
      </c>
      <c r="N169" s="72">
        <f>VLOOKUP($B169,'Standards Crosswalk'!$A:$H,4,FALSE)</f>
        <v>0</v>
      </c>
      <c r="O169" s="72" t="str">
        <f>VLOOKUP($B169,'Standards Crosswalk'!$A:$H,5,FALSE)</f>
        <v>9.4.2</v>
      </c>
      <c r="P169" s="72">
        <f>VLOOKUP($B169,'Standards Crosswalk'!$A:$H,6,FALSE)</f>
        <v>0</v>
      </c>
      <c r="Q169" s="72">
        <f>VLOOKUP($B169,'Standards Crosswalk'!$A:$H,7,FALSE)</f>
        <v>0</v>
      </c>
      <c r="R169" s="72">
        <f>VLOOKUP($B169,'Standards Crosswalk'!$A:$H,8,FALSE)</f>
        <v>0</v>
      </c>
      <c r="S169" s="72">
        <f>VLOOKUP($B169,'Standards Crosswalk'!$A:$I,9,FALSE)</f>
        <v>0</v>
      </c>
    </row>
    <row r="170" spans="1:19" ht="46" thickBot="1" x14ac:dyDescent="0.2">
      <c r="A170" s="71">
        <f t="shared" si="5"/>
        <v>168</v>
      </c>
      <c r="B170" s="77" t="s">
        <v>336</v>
      </c>
      <c r="C170" s="78" t="str">
        <f>VLOOKUP(B170,'HECVAT - Full'!A:E,2,FALSE)</f>
        <v>Will any of these systems be implemented on systems hosting the Institution's data?</v>
      </c>
      <c r="D170" s="71">
        <f>VLOOKUP(B170,'HECVAT - Full'!A:E,4,FALSE)</f>
        <v>0</v>
      </c>
      <c r="E170" s="79" t="b">
        <f>IF(Table1[[#This Row],[Column11]]&gt;20,TRUE,FALSE)</f>
        <v>0</v>
      </c>
      <c r="F170" s="79" t="s">
        <v>2039</v>
      </c>
      <c r="G170" s="80" t="s">
        <v>17</v>
      </c>
      <c r="H170" s="81">
        <v>1</v>
      </c>
      <c r="I170" s="71">
        <f>VLOOKUP(B170,'HECVAT - Full'!A:E,3,FALSE)</f>
        <v>0</v>
      </c>
      <c r="J170" s="71">
        <f>IF(VLOOKUP(Table1[[#This Row],[Column2]],'Analyst Report'!$A$41:$G$88,7,FALSE)="Yes",1,0)</f>
        <v>0</v>
      </c>
      <c r="K170" s="71">
        <f>IF(Table1[[#This Row],[Column8]]=1,20,"")</f>
        <v>20</v>
      </c>
      <c r="L170" s="71">
        <f>IF(Table1[[#This Row],[Column8]]=1,J170*K170,"")</f>
        <v>0</v>
      </c>
      <c r="M170" s="72" t="str">
        <f>VLOOKUP($B170,'Standards Crosswalk'!$A:$H,3,FALSE)</f>
        <v>CSC 16</v>
      </c>
      <c r="N170" s="72">
        <f>VLOOKUP($B170,'Standards Crosswalk'!$A:$H,4,FALSE)</f>
        <v>0</v>
      </c>
      <c r="O170" s="72">
        <f>VLOOKUP($B170,'Standards Crosswalk'!$A:$H,5,FALSE)</f>
        <v>0</v>
      </c>
      <c r="P170" s="72">
        <f>VLOOKUP($B170,'Standards Crosswalk'!$A:$H,6,FALSE)</f>
        <v>0</v>
      </c>
      <c r="Q170" s="72">
        <f>VLOOKUP($B170,'Standards Crosswalk'!$A:$H,7,FALSE)</f>
        <v>0</v>
      </c>
      <c r="R170" s="72">
        <f>VLOOKUP($B170,'Standards Crosswalk'!$A:$H,8,FALSE)</f>
        <v>0</v>
      </c>
      <c r="S170" s="72">
        <f>VLOOKUP($B170,'Standards Crosswalk'!$A:$I,9,FALSE)</f>
        <v>0</v>
      </c>
    </row>
    <row r="171" spans="1:19" ht="46" thickBot="1" x14ac:dyDescent="0.2">
      <c r="A171" s="71">
        <f t="shared" si="5"/>
        <v>169</v>
      </c>
      <c r="B171" s="77" t="s">
        <v>337</v>
      </c>
      <c r="C171" s="78" t="str">
        <f>VLOOKUP(B171,'HECVAT - Full'!A:E,2,FALSE)</f>
        <v>Does the application adhere to secure coding practices (e.g. OWASP, etc.)?</v>
      </c>
      <c r="D171" s="71">
        <f>VLOOKUP(B171,'HECVAT - Full'!A:E,4,FALSE)</f>
        <v>0</v>
      </c>
      <c r="E171" s="79" t="b">
        <f>IF(Table1[[#This Row],[Column11]]&gt;20,TRUE,FALSE)</f>
        <v>1</v>
      </c>
      <c r="F171" s="79" t="s">
        <v>2039</v>
      </c>
      <c r="G171" s="80" t="s">
        <v>17</v>
      </c>
      <c r="H171" s="81">
        <v>1</v>
      </c>
      <c r="I171" s="71">
        <f>VLOOKUP(B171,'HECVAT - Full'!A:E,3,FALSE)</f>
        <v>0</v>
      </c>
      <c r="J171" s="71">
        <f>IF(Table1[[#This Row],[Column7]]=Table1[[#This Row],[Column9]],1,0)</f>
        <v>0</v>
      </c>
      <c r="K171" s="71">
        <f>IF(Table1[[#This Row],[Column8]]=1,25,"")</f>
        <v>25</v>
      </c>
      <c r="L171" s="71">
        <f>IF(Table1[[#This Row],[Column8]]=1,J171*K171,"")</f>
        <v>0</v>
      </c>
      <c r="M171" s="72" t="str">
        <f>VLOOKUP($B171,'Standards Crosswalk'!$A:$H,3,FALSE)</f>
        <v>CSC 18</v>
      </c>
      <c r="N171" s="72">
        <f>VLOOKUP($B171,'Standards Crosswalk'!$A:$H,4,FALSE)</f>
        <v>0</v>
      </c>
      <c r="O171" s="72" t="str">
        <f>VLOOKUP($B171,'Standards Crosswalk'!$A:$H,5,FALSE)</f>
        <v>14.2.1</v>
      </c>
      <c r="P171" s="72" t="str">
        <f>VLOOKUP($B171,'Standards Crosswalk'!$A:$H,6,FALSE)</f>
        <v>DE.CM-7</v>
      </c>
      <c r="Q171" s="72">
        <f>VLOOKUP($B171,'Standards Crosswalk'!$A:$H,7,FALSE)</f>
        <v>0</v>
      </c>
      <c r="R171" s="72">
        <f>VLOOKUP($B171,'Standards Crosswalk'!$A:$H,8,FALSE)</f>
        <v>0</v>
      </c>
      <c r="S171" s="72">
        <f>VLOOKUP($B171,'Standards Crosswalk'!$A:$I,9,FALSE)</f>
        <v>0</v>
      </c>
    </row>
    <row r="172" spans="1:19" ht="46" thickBot="1" x14ac:dyDescent="0.2">
      <c r="A172" s="71">
        <f t="shared" si="5"/>
        <v>170</v>
      </c>
      <c r="B172" s="77" t="s">
        <v>338</v>
      </c>
      <c r="C172" s="78" t="str">
        <f>VLOOKUP(B172,'HECVAT - Full'!A:E,2,FALSE)</f>
        <v>Has the application been tested for vulnerabilities by a third party?</v>
      </c>
      <c r="D172" s="71">
        <f>VLOOKUP(B172,'HECVAT - Full'!A:E,4,FALSE)</f>
        <v>0</v>
      </c>
      <c r="E172" s="79" t="b">
        <f>IF(Table1[[#This Row],[Column11]]&gt;20,TRUE,FALSE)</f>
        <v>1</v>
      </c>
      <c r="F172" s="79" t="s">
        <v>2039</v>
      </c>
      <c r="G172" s="80" t="s">
        <v>17</v>
      </c>
      <c r="H172" s="81">
        <v>1</v>
      </c>
      <c r="I172" s="71">
        <f>VLOOKUP(B172,'HECVAT - Full'!A:E,3,FALSE)</f>
        <v>0</v>
      </c>
      <c r="J172" s="71">
        <f>IF(Table1[[#This Row],[Column7]]=Table1[[#This Row],[Column9]],1,0)</f>
        <v>0</v>
      </c>
      <c r="K172" s="71">
        <f>IF(Table1[[#This Row],[Column8]]=1,25,"")</f>
        <v>25</v>
      </c>
      <c r="L172" s="71">
        <f>IF(Table1[[#This Row],[Column8]]=1,J172*K172,"")</f>
        <v>0</v>
      </c>
      <c r="M172" s="72" t="str">
        <f>VLOOKUP($B172,'Standards Crosswalk'!$A:$H,3,FALSE)</f>
        <v>CSC 18</v>
      </c>
      <c r="N172" s="72">
        <f>VLOOKUP($B172,'Standards Crosswalk'!$A:$H,4,FALSE)</f>
        <v>0</v>
      </c>
      <c r="O172" s="72" t="str">
        <f>VLOOKUP($B172,'Standards Crosswalk'!$A:$H,5,FALSE)</f>
        <v>12.7.1, 18.2.1</v>
      </c>
      <c r="P172" s="72" t="str">
        <f>VLOOKUP($B172,'Standards Crosswalk'!$A:$H,6,FALSE)</f>
        <v>DE.CM-7, DE.CM-8, ID.RA-1</v>
      </c>
      <c r="Q172" s="72">
        <f>VLOOKUP($B172,'Standards Crosswalk'!$A:$H,7,FALSE)</f>
        <v>0</v>
      </c>
      <c r="R172" s="72">
        <f>VLOOKUP($B172,'Standards Crosswalk'!$A:$H,8,FALSE)</f>
        <v>0</v>
      </c>
      <c r="S172" s="72">
        <f>VLOOKUP($B172,'Standards Crosswalk'!$A:$I,9,FALSE)</f>
        <v>0</v>
      </c>
    </row>
    <row r="173" spans="1:19" ht="46" thickBot="1" x14ac:dyDescent="0.2">
      <c r="A173" s="71">
        <f t="shared" si="5"/>
        <v>171</v>
      </c>
      <c r="B173" s="77" t="s">
        <v>556</v>
      </c>
      <c r="C173" s="78" t="str">
        <f>VLOOKUP(B173,'HECVAT - Full'!A:E,2,FALSE)</f>
        <v>State the party that performed the vulnerability test and the date it was conducted?</v>
      </c>
      <c r="D173" s="71">
        <f>VLOOKUP(B173,'HECVAT - Full'!A:E,4,FALSE)</f>
        <v>0</v>
      </c>
      <c r="E173" s="79" t="b">
        <f>IF(Table1[[#This Row],[Column11]]&gt;20,TRUE,FALSE)</f>
        <v>1</v>
      </c>
      <c r="F173" s="79" t="s">
        <v>2039</v>
      </c>
      <c r="G173" s="80" t="s">
        <v>17</v>
      </c>
      <c r="H173" s="81">
        <v>1</v>
      </c>
      <c r="I173" s="71">
        <f>VLOOKUP(B173,'HECVAT - Full'!A:E,3,FALSE)</f>
        <v>0</v>
      </c>
      <c r="J173" s="71">
        <f>IF(VLOOKUP(Table1[[#This Row],[Column2]],'Analyst Report'!$A$41:$G$88,7,FALSE)="Yes",1,0)</f>
        <v>0</v>
      </c>
      <c r="K173" s="71">
        <f>IF(Table1[[#This Row],[Column8]]=1,25,"")</f>
        <v>25</v>
      </c>
      <c r="L173" s="71">
        <f>IF(Table1[[#This Row],[Column8]]=1,J173*K173,"")</f>
        <v>0</v>
      </c>
      <c r="M173" s="72" t="str">
        <f>VLOOKUP($B173,'Standards Crosswalk'!$A:$H,3,FALSE)</f>
        <v>CSC 18</v>
      </c>
      <c r="N173" s="72">
        <f>VLOOKUP($B173,'Standards Crosswalk'!$A:$H,4,FALSE)</f>
        <v>0</v>
      </c>
      <c r="O173" s="72" t="str">
        <f>VLOOKUP($B173,'Standards Crosswalk'!$A:$H,5,FALSE)</f>
        <v>12.7.1, 18.2.1</v>
      </c>
      <c r="P173" s="72" t="str">
        <f>VLOOKUP($B173,'Standards Crosswalk'!$A:$H,6,FALSE)</f>
        <v>DE.CM-7, DE.CM-8, ID.RA-1</v>
      </c>
      <c r="Q173" s="72">
        <f>VLOOKUP($B173,'Standards Crosswalk'!$A:$H,7,FALSE)</f>
        <v>0</v>
      </c>
      <c r="R173" s="72">
        <f>VLOOKUP($B173,'Standards Crosswalk'!$A:$H,8,FALSE)</f>
        <v>0</v>
      </c>
      <c r="S173" s="72">
        <f>VLOOKUP($B173,'Standards Crosswalk'!$A:$I,9,FALSE)</f>
        <v>0</v>
      </c>
    </row>
    <row r="174" spans="1:19" ht="61" thickBot="1" x14ac:dyDescent="0.2">
      <c r="A174" s="71">
        <f t="shared" si="5"/>
        <v>172</v>
      </c>
      <c r="B174" s="77" t="s">
        <v>339</v>
      </c>
      <c r="C174" s="78" t="str">
        <f>VLOOKUP(B174,'HECVAT - Full'!A:E,2,FALSE)</f>
        <v>Does your organization have physical security controls and policies in place?</v>
      </c>
      <c r="D174" s="71">
        <f>VLOOKUP(B174,'HECVAT - Full'!A:E,4,FALSE)</f>
        <v>0</v>
      </c>
      <c r="E174" s="79" t="b">
        <f>IF(Table1[[#This Row],[Column11]]&gt;20,TRUE,FALSE)</f>
        <v>0</v>
      </c>
      <c r="F174" s="79" t="s">
        <v>2040</v>
      </c>
      <c r="G174" s="98" t="s">
        <v>17</v>
      </c>
      <c r="H174" s="81">
        <v>1</v>
      </c>
      <c r="I174" s="71">
        <f>VLOOKUP(B174,'HECVAT - Full'!A:E,3,FALSE)</f>
        <v>0</v>
      </c>
      <c r="J174" s="71">
        <f>IF(Table1[[#This Row],[Column7]]=Table1[[#This Row],[Column9]],1,0)</f>
        <v>0</v>
      </c>
      <c r="K174" s="71">
        <f>IF(Table1[[#This Row],[Column8]]=1,20,"")</f>
        <v>20</v>
      </c>
      <c r="L174" s="71">
        <f>IF(Table1[[#This Row],[Column8]]=1,J174*K174,"")</f>
        <v>0</v>
      </c>
      <c r="M174" s="72" t="str">
        <f>VLOOKUP($B174,'Standards Crosswalk'!$A:$H,3,FALSE)</f>
        <v>CSC 3</v>
      </c>
      <c r="N174" s="72">
        <f>VLOOKUP($B174,'Standards Crosswalk'!$A:$H,4,FALSE)</f>
        <v>0</v>
      </c>
      <c r="O174" s="72" t="str">
        <f>VLOOKUP($B174,'Standards Crosswalk'!$A:$H,5,FALSE)</f>
        <v>11.1.1</v>
      </c>
      <c r="P174" s="72" t="str">
        <f>VLOOKUP($B174,'Standards Crosswalk'!$A:$H,6,FALSE)</f>
        <v>PR.AC-2, PR.AT-5, PR.IP-5, DE.CM-2</v>
      </c>
      <c r="Q174" s="72" t="str">
        <f>VLOOKUP($B174,'Standards Crosswalk'!$A:$H,7,FALSE)</f>
        <v>3.8.2, 3.10.1, 3.10.2, 3.10.5, 3.10.6, 3.12.1</v>
      </c>
      <c r="R174" s="72" t="str">
        <f>VLOOKUP($B174,'Standards Crosswalk'!$A:$H,8,FALSE)</f>
        <v>MP-4, PE-2, PE-5, PE-6, PE-17</v>
      </c>
      <c r="S174" s="72" t="str">
        <f>VLOOKUP($B174,'Standards Crosswalk'!$A:$I,9,FALSE)</f>
        <v>9.x</v>
      </c>
    </row>
    <row r="175" spans="1:19" ht="76" thickBot="1" x14ac:dyDescent="0.2">
      <c r="A175" s="71">
        <f t="shared" si="5"/>
        <v>173</v>
      </c>
      <c r="B175" s="77" t="s">
        <v>340</v>
      </c>
      <c r="C175" s="78" t="str">
        <f>VLOOKUP(B175,'HECVAT - Full'!A:E,2,FALSE)</f>
        <v>Are employees allowed to take home Institution's data in any form?</v>
      </c>
      <c r="D175" s="71">
        <f>VLOOKUP(B175,'HECVAT - Full'!A:E,4,FALSE)</f>
        <v>0</v>
      </c>
      <c r="E175" s="79" t="b">
        <f>IF(Table1[[#This Row],[Column11]]&gt;20,TRUE,FALSE)</f>
        <v>1</v>
      </c>
      <c r="F175" s="79" t="s">
        <v>2040</v>
      </c>
      <c r="G175" s="80" t="s">
        <v>21</v>
      </c>
      <c r="H175" s="81">
        <v>1</v>
      </c>
      <c r="I175" s="71">
        <f>VLOOKUP(B175,'HECVAT - Full'!A:E,3,FALSE)</f>
        <v>0</v>
      </c>
      <c r="J175" s="71">
        <f>IF(Table1[[#This Row],[Column7]]=Table1[[#This Row],[Column9]],1,0)</f>
        <v>0</v>
      </c>
      <c r="K175" s="71">
        <f>IF(Table1[[#This Row],[Column8]]=1,25,"")</f>
        <v>25</v>
      </c>
      <c r="L175" s="71">
        <f>IF(Table1[[#This Row],[Column8]]=1,J175*K175,"")</f>
        <v>0</v>
      </c>
      <c r="M175" s="72" t="str">
        <f>VLOOKUP($B175,'Standards Crosswalk'!$A:$H,3,FALSE)</f>
        <v>CSC 13</v>
      </c>
      <c r="N175" s="72">
        <f>VLOOKUP($B175,'Standards Crosswalk'!$A:$H,4,FALSE)</f>
        <v>0</v>
      </c>
      <c r="O175" s="72" t="str">
        <f>VLOOKUP($B175,'Standards Crosswalk'!$A:$H,5,FALSE)</f>
        <v>8.2.3</v>
      </c>
      <c r="P175" s="72" t="str">
        <f>VLOOKUP($B175,'Standards Crosswalk'!$A:$H,6,FALSE)</f>
        <v>PR.AC-2, PR.AC-4, PR.DS-1, PR.DS-3, PR.DS-5</v>
      </c>
      <c r="Q175" s="72" t="str">
        <f>VLOOKUP($B175,'Standards Crosswalk'!$A:$H,7,FALSE)</f>
        <v>3.8.1, 3.8.5, 3.8.7</v>
      </c>
      <c r="R175" s="72" t="str">
        <f>VLOOKUP($B175,'Standards Crosswalk'!$A:$H,8,FALSE)</f>
        <v>MP-2, MP-5, MP-7</v>
      </c>
      <c r="S175" s="72" t="str">
        <f>VLOOKUP($B175,'Standards Crosswalk'!$A:$I,9,FALSE)</f>
        <v>12.1, 9.x</v>
      </c>
    </row>
    <row r="176" spans="1:19" ht="31" thickBot="1" x14ac:dyDescent="0.2">
      <c r="A176" s="71">
        <f t="shared" si="5"/>
        <v>174</v>
      </c>
      <c r="B176" s="77" t="s">
        <v>341</v>
      </c>
      <c r="C176" s="78" t="str">
        <f>VLOOKUP(B176,'HECVAT - Full'!A:E,2,FALSE)</f>
        <v>Are video monitoring feeds retained?</v>
      </c>
      <c r="D176" s="71">
        <f>VLOOKUP(B176,'HECVAT - Full'!A:E,4,FALSE)</f>
        <v>0</v>
      </c>
      <c r="E176" s="79" t="b">
        <f>IF(Table1[[#This Row],[Column11]]&gt;20,TRUE,FALSE)</f>
        <v>0</v>
      </c>
      <c r="F176" s="79" t="s">
        <v>2040</v>
      </c>
      <c r="G176" s="80" t="s">
        <v>17</v>
      </c>
      <c r="H176" s="81">
        <v>1</v>
      </c>
      <c r="I176" s="71">
        <f>VLOOKUP(B176,'HECVAT - Full'!A:E,3,FALSE)</f>
        <v>0</v>
      </c>
      <c r="J176" s="71">
        <f>IF(Table1[[#This Row],[Column7]]=Table1[[#This Row],[Column9]],1,0)</f>
        <v>0</v>
      </c>
      <c r="K176" s="71">
        <f>IF(Table1[[#This Row],[Column8]]=1,20,"")</f>
        <v>20</v>
      </c>
      <c r="L176" s="71">
        <f>IF(Table1[[#This Row],[Column8]]=1,J176*K176,"")</f>
        <v>0</v>
      </c>
      <c r="M176" s="72" t="str">
        <f>VLOOKUP($B176,'Standards Crosswalk'!$A:$H,3,FALSE)</f>
        <v>CSC 3</v>
      </c>
      <c r="N176" s="72">
        <f>VLOOKUP($B176,'Standards Crosswalk'!$A:$H,4,FALSE)</f>
        <v>0</v>
      </c>
      <c r="O176" s="72" t="str">
        <f>VLOOKUP($B176,'Standards Crosswalk'!$A:$H,5,FALSE)</f>
        <v>11.1.2, 11.1.3</v>
      </c>
      <c r="P176" s="72" t="str">
        <f>VLOOKUP($B176,'Standards Crosswalk'!$A:$H,6,FALSE)</f>
        <v>DE.CM-2</v>
      </c>
      <c r="Q176" s="72" t="str">
        <f>VLOOKUP($B176,'Standards Crosswalk'!$A:$H,7,FALSE)</f>
        <v>3.10.2</v>
      </c>
      <c r="R176" s="72" t="str">
        <f>VLOOKUP($B176,'Standards Crosswalk'!$A:$H,8,FALSE)</f>
        <v>PE-6</v>
      </c>
      <c r="S176" s="72" t="str">
        <f>VLOOKUP($B176,'Standards Crosswalk'!$A:$I,9,FALSE)</f>
        <v>9.x</v>
      </c>
    </row>
    <row r="177" spans="1:19" ht="31" thickBot="1" x14ac:dyDescent="0.2">
      <c r="A177" s="71">
        <f t="shared" si="5"/>
        <v>175</v>
      </c>
      <c r="B177" s="77" t="s">
        <v>342</v>
      </c>
      <c r="C177" s="78" t="str">
        <f>VLOOKUP(B177,'HECVAT - Full'!A:E,2,FALSE)</f>
        <v>Are video feeds monitored by datacenter staff?</v>
      </c>
      <c r="D177" s="71">
        <f>VLOOKUP(B177,'HECVAT - Full'!A:E,4,FALSE)</f>
        <v>0</v>
      </c>
      <c r="E177" s="79" t="b">
        <f>IF(Table1[[#This Row],[Column11]]&gt;20,TRUE,FALSE)</f>
        <v>0</v>
      </c>
      <c r="F177" s="79" t="s">
        <v>2040</v>
      </c>
      <c r="G177" s="80" t="s">
        <v>17</v>
      </c>
      <c r="H177" s="81">
        <v>1</v>
      </c>
      <c r="I177" s="71">
        <f>VLOOKUP(B177,'HECVAT - Full'!A:E,3,FALSE)</f>
        <v>0</v>
      </c>
      <c r="J177" s="71">
        <f>IF(Table1[[#This Row],[Column7]]=Table1[[#This Row],[Column9]],1,0)</f>
        <v>0</v>
      </c>
      <c r="K177" s="71">
        <f>IF(Table1[[#This Row],[Column8]]=1,20,"")</f>
        <v>20</v>
      </c>
      <c r="L177" s="71">
        <f>IF(Table1[[#This Row],[Column8]]=1,J177*K177,"")</f>
        <v>0</v>
      </c>
      <c r="M177" s="72" t="str">
        <f>VLOOKUP($B177,'Standards Crosswalk'!$A:$H,3,FALSE)</f>
        <v>CSC 3</v>
      </c>
      <c r="N177" s="72">
        <f>VLOOKUP($B177,'Standards Crosswalk'!$A:$H,4,FALSE)</f>
        <v>0</v>
      </c>
      <c r="O177" s="72" t="str">
        <f>VLOOKUP($B177,'Standards Crosswalk'!$A:$H,5,FALSE)</f>
        <v>11.1.2,  11.1.3</v>
      </c>
      <c r="P177" s="72" t="str">
        <f>VLOOKUP($B177,'Standards Crosswalk'!$A:$H,6,FALSE)</f>
        <v>DE.CM-2</v>
      </c>
      <c r="Q177" s="72" t="str">
        <f>VLOOKUP($B177,'Standards Crosswalk'!$A:$H,7,FALSE)</f>
        <v>3.10.2</v>
      </c>
      <c r="R177" s="72" t="str">
        <f>VLOOKUP($B177,'Standards Crosswalk'!$A:$H,8,FALSE)</f>
        <v>PE-6</v>
      </c>
      <c r="S177" s="72" t="str">
        <f>VLOOKUP($B177,'Standards Crosswalk'!$A:$I,9,FALSE)</f>
        <v>9.x</v>
      </c>
    </row>
    <row r="178" spans="1:19" ht="46" thickBot="1" x14ac:dyDescent="0.2">
      <c r="A178" s="71">
        <f t="shared" si="5"/>
        <v>176</v>
      </c>
      <c r="B178" s="77" t="s">
        <v>343</v>
      </c>
      <c r="C178" s="78" t="str">
        <f>VLOOKUP(B178,'HECVAT - Full'!A:E,2,FALSE)</f>
        <v>Are individuals required to sign in/out for installation and removal of equipment?</v>
      </c>
      <c r="D178" s="71">
        <f>VLOOKUP(B178,'HECVAT - Full'!A:E,4,FALSE)</f>
        <v>0</v>
      </c>
      <c r="E178" s="79" t="b">
        <f>IF(Table1[[#This Row],[Column11]]&gt;20,TRUE,FALSE)</f>
        <v>0</v>
      </c>
      <c r="F178" s="79" t="s">
        <v>2040</v>
      </c>
      <c r="G178" s="80" t="s">
        <v>17</v>
      </c>
      <c r="H178" s="81">
        <v>1</v>
      </c>
      <c r="I178" s="71">
        <f>VLOOKUP(B178,'HECVAT - Full'!A:E,3,FALSE)</f>
        <v>0</v>
      </c>
      <c r="J178" s="71">
        <f>IF(Table1[[#This Row],[Column7]]=Table1[[#This Row],[Column9]],1,0)</f>
        <v>0</v>
      </c>
      <c r="K178" s="71">
        <f>IF(Table1[[#This Row],[Column8]]=1,15,"")</f>
        <v>15</v>
      </c>
      <c r="L178" s="71">
        <f>IF(Table1[[#This Row],[Column8]]=1,J178*K178,"")</f>
        <v>0</v>
      </c>
      <c r="M178" s="72" t="str">
        <f>VLOOKUP($B178,'Standards Crosswalk'!$A:$H,3,FALSE)</f>
        <v>CSC 14</v>
      </c>
      <c r="N178" s="72">
        <f>VLOOKUP($B178,'Standards Crosswalk'!$A:$H,4,FALSE)</f>
        <v>0</v>
      </c>
      <c r="O178" s="72" t="str">
        <f>VLOOKUP($B178,'Standards Crosswalk'!$A:$H,5,FALSE)</f>
        <v>11.1.2</v>
      </c>
      <c r="P178" s="72" t="str">
        <f>VLOOKUP($B178,'Standards Crosswalk'!$A:$H,6,FALSE)</f>
        <v>PR.DS-3</v>
      </c>
      <c r="Q178" s="72" t="str">
        <f>VLOOKUP($B178,'Standards Crosswalk'!$A:$H,7,FALSE)</f>
        <v>3.7.3, 3.8.1, 3.8.5, 3.8.7, 3.10.3</v>
      </c>
      <c r="R178" s="72" t="str">
        <f>VLOOKUP($B178,'Standards Crosswalk'!$A:$H,8,FALSE)</f>
        <v>MP-2, MP-5, MP-7</v>
      </c>
      <c r="S178" s="72" t="str">
        <f>VLOOKUP($B178,'Standards Crosswalk'!$A:$I,9,FALSE)</f>
        <v>9.x</v>
      </c>
    </row>
    <row r="179" spans="1:19" ht="61" thickBot="1" x14ac:dyDescent="0.2">
      <c r="A179" s="71">
        <f t="shared" si="5"/>
        <v>177</v>
      </c>
      <c r="B179" s="77" t="s">
        <v>344</v>
      </c>
      <c r="C179" s="78" t="str">
        <f>VLOOKUP(B179,'HECVAT - Full'!A:E,2,FALSE)</f>
        <v>Can you share the organization chart, mission statement, and policies for your information security unit?</v>
      </c>
      <c r="D179" s="71">
        <f>VLOOKUP(B179,'HECVAT - Full'!A:E,4,FALSE)</f>
        <v>0</v>
      </c>
      <c r="E179" s="79" t="b">
        <f>IF(Table1[[#This Row],[Column11]]&gt;20,TRUE,FALSE)</f>
        <v>0</v>
      </c>
      <c r="F179" s="79" t="s">
        <v>2041</v>
      </c>
      <c r="G179" s="98" t="s">
        <v>17</v>
      </c>
      <c r="H179" s="81">
        <v>1</v>
      </c>
      <c r="I179" s="71">
        <f>VLOOKUP(B179,'HECVAT - Full'!A:E,3,FALSE)</f>
        <v>0</v>
      </c>
      <c r="J179" s="71">
        <f>IF(Table1[[#This Row],[Column7]]=Table1[[#This Row],[Column9]],1,0)</f>
        <v>0</v>
      </c>
      <c r="K179" s="71">
        <f>IF(Table1[[#This Row],[Column8]]=1,20,"")</f>
        <v>20</v>
      </c>
      <c r="L179" s="71">
        <f>IF(Table1[[#This Row],[Column8]]=1,J179*K179,"")</f>
        <v>0</v>
      </c>
      <c r="M179" s="72">
        <f>VLOOKUP($B179,'Standards Crosswalk'!$A:$H,3,FALSE)</f>
        <v>0</v>
      </c>
      <c r="N179" s="72">
        <f>VLOOKUP($B179,'Standards Crosswalk'!$A:$H,4,FALSE)</f>
        <v>0</v>
      </c>
      <c r="O179" s="72" t="str">
        <f>VLOOKUP($B179,'Standards Crosswalk'!$A:$H,5,FALSE)</f>
        <v>5.1.1</v>
      </c>
      <c r="P179" s="72" t="str">
        <f>VLOOKUP($B179,'Standards Crosswalk'!$A:$H,6,FALSE)</f>
        <v>ID.GV-2</v>
      </c>
      <c r="Q179" s="72" t="str">
        <f>VLOOKUP($B179,'Standards Crosswalk'!$A:$H,7,FALSE)</f>
        <v>3.9.1, 3.9.2</v>
      </c>
      <c r="R179" s="72" t="str">
        <f>VLOOKUP($B179,'Standards Crosswalk'!$A:$H,8,FALSE)</f>
        <v>PM-2, PM-10, SI-5, CA-5, PM-1</v>
      </c>
      <c r="S179" s="72" t="str">
        <f>VLOOKUP($B179,'Standards Crosswalk'!$A:$I,9,FALSE)</f>
        <v>12.4, 12.5</v>
      </c>
    </row>
    <row r="180" spans="1:19" ht="61" thickBot="1" x14ac:dyDescent="0.2">
      <c r="A180" s="71">
        <f t="shared" si="5"/>
        <v>178</v>
      </c>
      <c r="B180" s="77" t="s">
        <v>345</v>
      </c>
      <c r="C180" s="78" t="str">
        <f>VLOOKUP(B180,'HECVAT - Full'!A:E,2,FALSE)</f>
        <v>Do you have a documented patch management process?</v>
      </c>
      <c r="D180" s="71">
        <f>VLOOKUP(B180,'HECVAT - Full'!A:E,4,FALSE)</f>
        <v>0</v>
      </c>
      <c r="E180" s="79" t="b">
        <f>IF(Table1[[#This Row],[Column11]]&gt;20,TRUE,FALSE)</f>
        <v>1</v>
      </c>
      <c r="F180" s="79" t="s">
        <v>2041</v>
      </c>
      <c r="G180" s="80" t="s">
        <v>17</v>
      </c>
      <c r="H180" s="81">
        <v>1</v>
      </c>
      <c r="I180" s="71">
        <f>VLOOKUP(B180,'HECVAT - Full'!A:E,3,FALSE)</f>
        <v>0</v>
      </c>
      <c r="J180" s="71">
        <f>IF(Table1[[#This Row],[Column7]]=Table1[[#This Row],[Column9]],1,0)</f>
        <v>0</v>
      </c>
      <c r="K180" s="71">
        <f>IF(Table1[[#This Row],[Column8]]=1,25,"")</f>
        <v>25</v>
      </c>
      <c r="L180" s="71">
        <f>IF(Table1[[#This Row],[Column8]]=1,J180*K180,"")</f>
        <v>0</v>
      </c>
      <c r="M180" s="72" t="str">
        <f>VLOOKUP($B180,'Standards Crosswalk'!$A:$H,3,FALSE)</f>
        <v>CSC 4</v>
      </c>
      <c r="N180" s="72">
        <f>VLOOKUP($B180,'Standards Crosswalk'!$A:$H,4,FALSE)</f>
        <v>0</v>
      </c>
      <c r="O180" s="72" t="str">
        <f>VLOOKUP($B180,'Standards Crosswalk'!$A:$H,5,FALSE)</f>
        <v>12.6.1</v>
      </c>
      <c r="P180" s="72" t="str">
        <f>VLOOKUP($B180,'Standards Crosswalk'!$A:$H,6,FALSE)</f>
        <v>PR.IP-12</v>
      </c>
      <c r="Q180" s="72">
        <f>VLOOKUP($B180,'Standards Crosswalk'!$A:$H,7,FALSE)</f>
        <v>0</v>
      </c>
      <c r="R180" s="72" t="str">
        <f>VLOOKUP($B180,'Standards Crosswalk'!$A:$H,8,FALSE)</f>
        <v>CA-5, PM-1</v>
      </c>
      <c r="S180" s="72" t="str">
        <f>VLOOKUP($B180,'Standards Crosswalk'!$A:$I,9,FALSE)</f>
        <v>6.4.5</v>
      </c>
    </row>
    <row r="181" spans="1:19" ht="61" thickBot="1" x14ac:dyDescent="0.2">
      <c r="A181" s="71">
        <f t="shared" si="5"/>
        <v>179</v>
      </c>
      <c r="B181" s="77" t="s">
        <v>346</v>
      </c>
      <c r="C181" s="78" t="str">
        <f>VLOOKUP(B181,'HECVAT - Full'!A:E,2,FALSE)</f>
        <v>Can you accommodate encryption requirements using open standards?</v>
      </c>
      <c r="D181" s="71">
        <f>VLOOKUP(B181,'HECVAT - Full'!A:E,4,FALSE)</f>
        <v>0</v>
      </c>
      <c r="E181" s="79" t="b">
        <f>IF(Table1[[#This Row],[Column11]]&gt;20,TRUE,FALSE)</f>
        <v>0</v>
      </c>
      <c r="F181" s="79" t="s">
        <v>2041</v>
      </c>
      <c r="G181" s="80" t="s">
        <v>17</v>
      </c>
      <c r="H181" s="81">
        <v>1</v>
      </c>
      <c r="I181" s="71">
        <f>VLOOKUP(B181,'HECVAT - Full'!A:E,3,FALSE)</f>
        <v>0</v>
      </c>
      <c r="J181" s="71">
        <f>IF(Table1[[#This Row],[Column7]]=Table1[[#This Row],[Column9]],1,0)</f>
        <v>0</v>
      </c>
      <c r="K181" s="71">
        <f>IF(Table1[[#This Row],[Column8]]=1,20,"")</f>
        <v>20</v>
      </c>
      <c r="L181" s="71">
        <f>IF(Table1[[#This Row],[Column8]]=1,J181*K181,"")</f>
        <v>0</v>
      </c>
      <c r="M181" s="72" t="str">
        <f>VLOOKUP($B181,'Standards Crosswalk'!$A:$H,3,FALSE)</f>
        <v>CSC 13</v>
      </c>
      <c r="N181" s="72">
        <f>VLOOKUP($B181,'Standards Crosswalk'!$A:$H,4,FALSE)</f>
        <v>0</v>
      </c>
      <c r="O181" s="72" t="str">
        <f>VLOOKUP($B181,'Standards Crosswalk'!$A:$H,5,FALSE)</f>
        <v>10.1.1, 18.1.5</v>
      </c>
      <c r="P181" s="72">
        <f>VLOOKUP($B181,'Standards Crosswalk'!$A:$H,6,FALSE)</f>
        <v>0</v>
      </c>
      <c r="Q181" s="72">
        <f>VLOOKUP($B181,'Standards Crosswalk'!$A:$H,7,FALSE)</f>
        <v>0</v>
      </c>
      <c r="R181" s="72" t="str">
        <f>VLOOKUP($B181,'Standards Crosswalk'!$A:$H,8,FALSE)</f>
        <v>CA-5, PM-1</v>
      </c>
      <c r="S181" s="72">
        <f>VLOOKUP($B181,'Standards Crosswalk'!$A:$I,9,FALSE)</f>
        <v>0</v>
      </c>
    </row>
    <row r="182" spans="1:19" ht="61" thickBot="1" x14ac:dyDescent="0.2">
      <c r="A182" s="71">
        <f t="shared" si="5"/>
        <v>180</v>
      </c>
      <c r="B182" s="77" t="s">
        <v>347</v>
      </c>
      <c r="C182" s="78" t="str">
        <f>VLOOKUP(B182,'HECVAT - Full'!A:E,2,FALSE)</f>
        <v>Have your developers been trained in secure coding techniques?</v>
      </c>
      <c r="D182" s="71">
        <f>VLOOKUP(B182,'HECVAT - Full'!A:E,4,FALSE)</f>
        <v>0</v>
      </c>
      <c r="E182" s="79" t="b">
        <f>IF(Table1[[#This Row],[Column11]]&gt;20,TRUE,FALSE)</f>
        <v>1</v>
      </c>
      <c r="F182" s="79" t="s">
        <v>2041</v>
      </c>
      <c r="G182" s="80" t="s">
        <v>17</v>
      </c>
      <c r="H182" s="81">
        <v>1</v>
      </c>
      <c r="I182" s="71">
        <f>VLOOKUP(B182,'HECVAT - Full'!A:E,3,FALSE)</f>
        <v>0</v>
      </c>
      <c r="J182" s="71">
        <f>IF(Table1[[#This Row],[Column7]]=Table1[[#This Row],[Column9]],1,0)</f>
        <v>0</v>
      </c>
      <c r="K182" s="71">
        <f>IF(Table1[[#This Row],[Column8]]=1,25,"")</f>
        <v>25</v>
      </c>
      <c r="L182" s="71">
        <f>IF(Table1[[#This Row],[Column8]]=1,J182*K182,"")</f>
        <v>0</v>
      </c>
      <c r="M182" s="72" t="str">
        <f>VLOOKUP($B182,'Standards Crosswalk'!$A:$H,3,FALSE)</f>
        <v>CSC 4, CSC 17</v>
      </c>
      <c r="N182" s="72">
        <f>VLOOKUP($B182,'Standards Crosswalk'!$A:$H,4,FALSE)</f>
        <v>0</v>
      </c>
      <c r="O182" s="72" t="str">
        <f>VLOOKUP($B182,'Standards Crosswalk'!$A:$H,5,FALSE)</f>
        <v>14.2.1</v>
      </c>
      <c r="P182" s="72">
        <f>VLOOKUP($B182,'Standards Crosswalk'!$A:$H,6,FALSE)</f>
        <v>0</v>
      </c>
      <c r="Q182" s="72">
        <f>VLOOKUP($B182,'Standards Crosswalk'!$A:$H,7,FALSE)</f>
        <v>0</v>
      </c>
      <c r="R182" s="72" t="str">
        <f>VLOOKUP($B182,'Standards Crosswalk'!$A:$H,8,FALSE)</f>
        <v>CA-5, PM-1</v>
      </c>
      <c r="S182" s="72" t="str">
        <f>VLOOKUP($B182,'Standards Crosswalk'!$A:$I,9,FALSE)</f>
        <v>12.6, 6.5</v>
      </c>
    </row>
    <row r="183" spans="1:19" ht="61" thickBot="1" x14ac:dyDescent="0.2">
      <c r="A183" s="71">
        <f t="shared" si="5"/>
        <v>181</v>
      </c>
      <c r="B183" s="77" t="s">
        <v>348</v>
      </c>
      <c r="C183" s="78" t="str">
        <f>VLOOKUP(B183,'HECVAT - Full'!A:E,2,FALSE)</f>
        <v>Was your application developed using secure coding techniques?</v>
      </c>
      <c r="D183" s="71">
        <f>VLOOKUP(B183,'HECVAT - Full'!A:E,4,FALSE)</f>
        <v>0</v>
      </c>
      <c r="E183" s="79" t="b">
        <f>IF(Table1[[#This Row],[Column11]]&gt;20,TRUE,FALSE)</f>
        <v>0</v>
      </c>
      <c r="F183" s="79" t="s">
        <v>2041</v>
      </c>
      <c r="G183" s="80" t="s">
        <v>17</v>
      </c>
      <c r="H183" s="81">
        <v>1</v>
      </c>
      <c r="I183" s="71">
        <f>VLOOKUP(B183,'HECVAT - Full'!A:E,3,FALSE)</f>
        <v>0</v>
      </c>
      <c r="J183" s="71">
        <f>IF(Table1[[#This Row],[Column7]]=Table1[[#This Row],[Column9]],1,0)</f>
        <v>0</v>
      </c>
      <c r="K183" s="71">
        <f>IF(Table1[[#This Row],[Column8]]=1,20,"")</f>
        <v>20</v>
      </c>
      <c r="L183" s="71">
        <f>IF(Table1[[#This Row],[Column8]]=1,J183*K183,"")</f>
        <v>0</v>
      </c>
      <c r="M183" s="72" t="str">
        <f>VLOOKUP($B183,'Standards Crosswalk'!$A:$H,3,FALSE)</f>
        <v>CSC 4</v>
      </c>
      <c r="N183" s="72">
        <f>VLOOKUP($B183,'Standards Crosswalk'!$A:$H,4,FALSE)</f>
        <v>0</v>
      </c>
      <c r="O183" s="72" t="str">
        <f>VLOOKUP($B183,'Standards Crosswalk'!$A:$H,5,FALSE)</f>
        <v>14.2.1</v>
      </c>
      <c r="P183" s="72">
        <f>VLOOKUP($B183,'Standards Crosswalk'!$A:$H,6,FALSE)</f>
        <v>0</v>
      </c>
      <c r="Q183" s="72">
        <f>VLOOKUP($B183,'Standards Crosswalk'!$A:$H,7,FALSE)</f>
        <v>0</v>
      </c>
      <c r="R183" s="72" t="str">
        <f>VLOOKUP($B183,'Standards Crosswalk'!$A:$H,8,FALSE)</f>
        <v>CA-5, PM-1</v>
      </c>
      <c r="S183" s="72">
        <f>VLOOKUP($B183,'Standards Crosswalk'!$A:$I,9,FALSE)</f>
        <v>6.3</v>
      </c>
    </row>
    <row r="184" spans="1:19" ht="61" thickBot="1" x14ac:dyDescent="0.2">
      <c r="A184" s="71">
        <f t="shared" si="5"/>
        <v>182</v>
      </c>
      <c r="B184" s="77" t="s">
        <v>349</v>
      </c>
      <c r="C184" s="78" t="str">
        <f>VLOOKUP(B184,'HECVAT - Full'!A:E,2,FALSE)</f>
        <v>Do you subject your code to static code analysis and/or static application security testing prior to release?</v>
      </c>
      <c r="D184" s="71">
        <f>VLOOKUP(B184,'HECVAT - Full'!A:E,4,FALSE)</f>
        <v>0</v>
      </c>
      <c r="E184" s="79" t="b">
        <f>IF(Table1[[#This Row],[Column11]]&gt;20,TRUE,FALSE)</f>
        <v>1</v>
      </c>
      <c r="F184" s="79" t="s">
        <v>2041</v>
      </c>
      <c r="G184" s="80" t="s">
        <v>17</v>
      </c>
      <c r="H184" s="81">
        <v>1</v>
      </c>
      <c r="I184" s="71">
        <f>VLOOKUP(B184,'HECVAT - Full'!A:E,3,FALSE)</f>
        <v>0</v>
      </c>
      <c r="J184" s="71">
        <f>IF(Table1[[#This Row],[Column7]]=Table1[[#This Row],[Column9]],1,0)</f>
        <v>0</v>
      </c>
      <c r="K184" s="71">
        <f>IF(Table1[[#This Row],[Column8]]=1,25,"")</f>
        <v>25</v>
      </c>
      <c r="L184" s="71">
        <f>IF(Table1[[#This Row],[Column8]]=1,J184*K184,"")</f>
        <v>0</v>
      </c>
      <c r="M184" s="72" t="str">
        <f>VLOOKUP($B184,'Standards Crosswalk'!$A:$H,3,FALSE)</f>
        <v>CSC 4</v>
      </c>
      <c r="N184" s="72">
        <f>VLOOKUP($B184,'Standards Crosswalk'!$A:$H,4,FALSE)</f>
        <v>0</v>
      </c>
      <c r="O184" s="72" t="str">
        <f>VLOOKUP($B184,'Standards Crosswalk'!$A:$H,5,FALSE)</f>
        <v>14.2.1, 14.2.5, 14.2.8</v>
      </c>
      <c r="P184" s="72" t="str">
        <f>VLOOKUP($B184,'Standards Crosswalk'!$A:$H,6,FALSE)</f>
        <v>DE.CM-8, RS.MI-3</v>
      </c>
      <c r="Q184" s="72">
        <f>VLOOKUP($B184,'Standards Crosswalk'!$A:$H,7,FALSE)</f>
        <v>0</v>
      </c>
      <c r="R184" s="72" t="str">
        <f>VLOOKUP($B184,'Standards Crosswalk'!$A:$H,8,FALSE)</f>
        <v>CA-5, PM-1</v>
      </c>
      <c r="S184" s="72" t="str">
        <f>VLOOKUP($B184,'Standards Crosswalk'!$A:$I,9,FALSE)</f>
        <v>6.3.2</v>
      </c>
    </row>
    <row r="185" spans="1:19" ht="61" thickBot="1" x14ac:dyDescent="0.2">
      <c r="A185" s="71">
        <f t="shared" si="5"/>
        <v>183</v>
      </c>
      <c r="B185" s="77" t="s">
        <v>350</v>
      </c>
      <c r="C185" s="78" t="str">
        <f>VLOOKUP(B185,'HECVAT - Full'!A:E,2,FALSE)</f>
        <v>Do you have software testing processes (dynamic or static) that are established and followed?</v>
      </c>
      <c r="D185" s="71">
        <f>VLOOKUP(B185,'HECVAT - Full'!A:E,4,FALSE)</f>
        <v>0</v>
      </c>
      <c r="E185" s="79" t="b">
        <f>IF(Table1[[#This Row],[Column11]]&gt;20,TRUE,FALSE)</f>
        <v>0</v>
      </c>
      <c r="F185" s="79" t="s">
        <v>2041</v>
      </c>
      <c r="G185" s="80" t="s">
        <v>17</v>
      </c>
      <c r="H185" s="81">
        <v>1</v>
      </c>
      <c r="I185" s="71">
        <f>VLOOKUP(B185,'HECVAT - Full'!A:E,3,FALSE)</f>
        <v>0</v>
      </c>
      <c r="J185" s="71">
        <f>IF(Table1[[#This Row],[Column7]]=Table1[[#This Row],[Column9]],1,0)</f>
        <v>0</v>
      </c>
      <c r="K185" s="71">
        <f>IF(Table1[[#This Row],[Column8]]=1,20,"")</f>
        <v>20</v>
      </c>
      <c r="L185" s="71">
        <f>IF(Table1[[#This Row],[Column8]]=1,J185*K185,"")</f>
        <v>0</v>
      </c>
      <c r="M185" s="72"/>
      <c r="N185" s="72"/>
      <c r="O185" s="72"/>
      <c r="P185" s="72"/>
      <c r="Q185" s="72"/>
      <c r="R185" s="72"/>
      <c r="S185" s="72" t="str">
        <f>VLOOKUP($B185,'Standards Crosswalk'!$A:$I,9,FALSE)</f>
        <v>6.3.2, 6.4.5.3</v>
      </c>
    </row>
    <row r="186" spans="1:19" ht="61" thickBot="1" x14ac:dyDescent="0.2">
      <c r="A186" s="71">
        <f t="shared" si="5"/>
        <v>184</v>
      </c>
      <c r="B186" s="77" t="s">
        <v>351</v>
      </c>
      <c r="C186" s="78" t="str">
        <f>VLOOKUP(B186,'HECVAT - Full'!A:E,2,FALSE)</f>
        <v>Are information security principles designed into the product lifecycle?</v>
      </c>
      <c r="D186" s="71">
        <f>VLOOKUP(B186,'HECVAT - Full'!A:E,4,FALSE)</f>
        <v>0</v>
      </c>
      <c r="E186" s="79" t="b">
        <f>IF(Table1[[#This Row],[Column11]]&gt;20,TRUE,FALSE)</f>
        <v>0</v>
      </c>
      <c r="F186" s="79" t="s">
        <v>2041</v>
      </c>
      <c r="G186" s="80" t="s">
        <v>17</v>
      </c>
      <c r="H186" s="81">
        <v>1</v>
      </c>
      <c r="I186" s="71">
        <f>VLOOKUP(B186,'HECVAT - Full'!A:E,3,FALSE)</f>
        <v>0</v>
      </c>
      <c r="J186" s="71">
        <f>IF(Table1[[#This Row],[Column7]]=Table1[[#This Row],[Column9]],1,0)</f>
        <v>0</v>
      </c>
      <c r="K186" s="71">
        <f>IF(Table1[[#This Row],[Column8]]=1,20,"")</f>
        <v>20</v>
      </c>
      <c r="L186" s="71">
        <f>IF(Table1[[#This Row],[Column8]]=1,J186*K186,"")</f>
        <v>0</v>
      </c>
      <c r="M186" s="72" t="str">
        <f>VLOOKUP($B186,'Standards Crosswalk'!$A:$H,3,FALSE)</f>
        <v>CSC 4</v>
      </c>
      <c r="N186" s="72">
        <f>VLOOKUP($B186,'Standards Crosswalk'!$A:$H,4,FALSE)</f>
        <v>0</v>
      </c>
      <c r="O186" s="72" t="str">
        <f>VLOOKUP($B186,'Standards Crosswalk'!$A:$H,5,FALSE)</f>
        <v>14.2.1</v>
      </c>
      <c r="P186" s="72">
        <f>VLOOKUP($B186,'Standards Crosswalk'!$A:$H,6,FALSE)</f>
        <v>0</v>
      </c>
      <c r="Q186" s="72" t="str">
        <f>VLOOKUP($B186,'Standards Crosswalk'!$A:$H,7,FALSE)</f>
        <v>3.13.2</v>
      </c>
      <c r="R186" s="72" t="str">
        <f>VLOOKUP($B186,'Standards Crosswalk'!$A:$H,8,FALSE)</f>
        <v>CA-5, PM-1</v>
      </c>
      <c r="S186" s="72" t="str">
        <f>VLOOKUP($B186,'Standards Crosswalk'!$A:$I,9,FALSE)</f>
        <v>6.3, 6.3.1</v>
      </c>
    </row>
    <row r="187" spans="1:19" ht="61" thickBot="1" x14ac:dyDescent="0.2">
      <c r="A187" s="71">
        <f t="shared" si="5"/>
        <v>185</v>
      </c>
      <c r="B187" s="77" t="s">
        <v>352</v>
      </c>
      <c r="C187" s="78" t="str">
        <f>VLOOKUP(B187,'HECVAT - Full'!A:E,2,FALSE)</f>
        <v>Do you have a documented systems development life cycle (SDLC)?</v>
      </c>
      <c r="D187" s="71">
        <f>VLOOKUP(B187,'HECVAT - Full'!A:E,4,FALSE)</f>
        <v>0</v>
      </c>
      <c r="E187" s="79" t="b">
        <f>IF(Table1[[#This Row],[Column11]]&gt;20,TRUE,FALSE)</f>
        <v>0</v>
      </c>
      <c r="F187" s="79" t="s">
        <v>2041</v>
      </c>
      <c r="G187" s="80" t="s">
        <v>17</v>
      </c>
      <c r="H187" s="81">
        <v>1</v>
      </c>
      <c r="I187" s="71">
        <f>VLOOKUP(B187,'HECVAT - Full'!A:E,3,FALSE)</f>
        <v>0</v>
      </c>
      <c r="J187" s="71">
        <f>IF(Table1[[#This Row],[Column7]]=Table1[[#This Row],[Column9]],1,0)</f>
        <v>0</v>
      </c>
      <c r="K187" s="71">
        <f>IF(Table1[[#This Row],[Column8]]=1,20,"")</f>
        <v>20</v>
      </c>
      <c r="L187" s="71">
        <f>IF(Table1[[#This Row],[Column8]]=1,J187*K187,"")</f>
        <v>0</v>
      </c>
      <c r="M187" s="72" t="str">
        <f>VLOOKUP($B187,'Standards Crosswalk'!$A:$H,3,FALSE)</f>
        <v>CSC 4</v>
      </c>
      <c r="N187" s="72">
        <f>VLOOKUP($B187,'Standards Crosswalk'!$A:$H,4,FALSE)</f>
        <v>0</v>
      </c>
      <c r="O187" s="72" t="str">
        <f>VLOOKUP($B187,'Standards Crosswalk'!$A:$H,5,FALSE)</f>
        <v>14.2.1</v>
      </c>
      <c r="P187" s="72" t="str">
        <f>VLOOKUP($B187,'Standards Crosswalk'!$A:$H,6,FALSE)</f>
        <v>PR.IP-2</v>
      </c>
      <c r="Q187" s="72">
        <f>VLOOKUP($B187,'Standards Crosswalk'!$A:$H,7,FALSE)</f>
        <v>0</v>
      </c>
      <c r="R187" s="72" t="str">
        <f>VLOOKUP($B187,'Standards Crosswalk'!$A:$H,8,FALSE)</f>
        <v>CM-3, SA-15, SA-3, SA-8, SC-2, CA-5, PM-1</v>
      </c>
      <c r="S187" s="72" t="str">
        <f>VLOOKUP($B187,'Standards Crosswalk'!$A:$I,9,FALSE)</f>
        <v>6.3.2</v>
      </c>
    </row>
    <row r="188" spans="1:19" ht="61" thickBot="1" x14ac:dyDescent="0.2">
      <c r="A188" s="71">
        <f t="shared" si="5"/>
        <v>186</v>
      </c>
      <c r="B188" s="95" t="s">
        <v>353</v>
      </c>
      <c r="C188" s="78" t="str">
        <f>VLOOKUP(B188,'HECVAT - Full'!A:E,2,FALSE)</f>
        <v>Do you have a formal incident response plan?</v>
      </c>
      <c r="D188" s="71">
        <f>VLOOKUP(B188,'HECVAT - Full'!A:E,4,FALSE)</f>
        <v>0</v>
      </c>
      <c r="E188" s="79" t="b">
        <f>IF(Table1[[#This Row],[Column11]]&gt;20,TRUE,FALSE)</f>
        <v>1</v>
      </c>
      <c r="F188" s="79" t="s">
        <v>2041</v>
      </c>
      <c r="G188" s="80" t="s">
        <v>17</v>
      </c>
      <c r="H188" s="81">
        <v>1</v>
      </c>
      <c r="I188" s="71">
        <f>VLOOKUP(B188,'HECVAT - Full'!A:E,3,FALSE)</f>
        <v>0</v>
      </c>
      <c r="J188" s="71">
        <f>IF(Table1[[#This Row],[Column7]]=Table1[[#This Row],[Column9]],1,0)</f>
        <v>0</v>
      </c>
      <c r="K188" s="71">
        <f>IF(Table1[[#This Row],[Column8]]=1,25,"")</f>
        <v>25</v>
      </c>
      <c r="L188" s="71">
        <f>IF(Table1[[#This Row],[Column8]]=1,J188*K188,"")</f>
        <v>0</v>
      </c>
      <c r="M188" s="72" t="str">
        <f>VLOOKUP($B188,'Standards Crosswalk'!$A:$H,3,FALSE)</f>
        <v>CSC 19</v>
      </c>
      <c r="N188" s="72">
        <f>VLOOKUP($B188,'Standards Crosswalk'!$A:$H,4,FALSE)</f>
        <v>0</v>
      </c>
      <c r="O188" s="72" t="str">
        <f>VLOOKUP($B188,'Standards Crosswalk'!$A:$H,5,FALSE)</f>
        <v>16.1.5</v>
      </c>
      <c r="P188" s="72" t="str">
        <f>VLOOKUP($B188,'Standards Crosswalk'!$A:$H,6,FALSE)</f>
        <v>PR.IP-9</v>
      </c>
      <c r="Q188" s="72" t="str">
        <f>VLOOKUP($B188,'Standards Crosswalk'!$A:$H,7,FALSE)</f>
        <v>3.6.1, 3.12.2</v>
      </c>
      <c r="R188" s="72" t="str">
        <f>VLOOKUP($B188,'Standards Crosswalk'!$A:$H,8,FALSE)</f>
        <v>CA-5, PM-1, IR-4, IR-5, IR-7, IR-8</v>
      </c>
      <c r="S188" s="72" t="str">
        <f>VLOOKUP($B188,'Standards Crosswalk'!$A:$I,9,FALSE)</f>
        <v>12.10, 12.8, 12.9</v>
      </c>
    </row>
    <row r="189" spans="1:19" ht="61" thickBot="1" x14ac:dyDescent="0.2">
      <c r="A189" s="71">
        <f t="shared" si="5"/>
        <v>187</v>
      </c>
      <c r="B189" s="95" t="s">
        <v>354</v>
      </c>
      <c r="C189" s="78" t="str">
        <f>VLOOKUP(B189,'HECVAT - Full'!A:E,2,FALSE)</f>
        <v>Will you comply with applicable breach notification laws?</v>
      </c>
      <c r="D189" s="71">
        <f>VLOOKUP(B189,'HECVAT - Full'!A:E,4,FALSE)</f>
        <v>0</v>
      </c>
      <c r="E189" s="79" t="b">
        <f>IF(Table1[[#This Row],[Column11]]&gt;20,TRUE,FALSE)</f>
        <v>1</v>
      </c>
      <c r="F189" s="79" t="s">
        <v>2041</v>
      </c>
      <c r="G189" s="80" t="s">
        <v>17</v>
      </c>
      <c r="H189" s="81">
        <v>1</v>
      </c>
      <c r="I189" s="71">
        <f>VLOOKUP(B189,'HECVAT - Full'!A:E,3,FALSE)</f>
        <v>0</v>
      </c>
      <c r="J189" s="71">
        <f>IF(Table1[[#This Row],[Column7]]=Table1[[#This Row],[Column9]],1,0)</f>
        <v>0</v>
      </c>
      <c r="K189" s="71">
        <f>IF(Table1[[#This Row],[Column8]]=1,25,"")</f>
        <v>25</v>
      </c>
      <c r="L189" s="71">
        <f>IF(Table1[[#This Row],[Column8]]=1,J189*K189,"")</f>
        <v>0</v>
      </c>
      <c r="M189" s="72" t="str">
        <f>VLOOKUP($B189,'Standards Crosswalk'!$A:$H,3,FALSE)</f>
        <v>CSC 19</v>
      </c>
      <c r="N189" s="72">
        <f>VLOOKUP($B189,'Standards Crosswalk'!$A:$H,4,FALSE)</f>
        <v>0</v>
      </c>
      <c r="O189" s="72" t="str">
        <f>VLOOKUP($B189,'Standards Crosswalk'!$A:$H,5,FALSE)</f>
        <v>18.1.1</v>
      </c>
      <c r="P189" s="72" t="str">
        <f>VLOOKUP($B189,'Standards Crosswalk'!$A:$H,6,FALSE)</f>
        <v>ID.GV-3</v>
      </c>
      <c r="Q189" s="72" t="str">
        <f>VLOOKUP($B189,'Standards Crosswalk'!$A:$H,7,FALSE)</f>
        <v>3.6.2,</v>
      </c>
      <c r="R189" s="72" t="str">
        <f>VLOOKUP($B189,'Standards Crosswalk'!$A:$H,8,FALSE)</f>
        <v>CA-5, PM-1, IR-4, IR-5, IR-6, IR-7, IR-8</v>
      </c>
      <c r="S189" s="72">
        <f>VLOOKUP($B189,'Standards Crosswalk'!$A:$I,9,FALSE)</f>
        <v>12.8</v>
      </c>
    </row>
    <row r="190" spans="1:19" ht="61" thickBot="1" x14ac:dyDescent="0.2">
      <c r="A190" s="71">
        <f t="shared" si="5"/>
        <v>188</v>
      </c>
      <c r="B190" s="95" t="s">
        <v>355</v>
      </c>
      <c r="C190" s="78" t="str">
        <f>VLOOKUP(B190,'HECVAT - Full'!A:E,2,FALSE)</f>
        <v>Will you comply with the Institution's IT policies with regards to user privacy and data protection?</v>
      </c>
      <c r="D190" s="71">
        <f>VLOOKUP(B190,'HECVAT - Full'!A:E,4,FALSE)</f>
        <v>0</v>
      </c>
      <c r="E190" s="79" t="b">
        <f>IF(Table1[[#This Row],[Column11]]&gt;20,TRUE,FALSE)</f>
        <v>0</v>
      </c>
      <c r="F190" s="79" t="s">
        <v>2041</v>
      </c>
      <c r="G190" s="80" t="s">
        <v>17</v>
      </c>
      <c r="H190" s="81">
        <v>1</v>
      </c>
      <c r="I190" s="71">
        <f>VLOOKUP(B190,'HECVAT - Full'!A:E,3,FALSE)</f>
        <v>0</v>
      </c>
      <c r="J190" s="71">
        <f>IF(Table1[[#This Row],[Column7]]=Table1[[#This Row],[Column9]],1,0)</f>
        <v>0</v>
      </c>
      <c r="K190" s="71">
        <f>IF(Table1[[#This Row],[Column8]]=1,15,"")</f>
        <v>15</v>
      </c>
      <c r="L190" s="71">
        <f>IF(Table1[[#This Row],[Column8]]=1,J190*K190,"")</f>
        <v>0</v>
      </c>
      <c r="M190" s="72" t="str">
        <f>VLOOKUP($B190,'Standards Crosswalk'!$A:$H,3,FALSE)</f>
        <v>CSC 13</v>
      </c>
      <c r="N190" s="72">
        <f>VLOOKUP($B190,'Standards Crosswalk'!$A:$H,4,FALSE)</f>
        <v>0</v>
      </c>
      <c r="O190" s="72" t="str">
        <f>VLOOKUP($B190,'Standards Crosswalk'!$A:$H,5,FALSE)</f>
        <v>18.1.1</v>
      </c>
      <c r="P190" s="72">
        <f>VLOOKUP($B190,'Standards Crosswalk'!$A:$H,6,FALSE)</f>
        <v>0</v>
      </c>
      <c r="Q190" s="72" t="str">
        <f>VLOOKUP($B190,'Standards Crosswalk'!$A:$H,7,FALSE)</f>
        <v>3.6.2</v>
      </c>
      <c r="R190" s="72" t="str">
        <f>VLOOKUP($B190,'Standards Crosswalk'!$A:$H,8,FALSE)</f>
        <v>CA-2, SA-15, CA-5, PM-1, IR-4, IR-5, IR-6, R-7, IR-8</v>
      </c>
      <c r="S190" s="72">
        <f>VLOOKUP($B190,'Standards Crosswalk'!$A:$I,9,FALSE)</f>
        <v>12.8</v>
      </c>
    </row>
    <row r="191" spans="1:19" ht="61" thickBot="1" x14ac:dyDescent="0.2">
      <c r="A191" s="71">
        <f t="shared" si="5"/>
        <v>189</v>
      </c>
      <c r="B191" s="95" t="s">
        <v>356</v>
      </c>
      <c r="C191" s="78" t="str">
        <f>VLOOKUP(B191,'HECVAT - Full'!A:E,2,FALSE)</f>
        <v>Is your company subject to Institution's Data Zone laws and regulations?</v>
      </c>
      <c r="D191" s="71">
        <f>VLOOKUP(B191,'HECVAT - Full'!A:E,4,FALSE)</f>
        <v>0</v>
      </c>
      <c r="E191" s="79" t="b">
        <f>IF(Table1[[#This Row],[Column11]]&gt;20,TRUE,FALSE)</f>
        <v>0</v>
      </c>
      <c r="F191" s="79" t="s">
        <v>2041</v>
      </c>
      <c r="G191" s="80" t="s">
        <v>17</v>
      </c>
      <c r="H191" s="81">
        <v>1</v>
      </c>
      <c r="I191" s="71">
        <f>VLOOKUP(B191,'HECVAT - Full'!A:E,3,FALSE)</f>
        <v>0</v>
      </c>
      <c r="J191" s="71">
        <f>IF(Table1[[#This Row],[Column7]]=Table1[[#This Row],[Column9]],1,0)</f>
        <v>0</v>
      </c>
      <c r="K191" s="71">
        <f>IF(Table1[[#This Row],[Column8]]=1,20,"")</f>
        <v>20</v>
      </c>
      <c r="L191" s="71">
        <f>IF(Table1[[#This Row],[Column8]]=1,J191*K191,"")</f>
        <v>0</v>
      </c>
      <c r="M191" s="72" t="str">
        <f>VLOOKUP($B191,'Standards Crosswalk'!$A:$H,3,FALSE)</f>
        <v>CSC 19</v>
      </c>
      <c r="N191" s="72">
        <f>VLOOKUP($B191,'Standards Crosswalk'!$A:$H,4,FALSE)</f>
        <v>0</v>
      </c>
      <c r="O191" s="72" t="str">
        <f>VLOOKUP($B191,'Standards Crosswalk'!$A:$H,5,FALSE)</f>
        <v>18.1.1</v>
      </c>
      <c r="P191" s="72" t="str">
        <f>VLOOKUP($B191,'Standards Crosswalk'!$A:$H,6,FALSE)</f>
        <v>ID.GV-3</v>
      </c>
      <c r="Q191" s="72">
        <f>VLOOKUP($B191,'Standards Crosswalk'!$A:$H,7,FALSE)</f>
        <v>0</v>
      </c>
      <c r="R191" s="72" t="str">
        <f>VLOOKUP($B191,'Standards Crosswalk'!$A:$H,8,FALSE)</f>
        <v>CA-5, PM-1</v>
      </c>
      <c r="S191" s="72">
        <f>VLOOKUP($B191,'Standards Crosswalk'!$A:$I,9,FALSE)</f>
        <v>0</v>
      </c>
    </row>
    <row r="192" spans="1:19" ht="61" thickBot="1" x14ac:dyDescent="0.2">
      <c r="A192" s="71">
        <f t="shared" si="5"/>
        <v>190</v>
      </c>
      <c r="B192" s="95" t="s">
        <v>357</v>
      </c>
      <c r="C192" s="78" t="str">
        <f>VLOOKUP(B192,'HECVAT - Full'!A:E,2,FALSE)</f>
        <v>Do you perform background screenings or multi-state background checks on all employees prior to their first day of work?</v>
      </c>
      <c r="D192" s="71">
        <f>VLOOKUP(B192,'HECVAT - Full'!A:E,4,FALSE)</f>
        <v>0</v>
      </c>
      <c r="E192" s="79" t="b">
        <f>IF(Table1[[#This Row],[Column11]]&gt;20,TRUE,FALSE)</f>
        <v>0</v>
      </c>
      <c r="F192" s="79" t="s">
        <v>2041</v>
      </c>
      <c r="G192" s="80" t="s">
        <v>17</v>
      </c>
      <c r="H192" s="81">
        <v>1</v>
      </c>
      <c r="I192" s="71">
        <f>VLOOKUP(B192,'HECVAT - Full'!A:E,3,FALSE)</f>
        <v>0</v>
      </c>
      <c r="J192" s="71">
        <f>IF(Table1[[#This Row],[Column7]]=Table1[[#This Row],[Column9]],1,0)</f>
        <v>0</v>
      </c>
      <c r="K192" s="71">
        <f>IF(Table1[[#This Row],[Column8]]=1,15,"")</f>
        <v>15</v>
      </c>
      <c r="L192" s="71">
        <f>IF(Table1[[#This Row],[Column8]]=1,J192*K192,"")</f>
        <v>0</v>
      </c>
      <c r="M192" s="72" t="str">
        <f>VLOOKUP($B192,'Standards Crosswalk'!$A:$H,3,FALSE)</f>
        <v>CSC 5</v>
      </c>
      <c r="N192" s="72">
        <f>VLOOKUP($B192,'Standards Crosswalk'!$A:$H,4,FALSE)</f>
        <v>0</v>
      </c>
      <c r="O192" s="72" t="str">
        <f>VLOOKUP($B192,'Standards Crosswalk'!$A:$H,5,FALSE)</f>
        <v>7.1.1</v>
      </c>
      <c r="P192" s="72" t="str">
        <f>VLOOKUP($B192,'Standards Crosswalk'!$A:$H,6,FALSE)</f>
        <v>PR.IP-11</v>
      </c>
      <c r="Q192" s="72" t="str">
        <f>VLOOKUP($B192,'Standards Crosswalk'!$A:$H,7,FALSE)</f>
        <v>3.9.1</v>
      </c>
      <c r="R192" s="72" t="str">
        <f>VLOOKUP($B192,'Standards Crosswalk'!$A:$H,8,FALSE)</f>
        <v>CA-5, PM-1, PS-3</v>
      </c>
      <c r="S192" s="72">
        <f>VLOOKUP($B192,'Standards Crosswalk'!$A:$I,9,FALSE)</f>
        <v>12.7</v>
      </c>
    </row>
    <row r="193" spans="1:19" ht="61" thickBot="1" x14ac:dyDescent="0.2">
      <c r="A193" s="71">
        <f t="shared" si="5"/>
        <v>191</v>
      </c>
      <c r="B193" s="95" t="s">
        <v>358</v>
      </c>
      <c r="C193" s="78" t="str">
        <f>VLOOKUP(B193,'HECVAT - Full'!A:E,2,FALSE)</f>
        <v xml:space="preserve">Do you require new employees to fill out agreements and review policies?  </v>
      </c>
      <c r="D193" s="71">
        <f>VLOOKUP(B193,'HECVAT - Full'!A:E,4,FALSE)</f>
        <v>0</v>
      </c>
      <c r="E193" s="79" t="b">
        <f>IF(Table1[[#This Row],[Column11]]&gt;20,TRUE,FALSE)</f>
        <v>0</v>
      </c>
      <c r="F193" s="79" t="s">
        <v>2041</v>
      </c>
      <c r="G193" s="80" t="s">
        <v>17</v>
      </c>
      <c r="H193" s="81">
        <v>1</v>
      </c>
      <c r="I193" s="71">
        <f>VLOOKUP(B193,'HECVAT - Full'!A:E,3,FALSE)</f>
        <v>0</v>
      </c>
      <c r="J193" s="71">
        <f>IF(Table1[[#This Row],[Column7]]=Table1[[#This Row],[Column9]],1,0)</f>
        <v>0</v>
      </c>
      <c r="K193" s="71">
        <f>IF(Table1[[#This Row],[Column8]]=1,15,"")</f>
        <v>15</v>
      </c>
      <c r="L193" s="71">
        <f>IF(Table1[[#This Row],[Column8]]=1,J193*K193,"")</f>
        <v>0</v>
      </c>
      <c r="M193" s="72" t="str">
        <f>VLOOKUP($B193,'Standards Crosswalk'!$A:$H,3,FALSE)</f>
        <v>CSC 17</v>
      </c>
      <c r="N193" s="72">
        <f>VLOOKUP($B193,'Standards Crosswalk'!$A:$H,4,FALSE)</f>
        <v>0</v>
      </c>
      <c r="O193" s="72" t="str">
        <f>VLOOKUP($B193,'Standards Crosswalk'!$A:$H,5,FALSE)</f>
        <v>7.1.2</v>
      </c>
      <c r="P193" s="72" t="str">
        <f>VLOOKUP($B193,'Standards Crosswalk'!$A:$H,6,FALSE)</f>
        <v>PR.IP-11</v>
      </c>
      <c r="Q193" s="72">
        <f>VLOOKUP($B193,'Standards Crosswalk'!$A:$H,7,FALSE)</f>
        <v>0</v>
      </c>
      <c r="R193" s="72" t="str">
        <f>VLOOKUP($B193,'Standards Crosswalk'!$A:$H,8,FALSE)</f>
        <v>CA-5, PM-1</v>
      </c>
      <c r="S193" s="72" t="str">
        <f>VLOOKUP($B193,'Standards Crosswalk'!$A:$I,9,FALSE)</f>
        <v>12.6, 7.x, 8.x, 9.x</v>
      </c>
    </row>
    <row r="194" spans="1:19" ht="61" thickBot="1" x14ac:dyDescent="0.2">
      <c r="A194" s="71">
        <f t="shared" si="5"/>
        <v>192</v>
      </c>
      <c r="B194" s="95" t="s">
        <v>359</v>
      </c>
      <c r="C194" s="78" t="str">
        <f>VLOOKUP(B194,'HECVAT - Full'!A:E,2,FALSE)</f>
        <v>Do you have documented information security policy?</v>
      </c>
      <c r="D194" s="71">
        <f>VLOOKUP(B194,'HECVAT - Full'!A:E,4,FALSE)</f>
        <v>0</v>
      </c>
      <c r="E194" s="79" t="b">
        <f>IF(Table1[[#This Row],[Column11]]&gt;20,TRUE,FALSE)</f>
        <v>1</v>
      </c>
      <c r="F194" s="79" t="s">
        <v>2041</v>
      </c>
      <c r="G194" s="80" t="s">
        <v>17</v>
      </c>
      <c r="H194" s="81">
        <v>1</v>
      </c>
      <c r="I194" s="71">
        <f>VLOOKUP(B194,'HECVAT - Full'!A:E,3,FALSE)</f>
        <v>0</v>
      </c>
      <c r="J194" s="71">
        <f>IF(Table1[[#This Row],[Column7]]=Table1[[#This Row],[Column9]],1,0)</f>
        <v>0</v>
      </c>
      <c r="K194" s="71">
        <f>IF(Table1[[#This Row],[Column8]]=1,25,"")</f>
        <v>25</v>
      </c>
      <c r="L194" s="71">
        <f>IF(Table1[[#This Row],[Column8]]=1,J194*K194,"")</f>
        <v>0</v>
      </c>
      <c r="M194" s="72" t="str">
        <f>VLOOKUP($B194,'Standards Crosswalk'!$A:$H,3,FALSE)</f>
        <v>CSC 17</v>
      </c>
      <c r="N194" s="72" t="str">
        <f>VLOOKUP($B194,'Standards Crosswalk'!$A:$H,4,FALSE)</f>
        <v>§164.308(a)(1)(i)</v>
      </c>
      <c r="O194" s="72" t="str">
        <f>VLOOKUP($B194,'Standards Crosswalk'!$A:$H,5,FALSE)</f>
        <v>5.1.1</v>
      </c>
      <c r="P194" s="72" t="str">
        <f>VLOOKUP($B194,'Standards Crosswalk'!$A:$H,6,FALSE)</f>
        <v>ID.GV-3</v>
      </c>
      <c r="Q194" s="72">
        <f>VLOOKUP($B194,'Standards Crosswalk'!$A:$H,7,FALSE)</f>
        <v>0</v>
      </c>
      <c r="R194" s="72" t="str">
        <f>VLOOKUP($B194,'Standards Crosswalk'!$A:$H,8,FALSE)</f>
        <v>CA-5, PM-1</v>
      </c>
      <c r="S194" s="72" t="str">
        <f>VLOOKUP($B194,'Standards Crosswalk'!$A:$I,9,FALSE)</f>
        <v>12.1, 5.4 (?)</v>
      </c>
    </row>
    <row r="195" spans="1:19" ht="61" thickBot="1" x14ac:dyDescent="0.2">
      <c r="A195" s="71">
        <f t="shared" si="5"/>
        <v>193</v>
      </c>
      <c r="B195" s="95" t="s">
        <v>360</v>
      </c>
      <c r="C195" s="78" t="str">
        <f>VLOOKUP(B195,'HECVAT - Full'!A:E,2,FALSE)</f>
        <v>Do you have an information security awareness program?</v>
      </c>
      <c r="D195" s="71">
        <f>VLOOKUP(B195,'HECVAT - Full'!A:E,4,FALSE)</f>
        <v>0</v>
      </c>
      <c r="E195" s="79" t="b">
        <f>IF(Table1[[#This Row],[Column11]]&gt;20,TRUE,FALSE)</f>
        <v>1</v>
      </c>
      <c r="F195" s="79" t="s">
        <v>2041</v>
      </c>
      <c r="G195" s="80" t="s">
        <v>17</v>
      </c>
      <c r="H195" s="81">
        <v>1</v>
      </c>
      <c r="I195" s="71">
        <f>VLOOKUP(B195,'HECVAT - Full'!A:E,3,FALSE)</f>
        <v>0</v>
      </c>
      <c r="J195" s="71">
        <f>IF(Table1[[#This Row],[Column7]]=Table1[[#This Row],[Column9]],1,0)</f>
        <v>0</v>
      </c>
      <c r="K195" s="71">
        <f>IF(Table1[[#This Row],[Column8]]=1,25,"")</f>
        <v>25</v>
      </c>
      <c r="L195" s="71">
        <f>IF(Table1[[#This Row],[Column8]]=1,J195*K195,"")</f>
        <v>0</v>
      </c>
      <c r="M195" s="72" t="str">
        <f>VLOOKUP($B195,'Standards Crosswalk'!$A:$H,3,FALSE)</f>
        <v>CSC 17</v>
      </c>
      <c r="N195" s="72" t="str">
        <f>VLOOKUP($B195,'Standards Crosswalk'!$A:$H,4,FALSE)</f>
        <v>§164.308(a)(5)(i)</v>
      </c>
      <c r="O195" s="72" t="str">
        <f>VLOOKUP($B195,'Standards Crosswalk'!$A:$H,5,FALSE)</f>
        <v>7.2.2</v>
      </c>
      <c r="P195" s="72" t="str">
        <f>VLOOKUP($B195,'Standards Crosswalk'!$A:$H,6,FALSE)</f>
        <v>PR.AT-1</v>
      </c>
      <c r="Q195" s="72" t="str">
        <f>VLOOKUP($B195,'Standards Crosswalk'!$A:$H,7,FALSE)</f>
        <v>3.2.1</v>
      </c>
      <c r="R195" s="72" t="str">
        <f>VLOOKUP($B195,'Standards Crosswalk'!$A:$H,8,FALSE)</f>
        <v>AT-2, CA-5, PM-1</v>
      </c>
      <c r="S195" s="72">
        <f>VLOOKUP($B195,'Standards Crosswalk'!$A:$I,9,FALSE)</f>
        <v>12.6</v>
      </c>
    </row>
    <row r="196" spans="1:19" ht="61" thickBot="1" x14ac:dyDescent="0.2">
      <c r="A196" s="71">
        <f t="shared" ref="A196:A259" si="6">A195+1</f>
        <v>194</v>
      </c>
      <c r="B196" s="95" t="s">
        <v>361</v>
      </c>
      <c r="C196" s="78" t="str">
        <f>VLOOKUP(B196,'HECVAT - Full'!A:E,2,FALSE)</f>
        <v>Is security awareness training mandatory for all employees?</v>
      </c>
      <c r="D196" s="71">
        <f>VLOOKUP(B196,'HECVAT - Full'!A:E,4,FALSE)</f>
        <v>0</v>
      </c>
      <c r="E196" s="79" t="b">
        <f>IF(Table1[[#This Row],[Column11]]&gt;20,TRUE,FALSE)</f>
        <v>0</v>
      </c>
      <c r="F196" s="79" t="s">
        <v>2041</v>
      </c>
      <c r="G196" s="80" t="s">
        <v>17</v>
      </c>
      <c r="H196" s="81">
        <v>1</v>
      </c>
      <c r="I196" s="71">
        <f>VLOOKUP(B196,'HECVAT - Full'!A:E,3,FALSE)</f>
        <v>0</v>
      </c>
      <c r="J196" s="71">
        <f>IF(Table1[[#This Row],[Column7]]=Table1[[#This Row],[Column9]],1,0)</f>
        <v>0</v>
      </c>
      <c r="K196" s="71">
        <f>IF(Table1[[#This Row],[Column8]]=1,20,"")</f>
        <v>20</v>
      </c>
      <c r="L196" s="71">
        <f>IF(Table1[[#This Row],[Column8]]=1,J196*K196,"")</f>
        <v>0</v>
      </c>
      <c r="M196" s="72" t="str">
        <f>VLOOKUP($B196,'Standards Crosswalk'!$A:$H,3,FALSE)</f>
        <v>CSC 17</v>
      </c>
      <c r="N196" s="72" t="str">
        <f>VLOOKUP($B196,'Standards Crosswalk'!$A:$H,4,FALSE)</f>
        <v>§164.308(a)(5)(i)</v>
      </c>
      <c r="O196" s="72" t="str">
        <f>VLOOKUP($B196,'Standards Crosswalk'!$A:$H,5,FALSE)</f>
        <v>7.2.2</v>
      </c>
      <c r="P196" s="72" t="str">
        <f>VLOOKUP($B196,'Standards Crosswalk'!$A:$H,6,FALSE)</f>
        <v>PR.AT-1</v>
      </c>
      <c r="Q196" s="72" t="str">
        <f>VLOOKUP($B196,'Standards Crosswalk'!$A:$H,7,FALSE)</f>
        <v>3.2.1, 3.2.2, 3.2.3</v>
      </c>
      <c r="R196" s="72" t="str">
        <f>VLOOKUP($B196,'Standards Crosswalk'!$A:$H,8,FALSE)</f>
        <v>AT-2, AT-3, CA-5, PM-1</v>
      </c>
      <c r="S196" s="72">
        <f>VLOOKUP($B196,'Standards Crosswalk'!$A:$I,9,FALSE)</f>
        <v>12.6</v>
      </c>
    </row>
    <row r="197" spans="1:19" ht="76" thickBot="1" x14ac:dyDescent="0.2">
      <c r="A197" s="71">
        <f t="shared" si="6"/>
        <v>195</v>
      </c>
      <c r="B197" s="95" t="s">
        <v>362</v>
      </c>
      <c r="C197" s="78" t="str">
        <f>VLOOKUP(B197,'HECVAT - Full'!A:E,2,FALSE)</f>
        <v>Do you have process and procedure(s) documented, and currently followed, that require a review and update of the access-list(s) for privileged accounts?</v>
      </c>
      <c r="D197" s="71">
        <f>VLOOKUP(B197,'HECVAT - Full'!A:E,4,FALSE)</f>
        <v>0</v>
      </c>
      <c r="E197" s="79" t="b">
        <f>IF(Table1[[#This Row],[Column11]]&gt;20,TRUE,FALSE)</f>
        <v>0</v>
      </c>
      <c r="F197" s="79" t="s">
        <v>2041</v>
      </c>
      <c r="G197" s="80" t="s">
        <v>17</v>
      </c>
      <c r="H197" s="81">
        <v>1</v>
      </c>
      <c r="I197" s="71">
        <f>VLOOKUP(B197,'HECVAT - Full'!A:E,3,FALSE)</f>
        <v>0</v>
      </c>
      <c r="J197" s="71">
        <f>IF(Table1[[#This Row],[Column7]]=Table1[[#This Row],[Column9]],1,0)</f>
        <v>0</v>
      </c>
      <c r="K197" s="71">
        <f>IF(Table1[[#This Row],[Column8]]=1,20,"")</f>
        <v>20</v>
      </c>
      <c r="L197" s="71">
        <f>IF(Table1[[#This Row],[Column8]]=1,J197*K197,"")</f>
        <v>0</v>
      </c>
      <c r="M197" s="72" t="str">
        <f>VLOOKUP($B197,'Standards Crosswalk'!$A:$H,3,FALSE)</f>
        <v>CSC 17</v>
      </c>
      <c r="N197" s="72">
        <f>VLOOKUP($B197,'Standards Crosswalk'!$A:$H,4,FALSE)</f>
        <v>0</v>
      </c>
      <c r="O197" s="72" t="str">
        <f>VLOOKUP($B197,'Standards Crosswalk'!$A:$H,5,FALSE)</f>
        <v>9.2.5</v>
      </c>
      <c r="P197" s="72" t="str">
        <f>VLOOKUP($B197,'Standards Crosswalk'!$A:$H,6,FALSE)</f>
        <v>PR.AC-4, PR.PT-3</v>
      </c>
      <c r="Q197" s="72" t="str">
        <f>VLOOKUP($B197,'Standards Crosswalk'!$A:$H,7,FALSE)</f>
        <v>3.1.7</v>
      </c>
      <c r="R197" s="72" t="str">
        <f>VLOOKUP($B197,'Standards Crosswalk'!$A:$H,8,FALSE)</f>
        <v>CA-5, PM-1</v>
      </c>
      <c r="S197" s="72" t="str">
        <f>VLOOKUP($B197,'Standards Crosswalk'!$A:$I,9,FALSE)</f>
        <v>12.1, 12.5, 12.6</v>
      </c>
    </row>
    <row r="198" spans="1:19" ht="93.75" customHeight="1" thickBot="1" x14ac:dyDescent="0.2">
      <c r="A198" s="71">
        <f t="shared" si="6"/>
        <v>196</v>
      </c>
      <c r="B198" s="95" t="s">
        <v>363</v>
      </c>
      <c r="C198" s="78" t="str">
        <f>VLOOKUP(B198,'HECVAT - Full'!A:E,2,FALSE)</f>
        <v>Do you have documented, and currently implemented, internal audit processes and procedures?</v>
      </c>
      <c r="D198" s="71">
        <f>VLOOKUP(B198,'HECVAT - Full'!A:E,4,FALSE)</f>
        <v>0</v>
      </c>
      <c r="E198" s="79" t="b">
        <f>IF(Table1[[#This Row],[Column11]]&gt;20,TRUE,FALSE)</f>
        <v>0</v>
      </c>
      <c r="F198" s="79" t="s">
        <v>2041</v>
      </c>
      <c r="G198" s="80" t="s">
        <v>17</v>
      </c>
      <c r="H198" s="81">
        <v>1</v>
      </c>
      <c r="I198" s="71">
        <f>VLOOKUP(B198,'HECVAT - Full'!A:E,3,FALSE)</f>
        <v>0</v>
      </c>
      <c r="J198" s="71">
        <f>IF(Table1[[#This Row],[Column7]]=Table1[[#This Row],[Column9]],1,0)</f>
        <v>0</v>
      </c>
      <c r="K198" s="71">
        <f>IF(Table1[[#This Row],[Column8]]=1,20,"")</f>
        <v>20</v>
      </c>
      <c r="L198" s="71">
        <f>IF(Table1[[#This Row],[Column8]]=1,J198*K198,"")</f>
        <v>0</v>
      </c>
      <c r="M198" s="72">
        <f>VLOOKUP($B198,'Standards Crosswalk'!$A:$H,3,FALSE)</f>
        <v>0</v>
      </c>
      <c r="N198" s="72">
        <f>VLOOKUP($B198,'Standards Crosswalk'!$A:$H,4,FALSE)</f>
        <v>0</v>
      </c>
      <c r="O198" s="72" t="str">
        <f>VLOOKUP($B198,'Standards Crosswalk'!$A:$H,5,FALSE)</f>
        <v>12.7.1</v>
      </c>
      <c r="P198" s="72">
        <f>VLOOKUP($B198,'Standards Crosswalk'!$A:$H,6,FALSE)</f>
        <v>0</v>
      </c>
      <c r="Q198" s="72">
        <f>VLOOKUP($B198,'Standards Crosswalk'!$A:$H,7,FALSE)</f>
        <v>0</v>
      </c>
      <c r="R198" s="72" t="str">
        <f>VLOOKUP($B198,'Standards Crosswalk'!$A:$H,8,FALSE)</f>
        <v>CA-5, PM-1, PS-4, PS-5, PE-2, PE-3, PE-5, AC-6, RA-3, SA-8, CA-2, NIST SP 800-37; NIST SP 800-39; NIST SP 800-115; NIST SP 800-137</v>
      </c>
      <c r="S198" s="72">
        <f>VLOOKUP($B198,'Standards Crosswalk'!$A:$I,9,FALSE)</f>
        <v>0</v>
      </c>
    </row>
    <row r="199" spans="1:19" ht="46" thickBot="1" x14ac:dyDescent="0.2">
      <c r="A199" s="71">
        <f t="shared" si="6"/>
        <v>197</v>
      </c>
      <c r="B199" s="77" t="s">
        <v>364</v>
      </c>
      <c r="C199" s="78" t="str">
        <f>VLOOKUP(B199,'HECVAT - Full'!A:E,2,FALSE)</f>
        <v>Do you incorporate customer feedback into security feature requests?</v>
      </c>
      <c r="D199" s="71">
        <f>VLOOKUP(B199,'HECVAT - Full'!A:E,4,FALSE)</f>
        <v>0</v>
      </c>
      <c r="E199" s="79" t="b">
        <f>IF(Table1[[#This Row],[Column11]]&gt;20,TRUE,FALSE)</f>
        <v>0</v>
      </c>
      <c r="F199" s="79" t="s">
        <v>2042</v>
      </c>
      <c r="G199" s="80" t="s">
        <v>17</v>
      </c>
      <c r="H199" s="81">
        <v>1</v>
      </c>
      <c r="I199" s="71">
        <f>VLOOKUP(B199,'HECVAT - Full'!A:E,3,FALSE)</f>
        <v>0</v>
      </c>
      <c r="J199" s="71">
        <f>IF(Table1[[#This Row],[Column7]]=Table1[[#This Row],[Column9]],1,0)</f>
        <v>0</v>
      </c>
      <c r="K199" s="71">
        <f>IF(Table1[[#This Row],[Column8]]=1,15,"")</f>
        <v>15</v>
      </c>
      <c r="L199" s="71">
        <f>IF(Table1[[#This Row],[Column8]]=1,J199*K199,"")</f>
        <v>0</v>
      </c>
      <c r="M199" s="72">
        <f>VLOOKUP($B199,'Standards Crosswalk'!$A:$H,3,FALSE)</f>
        <v>0</v>
      </c>
      <c r="N199" s="72">
        <f>VLOOKUP($B199,'Standards Crosswalk'!$A:$H,4,FALSE)</f>
        <v>0</v>
      </c>
      <c r="O199" s="72">
        <f>VLOOKUP($B199,'Standards Crosswalk'!$A:$H,5,FALSE)</f>
        <v>0</v>
      </c>
      <c r="P199" s="72">
        <f>VLOOKUP($B199,'Standards Crosswalk'!$A:$H,6,FALSE)</f>
        <v>0</v>
      </c>
      <c r="Q199" s="72">
        <f>VLOOKUP($B199,'Standards Crosswalk'!$A:$H,7,FALSE)</f>
        <v>0</v>
      </c>
      <c r="R199" s="72">
        <f>VLOOKUP($B199,'Standards Crosswalk'!$A:$H,8,FALSE)</f>
        <v>0</v>
      </c>
      <c r="S199" s="72">
        <f>VLOOKUP($B199,'Standards Crosswalk'!$A:$I,9,FALSE)</f>
        <v>0</v>
      </c>
    </row>
    <row r="200" spans="1:19" ht="31" thickBot="1" x14ac:dyDescent="0.2">
      <c r="A200" s="71">
        <f t="shared" si="6"/>
        <v>198</v>
      </c>
      <c r="B200" s="77" t="s">
        <v>365</v>
      </c>
      <c r="C200" s="78" t="str">
        <f>VLOOKUP(B200,'HECVAT - Full'!A:E,2,FALSE)</f>
        <v>Can you provide an evaluation site to the institution for testing?</v>
      </c>
      <c r="D200" s="71">
        <f>VLOOKUP(B200,'HECVAT - Full'!A:E,4,FALSE)</f>
        <v>0</v>
      </c>
      <c r="E200" s="79" t="b">
        <f>IF(Table1[[#This Row],[Column11]]&gt;20,TRUE,FALSE)</f>
        <v>0</v>
      </c>
      <c r="F200" s="79" t="s">
        <v>2042</v>
      </c>
      <c r="G200" s="80" t="s">
        <v>17</v>
      </c>
      <c r="H200" s="81">
        <v>1</v>
      </c>
      <c r="I200" s="71">
        <f>VLOOKUP(B200,'HECVAT - Full'!A:E,3,FALSE)</f>
        <v>0</v>
      </c>
      <c r="J200" s="71">
        <f>IF(Table1[[#This Row],[Column7]]=Table1[[#This Row],[Column9]],1,0)</f>
        <v>0</v>
      </c>
      <c r="K200" s="71">
        <f>IF(Table1[[#This Row],[Column8]]=1,15,"")</f>
        <v>15</v>
      </c>
      <c r="L200" s="71">
        <f>IF(Table1[[#This Row],[Column8]]=1,J200*K200,"")</f>
        <v>0</v>
      </c>
      <c r="M200" s="72">
        <f>VLOOKUP($B200,'Standards Crosswalk'!$A:$H,3,FALSE)</f>
        <v>0</v>
      </c>
      <c r="N200" s="72">
        <f>VLOOKUP($B200,'Standards Crosswalk'!$A:$H,4,FALSE)</f>
        <v>0</v>
      </c>
      <c r="O200" s="72">
        <f>VLOOKUP($B200,'Standards Crosswalk'!$A:$H,5,FALSE)</f>
        <v>0</v>
      </c>
      <c r="P200" s="72" t="str">
        <f>VLOOKUP($B200,'Standards Crosswalk'!$A:$H,6,FALSE)</f>
        <v>PR.DS-7</v>
      </c>
      <c r="Q200" s="72">
        <f>VLOOKUP($B200,'Standards Crosswalk'!$A:$H,7,FALSE)</f>
        <v>0</v>
      </c>
      <c r="R200" s="72">
        <f>VLOOKUP($B200,'Standards Crosswalk'!$A:$H,8,FALSE)</f>
        <v>0</v>
      </c>
      <c r="S200" s="72">
        <f>VLOOKUP($B200,'Standards Crosswalk'!$A:$I,9,FALSE)</f>
        <v>0</v>
      </c>
    </row>
    <row r="201" spans="1:19" ht="31" thickBot="1" x14ac:dyDescent="0.2">
      <c r="A201" s="71">
        <f t="shared" si="6"/>
        <v>199</v>
      </c>
      <c r="B201" s="77" t="s">
        <v>366</v>
      </c>
      <c r="C201" s="78" t="str">
        <f>VLOOKUP(B201,'HECVAT - Full'!A:E,2,FALSE)</f>
        <v>Provide a general summary of your Quality Assurance program.</v>
      </c>
      <c r="D201" s="71">
        <f>VLOOKUP(B201,'HECVAT - Full'!A:E,4,FALSE)</f>
        <v>0</v>
      </c>
      <c r="E201" s="79" t="b">
        <f>IF(Table1[[#This Row],[Column11]]&gt;20,TRUE,FALSE)</f>
        <v>0</v>
      </c>
      <c r="F201" s="79" t="s">
        <v>2043</v>
      </c>
      <c r="G201" s="80" t="s">
        <v>17</v>
      </c>
      <c r="H201" s="81">
        <v>1</v>
      </c>
      <c r="I201" s="71">
        <f>VLOOKUP(B201,'HECVAT - Full'!A:E,3,FALSE)</f>
        <v>0</v>
      </c>
      <c r="J201" s="71">
        <f>IF(VLOOKUP(Table1[[#This Row],[Column2]],'Analyst Report'!$A$41:$G$88,7,FALSE)="Yes",1,0)</f>
        <v>0</v>
      </c>
      <c r="K201" s="71">
        <f>IF(Table1[[#This Row],[Column8]]=1,15,"")</f>
        <v>15</v>
      </c>
      <c r="L201" s="71">
        <f>IF(Table1[[#This Row],[Column8]]=1,J201*K201,"")</f>
        <v>0</v>
      </c>
      <c r="M201" s="72" t="str">
        <f>VLOOKUP($B201,'Standards Crosswalk'!$A:$H,3,FALSE)</f>
        <v>CSC 13</v>
      </c>
      <c r="N201" s="72">
        <f>VLOOKUP($B201,'Standards Crosswalk'!$A:$H,4,FALSE)</f>
        <v>0</v>
      </c>
      <c r="O201" s="72">
        <f>VLOOKUP($B201,'Standards Crosswalk'!$A:$H,5,FALSE)</f>
        <v>0</v>
      </c>
      <c r="P201" s="72">
        <f>VLOOKUP($B201,'Standards Crosswalk'!$A:$H,6,FALSE)</f>
        <v>0</v>
      </c>
      <c r="Q201" s="72">
        <f>VLOOKUP($B201,'Standards Crosswalk'!$A:$H,7,FALSE)</f>
        <v>0</v>
      </c>
      <c r="R201" s="72">
        <f>VLOOKUP($B201,'Standards Crosswalk'!$A:$H,8,FALSE)</f>
        <v>0</v>
      </c>
      <c r="S201" s="72">
        <f>VLOOKUP($B201,'Standards Crosswalk'!$A:$I,9,FALSE)</f>
        <v>0</v>
      </c>
    </row>
    <row r="202" spans="1:19" ht="31" thickBot="1" x14ac:dyDescent="0.2">
      <c r="A202" s="71">
        <f t="shared" si="6"/>
        <v>200</v>
      </c>
      <c r="B202" s="77" t="s">
        <v>367</v>
      </c>
      <c r="C202" s="78" t="str">
        <f>VLOOKUP(B202,'HECVAT - Full'!A:E,2,FALSE)</f>
        <v>Do you comply with ISO 9001?</v>
      </c>
      <c r="D202" s="71">
        <f>VLOOKUP(B202,'HECVAT - Full'!A:E,4,FALSE)</f>
        <v>0</v>
      </c>
      <c r="E202" s="79" t="b">
        <f>IF(Table1[[#This Row],[Column11]]&gt;20,TRUE,FALSE)</f>
        <v>0</v>
      </c>
      <c r="F202" s="79" t="s">
        <v>2043</v>
      </c>
      <c r="G202" s="80" t="s">
        <v>17</v>
      </c>
      <c r="H202" s="81">
        <v>1</v>
      </c>
      <c r="I202" s="71">
        <f>VLOOKUP(B202,'HECVAT - Full'!A:E,3,FALSE)</f>
        <v>0</v>
      </c>
      <c r="J202" s="71">
        <f>IF(Table1[[#This Row],[Column7]]=Table1[[#This Row],[Column9]],1,0)</f>
        <v>0</v>
      </c>
      <c r="K202" s="71">
        <f>IF(Table1[[#This Row],[Column8]]=1,15,"")</f>
        <v>15</v>
      </c>
      <c r="L202" s="71">
        <f>IF(Table1[[#This Row],[Column8]]=1,J202*K202,"")</f>
        <v>0</v>
      </c>
      <c r="M202" s="72" t="str">
        <f>VLOOKUP($B202,'Standards Crosswalk'!$A:$H,3,FALSE)</f>
        <v>CSC 13</v>
      </c>
      <c r="N202" s="72">
        <f>VLOOKUP($B202,'Standards Crosswalk'!$A:$H,4,FALSE)</f>
        <v>0</v>
      </c>
      <c r="O202" s="72" t="str">
        <f>VLOOKUP($B202,'Standards Crosswalk'!$A:$H,5,FALSE)</f>
        <v>18.1.1</v>
      </c>
      <c r="P202" s="72">
        <f>VLOOKUP($B202,'Standards Crosswalk'!$A:$H,6,FALSE)</f>
        <v>0</v>
      </c>
      <c r="Q202" s="72">
        <f>VLOOKUP($B202,'Standards Crosswalk'!$A:$H,7,FALSE)</f>
        <v>0</v>
      </c>
      <c r="R202" s="72">
        <f>VLOOKUP($B202,'Standards Crosswalk'!$A:$H,8,FALSE)</f>
        <v>0</v>
      </c>
      <c r="S202" s="72">
        <f>VLOOKUP($B202,'Standards Crosswalk'!$A:$I,9,FALSE)</f>
        <v>0</v>
      </c>
    </row>
    <row r="203" spans="1:19" ht="76" thickBot="1" x14ac:dyDescent="0.2">
      <c r="A203" s="71">
        <f t="shared" si="6"/>
        <v>201</v>
      </c>
      <c r="B203" s="77" t="s">
        <v>368</v>
      </c>
      <c r="C203" s="78" t="str">
        <f>VLOOKUP(B203,'HECVAT - Full'!A:E,2,FALSE)</f>
        <v>Will your company provide quality and performance metrics in relation to the scope of services and performance expectations for the services you are offering?</v>
      </c>
      <c r="D203" s="71">
        <f>VLOOKUP(B203,'HECVAT - Full'!A:E,4,FALSE)</f>
        <v>0</v>
      </c>
      <c r="E203" s="79" t="b">
        <f>IF(Table1[[#This Row],[Column11]]&gt;20,TRUE,FALSE)</f>
        <v>0</v>
      </c>
      <c r="F203" s="79" t="s">
        <v>2043</v>
      </c>
      <c r="G203" s="80" t="s">
        <v>17</v>
      </c>
      <c r="H203" s="81">
        <v>1</v>
      </c>
      <c r="I203" s="71">
        <f>VLOOKUP(B203,'HECVAT - Full'!A:E,3,FALSE)</f>
        <v>0</v>
      </c>
      <c r="J203" s="71">
        <f>IF(Table1[[#This Row],[Column7]]=Table1[[#This Row],[Column9]],1,0)</f>
        <v>0</v>
      </c>
      <c r="K203" s="71">
        <f>IF(Table1[[#This Row],[Column8]]=1,15,"")</f>
        <v>15</v>
      </c>
      <c r="L203" s="71">
        <f>IF(Table1[[#This Row],[Column8]]=1,J203*K203,"")</f>
        <v>0</v>
      </c>
      <c r="M203" s="72" t="str">
        <f>VLOOKUP($B203,'Standards Crosswalk'!$A:$H,3,FALSE)</f>
        <v>CSC 13</v>
      </c>
      <c r="N203" s="72">
        <f>VLOOKUP($B203,'Standards Crosswalk'!$A:$H,4,FALSE)</f>
        <v>0</v>
      </c>
      <c r="O203" s="72">
        <f>VLOOKUP($B203,'Standards Crosswalk'!$A:$H,5,FALSE)</f>
        <v>0</v>
      </c>
      <c r="P203" s="72">
        <f>VLOOKUP($B203,'Standards Crosswalk'!$A:$H,6,FALSE)</f>
        <v>0</v>
      </c>
      <c r="Q203" s="72">
        <f>VLOOKUP($B203,'Standards Crosswalk'!$A:$H,7,FALSE)</f>
        <v>0</v>
      </c>
      <c r="R203" s="72">
        <f>VLOOKUP($B203,'Standards Crosswalk'!$A:$H,8,FALSE)</f>
        <v>0</v>
      </c>
      <c r="S203" s="72">
        <f>VLOOKUP($B203,'Standards Crosswalk'!$A:$I,9,FALSE)</f>
        <v>0</v>
      </c>
    </row>
    <row r="204" spans="1:19" ht="46" thickBot="1" x14ac:dyDescent="0.2">
      <c r="A204" s="71">
        <f t="shared" si="6"/>
        <v>202</v>
      </c>
      <c r="B204" s="77" t="s">
        <v>369</v>
      </c>
      <c r="C204" s="78" t="str">
        <f>VLOOKUP(B204,'HECVAT - Full'!A:E,2,FALSE)</f>
        <v>Have you supplied products and/or services to the Institution (or its Campuses) in the last five years?</v>
      </c>
      <c r="D204" s="71">
        <f>VLOOKUP(B204,'HECVAT - Full'!A:E,4,FALSE)</f>
        <v>0</v>
      </c>
      <c r="E204" s="79" t="b">
        <f>IF(Table1[[#This Row],[Column11]]&gt;20,TRUE,FALSE)</f>
        <v>0</v>
      </c>
      <c r="F204" s="79" t="s">
        <v>2043</v>
      </c>
      <c r="G204" s="80" t="s">
        <v>17</v>
      </c>
      <c r="H204" s="81">
        <v>1</v>
      </c>
      <c r="I204" s="71">
        <f>VLOOKUP(B204,'HECVAT - Full'!A:E,3,FALSE)</f>
        <v>0</v>
      </c>
      <c r="J204" s="71">
        <f>IF(Table1[[#This Row],[Column7]]=Table1[[#This Row],[Column9]],1,0)</f>
        <v>0</v>
      </c>
      <c r="K204" s="71">
        <f>IF(Table1[[#This Row],[Column8]]=1,15,"")</f>
        <v>15</v>
      </c>
      <c r="L204" s="71">
        <f>IF(Table1[[#This Row],[Column8]]=1,J204*K204,"")</f>
        <v>0</v>
      </c>
      <c r="M204" s="72">
        <f>VLOOKUP($B204,'Standards Crosswalk'!$A:$H,3,FALSE)</f>
        <v>0</v>
      </c>
      <c r="N204" s="72">
        <f>VLOOKUP($B204,'Standards Crosswalk'!$A:$H,4,FALSE)</f>
        <v>0</v>
      </c>
      <c r="O204" s="72">
        <f>VLOOKUP($B204,'Standards Crosswalk'!$A:$H,5,FALSE)</f>
        <v>0</v>
      </c>
      <c r="P204" s="72">
        <f>VLOOKUP($B204,'Standards Crosswalk'!$A:$H,6,FALSE)</f>
        <v>0</v>
      </c>
      <c r="Q204" s="72">
        <f>VLOOKUP($B204,'Standards Crosswalk'!$A:$H,7,FALSE)</f>
        <v>0</v>
      </c>
      <c r="R204" s="72">
        <f>VLOOKUP($B204,'Standards Crosswalk'!$A:$H,8,FALSE)</f>
        <v>0</v>
      </c>
      <c r="S204" s="72">
        <f>VLOOKUP($B204,'Standards Crosswalk'!$A:$I,9,FALSE)</f>
        <v>0</v>
      </c>
    </row>
    <row r="205" spans="1:19" ht="46" thickBot="1" x14ac:dyDescent="0.2">
      <c r="A205" s="71">
        <f t="shared" si="6"/>
        <v>203</v>
      </c>
      <c r="B205" s="77" t="s">
        <v>370</v>
      </c>
      <c r="C205" s="78" t="str">
        <f>VLOOKUP(B205,'HECVAT - Full'!A:E,2,FALSE)</f>
        <v>Do you have a program to keep your customers abreast of higher education and/or industry issues?</v>
      </c>
      <c r="D205" s="71">
        <f>VLOOKUP(B205,'HECVAT - Full'!A:E,4,FALSE)</f>
        <v>0</v>
      </c>
      <c r="E205" s="79" t="b">
        <f>IF(Table1[[#This Row],[Column11]]&gt;20,TRUE,FALSE)</f>
        <v>0</v>
      </c>
      <c r="F205" s="79" t="s">
        <v>2043</v>
      </c>
      <c r="G205" s="80" t="s">
        <v>17</v>
      </c>
      <c r="H205" s="81">
        <v>1</v>
      </c>
      <c r="I205" s="71">
        <f>VLOOKUP(B205,'HECVAT - Full'!A:E,3,FALSE)</f>
        <v>0</v>
      </c>
      <c r="J205" s="71">
        <f>IF(Table1[[#This Row],[Column7]]=Table1[[#This Row],[Column9]],1,0)</f>
        <v>0</v>
      </c>
      <c r="K205" s="71">
        <f>IF(Table1[[#This Row],[Column8]]=1,15,"")</f>
        <v>15</v>
      </c>
      <c r="L205" s="71">
        <f>IF(Table1[[#This Row],[Column8]]=1,J205*K205,"")</f>
        <v>0</v>
      </c>
      <c r="M205" s="72" t="str">
        <f>VLOOKUP($B205,'Standards Crosswalk'!$A:$H,3,FALSE)</f>
        <v>CSC 17</v>
      </c>
      <c r="N205" s="72">
        <f>VLOOKUP($B205,'Standards Crosswalk'!$A:$H,4,FALSE)</f>
        <v>0</v>
      </c>
      <c r="O205" s="72">
        <f>VLOOKUP($B205,'Standards Crosswalk'!$A:$H,5,FALSE)</f>
        <v>0</v>
      </c>
      <c r="P205" s="72">
        <f>VLOOKUP($B205,'Standards Crosswalk'!$A:$H,6,FALSE)</f>
        <v>0</v>
      </c>
      <c r="Q205" s="72">
        <f>VLOOKUP($B205,'Standards Crosswalk'!$A:$H,7,FALSE)</f>
        <v>0</v>
      </c>
      <c r="R205" s="72">
        <f>VLOOKUP($B205,'Standards Crosswalk'!$A:$H,8,FALSE)</f>
        <v>0</v>
      </c>
      <c r="S205" s="72">
        <f>VLOOKUP($B205,'Standards Crosswalk'!$A:$I,9,FALSE)</f>
        <v>0</v>
      </c>
    </row>
    <row r="206" spans="1:19" ht="76" thickBot="1" x14ac:dyDescent="0.2">
      <c r="A206" s="71">
        <f t="shared" si="6"/>
        <v>204</v>
      </c>
      <c r="B206" s="77" t="s">
        <v>371</v>
      </c>
      <c r="C206" s="78" t="str">
        <f>VLOOKUP(B206,'HECVAT - Full'!A:E,2,FALSE)</f>
        <v>Are systems that support this service managed via a separate management network?</v>
      </c>
      <c r="D206" s="71">
        <f>VLOOKUP(B206,'HECVAT - Full'!A:E,4,FALSE)</f>
        <v>0</v>
      </c>
      <c r="E206" s="79" t="b">
        <f>IF(Table1[[#This Row],[Column11]]&gt;20,TRUE,FALSE)</f>
        <v>1</v>
      </c>
      <c r="F206" s="79" t="s">
        <v>2044</v>
      </c>
      <c r="G206" s="80" t="s">
        <v>17</v>
      </c>
      <c r="H206" s="81">
        <v>1</v>
      </c>
      <c r="I206" s="71">
        <f>VLOOKUP(B206,'HECVAT - Full'!A:E,3,FALSE)</f>
        <v>0</v>
      </c>
      <c r="J206" s="71">
        <f>IF(Table1[[#This Row],[Column7]]=Table1[[#This Row],[Column9]],1,0)</f>
        <v>0</v>
      </c>
      <c r="K206" s="71">
        <f>IF(Table1[[#This Row],[Column8]]=1,25,"")</f>
        <v>25</v>
      </c>
      <c r="L206" s="71">
        <f>IF(Table1[[#This Row],[Column8]]=1,J206*K206,"")</f>
        <v>0</v>
      </c>
      <c r="M206" s="72" t="str">
        <f>VLOOKUP($B206,'Standards Crosswalk'!$A:$H,3,FALSE)</f>
        <v>CSC 12</v>
      </c>
      <c r="N206" s="72">
        <f>VLOOKUP($B206,'Standards Crosswalk'!$A:$H,4,FALSE)</f>
        <v>0</v>
      </c>
      <c r="O206" s="72" t="str">
        <f>VLOOKUP($B206,'Standards Crosswalk'!$A:$H,5,FALSE)</f>
        <v>13.1.1</v>
      </c>
      <c r="P206" s="72" t="str">
        <f>VLOOKUP($B206,'Standards Crosswalk'!$A:$H,6,FALSE)</f>
        <v>PR.PT-4</v>
      </c>
      <c r="Q206" s="72" t="str">
        <f>VLOOKUP($B206,'Standards Crosswalk'!$A:$H,7,FALSE)</f>
        <v>3.1.3</v>
      </c>
      <c r="R206" s="72" t="str">
        <f>VLOOKUP($B206,'Standards Crosswalk'!$A:$H,8,FALSE)</f>
        <v>AC-4</v>
      </c>
      <c r="S206" s="72">
        <f>VLOOKUP($B206,'Standards Crosswalk'!$A:$I,9,FALSE)</f>
        <v>0</v>
      </c>
    </row>
    <row r="207" spans="1:19" ht="76" thickBot="1" x14ac:dyDescent="0.2">
      <c r="A207" s="71">
        <f t="shared" si="6"/>
        <v>205</v>
      </c>
      <c r="B207" s="77" t="s">
        <v>372</v>
      </c>
      <c r="C207" s="78" t="str">
        <f>VLOOKUP(B207,'HECVAT - Full'!A:E,2,FALSE)</f>
        <v>Do you have an implemented system configuration management process? (e.g. secure "gold" images, etc.)</v>
      </c>
      <c r="D207" s="71">
        <f>VLOOKUP(B207,'HECVAT - Full'!A:E,4,FALSE)</f>
        <v>0</v>
      </c>
      <c r="E207" s="79" t="b">
        <f>IF(Table1[[#This Row],[Column11]]&gt;20,TRUE,FALSE)</f>
        <v>0</v>
      </c>
      <c r="F207" s="79" t="s">
        <v>2044</v>
      </c>
      <c r="G207" s="80" t="s">
        <v>17</v>
      </c>
      <c r="H207" s="81">
        <v>1</v>
      </c>
      <c r="I207" s="71">
        <f>VLOOKUP(B207,'HECVAT - Full'!A:E,3,FALSE)</f>
        <v>0</v>
      </c>
      <c r="J207" s="71">
        <f>IF(Table1[[#This Row],[Column7]]=Table1[[#This Row],[Column9]],1,0)</f>
        <v>0</v>
      </c>
      <c r="K207" s="71">
        <f>IF(Table1[[#This Row],[Column8]]=1,10,"")</f>
        <v>10</v>
      </c>
      <c r="L207" s="71">
        <f>IF(Table1[[#This Row],[Column8]]=1,J207*K207,"")</f>
        <v>0</v>
      </c>
      <c r="M207" s="72" t="str">
        <f>VLOOKUP($B207,'Standards Crosswalk'!$A:$H,3,FALSE)</f>
        <v>CSC 3</v>
      </c>
      <c r="N207" s="72">
        <f>VLOOKUP($B207,'Standards Crosswalk'!$A:$H,4,FALSE)</f>
        <v>0</v>
      </c>
      <c r="O207" s="72">
        <f>VLOOKUP($B207,'Standards Crosswalk'!$A:$H,5,FALSE)</f>
        <v>0</v>
      </c>
      <c r="P207" s="72" t="str">
        <f>VLOOKUP($B207,'Standards Crosswalk'!$A:$H,6,FALSE)</f>
        <v>PR.IP-1</v>
      </c>
      <c r="Q207" s="72" t="str">
        <f>VLOOKUP($B207,'Standards Crosswalk'!$A:$H,7,FALSE)</f>
        <v>3.4.1, 3.4.2, 3.4.3</v>
      </c>
      <c r="R207" s="72" t="str">
        <f>VLOOKUP($B207,'Standards Crosswalk'!$A:$H,8,FALSE)</f>
        <v>CM-2, CM-3, CM-6, CM-8</v>
      </c>
      <c r="S207" s="72">
        <f>VLOOKUP($B207,'Standards Crosswalk'!$A:$I,9,FALSE)</f>
        <v>0</v>
      </c>
    </row>
    <row r="208" spans="1:19" ht="76" thickBot="1" x14ac:dyDescent="0.2">
      <c r="A208" s="71">
        <f t="shared" si="6"/>
        <v>206</v>
      </c>
      <c r="B208" s="77" t="s">
        <v>373</v>
      </c>
      <c r="C208" s="78" t="str">
        <f>VLOOKUP(B208,'HECVAT - Full'!A:E,2,FALSE)</f>
        <v>Are employee mobile devices managed by your company's Mobile Device Management (MDM) platform?</v>
      </c>
      <c r="D208" s="71">
        <f>VLOOKUP(B208,'HECVAT - Full'!A:E,4,FALSE)</f>
        <v>0</v>
      </c>
      <c r="E208" s="79" t="b">
        <f>IF(Table1[[#This Row],[Column11]]&gt;20,TRUE,FALSE)</f>
        <v>0</v>
      </c>
      <c r="F208" s="79" t="s">
        <v>2044</v>
      </c>
      <c r="G208" s="80" t="s">
        <v>17</v>
      </c>
      <c r="H208" s="81">
        <v>1</v>
      </c>
      <c r="I208" s="71">
        <f>VLOOKUP(B208,'HECVAT - Full'!A:E,3,FALSE)</f>
        <v>0</v>
      </c>
      <c r="J208" s="71">
        <f>IF(Table1[[#This Row],[Column7]]=Table1[[#This Row],[Column9]],1,0)</f>
        <v>0</v>
      </c>
      <c r="K208" s="71">
        <f>IF(Table1[[#This Row],[Column8]]=1,15,"")</f>
        <v>15</v>
      </c>
      <c r="L208" s="71">
        <f>IF(Table1[[#This Row],[Column8]]=1,J208*K208,"")</f>
        <v>0</v>
      </c>
      <c r="M208" s="72" t="str">
        <f>VLOOKUP($B208,'Standards Crosswalk'!$A:$H,3,FALSE)</f>
        <v>CSC 3</v>
      </c>
      <c r="N208" s="72">
        <f>VLOOKUP($B208,'Standards Crosswalk'!$A:$H,4,FALSE)</f>
        <v>0</v>
      </c>
      <c r="O208" s="72" t="str">
        <f>VLOOKUP($B208,'Standards Crosswalk'!$A:$H,5,FALSE)</f>
        <v>6.2.1</v>
      </c>
      <c r="P208" s="72">
        <f>VLOOKUP($B208,'Standards Crosswalk'!$A:$H,6,FALSE)</f>
        <v>0</v>
      </c>
      <c r="Q208" s="72" t="str">
        <f>VLOOKUP($B208,'Standards Crosswalk'!$A:$H,7,FALSE)</f>
        <v>3.13.13</v>
      </c>
      <c r="R208" s="72">
        <f>VLOOKUP($B208,'Standards Crosswalk'!$A:$H,8,FALSE)</f>
        <v>0</v>
      </c>
      <c r="S208" s="72">
        <f>VLOOKUP($B208,'Standards Crosswalk'!$A:$I,9,FALSE)</f>
        <v>0</v>
      </c>
    </row>
    <row r="209" spans="1:19" ht="76" thickBot="1" x14ac:dyDescent="0.2">
      <c r="A209" s="71">
        <f t="shared" si="6"/>
        <v>207</v>
      </c>
      <c r="B209" s="77" t="s">
        <v>374</v>
      </c>
      <c r="C209" s="78" t="str">
        <f>VLOOKUP(B209,'HECVAT - Full'!A:E,2,FALSE)</f>
        <v>Do you have a systems management and configuration strategy that encompasses servers, appliances, and mobile devices (company and employee owned)?</v>
      </c>
      <c r="D209" s="71">
        <f>VLOOKUP(B209,'HECVAT - Full'!A:E,4,FALSE)</f>
        <v>0</v>
      </c>
      <c r="E209" s="79" t="b">
        <f>IF(Table1[[#This Row],[Column11]]&gt;20,TRUE,FALSE)</f>
        <v>0</v>
      </c>
      <c r="F209" s="79" t="s">
        <v>2044</v>
      </c>
      <c r="G209" s="80" t="s">
        <v>17</v>
      </c>
      <c r="H209" s="81">
        <v>1</v>
      </c>
      <c r="I209" s="71">
        <f>VLOOKUP(B209,'HECVAT - Full'!A:E,3,FALSE)</f>
        <v>0</v>
      </c>
      <c r="J209" s="71">
        <f>IF(Table1[[#This Row],[Column7]]=Table1[[#This Row],[Column9]],1,0)</f>
        <v>0</v>
      </c>
      <c r="K209" s="71">
        <f>IF(Table1[[#This Row],[Column8]]=1,20,"")</f>
        <v>20</v>
      </c>
      <c r="L209" s="71">
        <f>IF(Table1[[#This Row],[Column8]]=1,J209*K209,"")</f>
        <v>0</v>
      </c>
      <c r="M209" s="72" t="str">
        <f>VLOOKUP($B209,'Standards Crosswalk'!$A:$H,3,FALSE)</f>
        <v>CSC 3</v>
      </c>
      <c r="N209" s="72">
        <f>VLOOKUP($B209,'Standards Crosswalk'!$A:$H,4,FALSE)</f>
        <v>0</v>
      </c>
      <c r="O209" s="72" t="str">
        <f>VLOOKUP($B209,'Standards Crosswalk'!$A:$H,5,FALSE)</f>
        <v>12.1.1</v>
      </c>
      <c r="P209" s="72" t="str">
        <f>VLOOKUP($B209,'Standards Crosswalk'!$A:$H,6,FALSE)</f>
        <v>PR.IP-1, PR.IP-2</v>
      </c>
      <c r="Q209" s="72" t="str">
        <f>VLOOKUP($B209,'Standards Crosswalk'!$A:$H,7,FALSE)</f>
        <v>3.1.18, 3.7.1, 3.13.13</v>
      </c>
      <c r="R209" s="72" t="str">
        <f>VLOOKUP($B209,'Standards Crosswalk'!$A:$H,8,FALSE)</f>
        <v>CM-2, CM-6, CM-3, AC-19, MA-2</v>
      </c>
      <c r="S209" s="72">
        <f>VLOOKUP($B209,'Standards Crosswalk'!$A:$I,9,FALSE)</f>
        <v>0</v>
      </c>
    </row>
    <row r="210" spans="1:19" ht="46" thickBot="1" x14ac:dyDescent="0.2">
      <c r="A210" s="71">
        <f t="shared" si="6"/>
        <v>208</v>
      </c>
      <c r="B210" s="77" t="s">
        <v>375</v>
      </c>
      <c r="C210" s="78" t="str">
        <f>VLOOKUP(B210,'HECVAT - Full'!A:E,2,FALSE)</f>
        <v>Are your applications scanned externally for vulnerabilities?</v>
      </c>
      <c r="D210" s="71">
        <f>VLOOKUP(B210,'HECVAT - Full'!A:E,4,FALSE)</f>
        <v>0</v>
      </c>
      <c r="E210" s="79" t="b">
        <f>IF(Table1[[#This Row],[Column11]]&gt;20,TRUE,FALSE)</f>
        <v>1</v>
      </c>
      <c r="F210" s="79" t="s">
        <v>2045</v>
      </c>
      <c r="G210" s="80" t="s">
        <v>17</v>
      </c>
      <c r="H210" s="81">
        <v>1</v>
      </c>
      <c r="I210" s="71">
        <f>VLOOKUP(B210,'HECVAT - Full'!A:E,3,FALSE)</f>
        <v>0</v>
      </c>
      <c r="J210" s="71">
        <f>IF(Table1[[#This Row],[Column7]]=Table1[[#This Row],[Column9]],1,0)</f>
        <v>0</v>
      </c>
      <c r="K210" s="71">
        <f>IF(Table1[[#This Row],[Column8]]=1,25,"")</f>
        <v>25</v>
      </c>
      <c r="L210" s="71">
        <f>IF(Table1[[#This Row],[Column8]]=1,J210*K210,"")</f>
        <v>0</v>
      </c>
      <c r="M210" s="72" t="str">
        <f>VLOOKUP($B210,'Standards Crosswalk'!$A:$H,3,FALSE)</f>
        <v>CSC 4</v>
      </c>
      <c r="N210" s="72">
        <f>VLOOKUP($B210,'Standards Crosswalk'!$A:$H,4,FALSE)</f>
        <v>0</v>
      </c>
      <c r="O210" s="72" t="str">
        <f>VLOOKUP($B210,'Standards Crosswalk'!$A:$H,5,FALSE)</f>
        <v>12.6.1</v>
      </c>
      <c r="P210" s="72" t="str">
        <f>VLOOKUP($B210,'Standards Crosswalk'!$A:$H,6,FALSE)</f>
        <v>DE.CM-8</v>
      </c>
      <c r="Q210" s="72" t="str">
        <f>VLOOKUP($B210,'Standards Crosswalk'!$A:$H,7,FALSE)</f>
        <v>3.11.1, 3.11.2, 3.11.3</v>
      </c>
      <c r="R210" s="72" t="str">
        <f>VLOOKUP($B210,'Standards Crosswalk'!$A:$H,8,FALSE)</f>
        <v>SI-2</v>
      </c>
      <c r="S210" s="72">
        <f>VLOOKUP($B210,'Standards Crosswalk'!$A:$I,9,FALSE)</f>
        <v>11.2</v>
      </c>
    </row>
    <row r="211" spans="1:19" ht="46" thickBot="1" x14ac:dyDescent="0.2">
      <c r="A211" s="71">
        <f t="shared" si="6"/>
        <v>209</v>
      </c>
      <c r="B211" s="95" t="s">
        <v>376</v>
      </c>
      <c r="C211" s="78" t="str">
        <f>VLOOKUP(B211,'HECVAT - Full'!A:E,2,FALSE)</f>
        <v>Have your applications had an external vulnerability assessment in the last year?</v>
      </c>
      <c r="D211" s="71">
        <f>VLOOKUP(B211,'HECVAT - Full'!A:E,4,FALSE)</f>
        <v>0</v>
      </c>
      <c r="E211" s="79" t="b">
        <f>IF(Table1[[#This Row],[Column11]]&gt;20,TRUE,FALSE)</f>
        <v>1</v>
      </c>
      <c r="F211" s="79" t="s">
        <v>2045</v>
      </c>
      <c r="G211" s="80" t="s">
        <v>17</v>
      </c>
      <c r="H211" s="81">
        <f>IF(I210="Yes",1,0)</f>
        <v>0</v>
      </c>
      <c r="I211" s="71">
        <f>VLOOKUP(B211,'HECVAT - Full'!A:E,3,FALSE)</f>
        <v>0</v>
      </c>
      <c r="J211" s="71">
        <f>IF(Table1[[#This Row],[Column7]]=Table1[[#This Row],[Column9]],1,0)</f>
        <v>0</v>
      </c>
      <c r="K211" s="71" t="str">
        <f>IF(Table1[[#This Row],[Column8]]=1,25,"")</f>
        <v/>
      </c>
      <c r="L211" s="71" t="str">
        <f>IF(Table1[[#This Row],[Column8]]=1,J211*K211,"")</f>
        <v/>
      </c>
      <c r="M211" s="72" t="str">
        <f>VLOOKUP($B211,'Standards Crosswalk'!$A:$H,3,FALSE)</f>
        <v>CSC 4</v>
      </c>
      <c r="N211" s="72">
        <f>VLOOKUP($B211,'Standards Crosswalk'!$A:$H,4,FALSE)</f>
        <v>0</v>
      </c>
      <c r="O211" s="72" t="str">
        <f>VLOOKUP($B211,'Standards Crosswalk'!$A:$H,5,FALSE)</f>
        <v>12.6.1</v>
      </c>
      <c r="P211" s="72" t="str">
        <f>VLOOKUP($B211,'Standards Crosswalk'!$A:$H,6,FALSE)</f>
        <v>DE.CM-8</v>
      </c>
      <c r="Q211" s="72" t="str">
        <f>VLOOKUP($B211,'Standards Crosswalk'!$A:$H,7,FALSE)</f>
        <v>3.11.1, 3.11.2, 3.11.3</v>
      </c>
      <c r="R211" s="72" t="str">
        <f>VLOOKUP($B211,'Standards Crosswalk'!$A:$H,8,FALSE)</f>
        <v>SI-2</v>
      </c>
      <c r="S211" s="72">
        <f>VLOOKUP($B211,'Standards Crosswalk'!$A:$I,9,FALSE)</f>
        <v>11.2</v>
      </c>
    </row>
    <row r="212" spans="1:19" ht="46" thickBot="1" x14ac:dyDescent="0.2">
      <c r="A212" s="71">
        <f t="shared" si="6"/>
        <v>210</v>
      </c>
      <c r="B212" s="77" t="s">
        <v>377</v>
      </c>
      <c r="C212" s="78" t="str">
        <f>VLOOKUP(B212,'HECVAT - Full'!A:E,2,FALSE)</f>
        <v>Are your applications scanned for vulnerabilities prior to new releases?</v>
      </c>
      <c r="D212" s="71">
        <f>VLOOKUP(B212,'HECVAT - Full'!A:E,4,FALSE)</f>
        <v>0</v>
      </c>
      <c r="E212" s="79" t="b">
        <f>IF(Table1[[#This Row],[Column11]]&gt;20,TRUE,FALSE)</f>
        <v>0</v>
      </c>
      <c r="F212" s="79" t="s">
        <v>2045</v>
      </c>
      <c r="G212" s="80" t="s">
        <v>17</v>
      </c>
      <c r="H212" s="81">
        <v>1</v>
      </c>
      <c r="I212" s="71">
        <f>VLOOKUP(B212,'HECVAT - Full'!A:E,3,FALSE)</f>
        <v>0</v>
      </c>
      <c r="J212" s="71">
        <f>IF(Table1[[#This Row],[Column7]]=Table1[[#This Row],[Column9]],1,0)</f>
        <v>0</v>
      </c>
      <c r="K212" s="71">
        <f>IF(Table1[[#This Row],[Column8]]=1,20,"")</f>
        <v>20</v>
      </c>
      <c r="L212" s="71">
        <f>IF(Table1[[#This Row],[Column8]]=1,J212*K212,"")</f>
        <v>0</v>
      </c>
      <c r="M212" s="72" t="str">
        <f>VLOOKUP($B212,'Standards Crosswalk'!$A:$H,3,FALSE)</f>
        <v>CSC 4</v>
      </c>
      <c r="N212" s="72">
        <f>VLOOKUP($B212,'Standards Crosswalk'!$A:$H,4,FALSE)</f>
        <v>0</v>
      </c>
      <c r="O212" s="72">
        <f>VLOOKUP($B212,'Standards Crosswalk'!$A:$H,5,FALSE)</f>
        <v>0</v>
      </c>
      <c r="P212" s="72" t="str">
        <f>VLOOKUP($B212,'Standards Crosswalk'!$A:$H,6,FALSE)</f>
        <v>DE.CM-8</v>
      </c>
      <c r="Q212" s="72" t="str">
        <f>VLOOKUP($B212,'Standards Crosswalk'!$A:$H,7,FALSE)</f>
        <v>3.11.1, 3.11.2, 3.11.3</v>
      </c>
      <c r="R212" s="72" t="str">
        <f>VLOOKUP($B212,'Standards Crosswalk'!$A:$H,8,FALSE)</f>
        <v>SI-2</v>
      </c>
      <c r="S212" s="72">
        <f>VLOOKUP($B212,'Standards Crosswalk'!$A:$I,9,FALSE)</f>
        <v>11.2</v>
      </c>
    </row>
    <row r="213" spans="1:19" ht="46" thickBot="1" x14ac:dyDescent="0.2">
      <c r="A213" s="71">
        <f t="shared" si="6"/>
        <v>211</v>
      </c>
      <c r="B213" s="77" t="s">
        <v>378</v>
      </c>
      <c r="C213" s="78" t="str">
        <f>VLOOKUP(B213,'HECVAT - Full'!A:E,2,FALSE)</f>
        <v>Are your systems scanned externally for vulnerabilities?</v>
      </c>
      <c r="D213" s="71">
        <f>VLOOKUP(B213,'HECVAT - Full'!A:E,4,FALSE)</f>
        <v>0</v>
      </c>
      <c r="E213" s="79" t="b">
        <f>IF(Table1[[#This Row],[Column11]]&gt;20,TRUE,FALSE)</f>
        <v>1</v>
      </c>
      <c r="F213" s="79" t="s">
        <v>2045</v>
      </c>
      <c r="G213" s="80" t="s">
        <v>17</v>
      </c>
      <c r="H213" s="81">
        <v>1</v>
      </c>
      <c r="I213" s="71">
        <f>VLOOKUP(B213,'HECVAT - Full'!A:E,3,FALSE)</f>
        <v>0</v>
      </c>
      <c r="J213" s="71">
        <f>IF(Table1[[#This Row],[Column7]]=Table1[[#This Row],[Column9]],1,0)</f>
        <v>0</v>
      </c>
      <c r="K213" s="71">
        <f>IF(Table1[[#This Row],[Column8]]=1,25,"")</f>
        <v>25</v>
      </c>
      <c r="L213" s="71">
        <f>IF(Table1[[#This Row],[Column8]]=1,J213*K213,"")</f>
        <v>0</v>
      </c>
      <c r="M213" s="72" t="str">
        <f>VLOOKUP($B213,'Standards Crosswalk'!$A:$H,3,FALSE)</f>
        <v>CSC 4</v>
      </c>
      <c r="N213" s="72">
        <f>VLOOKUP($B213,'Standards Crosswalk'!$A:$H,4,FALSE)</f>
        <v>0</v>
      </c>
      <c r="O213" s="72">
        <f>VLOOKUP($B213,'Standards Crosswalk'!$A:$H,5,FALSE)</f>
        <v>0</v>
      </c>
      <c r="P213" s="72" t="str">
        <f>VLOOKUP($B213,'Standards Crosswalk'!$A:$H,6,FALSE)</f>
        <v>DE.CM-8</v>
      </c>
      <c r="Q213" s="72" t="str">
        <f>VLOOKUP($B213,'Standards Crosswalk'!$A:$H,7,FALSE)</f>
        <v>3.11.1, 3.11.2, 3.11.3</v>
      </c>
      <c r="R213" s="72" t="str">
        <f>VLOOKUP($B213,'Standards Crosswalk'!$A:$H,8,FALSE)</f>
        <v>SI-2</v>
      </c>
      <c r="S213" s="72">
        <f>VLOOKUP($B213,'Standards Crosswalk'!$A:$I,9,FALSE)</f>
        <v>11.2</v>
      </c>
    </row>
    <row r="214" spans="1:19" ht="46" thickBot="1" x14ac:dyDescent="0.2">
      <c r="A214" s="71">
        <f t="shared" si="6"/>
        <v>212</v>
      </c>
      <c r="B214" s="77" t="s">
        <v>379</v>
      </c>
      <c r="C214" s="78" t="str">
        <f>VLOOKUP(B214,'HECVAT - Full'!A:E,2,FALSE)</f>
        <v>Have your systems had an external vulnerability assessment in the last year?</v>
      </c>
      <c r="D214" s="71">
        <f>VLOOKUP(B214,'HECVAT - Full'!A:E,4,FALSE)</f>
        <v>0</v>
      </c>
      <c r="E214" s="79" t="b">
        <f>IF(Table1[[#This Row],[Column11]]&gt;20,TRUE,FALSE)</f>
        <v>1</v>
      </c>
      <c r="F214" s="79" t="s">
        <v>2045</v>
      </c>
      <c r="G214" s="80" t="s">
        <v>17</v>
      </c>
      <c r="H214" s="81">
        <v>1</v>
      </c>
      <c r="I214" s="71">
        <f>VLOOKUP(B214,'HECVAT - Full'!A:E,3,FALSE)</f>
        <v>0</v>
      </c>
      <c r="J214" s="71">
        <f>IF(Table1[[#This Row],[Column7]]=Table1[[#This Row],[Column9]],1,0)</f>
        <v>0</v>
      </c>
      <c r="K214" s="71">
        <f>IF(Table1[[#This Row],[Column8]]=1,25,"")</f>
        <v>25</v>
      </c>
      <c r="L214" s="71">
        <f>IF(Table1[[#This Row],[Column8]]=1,J214*K214,"")</f>
        <v>0</v>
      </c>
      <c r="M214" s="72" t="str">
        <f>VLOOKUP($B214,'Standards Crosswalk'!$A:$H,3,FALSE)</f>
        <v>CSC 4</v>
      </c>
      <c r="N214" s="72">
        <f>VLOOKUP($B214,'Standards Crosswalk'!$A:$H,4,FALSE)</f>
        <v>0</v>
      </c>
      <c r="O214" s="72">
        <f>VLOOKUP($B214,'Standards Crosswalk'!$A:$H,5,FALSE)</f>
        <v>0</v>
      </c>
      <c r="P214" s="72" t="str">
        <f>VLOOKUP($B214,'Standards Crosswalk'!$A:$H,6,FALSE)</f>
        <v>DE.CM-8</v>
      </c>
      <c r="Q214" s="72">
        <f>VLOOKUP($B214,'Standards Crosswalk'!$A:$H,7,FALSE)</f>
        <v>0</v>
      </c>
      <c r="R214" s="72" t="str">
        <f>VLOOKUP($B214,'Standards Crosswalk'!$A:$H,8,FALSE)</f>
        <v>SI-2</v>
      </c>
      <c r="S214" s="72">
        <f>VLOOKUP($B214,'Standards Crosswalk'!$A:$I,9,FALSE)</f>
        <v>11.2</v>
      </c>
    </row>
    <row r="215" spans="1:19" ht="61" thickBot="1" x14ac:dyDescent="0.2">
      <c r="A215" s="71">
        <f t="shared" si="6"/>
        <v>213</v>
      </c>
      <c r="B215" s="77" t="s">
        <v>380</v>
      </c>
      <c r="C215" s="78" t="str">
        <f>VLOOKUP(B215,'HECVAT - Full'!A:E,2,FALSE)</f>
        <v>Describe or provide a reference to the tool(s) used to scan for vulnerabilities in your applications and systems.</v>
      </c>
      <c r="D215" s="71">
        <f>VLOOKUP(B215,'HECVAT - Full'!A:E,4,FALSE)</f>
        <v>0</v>
      </c>
      <c r="E215" s="79" t="b">
        <f>IF(Table1[[#This Row],[Column11]]&gt;20,TRUE,FALSE)</f>
        <v>0</v>
      </c>
      <c r="F215" s="79" t="s">
        <v>2045</v>
      </c>
      <c r="G215" s="80" t="s">
        <v>17</v>
      </c>
      <c r="H215" s="81">
        <v>1</v>
      </c>
      <c r="I215" s="71">
        <f>VLOOKUP(B215,'HECVAT - Full'!A:E,3,FALSE)</f>
        <v>0</v>
      </c>
      <c r="J215" s="71">
        <f>IF(VLOOKUP(Table1[[#This Row],[Column2]],'Analyst Report'!$A$41:$G$88,7,FALSE)="Yes",1,0)</f>
        <v>0</v>
      </c>
      <c r="K215" s="71">
        <f>IF(Table1[[#This Row],[Column8]]=1,15,"")</f>
        <v>15</v>
      </c>
      <c r="L215" s="71">
        <f>IF(Table1[[#This Row],[Column8]]=1,J215*K215,"")</f>
        <v>0</v>
      </c>
      <c r="M215" s="72" t="str">
        <f>VLOOKUP($B215,'Standards Crosswalk'!$A:$H,3,FALSE)</f>
        <v>CSC 4</v>
      </c>
      <c r="N215" s="72">
        <f>VLOOKUP($B215,'Standards Crosswalk'!$A:$H,4,FALSE)</f>
        <v>0</v>
      </c>
      <c r="O215" s="72">
        <f>VLOOKUP($B215,'Standards Crosswalk'!$A:$H,5,FALSE)</f>
        <v>0</v>
      </c>
      <c r="P215" s="72" t="str">
        <f>VLOOKUP($B215,'Standards Crosswalk'!$A:$H,6,FALSE)</f>
        <v>DE.CM-8</v>
      </c>
      <c r="Q215" s="72" t="str">
        <f>VLOOKUP($B215,'Standards Crosswalk'!$A:$H,7,FALSE)</f>
        <v>3.11.1, 3.11.2, 3.11.3</v>
      </c>
      <c r="R215" s="72" t="str">
        <f>VLOOKUP($B215,'Standards Crosswalk'!$A:$H,8,FALSE)</f>
        <v>SI-2</v>
      </c>
      <c r="S215" s="72">
        <f>VLOOKUP($B215,'Standards Crosswalk'!$A:$I,9,FALSE)</f>
        <v>11.2</v>
      </c>
    </row>
    <row r="216" spans="1:19" ht="46" thickBot="1" x14ac:dyDescent="0.2">
      <c r="A216" s="71">
        <f t="shared" si="6"/>
        <v>214</v>
      </c>
      <c r="B216" s="77" t="s">
        <v>381</v>
      </c>
      <c r="C216" s="78" t="str">
        <f>VLOOKUP(B216,'HECVAT - Full'!A:E,2,FALSE)</f>
        <v>Will you provide results of security scans to the Institution?</v>
      </c>
      <c r="D216" s="71">
        <f>VLOOKUP(B216,'HECVAT - Full'!A:E,4,FALSE)</f>
        <v>0</v>
      </c>
      <c r="E216" s="79" t="b">
        <f>IF(Table1[[#This Row],[Column11]]&gt;20,TRUE,FALSE)</f>
        <v>0</v>
      </c>
      <c r="F216" s="79" t="s">
        <v>2045</v>
      </c>
      <c r="G216" s="80" t="s">
        <v>17</v>
      </c>
      <c r="H216" s="81">
        <v>1</v>
      </c>
      <c r="I216" s="71">
        <f>VLOOKUP(B216,'HECVAT - Full'!A:E,3,FALSE)</f>
        <v>0</v>
      </c>
      <c r="J216" s="71">
        <f>IF(Table1[[#This Row],[Column7]]=Table1[[#This Row],[Column9]],1,0)</f>
        <v>0</v>
      </c>
      <c r="K216" s="71">
        <f>IF(Table1[[#This Row],[Column8]]=1,15,"")</f>
        <v>15</v>
      </c>
      <c r="L216" s="71">
        <f>IF(Table1[[#This Row],[Column8]]=1,J216*K216,"")</f>
        <v>0</v>
      </c>
      <c r="M216" s="72" t="str">
        <f>VLOOKUP($B216,'Standards Crosswalk'!$A:$H,3,FALSE)</f>
        <v>CSC 4</v>
      </c>
      <c r="N216" s="72">
        <f>VLOOKUP($B216,'Standards Crosswalk'!$A:$H,4,FALSE)</f>
        <v>0</v>
      </c>
      <c r="O216" s="72">
        <f>VLOOKUP($B216,'Standards Crosswalk'!$A:$H,5,FALSE)</f>
        <v>0</v>
      </c>
      <c r="P216" s="72" t="str">
        <f>VLOOKUP($B216,'Standards Crosswalk'!$A:$H,6,FALSE)</f>
        <v>DE.CM-8</v>
      </c>
      <c r="Q216" s="72">
        <f>VLOOKUP($B216,'Standards Crosswalk'!$A:$H,7,FALSE)</f>
        <v>0</v>
      </c>
      <c r="R216" s="72" t="str">
        <f>VLOOKUP($B216,'Standards Crosswalk'!$A:$H,8,FALSE)</f>
        <v>SI-2</v>
      </c>
      <c r="S216" s="72">
        <f>VLOOKUP($B216,'Standards Crosswalk'!$A:$I,9,FALSE)</f>
        <v>11.2</v>
      </c>
    </row>
    <row r="217" spans="1:19" ht="76" thickBot="1" x14ac:dyDescent="0.2">
      <c r="A217" s="71">
        <f t="shared" si="6"/>
        <v>215</v>
      </c>
      <c r="B217" s="77" t="s">
        <v>382</v>
      </c>
      <c r="C217" s="78" t="str">
        <f>VLOOKUP(B217,'HECVAT - Full'!A:E,2,FALSE)</f>
        <v>Describe or provide a reference to how you monitor for and protect against common web application security vulnerabilities (e.g. SQL injection, XSS, XSRF, etc.).</v>
      </c>
      <c r="D217" s="71">
        <f>VLOOKUP(B217,'HECVAT - Full'!A:E,4,FALSE)</f>
        <v>0</v>
      </c>
      <c r="E217" s="79" t="b">
        <f>IF(Table1[[#This Row],[Column11]]&gt;20,TRUE,FALSE)</f>
        <v>0</v>
      </c>
      <c r="F217" s="79" t="s">
        <v>2045</v>
      </c>
      <c r="G217" s="80" t="s">
        <v>17</v>
      </c>
      <c r="H217" s="81">
        <v>1</v>
      </c>
      <c r="I217" s="71">
        <f>VLOOKUP(B217,'HECVAT - Full'!A:E,3,FALSE)</f>
        <v>0</v>
      </c>
      <c r="J217" s="71">
        <f>IF(VLOOKUP(Table1[[#This Row],[Column2]],'Analyst Report'!$A$41:$G$88,7,FALSE)="Yes",1,0)</f>
        <v>0</v>
      </c>
      <c r="K217" s="71">
        <f>IF(Table1[[#This Row],[Column8]]=1,20,"")</f>
        <v>20</v>
      </c>
      <c r="L217" s="71">
        <f>IF(Table1[[#This Row],[Column8]]=1,J217*K217,"")</f>
        <v>0</v>
      </c>
      <c r="M217" s="72" t="str">
        <f>VLOOKUP($B217,'Standards Crosswalk'!$A:$H,3,FALSE)</f>
        <v>CSC 7, CSC 18</v>
      </c>
      <c r="N217" s="72">
        <f>VLOOKUP($B217,'Standards Crosswalk'!$A:$H,4,FALSE)</f>
        <v>0</v>
      </c>
      <c r="O217" s="72" t="str">
        <f>VLOOKUP($B217,'Standards Crosswalk'!$A:$H,5,FALSE)</f>
        <v>12.6.1</v>
      </c>
      <c r="P217" s="72" t="str">
        <f>VLOOKUP($B217,'Standards Crosswalk'!$A:$H,6,FALSE)</f>
        <v>ID.RA-1, DE.CM-8, PR.IP-12</v>
      </c>
      <c r="Q217" s="72" t="str">
        <f>VLOOKUP($B217,'Standards Crosswalk'!$A:$H,7,FALSE)</f>
        <v>3.11.1, 3.11.2, 3.11.3, 3.14.2</v>
      </c>
      <c r="R217" s="72" t="str">
        <f>VLOOKUP($B217,'Standards Crosswalk'!$A:$H,8,FALSE)</f>
        <v>SI-2</v>
      </c>
      <c r="S217" s="72" t="str">
        <f>VLOOKUP($B217,'Standards Crosswalk'!$A:$I,9,FALSE)</f>
        <v>11.2, 11.3</v>
      </c>
    </row>
    <row r="218" spans="1:19" ht="91" thickBot="1" x14ac:dyDescent="0.2">
      <c r="A218" s="71">
        <f t="shared" si="6"/>
        <v>216</v>
      </c>
      <c r="B218" s="77" t="s">
        <v>383</v>
      </c>
      <c r="C218" s="78" t="str">
        <f>VLOOKUP(B218,'HECVAT - Full'!A:E,2,FALSE)</f>
        <v>Will you allow the institution to perform its own security testing of your systems and/or application provided that testing is performed at a mutually agreed upon time and date?</v>
      </c>
      <c r="D218" s="71">
        <f>VLOOKUP(B218,'HECVAT - Full'!A:E,4,FALSE)</f>
        <v>0</v>
      </c>
      <c r="E218" s="79" t="b">
        <f>IF(Table1[[#This Row],[Column11]]&gt;20,TRUE,FALSE)</f>
        <v>1</v>
      </c>
      <c r="F218" s="79" t="s">
        <v>2045</v>
      </c>
      <c r="G218" s="80" t="s">
        <v>17</v>
      </c>
      <c r="H218" s="81">
        <v>1</v>
      </c>
      <c r="I218" s="71">
        <f>VLOOKUP(B218,'HECVAT - Full'!A:E,3,FALSE)</f>
        <v>0</v>
      </c>
      <c r="J218" s="71">
        <f>IF(Table1[[#This Row],[Column7]]=Table1[[#This Row],[Column9]],1,0)</f>
        <v>0</v>
      </c>
      <c r="K218" s="71">
        <f>IF(Table1[[#This Row],[Column8]]=1,25,"")</f>
        <v>25</v>
      </c>
      <c r="L218" s="71">
        <f>IF(Table1[[#This Row],[Column8]]=1,J218*K218,"")</f>
        <v>0</v>
      </c>
      <c r="M218" s="72" t="str">
        <f>VLOOKUP($B218,'Standards Crosswalk'!$A:$H,3,FALSE)</f>
        <v>CSC 20</v>
      </c>
      <c r="N218" s="72">
        <f>VLOOKUP($B218,'Standards Crosswalk'!$A:$H,4,FALSE)</f>
        <v>0</v>
      </c>
      <c r="O218" s="72" t="str">
        <f>VLOOKUP($B218,'Standards Crosswalk'!$A:$H,5,FALSE)</f>
        <v>18.2.1</v>
      </c>
      <c r="P218" s="72" t="str">
        <f>VLOOKUP($B218,'Standards Crosswalk'!$A:$H,6,FALSE)</f>
        <v>DE.CM-8</v>
      </c>
      <c r="Q218" s="72" t="str">
        <f>VLOOKUP($B218,'Standards Crosswalk'!$A:$H,7,FALSE)</f>
        <v>3.11.1, 3.11.2, 3.11.3</v>
      </c>
      <c r="R218" s="72" t="str">
        <f>VLOOKUP($B218,'Standards Crosswalk'!$A:$H,8,FALSE)</f>
        <v>SI-2</v>
      </c>
      <c r="S218" s="72" t="str">
        <f>VLOOKUP($B218,'Standards Crosswalk'!$A:$I,9,FALSE)</f>
        <v>11.2, 12.8</v>
      </c>
    </row>
    <row r="219" spans="1:19" ht="61" thickBot="1" x14ac:dyDescent="0.2">
      <c r="A219" s="71">
        <f t="shared" si="6"/>
        <v>217</v>
      </c>
      <c r="B219" s="77" t="s">
        <v>384</v>
      </c>
      <c r="C219" s="78" t="str">
        <f>VLOOKUP(B219,'HECVAT - Full'!A:E,2,FALSE)</f>
        <v>Do your workforce members receive regular training related to the HIPAA Privacy and Security Rules and the HITECH Act?</v>
      </c>
      <c r="D219" s="71">
        <f>VLOOKUP(B219,'HECVAT - Full'!A:E,4,FALSE)</f>
        <v>0</v>
      </c>
      <c r="E219" s="79" t="b">
        <f>IF(Table1[[#This Row],[Column11]]&gt;20,TRUE,FALSE)</f>
        <v>0</v>
      </c>
      <c r="F219" s="79" t="s">
        <v>563</v>
      </c>
      <c r="G219" s="80" t="s">
        <v>17</v>
      </c>
      <c r="H219" s="81">
        <v>1</v>
      </c>
      <c r="I219" s="71">
        <f>VLOOKUP(B219,'HECVAT - Full'!A:E,3,FALSE)</f>
        <v>0</v>
      </c>
      <c r="J219" s="71">
        <f>IF(Table1[[#This Row],[Column7]]=Table1[[#This Row],[Column9]],1,0)</f>
        <v>0</v>
      </c>
      <c r="K219" s="71">
        <f>IF(Table1[[#This Row],[Column8]]=1,20,"")</f>
        <v>20</v>
      </c>
      <c r="L219" s="71">
        <f>IF(Table1[[#This Row],[Column8]]=1,J219*K219,"")</f>
        <v>0</v>
      </c>
      <c r="M219" s="72" t="str">
        <f>VLOOKUP($B219,'Standards Crosswalk'!$A:$H,3,FALSE)</f>
        <v>CSC 17</v>
      </c>
      <c r="N219" s="72" t="str">
        <f>VLOOKUP($B219,'Standards Crosswalk'!$A:$H,4,FALSE)</f>
        <v>§164.308(a)(5)(i)</v>
      </c>
      <c r="O219" s="72" t="str">
        <f>VLOOKUP($B219,'Standards Crosswalk'!$A:$H,5,FALSE)</f>
        <v>18.1.1, 7.2.2</v>
      </c>
      <c r="P219" s="72" t="str">
        <f>VLOOKUP($B219,'Standards Crosswalk'!$A:$H,6,FALSE)</f>
        <v>ID.GV-3</v>
      </c>
      <c r="Q219" s="72" t="str">
        <f>VLOOKUP($B219,'Standards Crosswalk'!$A:$H,7,FALSE)</f>
        <v>3.2.2</v>
      </c>
      <c r="R219" s="72" t="str">
        <f>VLOOKUP($B219,'Standards Crosswalk'!$A:$H,8,FALSE)</f>
        <v>AT-3</v>
      </c>
      <c r="S219" s="72">
        <f>VLOOKUP($B219,'Standards Crosswalk'!$A:$I,9,FALSE)</f>
        <v>0</v>
      </c>
    </row>
    <row r="220" spans="1:19" ht="46" thickBot="1" x14ac:dyDescent="0.2">
      <c r="A220" s="71">
        <f t="shared" si="6"/>
        <v>218</v>
      </c>
      <c r="B220" s="77" t="s">
        <v>385</v>
      </c>
      <c r="C220" s="78" t="str">
        <f>VLOOKUP(B220,'HECVAT - Full'!A:E,2,FALSE)</f>
        <v>Do you monitor or receive information regarding changes in HIPAA regulations?</v>
      </c>
      <c r="D220" s="71">
        <f>VLOOKUP(B220,'HECVAT - Full'!A:E,4,FALSE)</f>
        <v>0</v>
      </c>
      <c r="E220" s="79" t="b">
        <f>IF(Table1[[#This Row],[Column11]]&gt;20,TRUE,FALSE)</f>
        <v>0</v>
      </c>
      <c r="F220" s="79" t="s">
        <v>563</v>
      </c>
      <c r="G220" s="80" t="s">
        <v>17</v>
      </c>
      <c r="H220" s="81">
        <v>1</v>
      </c>
      <c r="I220" s="71">
        <f>VLOOKUP(B220,'HECVAT - Full'!A:E,3,FALSE)</f>
        <v>0</v>
      </c>
      <c r="J220" s="71">
        <f>IF(Table1[[#This Row],[Column7]]=Table1[[#This Row],[Column9]],1,0)</f>
        <v>0</v>
      </c>
      <c r="K220" s="71">
        <f>IF(Table1[[#This Row],[Column8]]=1,20,"")</f>
        <v>20</v>
      </c>
      <c r="L220" s="71">
        <f>IF(Table1[[#This Row],[Column8]]=1,J220*K220,"")</f>
        <v>0</v>
      </c>
      <c r="M220" s="72" t="str">
        <f>VLOOKUP($B220,'Standards Crosswalk'!$A:$H,3,FALSE)</f>
        <v>CSC 13</v>
      </c>
      <c r="N220" s="72" t="str">
        <f>VLOOKUP($B220,'Standards Crosswalk'!$A:$H,4,FALSE)</f>
        <v>§164.316(b)(2)(iii)</v>
      </c>
      <c r="O220" s="72" t="str">
        <f>VLOOKUP($B220,'Standards Crosswalk'!$A:$H,5,FALSE)</f>
        <v>18.1.1</v>
      </c>
      <c r="P220" s="72" t="str">
        <f>VLOOKUP($B220,'Standards Crosswalk'!$A:$H,6,FALSE)</f>
        <v>ID.GV-3</v>
      </c>
      <c r="Q220" s="72">
        <f>VLOOKUP($B220,'Standards Crosswalk'!$A:$H,7,FALSE)</f>
        <v>0</v>
      </c>
      <c r="R220" s="72">
        <f>VLOOKUP($B220,'Standards Crosswalk'!$A:$H,8,FALSE)</f>
        <v>0</v>
      </c>
      <c r="S220" s="72">
        <f>VLOOKUP($B220,'Standards Crosswalk'!$A:$I,9,FALSE)</f>
        <v>0</v>
      </c>
    </row>
    <row r="221" spans="1:19" ht="46" thickBot="1" x14ac:dyDescent="0.2">
      <c r="A221" s="71">
        <f t="shared" si="6"/>
        <v>219</v>
      </c>
      <c r="B221" s="77" t="s">
        <v>386</v>
      </c>
      <c r="C221" s="78" t="str">
        <f>VLOOKUP(B221,'HECVAT - Full'!A:E,2,FALSE)</f>
        <v>Has your organization designated HIPAA Privacy and Security officers as required by the Rules?</v>
      </c>
      <c r="D221" s="71">
        <f>VLOOKUP(B221,'HECVAT - Full'!A:E,4,FALSE)</f>
        <v>0</v>
      </c>
      <c r="E221" s="79" t="b">
        <f>IF(Table1[[#This Row],[Column11]]&gt;20,TRUE,FALSE)</f>
        <v>1</v>
      </c>
      <c r="F221" s="79" t="s">
        <v>563</v>
      </c>
      <c r="G221" s="80" t="s">
        <v>17</v>
      </c>
      <c r="H221" s="81">
        <v>1</v>
      </c>
      <c r="I221" s="71">
        <f>VLOOKUP(B221,'HECVAT - Full'!A:E,3,FALSE)</f>
        <v>0</v>
      </c>
      <c r="J221" s="71">
        <f>IF(Table1[[#This Row],[Column7]]=Table1[[#This Row],[Column9]],1,0)</f>
        <v>0</v>
      </c>
      <c r="K221" s="71">
        <f>IF(Table1[[#This Row],[Column8]]=1,25,"")</f>
        <v>25</v>
      </c>
      <c r="L221" s="71">
        <f>IF(Table1[[#This Row],[Column8]]=1,J221*K221,"")</f>
        <v>0</v>
      </c>
      <c r="M221" s="72" t="str">
        <f>VLOOKUP($B221,'Standards Crosswalk'!$A:$H,3,FALSE)</f>
        <v>CSC 17</v>
      </c>
      <c r="N221" s="72" t="str">
        <f>VLOOKUP($B221,'Standards Crosswalk'!$A:$H,4,FALSE)</f>
        <v>§164.308(a)(2)</v>
      </c>
      <c r="O221" s="72" t="str">
        <f>VLOOKUP($B221,'Standards Crosswalk'!$A:$H,5,FALSE)</f>
        <v>18.1.1</v>
      </c>
      <c r="P221" s="72" t="str">
        <f>VLOOKUP($B221,'Standards Crosswalk'!$A:$H,6,FALSE)</f>
        <v>ID.GV-3</v>
      </c>
      <c r="Q221" s="72">
        <f>VLOOKUP($B221,'Standards Crosswalk'!$A:$H,7,FALSE)</f>
        <v>0</v>
      </c>
      <c r="R221" s="72">
        <f>VLOOKUP($B221,'Standards Crosswalk'!$A:$H,8,FALSE)</f>
        <v>0</v>
      </c>
      <c r="S221" s="72">
        <f>VLOOKUP($B221,'Standards Crosswalk'!$A:$I,9,FALSE)</f>
        <v>0</v>
      </c>
    </row>
    <row r="222" spans="1:19" ht="61" thickBot="1" x14ac:dyDescent="0.2">
      <c r="A222" s="71">
        <f t="shared" si="6"/>
        <v>220</v>
      </c>
      <c r="B222" s="77" t="s">
        <v>387</v>
      </c>
      <c r="C222" s="78" t="str">
        <f>VLOOKUP(B222,'HECVAT - Full'!A:E,2,FALSE)</f>
        <v>Do you comply with the requirements of the Health Information Technology for Economic and Clinical Health Act (HITECH)?</v>
      </c>
      <c r="D222" s="71">
        <f>VLOOKUP(B222,'HECVAT - Full'!A:E,4,FALSE)</f>
        <v>0</v>
      </c>
      <c r="E222" s="79" t="b">
        <f>IF(Table1[[#This Row],[Column11]]&gt;20,TRUE,FALSE)</f>
        <v>1</v>
      </c>
      <c r="F222" s="79" t="s">
        <v>563</v>
      </c>
      <c r="G222" s="80" t="s">
        <v>17</v>
      </c>
      <c r="H222" s="81">
        <v>1</v>
      </c>
      <c r="I222" s="71">
        <f>VLOOKUP(B222,'HECVAT - Full'!A:E,3,FALSE)</f>
        <v>0</v>
      </c>
      <c r="J222" s="71">
        <f>IF(Table1[[#This Row],[Column7]]=Table1[[#This Row],[Column9]],1,0)</f>
        <v>0</v>
      </c>
      <c r="K222" s="71">
        <f>IF(Table1[[#This Row],[Column8]]=1,25,"")</f>
        <v>25</v>
      </c>
      <c r="L222" s="71">
        <f>IF(Table1[[#This Row],[Column8]]=1,J222*K222,"")</f>
        <v>0</v>
      </c>
      <c r="M222" s="72" t="str">
        <f>VLOOKUP($B222,'Standards Crosswalk'!$A:$H,3,FALSE)</f>
        <v>CSC 13</v>
      </c>
      <c r="N222" s="72">
        <f>VLOOKUP($B222,'Standards Crosswalk'!$A:$H,4,FALSE)</f>
        <v>0</v>
      </c>
      <c r="O222" s="72" t="str">
        <f>VLOOKUP($B222,'Standards Crosswalk'!$A:$H,5,FALSE)</f>
        <v>18.1.1</v>
      </c>
      <c r="P222" s="72" t="str">
        <f>VLOOKUP($B222,'Standards Crosswalk'!$A:$H,6,FALSE)</f>
        <v>ID.GV-3</v>
      </c>
      <c r="Q222" s="72">
        <f>VLOOKUP($B222,'Standards Crosswalk'!$A:$H,7,FALSE)</f>
        <v>0</v>
      </c>
      <c r="R222" s="72">
        <f>VLOOKUP($B222,'Standards Crosswalk'!$A:$H,8,FALSE)</f>
        <v>0</v>
      </c>
      <c r="S222" s="72">
        <f>VLOOKUP($B222,'Standards Crosswalk'!$A:$I,9,FALSE)</f>
        <v>0</v>
      </c>
    </row>
    <row r="223" spans="1:19" ht="61" thickBot="1" x14ac:dyDescent="0.2">
      <c r="A223" s="71">
        <f t="shared" si="6"/>
        <v>221</v>
      </c>
      <c r="B223" s="77" t="s">
        <v>388</v>
      </c>
      <c r="C223" s="78" t="str">
        <f>VLOOKUP(B223,'HECVAT - Full'!A:E,2,FALSE)</f>
        <v>Do you have an incident response process and reporting in place to investigate any potential incidents and report actual incidents?</v>
      </c>
      <c r="D223" s="71">
        <f>VLOOKUP(B223,'HECVAT - Full'!A:E,4,FALSE)</f>
        <v>0</v>
      </c>
      <c r="E223" s="79" t="b">
        <f>IF(Table1[[#This Row],[Column11]]&gt;20,TRUE,FALSE)</f>
        <v>0</v>
      </c>
      <c r="F223" s="79" t="s">
        <v>563</v>
      </c>
      <c r="G223" s="80" t="s">
        <v>17</v>
      </c>
      <c r="H223" s="81">
        <v>1</v>
      </c>
      <c r="I223" s="71">
        <f>VLOOKUP(B223,'HECVAT - Full'!A:E,3,FALSE)</f>
        <v>0</v>
      </c>
      <c r="J223" s="71">
        <f>IF(Table1[[#This Row],[Column7]]=Table1[[#This Row],[Column9]],1,0)</f>
        <v>0</v>
      </c>
      <c r="K223" s="71">
        <f>IF(Table1[[#This Row],[Column8]]=1,20,"")</f>
        <v>20</v>
      </c>
      <c r="L223" s="71">
        <f>IF(Table1[[#This Row],[Column8]]=1,J223*K223,"")</f>
        <v>0</v>
      </c>
      <c r="M223" s="72" t="str">
        <f>VLOOKUP($B223,'Standards Crosswalk'!$A:$H,3,FALSE)</f>
        <v>CSC 19</v>
      </c>
      <c r="N223" s="72" t="str">
        <f>VLOOKUP($B223,'Standards Crosswalk'!$A:$H,4,FALSE)</f>
        <v>§164.308(a)(6)(i)</v>
      </c>
      <c r="O223" s="72" t="str">
        <f>VLOOKUP($B223,'Standards Crosswalk'!$A:$H,5,FALSE)</f>
        <v>16.1.1</v>
      </c>
      <c r="P223" s="72" t="str">
        <f>VLOOKUP($B223,'Standards Crosswalk'!$A:$H,6,FALSE)</f>
        <v>ID.GV-3</v>
      </c>
      <c r="Q223" s="72" t="str">
        <f>VLOOKUP($B223,'Standards Crosswalk'!$A:$H,7,FALSE)</f>
        <v>3.6.1, 3.14.1</v>
      </c>
      <c r="R223" s="72" t="str">
        <f>VLOOKUP($B223,'Standards Crosswalk'!$A:$H,8,FALSE)</f>
        <v>IR-2, IR-4, IR-5, IR-7</v>
      </c>
      <c r="S223" s="72" t="str">
        <f>VLOOKUP($B223,'Standards Crosswalk'!$A:$I,9,FALSE)</f>
        <v>12.10, 10.10</v>
      </c>
    </row>
    <row r="224" spans="1:19" ht="46" thickBot="1" x14ac:dyDescent="0.2">
      <c r="A224" s="71">
        <f t="shared" si="6"/>
        <v>222</v>
      </c>
      <c r="B224" s="77" t="s">
        <v>389</v>
      </c>
      <c r="C224" s="78" t="str">
        <f>VLOOKUP(B224,'HECVAT - Full'!A:E,2,FALSE)</f>
        <v>Do you have a plan to comply with the Breach Notification requirements if there is a breach of data?</v>
      </c>
      <c r="D224" s="71">
        <f>VLOOKUP(B224,'HECVAT - Full'!A:E,4,FALSE)</f>
        <v>0</v>
      </c>
      <c r="E224" s="79" t="b">
        <f>IF(Table1[[#This Row],[Column11]]&gt;20,TRUE,FALSE)</f>
        <v>1</v>
      </c>
      <c r="F224" s="79" t="s">
        <v>563</v>
      </c>
      <c r="G224" s="80" t="s">
        <v>17</v>
      </c>
      <c r="H224" s="81">
        <v>1</v>
      </c>
      <c r="I224" s="71">
        <f>VLOOKUP(B224,'HECVAT - Full'!A:E,3,FALSE)</f>
        <v>0</v>
      </c>
      <c r="J224" s="71">
        <f>IF(Table1[[#This Row],[Column7]]=Table1[[#This Row],[Column9]],1,0)</f>
        <v>0</v>
      </c>
      <c r="K224" s="71">
        <f>IF(Table1[[#This Row],[Column8]]=1,25,"")</f>
        <v>25</v>
      </c>
      <c r="L224" s="71">
        <f>IF(Table1[[#This Row],[Column8]]=1,J224*K224,"")</f>
        <v>0</v>
      </c>
      <c r="M224" s="72" t="str">
        <f>VLOOKUP($B224,'Standards Crosswalk'!$A:$H,3,FALSE)</f>
        <v>CSC 19</v>
      </c>
      <c r="N224" s="72" t="str">
        <f>VLOOKUP($B224,'Standards Crosswalk'!$A:$H,4,FALSE)</f>
        <v>§164.308(a)(6)(ii)</v>
      </c>
      <c r="O224" s="72" t="str">
        <f>VLOOKUP($B224,'Standards Crosswalk'!$A:$H,5,FALSE)</f>
        <v>16.1.2, 16.1.5, 18.1.1</v>
      </c>
      <c r="P224" s="72" t="str">
        <f>VLOOKUP($B224,'Standards Crosswalk'!$A:$H,6,FALSE)</f>
        <v>ID.GV-3</v>
      </c>
      <c r="Q224" s="72" t="str">
        <f>VLOOKUP($B224,'Standards Crosswalk'!$A:$H,7,FALSE)</f>
        <v>3.6.2, 3.12.2</v>
      </c>
      <c r="R224" s="72" t="str">
        <f>VLOOKUP($B224,'Standards Crosswalk'!$A:$H,8,FALSE)</f>
        <v>IR-6</v>
      </c>
      <c r="S224" s="72">
        <f>VLOOKUP($B224,'Standards Crosswalk'!$A:$I,9,FALSE)</f>
        <v>12.8</v>
      </c>
    </row>
    <row r="225" spans="1:19" ht="31" thickBot="1" x14ac:dyDescent="0.2">
      <c r="A225" s="71">
        <f t="shared" si="6"/>
        <v>223</v>
      </c>
      <c r="B225" s="77" t="s">
        <v>390</v>
      </c>
      <c r="C225" s="78" t="str">
        <f>VLOOKUP(B225,'HECVAT - Full'!A:E,2,FALSE)</f>
        <v>Have you conducted a risk analysis as required under the Security Rule?</v>
      </c>
      <c r="D225" s="71">
        <f>VLOOKUP(B225,'HECVAT - Full'!A:E,4,FALSE)</f>
        <v>0</v>
      </c>
      <c r="E225" s="79" t="b">
        <f>IF(Table1[[#This Row],[Column11]]&gt;20,TRUE,FALSE)</f>
        <v>1</v>
      </c>
      <c r="F225" s="79" t="s">
        <v>563</v>
      </c>
      <c r="G225" s="80" t="s">
        <v>17</v>
      </c>
      <c r="H225" s="81">
        <v>1</v>
      </c>
      <c r="I225" s="71">
        <f>VLOOKUP(B225,'HECVAT - Full'!A:E,3,FALSE)</f>
        <v>0</v>
      </c>
      <c r="J225" s="71">
        <f>IF(Table1[[#This Row],[Column7]]=Table1[[#This Row],[Column9]],1,0)</f>
        <v>0</v>
      </c>
      <c r="K225" s="71">
        <f>IF(Table1[[#This Row],[Column8]]=1,25,"")</f>
        <v>25</v>
      </c>
      <c r="L225" s="71">
        <f>IF(Table1[[#This Row],[Column8]]=1,J225*K225,"")</f>
        <v>0</v>
      </c>
      <c r="M225" s="72" t="str">
        <f>VLOOKUP($B225,'Standards Crosswalk'!$A:$H,3,FALSE)</f>
        <v>CSC 13</v>
      </c>
      <c r="N225" s="72" t="str">
        <f>VLOOKUP($B225,'Standards Crosswalk'!$A:$H,4,FALSE)</f>
        <v>§164.308(a)(1)(i)</v>
      </c>
      <c r="O225" s="72">
        <f>VLOOKUP($B225,'Standards Crosswalk'!$A:$H,5,FALSE)</f>
        <v>0</v>
      </c>
      <c r="P225" s="72" t="str">
        <f>VLOOKUP($B225,'Standards Crosswalk'!$A:$H,6,FALSE)</f>
        <v>ID.GV-3</v>
      </c>
      <c r="Q225" s="72">
        <f>VLOOKUP($B225,'Standards Crosswalk'!$A:$H,7,FALSE)</f>
        <v>0</v>
      </c>
      <c r="R225" s="72">
        <f>VLOOKUP($B225,'Standards Crosswalk'!$A:$H,8,FALSE)</f>
        <v>0</v>
      </c>
      <c r="S225" s="72">
        <f>VLOOKUP($B225,'Standards Crosswalk'!$A:$I,9,FALSE)</f>
        <v>12.2</v>
      </c>
    </row>
    <row r="226" spans="1:19" ht="61" thickBot="1" x14ac:dyDescent="0.2">
      <c r="A226" s="71">
        <f t="shared" si="6"/>
        <v>224</v>
      </c>
      <c r="B226" s="77" t="s">
        <v>391</v>
      </c>
      <c r="C226" s="78" t="str">
        <f>VLOOKUP(B226,'HECVAT - Full'!A:E,2,FALSE)</f>
        <v>Have you identified areas of risks?</v>
      </c>
      <c r="D226" s="71">
        <f>VLOOKUP(B226,'HECVAT - Full'!A:E,4,FALSE)</f>
        <v>0</v>
      </c>
      <c r="E226" s="79" t="b">
        <f>IF(Table1[[#This Row],[Column11]]&gt;20,TRUE,FALSE)</f>
        <v>0</v>
      </c>
      <c r="F226" s="79" t="s">
        <v>563</v>
      </c>
      <c r="G226" s="80" t="s">
        <v>17</v>
      </c>
      <c r="H226" s="81">
        <v>1</v>
      </c>
      <c r="I226" s="71">
        <f>VLOOKUP(B226,'HECVAT - Full'!A:E,3,FALSE)</f>
        <v>0</v>
      </c>
      <c r="J226" s="71">
        <f>IF(Table1[[#This Row],[Column7]]=Table1[[#This Row],[Column9]],1,0)</f>
        <v>0</v>
      </c>
      <c r="K226" s="71">
        <f>IF(Table1[[#This Row],[Column8]]=1,20,"")</f>
        <v>20</v>
      </c>
      <c r="L226" s="71">
        <f>IF(Table1[[#This Row],[Column8]]=1,J226*K226,"")</f>
        <v>0</v>
      </c>
      <c r="M226" s="72" t="str">
        <f>VLOOKUP($B226,'Standards Crosswalk'!$A:$H,3,FALSE)</f>
        <v>CSC 4</v>
      </c>
      <c r="N226" s="72" t="str">
        <f>VLOOKUP($B226,'Standards Crosswalk'!$A:$H,4,FALSE)</f>
        <v>§164.308(a)(1)(i), §164.308(a)(1)(ii)(A)</v>
      </c>
      <c r="O226" s="72">
        <f>VLOOKUP($B226,'Standards Crosswalk'!$A:$H,5,FALSE)</f>
        <v>0</v>
      </c>
      <c r="P226" s="72" t="str">
        <f>VLOOKUP($B226,'Standards Crosswalk'!$A:$H,6,FALSE)</f>
        <v>ID.GV-3</v>
      </c>
      <c r="Q226" s="72">
        <f>VLOOKUP($B226,'Standards Crosswalk'!$A:$H,7,FALSE)</f>
        <v>0</v>
      </c>
      <c r="R226" s="72">
        <f>VLOOKUP($B226,'Standards Crosswalk'!$A:$H,8,FALSE)</f>
        <v>0</v>
      </c>
      <c r="S226" s="72">
        <f>VLOOKUP($B226,'Standards Crosswalk'!$A:$I,9,FALSE)</f>
        <v>12.2</v>
      </c>
    </row>
    <row r="227" spans="1:19" ht="31" thickBot="1" x14ac:dyDescent="0.2">
      <c r="A227" s="71">
        <f t="shared" si="6"/>
        <v>225</v>
      </c>
      <c r="B227" s="77" t="s">
        <v>392</v>
      </c>
      <c r="C227" s="78" t="str">
        <f>VLOOKUP(B227,'HECVAT - Full'!A:E,2,FALSE)</f>
        <v>Have you taken actions to mitigate the identified risks?</v>
      </c>
      <c r="D227" s="71">
        <f>VLOOKUP(B227,'HECVAT - Full'!A:E,4,FALSE)</f>
        <v>0</v>
      </c>
      <c r="E227" s="79" t="b">
        <f>IF(Table1[[#This Row],[Column11]]&gt;20,TRUE,FALSE)</f>
        <v>0</v>
      </c>
      <c r="F227" s="79" t="s">
        <v>563</v>
      </c>
      <c r="G227" s="80" t="s">
        <v>17</v>
      </c>
      <c r="H227" s="81">
        <v>1</v>
      </c>
      <c r="I227" s="71">
        <f>VLOOKUP(B227,'HECVAT - Full'!A:E,3,FALSE)</f>
        <v>0</v>
      </c>
      <c r="J227" s="71">
        <f>IF(Table1[[#This Row],[Column7]]=Table1[[#This Row],[Column9]],1,0)</f>
        <v>0</v>
      </c>
      <c r="K227" s="71">
        <f>IF(Table1[[#This Row],[Column8]]=1,20,"")</f>
        <v>20</v>
      </c>
      <c r="L227" s="71">
        <f>IF(Table1[[#This Row],[Column8]]=1,J227*K227,"")</f>
        <v>0</v>
      </c>
      <c r="M227" s="72" t="str">
        <f>VLOOKUP($B227,'Standards Crosswalk'!$A:$H,3,FALSE)</f>
        <v>CSC 4</v>
      </c>
      <c r="N227" s="72" t="str">
        <f>VLOOKUP($B227,'Standards Crosswalk'!$A:$H,4,FALSE)</f>
        <v>§164.308(a)(1)(ii)(B)</v>
      </c>
      <c r="O227" s="72">
        <f>VLOOKUP($B227,'Standards Crosswalk'!$A:$H,5,FALSE)</f>
        <v>0</v>
      </c>
      <c r="P227" s="72" t="str">
        <f>VLOOKUP($B227,'Standards Crosswalk'!$A:$H,6,FALSE)</f>
        <v>ID.GV-3</v>
      </c>
      <c r="Q227" s="72">
        <f>VLOOKUP($B227,'Standards Crosswalk'!$A:$H,7,FALSE)</f>
        <v>0</v>
      </c>
      <c r="R227" s="72">
        <f>VLOOKUP($B227,'Standards Crosswalk'!$A:$H,8,FALSE)</f>
        <v>0</v>
      </c>
      <c r="S227" s="72">
        <f>VLOOKUP($B227,'Standards Crosswalk'!$A:$I,9,FALSE)</f>
        <v>12.2</v>
      </c>
    </row>
    <row r="228" spans="1:19" ht="61" thickBot="1" x14ac:dyDescent="0.2">
      <c r="A228" s="71">
        <f t="shared" si="6"/>
        <v>226</v>
      </c>
      <c r="B228" s="77" t="s">
        <v>393</v>
      </c>
      <c r="C228" s="78" t="str">
        <f>VLOOKUP(B228,'HECVAT - Full'!A:E,2,FALSE)</f>
        <v>Does your application require user and system administrator password changes at a frequency no greater than 90 days?</v>
      </c>
      <c r="D228" s="71">
        <f>VLOOKUP(B228,'HECVAT - Full'!A:E,4,FALSE)</f>
        <v>0</v>
      </c>
      <c r="E228" s="79" t="b">
        <f>IF(Table1[[#This Row],[Column11]]&gt;20,TRUE,FALSE)</f>
        <v>0</v>
      </c>
      <c r="F228" s="79" t="s">
        <v>563</v>
      </c>
      <c r="G228" s="80" t="s">
        <v>17</v>
      </c>
      <c r="H228" s="81">
        <v>1</v>
      </c>
      <c r="I228" s="71">
        <f>VLOOKUP(B228,'HECVAT - Full'!A:E,3,FALSE)</f>
        <v>0</v>
      </c>
      <c r="J228" s="71">
        <f>IF(Table1[[#This Row],[Column7]]=Table1[[#This Row],[Column9]],1,0)</f>
        <v>0</v>
      </c>
      <c r="K228" s="71">
        <f>IF(Table1[[#This Row],[Column8]]=1,20,"")</f>
        <v>20</v>
      </c>
      <c r="L228" s="71">
        <f>IF(Table1[[#This Row],[Column8]]=1,J228*K228,"")</f>
        <v>0</v>
      </c>
      <c r="M228" s="72" t="str">
        <f>VLOOKUP($B228,'Standards Crosswalk'!$A:$H,3,FALSE)</f>
        <v>CSC 16</v>
      </c>
      <c r="N228" s="72" t="str">
        <f>VLOOKUP($B228,'Standards Crosswalk'!$A:$H,4,FALSE)</f>
        <v>§164.308(a)(5)(ii)(D)</v>
      </c>
      <c r="O228" s="72" t="str">
        <f>VLOOKUP($B228,'Standards Crosswalk'!$A:$H,5,FALSE)</f>
        <v>9.4.3</v>
      </c>
      <c r="P228" s="72" t="str">
        <f>VLOOKUP($B228,'Standards Crosswalk'!$A:$H,6,FALSE)</f>
        <v>ID.GV-3</v>
      </c>
      <c r="Q228" s="72" t="str">
        <f>VLOOKUP($B228,'Standards Crosswalk'!$A:$H,7,FALSE)</f>
        <v>3.5.6</v>
      </c>
      <c r="R228" s="72" t="str">
        <f>VLOOKUP($B228,'Standards Crosswalk'!$A:$H,8,FALSE)</f>
        <v>IA-4</v>
      </c>
      <c r="S228" s="72">
        <f>VLOOKUP($B228,'Standards Crosswalk'!$A:$I,9,FALSE)</f>
        <v>0</v>
      </c>
    </row>
    <row r="229" spans="1:19" ht="61" thickBot="1" x14ac:dyDescent="0.2">
      <c r="A229" s="71">
        <f t="shared" si="6"/>
        <v>227</v>
      </c>
      <c r="B229" s="77" t="s">
        <v>394</v>
      </c>
      <c r="C229" s="78" t="str">
        <f>VLOOKUP(B229,'HECVAT - Full'!A:E,2,FALSE)</f>
        <v>Does your application require a user to set their own password after an administrator reset or on first use of the account?</v>
      </c>
      <c r="D229" s="71">
        <f>VLOOKUP(B229,'HECVAT - Full'!A:E,4,FALSE)</f>
        <v>0</v>
      </c>
      <c r="E229" s="79" t="b">
        <f>IF(Table1[[#This Row],[Column11]]&gt;20,TRUE,FALSE)</f>
        <v>0</v>
      </c>
      <c r="F229" s="79" t="s">
        <v>563</v>
      </c>
      <c r="G229" s="80" t="s">
        <v>17</v>
      </c>
      <c r="H229" s="81">
        <v>1</v>
      </c>
      <c r="I229" s="71">
        <f>VLOOKUP(B229,'HECVAT - Full'!A:E,3,FALSE)</f>
        <v>0</v>
      </c>
      <c r="J229" s="71">
        <f>IF(Table1[[#This Row],[Column7]]=Table1[[#This Row],[Column9]],1,0)</f>
        <v>0</v>
      </c>
      <c r="K229" s="71">
        <f>IF(Table1[[#This Row],[Column8]]=1,20,"")</f>
        <v>20</v>
      </c>
      <c r="L229" s="71">
        <f>IF(Table1[[#This Row],[Column8]]=1,J229*K229,"")</f>
        <v>0</v>
      </c>
      <c r="M229" s="72" t="str">
        <f>VLOOKUP($B229,'Standards Crosswalk'!$A:$H,3,FALSE)</f>
        <v>CSC 16</v>
      </c>
      <c r="N229" s="72" t="str">
        <f>VLOOKUP($B229,'Standards Crosswalk'!$A:$H,4,FALSE)</f>
        <v>§164.308(a)(5)(ii)(D)</v>
      </c>
      <c r="O229" s="72" t="str">
        <f>VLOOKUP($B229,'Standards Crosswalk'!$A:$H,5,FALSE)</f>
        <v>9.4.3</v>
      </c>
      <c r="P229" s="72" t="str">
        <f>VLOOKUP($B229,'Standards Crosswalk'!$A:$H,6,FALSE)</f>
        <v>ID.GV-3</v>
      </c>
      <c r="Q229" s="72" t="str">
        <f>VLOOKUP($B229,'Standards Crosswalk'!$A:$H,7,FALSE)</f>
        <v>3.5.9</v>
      </c>
      <c r="R229" s="72" t="str">
        <f>VLOOKUP($B229,'Standards Crosswalk'!$A:$H,8,FALSE)</f>
        <v>IA-5(1)</v>
      </c>
      <c r="S229" s="72">
        <f>VLOOKUP($B229,'Standards Crosswalk'!$A:$I,9,FALSE)</f>
        <v>0</v>
      </c>
    </row>
    <row r="230" spans="1:19" ht="91" thickBot="1" x14ac:dyDescent="0.2">
      <c r="A230" s="71">
        <f t="shared" si="6"/>
        <v>228</v>
      </c>
      <c r="B230" s="77" t="s">
        <v>395</v>
      </c>
      <c r="C230" s="78" t="str">
        <f>VLOOKUP(B230,'HECVAT - Full'!A:E,2,FALSE)</f>
        <v xml:space="preserve">Does your application lock-out an account after a number of failed login attempts? </v>
      </c>
      <c r="D230" s="71">
        <f>VLOOKUP(B230,'HECVAT - Full'!A:E,4,FALSE)</f>
        <v>0</v>
      </c>
      <c r="E230" s="79" t="b">
        <f>IF(Table1[[#This Row],[Column11]]&gt;20,TRUE,FALSE)</f>
        <v>0</v>
      </c>
      <c r="F230" s="79" t="s">
        <v>563</v>
      </c>
      <c r="G230" s="80" t="s">
        <v>17</v>
      </c>
      <c r="H230" s="81">
        <v>1</v>
      </c>
      <c r="I230" s="71">
        <f>VLOOKUP(B230,'HECVAT - Full'!A:E,3,FALSE)</f>
        <v>0</v>
      </c>
      <c r="J230" s="71">
        <f>IF(Table1[[#This Row],[Column7]]=Table1[[#This Row],[Column9]],1,0)</f>
        <v>0</v>
      </c>
      <c r="K230" s="71">
        <f>IF(Table1[[#This Row],[Column8]]=1,20,"")</f>
        <v>20</v>
      </c>
      <c r="L230" s="71">
        <f>IF(Table1[[#This Row],[Column8]]=1,J230*K230,"")</f>
        <v>0</v>
      </c>
      <c r="M230" s="72" t="str">
        <f>VLOOKUP($B230,'Standards Crosswalk'!$A:$H,3,FALSE)</f>
        <v>CSC 16</v>
      </c>
      <c r="N230" s="72" t="str">
        <f>VLOOKUP($B230,'Standards Crosswalk'!$A:$H,4,FALSE)</f>
        <v>§164.308(a)(4), §164.312(a)(2)(ii),  
§164.312(a)(2)(iii)</v>
      </c>
      <c r="O230" s="72" t="str">
        <f>VLOOKUP($B230,'Standards Crosswalk'!$A:$H,5,FALSE)</f>
        <v>9.4.3</v>
      </c>
      <c r="P230" s="72" t="str">
        <f>VLOOKUP($B230,'Standards Crosswalk'!$A:$H,6,FALSE)</f>
        <v>ID.GV-3</v>
      </c>
      <c r="Q230" s="72" t="str">
        <f>VLOOKUP($B230,'Standards Crosswalk'!$A:$H,7,FALSE)</f>
        <v>3.1.8</v>
      </c>
      <c r="R230" s="72" t="str">
        <f>VLOOKUP($B230,'Standards Crosswalk'!$A:$H,8,FALSE)</f>
        <v>AC-7</v>
      </c>
      <c r="S230" s="72">
        <f>VLOOKUP($B230,'Standards Crosswalk'!$A:$I,9,FALSE)</f>
        <v>0</v>
      </c>
    </row>
    <row r="231" spans="1:19" ht="91" thickBot="1" x14ac:dyDescent="0.2">
      <c r="A231" s="71">
        <f t="shared" si="6"/>
        <v>229</v>
      </c>
      <c r="B231" s="77" t="s">
        <v>396</v>
      </c>
      <c r="C231" s="78" t="str">
        <f>VLOOKUP(B231,'HECVAT - Full'!A:E,2,FALSE)</f>
        <v>Does your application automatically lock or log-out an account after a period of inactivity?</v>
      </c>
      <c r="D231" s="71">
        <f>VLOOKUP(B231,'HECVAT - Full'!A:E,4,FALSE)</f>
        <v>0</v>
      </c>
      <c r="E231" s="79" t="b">
        <f>IF(Table1[[#This Row],[Column11]]&gt;20,TRUE,FALSE)</f>
        <v>0</v>
      </c>
      <c r="F231" s="79" t="s">
        <v>563</v>
      </c>
      <c r="G231" s="80" t="s">
        <v>17</v>
      </c>
      <c r="H231" s="81">
        <v>1</v>
      </c>
      <c r="I231" s="71">
        <f>VLOOKUP(B231,'HECVAT - Full'!A:E,3,FALSE)</f>
        <v>0</v>
      </c>
      <c r="J231" s="71">
        <f>IF(Table1[[#This Row],[Column7]]=Table1[[#This Row],[Column9]],1,0)</f>
        <v>0</v>
      </c>
      <c r="K231" s="71">
        <f>IF(Table1[[#This Row],[Column8]]=1,20,"")</f>
        <v>20</v>
      </c>
      <c r="L231" s="71">
        <f>IF(Table1[[#This Row],[Column8]]=1,J231*K231,"")</f>
        <v>0</v>
      </c>
      <c r="M231" s="72" t="str">
        <f>VLOOKUP($B231,'Standards Crosswalk'!$A:$H,3,FALSE)</f>
        <v>CSC 16</v>
      </c>
      <c r="N231" s="72" t="str">
        <f>VLOOKUP($B231,'Standards Crosswalk'!$A:$H,4,FALSE)</f>
        <v>§164.308(a)(4),
§164.312(a)(2)(ii), §164.312(a)(2)(iii)</v>
      </c>
      <c r="O231" s="72" t="str">
        <f>VLOOKUP($B231,'Standards Crosswalk'!$A:$H,5,FALSE)</f>
        <v>9.4.3</v>
      </c>
      <c r="P231" s="72" t="str">
        <f>VLOOKUP($B231,'Standards Crosswalk'!$A:$H,6,FALSE)</f>
        <v>ID.GV-3</v>
      </c>
      <c r="Q231" s="72" t="str">
        <f>VLOOKUP($B231,'Standards Crosswalk'!$A:$H,7,FALSE)</f>
        <v>3.1.10, 3.1.11</v>
      </c>
      <c r="R231" s="72" t="str">
        <f>VLOOKUP($B231,'Standards Crosswalk'!$A:$H,8,FALSE)</f>
        <v>AC-11, AC-11(1), AC-12</v>
      </c>
      <c r="S231" s="72" t="str">
        <f>VLOOKUP($B231,'Standards Crosswalk'!$A:$I,9,FALSE)</f>
        <v>8.x</v>
      </c>
    </row>
    <row r="232" spans="1:19" ht="61" thickBot="1" x14ac:dyDescent="0.2">
      <c r="A232" s="71">
        <f t="shared" si="6"/>
        <v>230</v>
      </c>
      <c r="B232" s="77" t="s">
        <v>397</v>
      </c>
      <c r="C232" s="78" t="str">
        <f>VLOOKUP(B232,'HECVAT - Full'!A:E,2,FALSE)</f>
        <v>Are passwords visible in plain text, whether when stored or entered, including service level accounts (i.e. database accounts, etc.)?</v>
      </c>
      <c r="D232" s="71">
        <f>VLOOKUP(B232,'HECVAT - Full'!A:E,4,FALSE)</f>
        <v>0</v>
      </c>
      <c r="E232" s="79" t="b">
        <f>IF(Table1[[#This Row],[Column11]]&gt;20,TRUE,FALSE)</f>
        <v>1</v>
      </c>
      <c r="F232" s="79" t="s">
        <v>563</v>
      </c>
      <c r="G232" s="80" t="s">
        <v>21</v>
      </c>
      <c r="H232" s="81">
        <v>1</v>
      </c>
      <c r="I232" s="71">
        <f>VLOOKUP(B232,'HECVAT - Full'!A:E,3,FALSE)</f>
        <v>0</v>
      </c>
      <c r="J232" s="71">
        <f>IF(Table1[[#This Row],[Column7]]=Table1[[#This Row],[Column9]],1,0)</f>
        <v>0</v>
      </c>
      <c r="K232" s="71">
        <f>IF(Table1[[#This Row],[Column8]]=1,25,"")</f>
        <v>25</v>
      </c>
      <c r="L232" s="71">
        <f>IF(Table1[[#This Row],[Column8]]=1,J232*K232,"")</f>
        <v>0</v>
      </c>
      <c r="M232" s="72" t="str">
        <f>VLOOKUP($B232,'Standards Crosswalk'!$A:$H,3,FALSE)</f>
        <v>CSC 16</v>
      </c>
      <c r="N232" s="72" t="str">
        <f>VLOOKUP($B232,'Standards Crosswalk'!$A:$H,4,FALSE)</f>
        <v>§164.308(a)(4), 
§164.312(d)</v>
      </c>
      <c r="O232" s="72" t="str">
        <f>VLOOKUP($B232,'Standards Crosswalk'!$A:$H,5,FALSE)</f>
        <v>9.4.3</v>
      </c>
      <c r="P232" s="72" t="str">
        <f>VLOOKUP($B232,'Standards Crosswalk'!$A:$H,6,FALSE)</f>
        <v>ID.GV-3</v>
      </c>
      <c r="Q232" s="72" t="str">
        <f>VLOOKUP($B232,'Standards Crosswalk'!$A:$H,7,FALSE)</f>
        <v>3.5.10</v>
      </c>
      <c r="R232" s="72" t="str">
        <f>VLOOKUP($B232,'Standards Crosswalk'!$A:$H,8,FALSE)</f>
        <v>IA-5(1)</v>
      </c>
      <c r="S232" s="72" t="str">
        <f>VLOOKUP($B232,'Standards Crosswalk'!$A:$I,9,FALSE)</f>
        <v>8.x</v>
      </c>
    </row>
    <row r="233" spans="1:19" ht="61" thickBot="1" x14ac:dyDescent="0.2">
      <c r="A233" s="71">
        <f t="shared" si="6"/>
        <v>231</v>
      </c>
      <c r="B233" s="77" t="s">
        <v>398</v>
      </c>
      <c r="C233" s="78" t="str">
        <f>VLOOKUP(B233,'HECVAT - Full'!A:E,2,FALSE)</f>
        <v>If the application is institution-hosted, can all service level and administrative account passwords be changed by the institution?</v>
      </c>
      <c r="D233" s="71">
        <f>VLOOKUP(B233,'HECVAT - Full'!A:E,4,FALSE)</f>
        <v>0</v>
      </c>
      <c r="E233" s="79" t="b">
        <f>IF(Table1[[#This Row],[Column11]]&gt;20,TRUE,FALSE)</f>
        <v>0</v>
      </c>
      <c r="F233" s="79" t="s">
        <v>563</v>
      </c>
      <c r="G233" s="80" t="s">
        <v>17</v>
      </c>
      <c r="H233" s="81">
        <v>1</v>
      </c>
      <c r="I233" s="71">
        <f>VLOOKUP(B233,'HECVAT - Full'!A:E,3,FALSE)</f>
        <v>0</v>
      </c>
      <c r="J233" s="71">
        <f>IF(Table1[[#This Row],[Column7]]=Table1[[#This Row],[Column9]],1,0)</f>
        <v>0</v>
      </c>
      <c r="K233" s="71">
        <f>IF(Table1[[#This Row],[Column8]]=1,20,"")</f>
        <v>20</v>
      </c>
      <c r="L233" s="71">
        <f>IF(Table1[[#This Row],[Column8]]=1,J233*K233,"")</f>
        <v>0</v>
      </c>
      <c r="M233" s="72" t="str">
        <f>VLOOKUP($B233,'Standards Crosswalk'!$A:$H,3,FALSE)</f>
        <v>CSC 16</v>
      </c>
      <c r="N233" s="72" t="str">
        <f>VLOOKUP($B233,'Standards Crosswalk'!$A:$H,4,FALSE)</f>
        <v>§164.308(a)(4), 
§164.312(d)</v>
      </c>
      <c r="O233" s="72">
        <f>VLOOKUP($B233,'Standards Crosswalk'!$A:$H,5,FALSE)</f>
        <v>0</v>
      </c>
      <c r="P233" s="72" t="str">
        <f>VLOOKUP($B233,'Standards Crosswalk'!$A:$H,6,FALSE)</f>
        <v>ID.GV-3</v>
      </c>
      <c r="Q233" s="72">
        <f>VLOOKUP($B233,'Standards Crosswalk'!$A:$H,7,FALSE)</f>
        <v>0</v>
      </c>
      <c r="R233" s="72">
        <f>VLOOKUP($B233,'Standards Crosswalk'!$A:$H,8,FALSE)</f>
        <v>0</v>
      </c>
      <c r="S233" s="72" t="str">
        <f>VLOOKUP($B233,'Standards Crosswalk'!$A:$I,9,FALSE)</f>
        <v>8.x</v>
      </c>
    </row>
    <row r="234" spans="1:19" ht="106" thickBot="1" x14ac:dyDescent="0.2">
      <c r="A234" s="71">
        <f t="shared" si="6"/>
        <v>232</v>
      </c>
      <c r="B234" s="77" t="s">
        <v>399</v>
      </c>
      <c r="C234" s="78" t="str">
        <f>VLOOKUP(B234,'HECVAT - Full'!A:E,2,FALSE)</f>
        <v>Does your application provide the ability to define user access levels?</v>
      </c>
      <c r="D234" s="71">
        <f>VLOOKUP(B234,'HECVAT - Full'!A:E,4,FALSE)</f>
        <v>0</v>
      </c>
      <c r="E234" s="79" t="b">
        <f>IF(Table1[[#This Row],[Column11]]&gt;20,TRUE,FALSE)</f>
        <v>0</v>
      </c>
      <c r="F234" s="79" t="s">
        <v>563</v>
      </c>
      <c r="G234" s="80" t="s">
        <v>17</v>
      </c>
      <c r="H234" s="81">
        <v>1</v>
      </c>
      <c r="I234" s="71">
        <f>VLOOKUP(B234,'HECVAT - Full'!A:E,3,FALSE)</f>
        <v>0</v>
      </c>
      <c r="J234" s="71">
        <f>IF(Table1[[#This Row],[Column7]]=Table1[[#This Row],[Column9]],1,0)</f>
        <v>0</v>
      </c>
      <c r="K234" s="71">
        <f>IF(Table1[[#This Row],[Column8]]=1,20,"")</f>
        <v>20</v>
      </c>
      <c r="L234" s="71">
        <f>IF(Table1[[#This Row],[Column8]]=1,J234*K234,"")</f>
        <v>0</v>
      </c>
      <c r="M234" s="72" t="str">
        <f>VLOOKUP($B234,'Standards Crosswalk'!$A:$H,3,FALSE)</f>
        <v>CSC 16</v>
      </c>
      <c r="N234" s="72" t="str">
        <f>VLOOKUP($B234,'Standards Crosswalk'!$A:$H,4,FALSE)</f>
        <v>§164.308(a)(4), 
§164.312(a)(1), §164.312(a)(2)(i), 
§164.312(d)</v>
      </c>
      <c r="O234" s="72">
        <f>VLOOKUP($B234,'Standards Crosswalk'!$A:$H,5,FALSE)</f>
        <v>0</v>
      </c>
      <c r="P234" s="72" t="str">
        <f>VLOOKUP($B234,'Standards Crosswalk'!$A:$H,6,FALSE)</f>
        <v>ID.GV-3</v>
      </c>
      <c r="Q234" s="72" t="str">
        <f>VLOOKUP($B234,'Standards Crosswalk'!$A:$H,7,FALSE)</f>
        <v>3.1.2</v>
      </c>
      <c r="R234" s="72">
        <f>VLOOKUP($B234,'Standards Crosswalk'!$A:$H,8,FALSE)</f>
        <v>0</v>
      </c>
      <c r="S234" s="72" t="str">
        <f>VLOOKUP($B234,'Standards Crosswalk'!$A:$I,9,FALSE)</f>
        <v>8.x</v>
      </c>
    </row>
    <row r="235" spans="1:19" ht="106" thickBot="1" x14ac:dyDescent="0.2">
      <c r="A235" s="71">
        <f t="shared" si="6"/>
        <v>233</v>
      </c>
      <c r="B235" s="77" t="s">
        <v>400</v>
      </c>
      <c r="C235" s="78" t="str">
        <f>VLOOKUP(B235,'HECVAT - Full'!A:E,2,FALSE)</f>
        <v>Does your application support varying levels of access to administrative tasks defined individually per user?</v>
      </c>
      <c r="D235" s="71">
        <f>VLOOKUP(B235,'HECVAT - Full'!A:E,4,FALSE)</f>
        <v>0</v>
      </c>
      <c r="E235" s="79" t="b">
        <f>IF(Table1[[#This Row],[Column11]]&gt;20,TRUE,FALSE)</f>
        <v>0</v>
      </c>
      <c r="F235" s="79" t="s">
        <v>563</v>
      </c>
      <c r="G235" s="80" t="s">
        <v>17</v>
      </c>
      <c r="H235" s="81">
        <v>1</v>
      </c>
      <c r="I235" s="71">
        <f>VLOOKUP(B235,'HECVAT - Full'!A:E,3,FALSE)</f>
        <v>0</v>
      </c>
      <c r="J235" s="71">
        <f>IF(Table1[[#This Row],[Column7]]=Table1[[#This Row],[Column9]],1,0)</f>
        <v>0</v>
      </c>
      <c r="K235" s="71">
        <f>IF(Table1[[#This Row],[Column8]]=1,20,"")</f>
        <v>20</v>
      </c>
      <c r="L235" s="71">
        <f>IF(Table1[[#This Row],[Column8]]=1,J235*K235,"")</f>
        <v>0</v>
      </c>
      <c r="M235" s="72" t="str">
        <f>VLOOKUP($B235,'Standards Crosswalk'!$A:$H,3,FALSE)</f>
        <v>CSC 16, 5</v>
      </c>
      <c r="N235" s="72" t="str">
        <f>VLOOKUP($B235,'Standards Crosswalk'!$A:$H,4,FALSE)</f>
        <v>§164.308(a)(4),
§164.312(a)(1), §164.312(a)(2)(i), 
§164.312(d)</v>
      </c>
      <c r="O235" s="72" t="str">
        <f>VLOOKUP($B235,'Standards Crosswalk'!$A:$H,5,FALSE)</f>
        <v>9.1.1</v>
      </c>
      <c r="P235" s="72" t="str">
        <f>VLOOKUP($B235,'Standards Crosswalk'!$A:$H,6,FALSE)</f>
        <v>ID.GV-3</v>
      </c>
      <c r="Q235" s="72" t="str">
        <f>VLOOKUP($B235,'Standards Crosswalk'!$A:$H,7,FALSE)</f>
        <v>3.1.2, 3.1.5</v>
      </c>
      <c r="R235" s="72">
        <f>VLOOKUP($B235,'Standards Crosswalk'!$A:$H,8,FALSE)</f>
        <v>0</v>
      </c>
      <c r="S235" s="72" t="str">
        <f>VLOOKUP($B235,'Standards Crosswalk'!$A:$I,9,FALSE)</f>
        <v>8.x</v>
      </c>
    </row>
    <row r="236" spans="1:19" ht="106" thickBot="1" x14ac:dyDescent="0.2">
      <c r="A236" s="71">
        <f t="shared" si="6"/>
        <v>234</v>
      </c>
      <c r="B236" s="77" t="s">
        <v>401</v>
      </c>
      <c r="C236" s="78" t="str">
        <f>VLOOKUP(B236,'HECVAT - Full'!A:E,2,FALSE)</f>
        <v>Does your application support varying levels of access to records based on user ID?</v>
      </c>
      <c r="D236" s="71">
        <f>VLOOKUP(B236,'HECVAT - Full'!A:E,4,FALSE)</f>
        <v>0</v>
      </c>
      <c r="E236" s="79" t="b">
        <f>IF(Table1[[#This Row],[Column11]]&gt;20,TRUE,FALSE)</f>
        <v>0</v>
      </c>
      <c r="F236" s="79" t="s">
        <v>563</v>
      </c>
      <c r="G236" s="80" t="s">
        <v>17</v>
      </c>
      <c r="H236" s="81">
        <v>1</v>
      </c>
      <c r="I236" s="71">
        <f>VLOOKUP(B236,'HECVAT - Full'!A:E,3,FALSE)</f>
        <v>0</v>
      </c>
      <c r="J236" s="71">
        <f>IF(Table1[[#This Row],[Column7]]=Table1[[#This Row],[Column9]],1,0)</f>
        <v>0</v>
      </c>
      <c r="K236" s="71">
        <f>IF(Table1[[#This Row],[Column8]]=1,20,"")</f>
        <v>20</v>
      </c>
      <c r="L236" s="71">
        <f>IF(Table1[[#This Row],[Column8]]=1,J236*K236,"")</f>
        <v>0</v>
      </c>
      <c r="M236" s="72" t="str">
        <f>VLOOKUP($B236,'Standards Crosswalk'!$A:$H,3,FALSE)</f>
        <v>CSC 16</v>
      </c>
      <c r="N236" s="72" t="str">
        <f>VLOOKUP($B236,'Standards Crosswalk'!$A:$H,4,FALSE)</f>
        <v>§164.308(a)(4), 
§164.312(a)(1), §164.312(a)(2)(i),
§164.312(d)</v>
      </c>
      <c r="O236" s="72" t="str">
        <f>VLOOKUP($B236,'Standards Crosswalk'!$A:$H,5,FALSE)</f>
        <v>9.2.3</v>
      </c>
      <c r="P236" s="72" t="str">
        <f>VLOOKUP($B236,'Standards Crosswalk'!$A:$H,6,FALSE)</f>
        <v>ID.GV-3</v>
      </c>
      <c r="Q236" s="72" t="str">
        <f>VLOOKUP($B236,'Standards Crosswalk'!$A:$H,7,FALSE)</f>
        <v>3.1.2</v>
      </c>
      <c r="R236" s="72">
        <f>VLOOKUP($B236,'Standards Crosswalk'!$A:$H,8,FALSE)</f>
        <v>0</v>
      </c>
      <c r="S236" s="72" t="str">
        <f>VLOOKUP($B236,'Standards Crosswalk'!$A:$I,9,FALSE)</f>
        <v>8.x</v>
      </c>
    </row>
    <row r="237" spans="1:19" ht="46" thickBot="1" x14ac:dyDescent="0.2">
      <c r="A237" s="71">
        <f t="shared" si="6"/>
        <v>235</v>
      </c>
      <c r="B237" s="77" t="s">
        <v>402</v>
      </c>
      <c r="C237" s="78" t="str">
        <f>VLOOKUP(B237,'HECVAT - Full'!A:E,2,FALSE)</f>
        <v>Is there a limit to the number of groups a user can be assigned?</v>
      </c>
      <c r="D237" s="71">
        <f>VLOOKUP(B237,'HECVAT - Full'!A:E,4,FALSE)</f>
        <v>0</v>
      </c>
      <c r="E237" s="79" t="b">
        <f>IF(Table1[[#This Row],[Column11]]&gt;20,TRUE,FALSE)</f>
        <v>0</v>
      </c>
      <c r="F237" s="79" t="s">
        <v>563</v>
      </c>
      <c r="G237" s="80" t="s">
        <v>21</v>
      </c>
      <c r="H237" s="81">
        <v>1</v>
      </c>
      <c r="I237" s="71">
        <f>VLOOKUP(B237,'HECVAT - Full'!A:E,3,FALSE)</f>
        <v>0</v>
      </c>
      <c r="J237" s="71">
        <f>IF(Table1[[#This Row],[Column7]]=Table1[[#This Row],[Column9]],1,0)</f>
        <v>0</v>
      </c>
      <c r="K237" s="71">
        <f>IF(Table1[[#This Row],[Column8]]=1,20,"")</f>
        <v>20</v>
      </c>
      <c r="L237" s="71">
        <f>IF(Table1[[#This Row],[Column8]]=1,J237*K237,"")</f>
        <v>0</v>
      </c>
      <c r="M237" s="72" t="str">
        <f>VLOOKUP($B237,'Standards Crosswalk'!$A:$H,3,FALSE)</f>
        <v>CSC 16</v>
      </c>
      <c r="N237" s="72" t="str">
        <f>VLOOKUP($B237,'Standards Crosswalk'!$A:$H,4,FALSE)</f>
        <v>§164.308(a)(4), 
§164.312(a)(1)</v>
      </c>
      <c r="O237" s="72" t="str">
        <f>VLOOKUP($B237,'Standards Crosswalk'!$A:$H,5,FALSE)</f>
        <v>9.2.3</v>
      </c>
      <c r="P237" s="72" t="str">
        <f>VLOOKUP($B237,'Standards Crosswalk'!$A:$H,6,FALSE)</f>
        <v>ID.GV-3</v>
      </c>
      <c r="Q237" s="72">
        <f>VLOOKUP($B237,'Standards Crosswalk'!$A:$H,7,FALSE)</f>
        <v>0</v>
      </c>
      <c r="R237" s="72">
        <f>VLOOKUP($B237,'Standards Crosswalk'!$A:$H,8,FALSE)</f>
        <v>0</v>
      </c>
      <c r="S237" s="72">
        <f>VLOOKUP($B237,'Standards Crosswalk'!$A:$I,9,FALSE)</f>
        <v>0</v>
      </c>
    </row>
    <row r="238" spans="1:19" ht="61" thickBot="1" x14ac:dyDescent="0.2">
      <c r="A238" s="71">
        <f t="shared" si="6"/>
        <v>236</v>
      </c>
      <c r="B238" s="77" t="s">
        <v>403</v>
      </c>
      <c r="C238" s="78" t="str">
        <f>VLOOKUP(B238,'HECVAT - Full'!A:E,2,FALSE)</f>
        <v>Do accounts used for vendor supplied remote support abide by the same authentication policies and access logging as the rest of the system?</v>
      </c>
      <c r="D238" s="71">
        <f>VLOOKUP(B238,'HECVAT - Full'!A:E,4,FALSE)</f>
        <v>0</v>
      </c>
      <c r="E238" s="79" t="b">
        <f>IF(Table1[[#This Row],[Column11]]&gt;20,TRUE,FALSE)</f>
        <v>0</v>
      </c>
      <c r="F238" s="79" t="s">
        <v>563</v>
      </c>
      <c r="G238" s="80" t="s">
        <v>17</v>
      </c>
      <c r="H238" s="81">
        <v>1</v>
      </c>
      <c r="I238" s="71">
        <f>VLOOKUP(B238,'HECVAT - Full'!A:E,3,FALSE)</f>
        <v>0</v>
      </c>
      <c r="J238" s="71">
        <f>IF(Table1[[#This Row],[Column7]]=Table1[[#This Row],[Column9]],1,0)</f>
        <v>0</v>
      </c>
      <c r="K238" s="71">
        <f>IF(Table1[[#This Row],[Column8]]=1,20,"")</f>
        <v>20</v>
      </c>
      <c r="L238" s="71">
        <f>IF(Table1[[#This Row],[Column8]]=1,J238*K238,"")</f>
        <v>0</v>
      </c>
      <c r="M238" s="72" t="str">
        <f>VLOOKUP($B238,'Standards Crosswalk'!$A:$H,3,FALSE)</f>
        <v>CSC 6, CSC 16</v>
      </c>
      <c r="N238" s="72" t="str">
        <f>VLOOKUP($B238,'Standards Crosswalk'!$A:$H,4,FALSE)</f>
        <v>§164.308(a)(4), 
§164.312(a)(1)</v>
      </c>
      <c r="O238" s="72">
        <f>VLOOKUP($B238,'Standards Crosswalk'!$A:$H,5,FALSE)</f>
        <v>0</v>
      </c>
      <c r="P238" s="72" t="str">
        <f>VLOOKUP($B238,'Standards Crosswalk'!$A:$H,6,FALSE)</f>
        <v>ID.GV-3</v>
      </c>
      <c r="Q238" s="72" t="str">
        <f>VLOOKUP($B238,'Standards Crosswalk'!$A:$H,7,FALSE)</f>
        <v>3.3.1</v>
      </c>
      <c r="R238" s="72" t="str">
        <f>VLOOKUP($B238,'Standards Crosswalk'!$A:$H,8,FALSE)</f>
        <v>AU-2, AU-6, AU-12</v>
      </c>
      <c r="S238" s="72" t="str">
        <f>VLOOKUP($B238,'Standards Crosswalk'!$A:$I,9,FALSE)</f>
        <v>8.x</v>
      </c>
    </row>
    <row r="239" spans="1:19" ht="61" thickBot="1" x14ac:dyDescent="0.2">
      <c r="A239" s="71">
        <f t="shared" si="6"/>
        <v>237</v>
      </c>
      <c r="B239" s="77" t="s">
        <v>404</v>
      </c>
      <c r="C239" s="78" t="str">
        <f>VLOOKUP(B239,'HECVAT - Full'!A:E,2,FALSE)</f>
        <v xml:space="preserve">Does the application log record access including specific user, date/time of access, and originating IP or device? </v>
      </c>
      <c r="D239" s="71">
        <f>VLOOKUP(B239,'HECVAT - Full'!A:E,4,FALSE)</f>
        <v>0</v>
      </c>
      <c r="E239" s="79" t="b">
        <f>IF(Table1[[#This Row],[Column11]]&gt;20,TRUE,FALSE)</f>
        <v>0</v>
      </c>
      <c r="F239" s="79" t="s">
        <v>563</v>
      </c>
      <c r="G239" s="80" t="s">
        <v>17</v>
      </c>
      <c r="H239" s="81">
        <v>1</v>
      </c>
      <c r="I239" s="71">
        <f>VLOOKUP(B239,'HECVAT - Full'!A:E,3,FALSE)</f>
        <v>0</v>
      </c>
      <c r="J239" s="71">
        <f>IF(Table1[[#This Row],[Column7]]=Table1[[#This Row],[Column9]],1,0)</f>
        <v>0</v>
      </c>
      <c r="K239" s="71">
        <f>IF(Table1[[#This Row],[Column8]]=1,20,"")</f>
        <v>20</v>
      </c>
      <c r="L239" s="71">
        <f>IF(Table1[[#This Row],[Column8]]=1,J239*K239,"")</f>
        <v>0</v>
      </c>
      <c r="M239" s="72" t="str">
        <f>VLOOKUP($B239,'Standards Crosswalk'!$A:$H,3,FALSE)</f>
        <v>CSC 6</v>
      </c>
      <c r="N239" s="72" t="str">
        <f>VLOOKUP($B239,'Standards Crosswalk'!$A:$H,4,FALSE)</f>
        <v>§ 164.308(a)(1)(ii)(D)</v>
      </c>
      <c r="O239" s="72" t="str">
        <f>VLOOKUP($B239,'Standards Crosswalk'!$A:$H,5,FALSE)</f>
        <v>12.4.1</v>
      </c>
      <c r="P239" s="72" t="str">
        <f>VLOOKUP($B239,'Standards Crosswalk'!$A:$H,6,FALSE)</f>
        <v>ID.GV-3</v>
      </c>
      <c r="Q239" s="72" t="str">
        <f>VLOOKUP($B239,'Standards Crosswalk'!$A:$H,7,FALSE)</f>
        <v>3.3.2</v>
      </c>
      <c r="R239" s="72" t="str">
        <f>VLOOKUP($B239,'Standards Crosswalk'!$A:$H,8,FALSE)</f>
        <v>AU-3</v>
      </c>
      <c r="S239" s="72">
        <f>VLOOKUP($B239,'Standards Crosswalk'!$A:$I,9,FALSE)</f>
        <v>10.7</v>
      </c>
    </row>
    <row r="240" spans="1:19" ht="91" thickBot="1" x14ac:dyDescent="0.2">
      <c r="A240" s="71">
        <f t="shared" si="6"/>
        <v>238</v>
      </c>
      <c r="B240" s="77" t="s">
        <v>405</v>
      </c>
      <c r="C240" s="78" t="str">
        <f>VLOOKUP(B240,'HECVAT - Full'!A:E,2,FALSE)</f>
        <v>Does the application log administrative activity, such user account access changes and password changes, including specific user, date/time of changes, and originating IP or device?</v>
      </c>
      <c r="D240" s="71">
        <f>VLOOKUP(B240,'HECVAT - Full'!A:E,4,FALSE)</f>
        <v>0</v>
      </c>
      <c r="E240" s="79" t="b">
        <f>IF(Table1[[#This Row],[Column11]]&gt;20,TRUE,FALSE)</f>
        <v>0</v>
      </c>
      <c r="F240" s="79" t="s">
        <v>563</v>
      </c>
      <c r="G240" s="80" t="s">
        <v>17</v>
      </c>
      <c r="H240" s="81">
        <v>1</v>
      </c>
      <c r="I240" s="71">
        <f>VLOOKUP(B240,'HECVAT - Full'!A:E,3,FALSE)</f>
        <v>0</v>
      </c>
      <c r="J240" s="71">
        <f>IF(Table1[[#This Row],[Column7]]=Table1[[#This Row],[Column9]],1,0)</f>
        <v>0</v>
      </c>
      <c r="K240" s="71">
        <f>IF(Table1[[#This Row],[Column8]]=1,20,"")</f>
        <v>20</v>
      </c>
      <c r="L240" s="71">
        <f>IF(Table1[[#This Row],[Column8]]=1,J240*K240,"")</f>
        <v>0</v>
      </c>
      <c r="M240" s="72" t="str">
        <f>VLOOKUP($B240,'Standards Crosswalk'!$A:$H,3,FALSE)</f>
        <v>CSC 6</v>
      </c>
      <c r="N240" s="72" t="str">
        <f>VLOOKUP($B240,'Standards Crosswalk'!$A:$H,4,FALSE)</f>
        <v>§164.312(b)</v>
      </c>
      <c r="O240" s="72" t="str">
        <f>VLOOKUP($B240,'Standards Crosswalk'!$A:$H,5,FALSE)</f>
        <v>12.4.1</v>
      </c>
      <c r="P240" s="72" t="str">
        <f>VLOOKUP($B240,'Standards Crosswalk'!$A:$H,6,FALSE)</f>
        <v>ID.GV-3</v>
      </c>
      <c r="Q240" s="72">
        <f>VLOOKUP($B240,'Standards Crosswalk'!$A:$H,7,FALSE)</f>
        <v>0</v>
      </c>
      <c r="R240" s="72">
        <f>VLOOKUP($B240,'Standards Crosswalk'!$A:$H,8,FALSE)</f>
        <v>0</v>
      </c>
      <c r="S240" s="72">
        <f>VLOOKUP($B240,'Standards Crosswalk'!$A:$I,9,FALSE)</f>
        <v>10.7</v>
      </c>
    </row>
    <row r="241" spans="1:25" ht="31" thickBot="1" x14ac:dyDescent="0.2">
      <c r="A241" s="71">
        <f t="shared" si="6"/>
        <v>239</v>
      </c>
      <c r="B241" s="77" t="s">
        <v>406</v>
      </c>
      <c r="C241" s="78" t="str">
        <f>VLOOKUP(B241,'HECVAT - Full'!A:E,2,FALSE)</f>
        <v>How long does the application keep access/change logs?</v>
      </c>
      <c r="D241" s="71">
        <f>VLOOKUP(B241,'HECVAT - Full'!A:E,4,FALSE)</f>
        <v>0</v>
      </c>
      <c r="E241" s="79" t="b">
        <f>IF(Table1[[#This Row],[Column11]]&gt;20,TRUE,FALSE)</f>
        <v>0</v>
      </c>
      <c r="F241" s="79" t="s">
        <v>563</v>
      </c>
      <c r="G241" s="80" t="s">
        <v>17</v>
      </c>
      <c r="H241" s="81">
        <v>1</v>
      </c>
      <c r="I241" s="71">
        <f>VLOOKUP(B241,'HECVAT - Full'!A:E,3,FALSE)</f>
        <v>0</v>
      </c>
      <c r="J241" s="71">
        <f>IF(VLOOKUP(Table1[[#This Row],[Column2]],'Analyst Report'!$A$41:$G$88,7,FALSE)="Yes",1,0)</f>
        <v>0</v>
      </c>
      <c r="K241" s="71">
        <f>IF(Table1[[#This Row],[Column8]]=1,20,"")</f>
        <v>20</v>
      </c>
      <c r="L241" s="71">
        <f>IF(Table1[[#This Row],[Column8]]=1,J241*K241,"")</f>
        <v>0</v>
      </c>
      <c r="M241" s="72" t="str">
        <f>VLOOKUP($B241,'Standards Crosswalk'!$A:$H,3,FALSE)</f>
        <v>CSC 6</v>
      </c>
      <c r="N241" s="72" t="str">
        <f>VLOOKUP($B241,'Standards Crosswalk'!$A:$H,4,FALSE)</f>
        <v>§164.312(b)</v>
      </c>
      <c r="O241" s="72" t="str">
        <f>VLOOKUP($B241,'Standards Crosswalk'!$A:$H,5,FALSE)</f>
        <v>12.4.1</v>
      </c>
      <c r="P241" s="72" t="str">
        <f>VLOOKUP($B241,'Standards Crosswalk'!$A:$H,6,FALSE)</f>
        <v>ID.GV-3</v>
      </c>
      <c r="Q241" s="72">
        <f>VLOOKUP($B241,'Standards Crosswalk'!$A:$H,7,FALSE)</f>
        <v>0</v>
      </c>
      <c r="R241" s="72">
        <f>VLOOKUP($B241,'Standards Crosswalk'!$A:$H,8,FALSE)</f>
        <v>0</v>
      </c>
      <c r="S241" s="72">
        <f>VLOOKUP($B241,'Standards Crosswalk'!$A:$I,9,FALSE)</f>
        <v>10.7</v>
      </c>
      <c r="T241" s="94"/>
      <c r="U241" s="94"/>
      <c r="V241" s="94"/>
      <c r="W241" s="94"/>
      <c r="X241" s="94"/>
      <c r="Y241" s="94"/>
    </row>
    <row r="242" spans="1:25" ht="16" thickBot="1" x14ac:dyDescent="0.2">
      <c r="A242" s="71">
        <f t="shared" si="6"/>
        <v>240</v>
      </c>
      <c r="B242" s="77" t="s">
        <v>407</v>
      </c>
      <c r="C242" s="78" t="str">
        <f>VLOOKUP(B242,'HECVAT - Full'!A:E,2,FALSE)</f>
        <v xml:space="preserve">Can the application logs be archived? </v>
      </c>
      <c r="D242" s="71">
        <f>VLOOKUP(B242,'HECVAT - Full'!A:E,4,FALSE)</f>
        <v>0</v>
      </c>
      <c r="E242" s="79" t="b">
        <f>IF(Table1[[#This Row],[Column11]]&gt;20,TRUE,FALSE)</f>
        <v>0</v>
      </c>
      <c r="F242" s="79" t="s">
        <v>563</v>
      </c>
      <c r="G242" s="80" t="s">
        <v>17</v>
      </c>
      <c r="H242" s="81">
        <v>1</v>
      </c>
      <c r="I242" s="71">
        <f>VLOOKUP(B242,'HECVAT - Full'!A:E,3,FALSE)</f>
        <v>0</v>
      </c>
      <c r="J242" s="71">
        <f>IF(Table1[[#This Row],[Column7]]=Table1[[#This Row],[Column9]],1,0)</f>
        <v>0</v>
      </c>
      <c r="K242" s="71">
        <f>IF(Table1[[#This Row],[Column8]]=1,20,"")</f>
        <v>20</v>
      </c>
      <c r="L242" s="71">
        <f>IF(Table1[[#This Row],[Column8]]=1,J242*K242,"")</f>
        <v>0</v>
      </c>
      <c r="M242" s="72" t="str">
        <f>VLOOKUP($B242,'Standards Crosswalk'!$A:$H,3,FALSE)</f>
        <v>CSC 6</v>
      </c>
      <c r="N242" s="72" t="str">
        <f>VLOOKUP($B242,'Standards Crosswalk'!$A:$H,4,FALSE)</f>
        <v>§164.312(b)</v>
      </c>
      <c r="O242" s="72" t="str">
        <f>VLOOKUP($B242,'Standards Crosswalk'!$A:$H,5,FALSE)</f>
        <v>12.4.1</v>
      </c>
      <c r="P242" s="72" t="str">
        <f>VLOOKUP($B242,'Standards Crosswalk'!$A:$H,6,FALSE)</f>
        <v>ID.GV-3</v>
      </c>
      <c r="Q242" s="72">
        <f>VLOOKUP($B242,'Standards Crosswalk'!$A:$H,7,FALSE)</f>
        <v>0</v>
      </c>
      <c r="R242" s="72">
        <f>VLOOKUP($B242,'Standards Crosswalk'!$A:$H,8,FALSE)</f>
        <v>0</v>
      </c>
      <c r="S242" s="72">
        <f>VLOOKUP($B242,'Standards Crosswalk'!$A:$I,9,FALSE)</f>
        <v>10.7</v>
      </c>
    </row>
    <row r="243" spans="1:25" ht="31" thickBot="1" x14ac:dyDescent="0.2">
      <c r="A243" s="71">
        <f t="shared" si="6"/>
        <v>241</v>
      </c>
      <c r="B243" s="77" t="s">
        <v>408</v>
      </c>
      <c r="C243" s="78" t="str">
        <f>VLOOKUP(B243,'HECVAT - Full'!A:E,2,FALSE)</f>
        <v xml:space="preserve">Can the application logs be saved externally? </v>
      </c>
      <c r="D243" s="71">
        <f>VLOOKUP(B243,'HECVAT - Full'!A:E,4,FALSE)</f>
        <v>0</v>
      </c>
      <c r="E243" s="79" t="b">
        <f>IF(Table1[[#This Row],[Column11]]&gt;20,TRUE,FALSE)</f>
        <v>0</v>
      </c>
      <c r="F243" s="79" t="s">
        <v>563</v>
      </c>
      <c r="G243" s="80" t="s">
        <v>17</v>
      </c>
      <c r="H243" s="81">
        <v>1</v>
      </c>
      <c r="I243" s="71">
        <f>VLOOKUP(B243,'HECVAT - Full'!A:E,3,FALSE)</f>
        <v>0</v>
      </c>
      <c r="J243" s="71">
        <f>IF(Table1[[#This Row],[Column7]]=Table1[[#This Row],[Column9]],1,0)</f>
        <v>0</v>
      </c>
      <c r="K243" s="71">
        <f>IF(Table1[[#This Row],[Column8]]=1,20,"")</f>
        <v>20</v>
      </c>
      <c r="L243" s="71">
        <f>IF(Table1[[#This Row],[Column8]]=1,J243*K243,"")</f>
        <v>0</v>
      </c>
      <c r="M243" s="72" t="str">
        <f>VLOOKUP($B243,'Standards Crosswalk'!$A:$H,3,FALSE)</f>
        <v>CSC 6</v>
      </c>
      <c r="N243" s="72" t="str">
        <f>VLOOKUP($B243,'Standards Crosswalk'!$A:$H,4,FALSE)</f>
        <v>§164.312(b)</v>
      </c>
      <c r="O243" s="72" t="str">
        <f>VLOOKUP($B243,'Standards Crosswalk'!$A:$H,5,FALSE)</f>
        <v>12.4.1</v>
      </c>
      <c r="P243" s="72" t="str">
        <f>VLOOKUP($B243,'Standards Crosswalk'!$A:$H,6,FALSE)</f>
        <v>ID.GV-3</v>
      </c>
      <c r="Q243" s="72">
        <f>VLOOKUP($B243,'Standards Crosswalk'!$A:$H,7,FALSE)</f>
        <v>0</v>
      </c>
      <c r="R243" s="72">
        <f>VLOOKUP($B243,'Standards Crosswalk'!$A:$H,8,FALSE)</f>
        <v>0</v>
      </c>
      <c r="S243" s="72">
        <f>VLOOKUP($B243,'Standards Crosswalk'!$A:$I,9,FALSE)</f>
        <v>10.7</v>
      </c>
    </row>
    <row r="244" spans="1:25" ht="46" thickBot="1" x14ac:dyDescent="0.2">
      <c r="A244" s="71">
        <f t="shared" si="6"/>
        <v>242</v>
      </c>
      <c r="B244" s="77" t="s">
        <v>409</v>
      </c>
      <c r="C244" s="78" t="str">
        <f>VLOOKUP(B244,'HECVAT - Full'!A:E,2,FALSE)</f>
        <v>Does your data backup and retention policies and practices meet HIPAA requirements?</v>
      </c>
      <c r="D244" s="71">
        <f>VLOOKUP(B244,'HECVAT - Full'!A:E,4,FALSE)</f>
        <v>0</v>
      </c>
      <c r="E244" s="79" t="b">
        <f>IF(Table1[[#This Row],[Column11]]&gt;20,TRUE,FALSE)</f>
        <v>0</v>
      </c>
      <c r="F244" s="79" t="s">
        <v>563</v>
      </c>
      <c r="G244" s="80" t="s">
        <v>17</v>
      </c>
      <c r="H244" s="81">
        <v>1</v>
      </c>
      <c r="I244" s="71">
        <f>VLOOKUP(B244,'HECVAT - Full'!A:E,3,FALSE)</f>
        <v>0</v>
      </c>
      <c r="J244" s="71">
        <f>IF(Table1[[#This Row],[Column7]]=Table1[[#This Row],[Column9]],1,0)</f>
        <v>0</v>
      </c>
      <c r="K244" s="71">
        <f>IF(Table1[[#This Row],[Column8]]=1,20,"")</f>
        <v>20</v>
      </c>
      <c r="L244" s="71">
        <f>IF(Table1[[#This Row],[Column8]]=1,J244*K244,"")</f>
        <v>0</v>
      </c>
      <c r="M244" s="72" t="str">
        <f>VLOOKUP($B244,'Standards Crosswalk'!$A:$H,3,FALSE)</f>
        <v>CSC 10</v>
      </c>
      <c r="N244" s="72" t="str">
        <f>VLOOKUP($B244,'Standards Crosswalk'!$A:$H,4,FALSE)</f>
        <v>§164.312(a)(2)(ii)</v>
      </c>
      <c r="O244" s="72" t="str">
        <f>VLOOKUP($B244,'Standards Crosswalk'!$A:$H,5,FALSE)</f>
        <v>18.1.1</v>
      </c>
      <c r="P244" s="72" t="str">
        <f>VLOOKUP($B244,'Standards Crosswalk'!$A:$H,6,FALSE)</f>
        <v>ID.GV-3</v>
      </c>
      <c r="Q244" s="72">
        <f>VLOOKUP($B244,'Standards Crosswalk'!$A:$H,7,FALSE)</f>
        <v>0</v>
      </c>
      <c r="R244" s="72">
        <f>VLOOKUP($B244,'Standards Crosswalk'!$A:$H,8,FALSE)</f>
        <v>0</v>
      </c>
      <c r="S244" s="72">
        <f>VLOOKUP($B244,'Standards Crosswalk'!$A:$I,9,FALSE)</f>
        <v>10.7</v>
      </c>
    </row>
    <row r="245" spans="1:25" ht="31" thickBot="1" x14ac:dyDescent="0.2">
      <c r="A245" s="71">
        <f t="shared" si="6"/>
        <v>243</v>
      </c>
      <c r="B245" s="77" t="s">
        <v>410</v>
      </c>
      <c r="C245" s="78" t="str">
        <f>VLOOKUP(B245,'HECVAT - Full'!A:E,2,FALSE)</f>
        <v>Do you have a disaster recovery plan and emergency mode operation plan?</v>
      </c>
      <c r="D245" s="71">
        <f>VLOOKUP(B245,'HECVAT - Full'!A:E,4,FALSE)</f>
        <v>0</v>
      </c>
      <c r="E245" s="79" t="b">
        <f>IF(Table1[[#This Row],[Column11]]&gt;20,TRUE,FALSE)</f>
        <v>0</v>
      </c>
      <c r="F245" s="79" t="s">
        <v>563</v>
      </c>
      <c r="G245" s="80" t="s">
        <v>17</v>
      </c>
      <c r="H245" s="81">
        <v>1</v>
      </c>
      <c r="I245" s="71">
        <f>VLOOKUP(B245,'HECVAT - Full'!A:E,3,FALSE)</f>
        <v>0</v>
      </c>
      <c r="J245" s="71">
        <f>IF(Table1[[#This Row],[Column7]]=Table1[[#This Row],[Column9]],1,0)</f>
        <v>0</v>
      </c>
      <c r="K245" s="71">
        <f>IF(Table1[[#This Row],[Column8]]=1,20,"")</f>
        <v>20</v>
      </c>
      <c r="L245" s="71">
        <f>IF(Table1[[#This Row],[Column8]]=1,J245*K245,"")</f>
        <v>0</v>
      </c>
      <c r="M245" s="72" t="str">
        <f>VLOOKUP($B245,'Standards Crosswalk'!$A:$H,3,FALSE)</f>
        <v>CSC 10</v>
      </c>
      <c r="N245" s="72" t="str">
        <f>VLOOKUP($B245,'Standards Crosswalk'!$A:$H,4,FALSE)</f>
        <v>§164.308(a)(7)(i)</v>
      </c>
      <c r="O245" s="72" t="str">
        <f>VLOOKUP($B245,'Standards Crosswalk'!$A:$H,5,FALSE)</f>
        <v>17.1.1</v>
      </c>
      <c r="P245" s="72" t="str">
        <f>VLOOKUP($B245,'Standards Crosswalk'!$A:$H,6,FALSE)</f>
        <v>ID.GV-3</v>
      </c>
      <c r="Q245" s="72" t="str">
        <f>VLOOKUP($B245,'Standards Crosswalk'!$A:$H,7,FALSE)</f>
        <v>3.12.2</v>
      </c>
      <c r="R245" s="72">
        <f>VLOOKUP($B245,'Standards Crosswalk'!$A:$H,8,FALSE)</f>
        <v>0</v>
      </c>
      <c r="S245" s="72">
        <f>VLOOKUP($B245,'Standards Crosswalk'!$A:$I,9,FALSE)</f>
        <v>12.1</v>
      </c>
    </row>
    <row r="246" spans="1:25" ht="31" thickBot="1" x14ac:dyDescent="0.2">
      <c r="A246" s="71">
        <f t="shared" si="6"/>
        <v>244</v>
      </c>
      <c r="B246" s="77" t="s">
        <v>411</v>
      </c>
      <c r="C246" s="78" t="str">
        <f>VLOOKUP(B246,'HECVAT - Full'!A:E,2,FALSE)</f>
        <v>Have the policies/plans mentioned above been tested?</v>
      </c>
      <c r="D246" s="71">
        <f>VLOOKUP(B246,'HECVAT - Full'!A:E,4,FALSE)</f>
        <v>0</v>
      </c>
      <c r="E246" s="79" t="b">
        <f>IF(Table1[[#This Row],[Column11]]&gt;20,TRUE,FALSE)</f>
        <v>0</v>
      </c>
      <c r="F246" s="79" t="s">
        <v>563</v>
      </c>
      <c r="G246" s="80" t="s">
        <v>17</v>
      </c>
      <c r="H246" s="81">
        <v>1</v>
      </c>
      <c r="I246" s="71">
        <f>VLOOKUP(B246,'HECVAT - Full'!A:E,3,FALSE)</f>
        <v>0</v>
      </c>
      <c r="J246" s="71">
        <f>IF(Table1[[#This Row],[Column7]]=Table1[[#This Row],[Column9]],1,0)</f>
        <v>0</v>
      </c>
      <c r="K246" s="71">
        <f>IF(Table1[[#This Row],[Column8]]=1,20,"")</f>
        <v>20</v>
      </c>
      <c r="L246" s="71">
        <f>IF(Table1[[#This Row],[Column8]]=1,J246*K246,"")</f>
        <v>0</v>
      </c>
      <c r="M246" s="72" t="str">
        <f>VLOOKUP($B246,'Standards Crosswalk'!$A:$H,3,FALSE)</f>
        <v>CSC 10</v>
      </c>
      <c r="N246" s="72" t="str">
        <f>VLOOKUP($B246,'Standards Crosswalk'!$A:$H,4,FALSE)</f>
        <v>§164.308(a)(7)(i)</v>
      </c>
      <c r="O246" s="72" t="str">
        <f>VLOOKUP($B246,'Standards Crosswalk'!$A:$H,5,FALSE)</f>
        <v>17.1.3</v>
      </c>
      <c r="P246" s="72" t="str">
        <f>VLOOKUP($B246,'Standards Crosswalk'!$A:$H,6,FALSE)</f>
        <v>ID.GV-3</v>
      </c>
      <c r="Q246" s="72" t="str">
        <f>VLOOKUP($B246,'Standards Crosswalk'!$A:$H,7,FALSE)</f>
        <v>3.6.3, 3.12.2</v>
      </c>
      <c r="R246" s="72">
        <f>VLOOKUP($B246,'Standards Crosswalk'!$A:$H,8,FALSE)</f>
        <v>0</v>
      </c>
      <c r="S246" s="72">
        <f>VLOOKUP($B246,'Standards Crosswalk'!$A:$I,9,FALSE)</f>
        <v>12.1</v>
      </c>
    </row>
    <row r="247" spans="1:25" ht="31" thickBot="1" x14ac:dyDescent="0.2">
      <c r="A247" s="71">
        <f t="shared" si="6"/>
        <v>245</v>
      </c>
      <c r="B247" s="77" t="s">
        <v>412</v>
      </c>
      <c r="C247" s="78" t="str">
        <f>VLOOKUP(B247,'HECVAT - Full'!A:E,2,FALSE)</f>
        <v>Can you provide a HIPAA compliance attestation document?</v>
      </c>
      <c r="D247" s="71">
        <f>VLOOKUP(B247,'HECVAT - Full'!A:E,4,FALSE)</f>
        <v>0</v>
      </c>
      <c r="E247" s="79" t="b">
        <f>IF(Table1[[#This Row],[Column11]]&gt;20,TRUE,FALSE)</f>
        <v>0</v>
      </c>
      <c r="F247" s="79" t="s">
        <v>563</v>
      </c>
      <c r="G247" s="80" t="s">
        <v>17</v>
      </c>
      <c r="H247" s="81">
        <v>1</v>
      </c>
      <c r="I247" s="71">
        <f>VLOOKUP(B247,'HECVAT - Full'!A:E,3,FALSE)</f>
        <v>0</v>
      </c>
      <c r="J247" s="71">
        <f>IF(Table1[[#This Row],[Column7]]=Table1[[#This Row],[Column9]],1,0)</f>
        <v>0</v>
      </c>
      <c r="K247" s="71">
        <f>IF(Table1[[#This Row],[Column8]]=1,20,"")</f>
        <v>20</v>
      </c>
      <c r="L247" s="71">
        <f>IF(Table1[[#This Row],[Column8]]=1,J247*K247,"")</f>
        <v>0</v>
      </c>
      <c r="M247" s="72" t="str">
        <f>VLOOKUP($B247,'Standards Crosswalk'!$A:$H,3,FALSE)</f>
        <v>CSC 10</v>
      </c>
      <c r="N247" s="72" t="str">
        <f>VLOOKUP($B247,'Standards Crosswalk'!$A:$H,4,FALSE)</f>
        <v>§164.308(b)(2)</v>
      </c>
      <c r="O247" s="72" t="str">
        <f>VLOOKUP($B247,'Standards Crosswalk'!$A:$H,5,FALSE)</f>
        <v>18.1.1</v>
      </c>
      <c r="P247" s="72" t="str">
        <f>VLOOKUP($B247,'Standards Crosswalk'!$A:$H,6,FALSE)</f>
        <v>ID.GV-3</v>
      </c>
      <c r="Q247" s="72">
        <f>VLOOKUP($B247,'Standards Crosswalk'!$A:$H,7,FALSE)</f>
        <v>0</v>
      </c>
      <c r="R247" s="72">
        <f>VLOOKUP($B247,'Standards Crosswalk'!$A:$H,8,FALSE)</f>
        <v>0</v>
      </c>
      <c r="S247" s="72">
        <f>VLOOKUP($B247,'Standards Crosswalk'!$A:$I,9,FALSE)</f>
        <v>10.7</v>
      </c>
    </row>
    <row r="248" spans="1:25" ht="91" thickBot="1" x14ac:dyDescent="0.2">
      <c r="A248" s="71">
        <f t="shared" si="6"/>
        <v>246</v>
      </c>
      <c r="B248" s="77" t="s">
        <v>413</v>
      </c>
      <c r="C248" s="78" t="str">
        <f>VLOOKUP(B248,'HECVAT - Full'!A:E,2,FALSE)</f>
        <v>Are you willing to enter into a Business Associate Agreement (BAA)?</v>
      </c>
      <c r="D248" s="71">
        <f>VLOOKUP(B248,'HECVAT - Full'!A:E,4,FALSE)</f>
        <v>0</v>
      </c>
      <c r="E248" s="79" t="b">
        <f>IF(Table1[[#This Row],[Column11]]&gt;20,TRUE,FALSE)</f>
        <v>0</v>
      </c>
      <c r="F248" s="79" t="s">
        <v>563</v>
      </c>
      <c r="G248" s="80" t="s">
        <v>17</v>
      </c>
      <c r="H248" s="81">
        <v>1</v>
      </c>
      <c r="I248" s="71">
        <f>VLOOKUP(B248,'HECVAT - Full'!A:E,3,FALSE)</f>
        <v>0</v>
      </c>
      <c r="J248" s="71">
        <f>IF(Table1[[#This Row],[Column7]]=Table1[[#This Row],[Column9]],1,0)</f>
        <v>0</v>
      </c>
      <c r="K248" s="71">
        <f>IF(Table1[[#This Row],[Column8]]=1,20,"")</f>
        <v>20</v>
      </c>
      <c r="L248" s="71">
        <f>IF(Table1[[#This Row],[Column8]]=1,J248*K248,"")</f>
        <v>0</v>
      </c>
      <c r="M248" s="72" t="str">
        <f>VLOOKUP($B248,'Standards Crosswalk'!$A:$H,3,FALSE)</f>
        <v>CSC 10</v>
      </c>
      <c r="N248" s="72" t="str">
        <f>VLOOKUP($B248,'Standards Crosswalk'!$A:$H,4,FALSE)</f>
        <v>§164.308(b)(1),
§164.308(b)(3), §164.314(a)(1)(i)</v>
      </c>
      <c r="O248" s="72" t="str">
        <f>VLOOKUP($B248,'Standards Crosswalk'!$A:$H,5,FALSE)</f>
        <v>18.1.1</v>
      </c>
      <c r="P248" s="72" t="str">
        <f>VLOOKUP($B248,'Standards Crosswalk'!$A:$H,6,FALSE)</f>
        <v>ID.GV-3</v>
      </c>
      <c r="Q248" s="72">
        <f>VLOOKUP($B248,'Standards Crosswalk'!$A:$H,7,FALSE)</f>
        <v>0</v>
      </c>
      <c r="R248" s="72">
        <f>VLOOKUP($B248,'Standards Crosswalk'!$A:$H,8,FALSE)</f>
        <v>0</v>
      </c>
      <c r="S248" s="72">
        <f>VLOOKUP($B248,'Standards Crosswalk'!$A:$I,9,FALSE)</f>
        <v>0</v>
      </c>
    </row>
    <row r="249" spans="1:25" ht="121" thickBot="1" x14ac:dyDescent="0.2">
      <c r="A249" s="71">
        <f t="shared" si="6"/>
        <v>247</v>
      </c>
      <c r="B249" s="77" t="s">
        <v>414</v>
      </c>
      <c r="C249" s="78" t="str">
        <f>VLOOKUP(B249,'HECVAT - Full'!A:E,2,FALSE)</f>
        <v>Have you entered into a BAA with all subcontractors who may have access to protected health information (PHI)?</v>
      </c>
      <c r="D249" s="71">
        <f>VLOOKUP(B249,'HECVAT - Full'!A:E,4,FALSE)</f>
        <v>0</v>
      </c>
      <c r="E249" s="79" t="b">
        <f>IF(Table1[[#This Row],[Column11]]&gt;20,TRUE,FALSE)</f>
        <v>0</v>
      </c>
      <c r="F249" s="79" t="s">
        <v>563</v>
      </c>
      <c r="G249" s="80" t="s">
        <v>17</v>
      </c>
      <c r="H249" s="81">
        <v>1</v>
      </c>
      <c r="I249" s="71">
        <f>VLOOKUP(B249,'HECVAT - Full'!A:E,3,FALSE)</f>
        <v>0</v>
      </c>
      <c r="J249" s="71">
        <f>IF(Table1[[#This Row],[Column7]]=Table1[[#This Row],[Column9]],1,0)</f>
        <v>0</v>
      </c>
      <c r="K249" s="71">
        <f>IF(Table1[[#This Row],[Column8]]=1,20,"")</f>
        <v>20</v>
      </c>
      <c r="L249" s="71">
        <f>IF(Table1[[#This Row],[Column8]]=1,J249*K249,"")</f>
        <v>0</v>
      </c>
      <c r="M249" s="72" t="str">
        <f>VLOOKUP($B249,'Standards Crosswalk'!$A:$H,3,FALSE)</f>
        <v>CSC 10</v>
      </c>
      <c r="N249" s="72" t="str">
        <f>VLOOKUP($B249,'Standards Crosswalk'!$A:$H,4,FALSE)</f>
        <v>§164.308(a)(3)(i), §164.308(b)(1), 
§164.308(b)(3), §164.314(a)(1)(i)</v>
      </c>
      <c r="O249" s="72" t="str">
        <f>VLOOKUP($B249,'Standards Crosswalk'!$A:$H,5,FALSE)</f>
        <v>18.1.1</v>
      </c>
      <c r="P249" s="72" t="str">
        <f>VLOOKUP($B249,'Standards Crosswalk'!$A:$H,6,FALSE)</f>
        <v>ID.GV-3</v>
      </c>
      <c r="Q249" s="72">
        <f>VLOOKUP($B249,'Standards Crosswalk'!$A:$H,7,FALSE)</f>
        <v>0</v>
      </c>
      <c r="R249" s="72">
        <f>VLOOKUP($B249,'Standards Crosswalk'!$A:$H,8,FALSE)</f>
        <v>0</v>
      </c>
      <c r="S249" s="72">
        <f>VLOOKUP($B249,'Standards Crosswalk'!$A:$I,9,FALSE)</f>
        <v>12.8</v>
      </c>
    </row>
    <row r="250" spans="1:25" ht="46" thickBot="1" x14ac:dyDescent="0.2">
      <c r="A250" s="71">
        <f t="shared" si="6"/>
        <v>248</v>
      </c>
      <c r="B250" s="77" t="s">
        <v>415</v>
      </c>
      <c r="C250" s="78" t="str">
        <f>VLOOKUP(B250,'HECVAT - Full'!A:E,2,FALSE)</f>
        <v>Do your systems or products store, process, or transmit cardholder (payment/credit/debt card) data?</v>
      </c>
      <c r="D250" s="71">
        <f>VLOOKUP(B250,'HECVAT - Full'!A:E,4,FALSE)</f>
        <v>0</v>
      </c>
      <c r="E250" s="79" t="b">
        <f>IF(Table1[[#This Row],[Column11]]&gt;20,TRUE,FALSE)</f>
        <v>0</v>
      </c>
      <c r="F250" s="86" t="s">
        <v>2046</v>
      </c>
      <c r="G250" s="80" t="s">
        <v>21</v>
      </c>
      <c r="H250" s="81">
        <v>1</v>
      </c>
      <c r="I250" s="71">
        <f>VLOOKUP(B250,'HECVAT - Full'!A:E,3,FALSE)</f>
        <v>0</v>
      </c>
      <c r="J250" s="71">
        <f>IF(Table1[[#This Row],[Column7]]=Table1[[#This Row],[Column9]],1,0)</f>
        <v>0</v>
      </c>
      <c r="K250" s="71">
        <f>IF(Table1[[#This Row],[Column8]]=1,15,"")</f>
        <v>15</v>
      </c>
      <c r="L250" s="71">
        <f>IF(Table1[[#This Row],[Column8]]=1,J250*K250,"")</f>
        <v>0</v>
      </c>
      <c r="M250" s="72" t="str">
        <f>VLOOKUP($B250,'Standards Crosswalk'!$A:$H,3,FALSE)</f>
        <v>CSC 10</v>
      </c>
      <c r="N250" s="72">
        <f>VLOOKUP($B250,'Standards Crosswalk'!$A:$H,4,FALSE)</f>
        <v>0</v>
      </c>
      <c r="O250" s="72" t="str">
        <f>VLOOKUP($B250,'Standards Crosswalk'!$A:$H,5,FALSE)</f>
        <v>18.1.1</v>
      </c>
      <c r="P250" s="72" t="str">
        <f>VLOOKUP($B250,'Standards Crosswalk'!$A:$H,6,FALSE)</f>
        <v>ID.GV-3</v>
      </c>
      <c r="Q250" s="72">
        <f>VLOOKUP($B250,'Standards Crosswalk'!$A:$H,7,FALSE)</f>
        <v>0</v>
      </c>
      <c r="R250" s="72">
        <f>VLOOKUP($B250,'Standards Crosswalk'!$A:$H,8,FALSE)</f>
        <v>0</v>
      </c>
      <c r="S250" s="72">
        <f>VLOOKUP($B250,'Standards Crosswalk'!$A:$I,9,FALSE)</f>
        <v>12.8</v>
      </c>
    </row>
    <row r="251" spans="1:25" ht="46" thickBot="1" x14ac:dyDescent="0.2">
      <c r="A251" s="71">
        <f t="shared" si="6"/>
        <v>249</v>
      </c>
      <c r="B251" s="77" t="s">
        <v>416</v>
      </c>
      <c r="C251" s="78" t="str">
        <f>VLOOKUP(B251,'HECVAT - Full'!A:E,2,FALSE)</f>
        <v>Are you compliant with the Payment Card Industry Data Security Standard (PCI DSS)?</v>
      </c>
      <c r="D251" s="71">
        <f>VLOOKUP(B251,'HECVAT - Full'!A:E,4,FALSE)</f>
        <v>0</v>
      </c>
      <c r="E251" s="79" t="b">
        <f>IF(Table1[[#This Row],[Column11]]&gt;20,TRUE,FALSE)</f>
        <v>0</v>
      </c>
      <c r="F251" s="86" t="s">
        <v>2046</v>
      </c>
      <c r="G251" s="80" t="s">
        <v>17</v>
      </c>
      <c r="H251" s="81">
        <v>1</v>
      </c>
      <c r="I251" s="71">
        <f>VLOOKUP(B251,'HECVAT - Full'!A:E,3,FALSE)</f>
        <v>0</v>
      </c>
      <c r="J251" s="71">
        <f>IF(Table1[[#This Row],[Column7]]=Table1[[#This Row],[Column9]],1,0)</f>
        <v>0</v>
      </c>
      <c r="K251" s="71">
        <f>IF(Table1[[#This Row],[Column8]]=1,20,"")</f>
        <v>20</v>
      </c>
      <c r="L251" s="71">
        <f>IF(Table1[[#This Row],[Column8]]=1,J251*K251,"")</f>
        <v>0</v>
      </c>
      <c r="M251" s="72" t="str">
        <f>VLOOKUP($B251,'Standards Crosswalk'!$A:$H,3,FALSE)</f>
        <v>CSC 10</v>
      </c>
      <c r="N251" s="72">
        <f>VLOOKUP($B251,'Standards Crosswalk'!$A:$H,4,FALSE)</f>
        <v>0</v>
      </c>
      <c r="O251" s="72" t="str">
        <f>VLOOKUP($B251,'Standards Crosswalk'!$A:$H,5,FALSE)</f>
        <v>18.1.1</v>
      </c>
      <c r="P251" s="72" t="str">
        <f>VLOOKUP($B251,'Standards Crosswalk'!$A:$H,6,FALSE)</f>
        <v>ID.GV-3</v>
      </c>
      <c r="Q251" s="72">
        <f>VLOOKUP($B251,'Standards Crosswalk'!$A:$H,7,FALSE)</f>
        <v>0</v>
      </c>
      <c r="R251" s="72">
        <f>VLOOKUP($B251,'Standards Crosswalk'!$A:$H,8,FALSE)</f>
        <v>0</v>
      </c>
      <c r="S251" s="72">
        <f>VLOOKUP($B251,'Standards Crosswalk'!$A:$I,9,FALSE)</f>
        <v>12.8</v>
      </c>
    </row>
    <row r="252" spans="1:25" ht="61" thickBot="1" x14ac:dyDescent="0.2">
      <c r="A252" s="71">
        <f t="shared" si="6"/>
        <v>250</v>
      </c>
      <c r="B252" s="77" t="s">
        <v>417</v>
      </c>
      <c r="C252" s="78" t="str">
        <f>VLOOKUP(B252,'HECVAT - Full'!A:E,2,FALSE)</f>
        <v>Do you have a current, executed within the past year, Attestation of Compliance (AoC) or Report on Compliance (RoC)?</v>
      </c>
      <c r="D252" s="71">
        <f>VLOOKUP(B252,'HECVAT - Full'!A:E,4,FALSE)</f>
        <v>0</v>
      </c>
      <c r="E252" s="79" t="b">
        <f>IF(Table1[[#This Row],[Column11]]&gt;20,TRUE,FALSE)</f>
        <v>1</v>
      </c>
      <c r="F252" s="86" t="s">
        <v>2046</v>
      </c>
      <c r="G252" s="80" t="s">
        <v>17</v>
      </c>
      <c r="H252" s="81">
        <v>1</v>
      </c>
      <c r="I252" s="71">
        <f>VLOOKUP(B252,'HECVAT - Full'!A:E,3,FALSE)</f>
        <v>0</v>
      </c>
      <c r="J252" s="71">
        <f>IF(Table1[[#This Row],[Column7]]=Table1[[#This Row],[Column9]],1,0)</f>
        <v>0</v>
      </c>
      <c r="K252" s="71">
        <f>IF(Table1[[#This Row],[Column8]]=1,25,"")</f>
        <v>25</v>
      </c>
      <c r="L252" s="71">
        <f>IF(Table1[[#This Row],[Column8]]=1,J252*K252,"")</f>
        <v>0</v>
      </c>
      <c r="M252" s="72" t="str">
        <f>VLOOKUP($B252,'Standards Crosswalk'!$A:$H,3,FALSE)</f>
        <v>CSC 10</v>
      </c>
      <c r="N252" s="72">
        <f>VLOOKUP($B252,'Standards Crosswalk'!$A:$H,4,FALSE)</f>
        <v>0</v>
      </c>
      <c r="O252" s="72" t="str">
        <f>VLOOKUP($B252,'Standards Crosswalk'!$A:$H,5,FALSE)</f>
        <v>18.1.1</v>
      </c>
      <c r="P252" s="72" t="str">
        <f>VLOOKUP($B252,'Standards Crosswalk'!$A:$H,6,FALSE)</f>
        <v>ID.GV-3</v>
      </c>
      <c r="Q252" s="72">
        <f>VLOOKUP($B252,'Standards Crosswalk'!$A:$H,7,FALSE)</f>
        <v>0</v>
      </c>
      <c r="R252" s="72">
        <f>VLOOKUP($B252,'Standards Crosswalk'!$A:$H,8,FALSE)</f>
        <v>0</v>
      </c>
      <c r="S252" s="72">
        <f>VLOOKUP($B252,'Standards Crosswalk'!$A:$I,9,FALSE)</f>
        <v>12.8</v>
      </c>
    </row>
    <row r="253" spans="1:25" ht="31" thickBot="1" x14ac:dyDescent="0.2">
      <c r="A253" s="71">
        <f t="shared" si="6"/>
        <v>251</v>
      </c>
      <c r="B253" s="77" t="s">
        <v>418</v>
      </c>
      <c r="C253" s="78" t="str">
        <f>VLOOKUP(B253,'HECVAT - Full'!A:E,2,FALSE)</f>
        <v>Are you classified as a service provider?</v>
      </c>
      <c r="D253" s="71">
        <f>VLOOKUP(B253,'HECVAT - Full'!A:E,4,FALSE)</f>
        <v>0</v>
      </c>
      <c r="E253" s="79" t="b">
        <f>IF(Table1[[#This Row],[Column11]]&gt;20,TRUE,FALSE)</f>
        <v>0</v>
      </c>
      <c r="F253" s="86" t="s">
        <v>2046</v>
      </c>
      <c r="G253" s="80" t="s">
        <v>17</v>
      </c>
      <c r="H253" s="81">
        <v>1</v>
      </c>
      <c r="I253" s="71">
        <f>VLOOKUP(B253,'HECVAT - Full'!A:E,3,FALSE)</f>
        <v>0</v>
      </c>
      <c r="J253" s="71">
        <f>IF(Table1[[#This Row],[Column7]]=Table1[[#This Row],[Column9]],1,0)</f>
        <v>0</v>
      </c>
      <c r="K253" s="71">
        <f>IF(Table1[[#This Row],[Column8]]=1,20,"")</f>
        <v>20</v>
      </c>
      <c r="L253" s="71">
        <f>IF(Table1[[#This Row],[Column8]]=1,J253*K253,"")</f>
        <v>0</v>
      </c>
      <c r="M253" s="72">
        <f>VLOOKUP($B253,'Standards Crosswalk'!$A:$H,3,FALSE)</f>
        <v>0</v>
      </c>
      <c r="N253" s="72">
        <f>VLOOKUP($B253,'Standards Crosswalk'!$A:$H,4,FALSE)</f>
        <v>0</v>
      </c>
      <c r="O253" s="72">
        <f>VLOOKUP($B253,'Standards Crosswalk'!$A:$H,5,FALSE)</f>
        <v>0</v>
      </c>
      <c r="P253" s="72" t="str">
        <f>VLOOKUP($B253,'Standards Crosswalk'!$A:$H,6,FALSE)</f>
        <v>ID.GV-3</v>
      </c>
      <c r="Q253" s="72">
        <f>VLOOKUP($B253,'Standards Crosswalk'!$A:$H,7,FALSE)</f>
        <v>0</v>
      </c>
      <c r="R253" s="72">
        <f>VLOOKUP($B253,'Standards Crosswalk'!$A:$H,8,FALSE)</f>
        <v>0</v>
      </c>
      <c r="S253" s="72">
        <f>VLOOKUP($B253,'Standards Crosswalk'!$A:$I,9,FALSE)</f>
        <v>12.8</v>
      </c>
    </row>
    <row r="254" spans="1:25" ht="31" thickBot="1" x14ac:dyDescent="0.2">
      <c r="A254" s="71">
        <f t="shared" si="6"/>
        <v>252</v>
      </c>
      <c r="B254" s="77" t="s">
        <v>419</v>
      </c>
      <c r="C254" s="78" t="str">
        <f>VLOOKUP(B254,'HECVAT - Full'!A:E,2,FALSE)</f>
        <v xml:space="preserve">Are you on the list of VISA approved service providers? </v>
      </c>
      <c r="D254" s="71">
        <f>VLOOKUP(B254,'HECVAT - Full'!A:E,4,FALSE)</f>
        <v>0</v>
      </c>
      <c r="E254" s="79" t="b">
        <f>IF(Table1[[#This Row],[Column11]]&gt;20,TRUE,FALSE)</f>
        <v>0</v>
      </c>
      <c r="F254" s="86" t="s">
        <v>2046</v>
      </c>
      <c r="G254" s="80" t="s">
        <v>17</v>
      </c>
      <c r="H254" s="81">
        <v>1</v>
      </c>
      <c r="I254" s="71">
        <f>VLOOKUP(B254,'HECVAT - Full'!A:E,3,FALSE)</f>
        <v>0</v>
      </c>
      <c r="J254" s="71">
        <f>IF(Table1[[#This Row],[Column7]]=Table1[[#This Row],[Column9]],1,0)</f>
        <v>0</v>
      </c>
      <c r="K254" s="71">
        <f>IF(Table1[[#This Row],[Column8]]=1,20,"")</f>
        <v>20</v>
      </c>
      <c r="L254" s="71">
        <f>IF(Table1[[#This Row],[Column8]]=1,J254*K254,"")</f>
        <v>0</v>
      </c>
      <c r="M254" s="72">
        <f>VLOOKUP($B254,'Standards Crosswalk'!$A:$H,3,FALSE)</f>
        <v>0</v>
      </c>
      <c r="N254" s="72">
        <f>VLOOKUP($B254,'Standards Crosswalk'!$A:$H,4,FALSE)</f>
        <v>0</v>
      </c>
      <c r="O254" s="72">
        <f>VLOOKUP($B254,'Standards Crosswalk'!$A:$H,5,FALSE)</f>
        <v>0</v>
      </c>
      <c r="P254" s="72" t="str">
        <f>VLOOKUP($B254,'Standards Crosswalk'!$A:$H,6,FALSE)</f>
        <v>ID.GV-3</v>
      </c>
      <c r="Q254" s="72">
        <f>VLOOKUP($B254,'Standards Crosswalk'!$A:$H,7,FALSE)</f>
        <v>0</v>
      </c>
      <c r="R254" s="72">
        <f>VLOOKUP($B254,'Standards Crosswalk'!$A:$H,8,FALSE)</f>
        <v>0</v>
      </c>
      <c r="S254" s="72">
        <f>VLOOKUP($B254,'Standards Crosswalk'!$A:$I,9,FALSE)</f>
        <v>12.8</v>
      </c>
    </row>
    <row r="255" spans="1:25" ht="31" thickBot="1" x14ac:dyDescent="0.2">
      <c r="A255" s="71">
        <f t="shared" si="6"/>
        <v>253</v>
      </c>
      <c r="B255" s="77" t="s">
        <v>420</v>
      </c>
      <c r="C255" s="96" t="str">
        <f>VLOOKUP(B255,'HECVAT - Full'!A:E,2,FALSE)</f>
        <v>Are you classified as a merchant?  If so, what level (1, 2, 3, 4)?</v>
      </c>
      <c r="D255" s="94">
        <f>VLOOKUP(B255,'HECVAT - Full'!A:E,4,FALSE)</f>
        <v>0</v>
      </c>
      <c r="E255" s="79" t="b">
        <f>IF(Table1[[#This Row],[Column11]]&gt;20,TRUE,FALSE)</f>
        <v>1</v>
      </c>
      <c r="F255" s="86" t="s">
        <v>2046</v>
      </c>
      <c r="G255" s="80" t="s">
        <v>17</v>
      </c>
      <c r="H255" s="81">
        <v>1</v>
      </c>
      <c r="I255" s="94">
        <f>VLOOKUP(B255,'HECVAT - Full'!A:E,3,FALSE)</f>
        <v>0</v>
      </c>
      <c r="J255" s="71">
        <f>IF(VLOOKUP(Table1[[#This Row],[Column2]],'Analyst Report'!$A$41:$G$88,7,FALSE)="Yes",1,0)</f>
        <v>0</v>
      </c>
      <c r="K255" s="71">
        <f>IF(Table1[[#This Row],[Column8]]=1,25,"")</f>
        <v>25</v>
      </c>
      <c r="L255" s="71">
        <f>IF(Table1[[#This Row],[Column8]]=1,J255*K255,"")</f>
        <v>0</v>
      </c>
      <c r="M255" s="100">
        <f>VLOOKUP($B255,'Standards Crosswalk'!$A:$H,3,FALSE)</f>
        <v>0</v>
      </c>
      <c r="N255" s="100">
        <f>VLOOKUP($B255,'Standards Crosswalk'!$A:$H,4,FALSE)</f>
        <v>0</v>
      </c>
      <c r="O255" s="100">
        <f>VLOOKUP($B255,'Standards Crosswalk'!$A:$H,5,FALSE)</f>
        <v>0</v>
      </c>
      <c r="P255" s="100" t="str">
        <f>VLOOKUP($B255,'Standards Crosswalk'!$A:$H,6,FALSE)</f>
        <v>ID.GV-3</v>
      </c>
      <c r="Q255" s="100">
        <f>VLOOKUP($B255,'Standards Crosswalk'!$A:$H,7,FALSE)</f>
        <v>0</v>
      </c>
      <c r="R255" s="100">
        <f>VLOOKUP($B255,'Standards Crosswalk'!$A:$H,8,FALSE)</f>
        <v>0</v>
      </c>
      <c r="S255" s="72">
        <f>VLOOKUP($B255,'Standards Crosswalk'!$A:$I,9,FALSE)</f>
        <v>12.8</v>
      </c>
      <c r="T255" s="94"/>
      <c r="U255" s="94"/>
      <c r="V255" s="94"/>
      <c r="W255" s="94"/>
      <c r="X255" s="94"/>
      <c r="Y255" s="94"/>
    </row>
    <row r="256" spans="1:25" ht="46" thickBot="1" x14ac:dyDescent="0.2">
      <c r="A256" s="71">
        <f t="shared" si="6"/>
        <v>254</v>
      </c>
      <c r="B256" s="77" t="s">
        <v>421</v>
      </c>
      <c r="C256" s="96" t="str">
        <f>VLOOKUP(B256,'HECVAT - Full'!A:E,2,FALSE)</f>
        <v>Describe the architecture employed by the system to verify and authorize credit card transactions.</v>
      </c>
      <c r="D256" s="94">
        <f>VLOOKUP(B256,'HECVAT - Full'!A:E,4,FALSE)</f>
        <v>0</v>
      </c>
      <c r="E256" s="79" t="b">
        <f>IF(Table1[[#This Row],[Column11]]&gt;20,TRUE,FALSE)</f>
        <v>0</v>
      </c>
      <c r="F256" s="86" t="s">
        <v>2046</v>
      </c>
      <c r="G256" s="80" t="s">
        <v>17</v>
      </c>
      <c r="H256" s="81">
        <v>1</v>
      </c>
      <c r="I256" s="94">
        <f>VLOOKUP(B256,'HECVAT - Full'!A:E,3,FALSE)</f>
        <v>0</v>
      </c>
      <c r="J256" s="71">
        <f>IF(VLOOKUP(Table1[[#This Row],[Column2]],'Analyst Report'!$A$41:$G$88,7,FALSE)="Yes",1,0)</f>
        <v>0</v>
      </c>
      <c r="K256" s="71">
        <f>IF(Table1[[#This Row],[Column8]]=1,20,"")</f>
        <v>20</v>
      </c>
      <c r="L256" s="71">
        <f>IF(Table1[[#This Row],[Column8]]=1,J256*K256,"")</f>
        <v>0</v>
      </c>
      <c r="M256" s="100" t="str">
        <f>VLOOKUP($B256,'Standards Crosswalk'!$A:$H,3,FALSE)</f>
        <v>CSC 1, CSC 2</v>
      </c>
      <c r="N256" s="100">
        <f>VLOOKUP($B256,'Standards Crosswalk'!$A:$H,4,FALSE)</f>
        <v>0</v>
      </c>
      <c r="O256" s="100">
        <f>VLOOKUP($B256,'Standards Crosswalk'!$A:$H,5,FALSE)</f>
        <v>0</v>
      </c>
      <c r="P256" s="100" t="str">
        <f>VLOOKUP($B256,'Standards Crosswalk'!$A:$H,6,FALSE)</f>
        <v>ID.GV-3</v>
      </c>
      <c r="Q256" s="100">
        <f>VLOOKUP($B256,'Standards Crosswalk'!$A:$H,7,FALSE)</f>
        <v>0</v>
      </c>
      <c r="R256" s="100">
        <f>VLOOKUP($B256,'Standards Crosswalk'!$A:$H,8,FALSE)</f>
        <v>0</v>
      </c>
      <c r="S256" s="72" t="str">
        <f>VLOOKUP($B256,'Standards Crosswalk'!$A:$I,9,FALSE)</f>
        <v>PCI Scope</v>
      </c>
      <c r="T256" s="94"/>
      <c r="U256" s="94"/>
      <c r="V256" s="94"/>
      <c r="W256" s="94"/>
      <c r="X256" s="94"/>
      <c r="Y256" s="94"/>
    </row>
    <row r="257" spans="1:25" ht="31" thickBot="1" x14ac:dyDescent="0.2">
      <c r="A257" s="71">
        <f t="shared" si="6"/>
        <v>255</v>
      </c>
      <c r="B257" s="77" t="s">
        <v>422</v>
      </c>
      <c r="C257" s="96" t="str">
        <f>VLOOKUP(B257,'HECVAT - Full'!A:E,2,FALSE)</f>
        <v xml:space="preserve">What payment processors/gateways does the system support? </v>
      </c>
      <c r="D257" s="94">
        <f>VLOOKUP(B257,'HECVAT - Full'!A:E,4,FALSE)</f>
        <v>0</v>
      </c>
      <c r="E257" s="79" t="b">
        <f>IF(Table1[[#This Row],[Column11]]&gt;20,TRUE,FALSE)</f>
        <v>0</v>
      </c>
      <c r="F257" s="86" t="s">
        <v>2046</v>
      </c>
      <c r="G257" s="80" t="s">
        <v>17</v>
      </c>
      <c r="H257" s="81">
        <v>1</v>
      </c>
      <c r="I257" s="94">
        <f>VLOOKUP(B257,'HECVAT - Full'!A:E,3,FALSE)</f>
        <v>0</v>
      </c>
      <c r="J257" s="71">
        <f>IF(VLOOKUP(Table1[[#This Row],[Column2]],'Analyst Report'!$A$41:$G$88,7,FALSE)="Yes",1,0)</f>
        <v>0</v>
      </c>
      <c r="K257" s="71">
        <f>IF(Table1[[#This Row],[Column8]]=1,20,"")</f>
        <v>20</v>
      </c>
      <c r="L257" s="71">
        <f>IF(Table1[[#This Row],[Column8]]=1,J257*K257,"")</f>
        <v>0</v>
      </c>
      <c r="M257" s="100" t="str">
        <f>VLOOKUP($B257,'Standards Crosswalk'!$A:$H,3,FALSE)</f>
        <v>CSC 18</v>
      </c>
      <c r="N257" s="100">
        <f>VLOOKUP($B257,'Standards Crosswalk'!$A:$H,4,FALSE)</f>
        <v>0</v>
      </c>
      <c r="O257" s="100">
        <f>VLOOKUP($B257,'Standards Crosswalk'!$A:$H,5,FALSE)</f>
        <v>0</v>
      </c>
      <c r="P257" s="100" t="str">
        <f>VLOOKUP($B257,'Standards Crosswalk'!$A:$H,6,FALSE)</f>
        <v>ID.GV-3</v>
      </c>
      <c r="Q257" s="100">
        <f>VLOOKUP($B257,'Standards Crosswalk'!$A:$H,7,FALSE)</f>
        <v>0</v>
      </c>
      <c r="R257" s="100">
        <f>VLOOKUP($B257,'Standards Crosswalk'!$A:$H,8,FALSE)</f>
        <v>0</v>
      </c>
      <c r="S257" s="72">
        <f>VLOOKUP($B257,'Standards Crosswalk'!$A:$I,9,FALSE)</f>
        <v>12.8</v>
      </c>
      <c r="T257" s="94"/>
      <c r="U257" s="94"/>
      <c r="V257" s="94"/>
      <c r="W257" s="94"/>
      <c r="X257" s="94"/>
      <c r="Y257" s="94"/>
    </row>
    <row r="258" spans="1:25" ht="31" thickBot="1" x14ac:dyDescent="0.2">
      <c r="A258" s="71">
        <f t="shared" si="6"/>
        <v>256</v>
      </c>
      <c r="B258" s="77" t="s">
        <v>423</v>
      </c>
      <c r="C258" s="78" t="str">
        <f>VLOOKUP(B258,'HECVAT - Full'!A:E,2,FALSE)</f>
        <v>Can the application be installed in a PCI DSS compliant manner ?</v>
      </c>
      <c r="D258" s="71">
        <f>VLOOKUP(B258,'HECVAT - Full'!A:E,4,FALSE)</f>
        <v>0</v>
      </c>
      <c r="E258" s="79" t="b">
        <f>IF(Table1[[#This Row],[Column11]]&gt;20,TRUE,FALSE)</f>
        <v>1</v>
      </c>
      <c r="F258" s="86" t="s">
        <v>2046</v>
      </c>
      <c r="G258" s="80" t="s">
        <v>17</v>
      </c>
      <c r="H258" s="81">
        <v>1</v>
      </c>
      <c r="I258" s="71">
        <f>VLOOKUP(B258,'HECVAT - Full'!A:E,3,FALSE)</f>
        <v>0</v>
      </c>
      <c r="J258" s="71">
        <f>IF(Table1[[#This Row],[Column7]]=Table1[[#This Row],[Column9]],1,0)</f>
        <v>0</v>
      </c>
      <c r="K258" s="71">
        <f>IF(Table1[[#This Row],[Column8]]=1,25,"")</f>
        <v>25</v>
      </c>
      <c r="L258" s="71">
        <f>IF(Table1[[#This Row],[Column8]]=1,J258*K258,"")</f>
        <v>0</v>
      </c>
      <c r="M258" s="72" t="str">
        <f>VLOOKUP($B258,'Standards Crosswalk'!$A:$H,3,FALSE)</f>
        <v>CSC 10</v>
      </c>
      <c r="N258" s="72">
        <f>VLOOKUP($B258,'Standards Crosswalk'!$A:$H,4,FALSE)</f>
        <v>0</v>
      </c>
      <c r="O258" s="72">
        <f>VLOOKUP($B258,'Standards Crosswalk'!$A:$H,5,FALSE)</f>
        <v>0</v>
      </c>
      <c r="P258" s="72" t="str">
        <f>VLOOKUP($B258,'Standards Crosswalk'!$A:$H,6,FALSE)</f>
        <v>ID.GV-3</v>
      </c>
      <c r="Q258" s="72">
        <f>VLOOKUP($B258,'Standards Crosswalk'!$A:$H,7,FALSE)</f>
        <v>0</v>
      </c>
      <c r="R258" s="72">
        <f>VLOOKUP($B258,'Standards Crosswalk'!$A:$H,8,FALSE)</f>
        <v>0</v>
      </c>
      <c r="S258" s="72">
        <f>VLOOKUP($B258,'Standards Crosswalk'!$A:$I,9,FALSE)</f>
        <v>12.8</v>
      </c>
    </row>
    <row r="259" spans="1:25" ht="31" thickBot="1" x14ac:dyDescent="0.2">
      <c r="A259" s="71">
        <f t="shared" si="6"/>
        <v>257</v>
      </c>
      <c r="B259" s="77" t="s">
        <v>424</v>
      </c>
      <c r="C259" s="78" t="str">
        <f>VLOOKUP(B259,'HECVAT - Full'!A:E,2,FALSE)</f>
        <v xml:space="preserve">Is the application listed as an approved PA-DSS application? </v>
      </c>
      <c r="D259" s="71">
        <f>VLOOKUP(B259,'HECVAT - Full'!A:E,4,FALSE)</f>
        <v>0</v>
      </c>
      <c r="E259" s="79" t="b">
        <f>IF(Table1[[#This Row],[Column11]]&gt;20,TRUE,FALSE)</f>
        <v>0</v>
      </c>
      <c r="F259" s="86" t="s">
        <v>2046</v>
      </c>
      <c r="G259" s="80" t="s">
        <v>17</v>
      </c>
      <c r="H259" s="81">
        <v>1</v>
      </c>
      <c r="I259" s="71">
        <f>VLOOKUP(B259,'HECVAT - Full'!A:E,3,FALSE)</f>
        <v>0</v>
      </c>
      <c r="J259" s="71">
        <f>IF(Table1[[#This Row],[Column7]]=Table1[[#This Row],[Column9]],1,0)</f>
        <v>0</v>
      </c>
      <c r="K259" s="71">
        <f>IF(Table1[[#This Row],[Column8]]=1,20,"")</f>
        <v>20</v>
      </c>
      <c r="L259" s="71">
        <f>IF(Table1[[#This Row],[Column8]]=1,J259*K259,"")</f>
        <v>0</v>
      </c>
      <c r="M259" s="72">
        <f>VLOOKUP($B259,'Standards Crosswalk'!$A:$H,3,FALSE)</f>
        <v>0</v>
      </c>
      <c r="N259" s="72">
        <f>VLOOKUP($B259,'Standards Crosswalk'!$A:$H,4,FALSE)</f>
        <v>0</v>
      </c>
      <c r="O259" s="72">
        <f>VLOOKUP($B259,'Standards Crosswalk'!$A:$H,5,FALSE)</f>
        <v>0</v>
      </c>
      <c r="P259" s="72" t="str">
        <f>VLOOKUP($B259,'Standards Crosswalk'!$A:$H,6,FALSE)</f>
        <v>ID.GV-3</v>
      </c>
      <c r="Q259" s="72">
        <f>VLOOKUP($B259,'Standards Crosswalk'!$A:$H,7,FALSE)</f>
        <v>0</v>
      </c>
      <c r="R259" s="72">
        <f>VLOOKUP($B259,'Standards Crosswalk'!$A:$H,8,FALSE)</f>
        <v>0</v>
      </c>
      <c r="S259" s="72">
        <f>VLOOKUP($B259,'Standards Crosswalk'!$A:$I,9,FALSE)</f>
        <v>12.8</v>
      </c>
    </row>
    <row r="260" spans="1:25" ht="61" thickBot="1" x14ac:dyDescent="0.2">
      <c r="A260" s="71">
        <f t="shared" ref="A260:A268" si="7">A259+1</f>
        <v>258</v>
      </c>
      <c r="B260" s="77" t="s">
        <v>425</v>
      </c>
      <c r="C260" s="78" t="str">
        <f>VLOOKUP(B260,'HECVAT - Full'!A:E,2,FALSE)</f>
        <v>Does the system or products use a third party to collect, store, process, or transmit cardholder (payment/credit/debt card) data?</v>
      </c>
      <c r="D260" s="71">
        <f>VLOOKUP(B260,'HECVAT - Full'!A:E,4,FALSE)</f>
        <v>0</v>
      </c>
      <c r="E260" s="79" t="b">
        <f>IF(Table1[[#This Row],[Column11]]&gt;20,TRUE,FALSE)</f>
        <v>0</v>
      </c>
      <c r="F260" s="86" t="s">
        <v>2046</v>
      </c>
      <c r="G260" s="80" t="s">
        <v>21</v>
      </c>
      <c r="H260" s="81">
        <v>1</v>
      </c>
      <c r="I260" s="71">
        <f>VLOOKUP(B260,'HECVAT - Full'!A:E,3,FALSE)</f>
        <v>0</v>
      </c>
      <c r="J260" s="71">
        <f>IF(Table1[[#This Row],[Column7]]=Table1[[#This Row],[Column9]],1,0)</f>
        <v>0</v>
      </c>
      <c r="K260" s="71">
        <f>IF(Table1[[#This Row],[Column8]]=1,20,"")</f>
        <v>20</v>
      </c>
      <c r="L260" s="71">
        <f>IF(Table1[[#This Row],[Column8]]=1,J260*K260,"")</f>
        <v>0</v>
      </c>
      <c r="M260" s="72" t="str">
        <f>VLOOKUP($B260,'Standards Crosswalk'!$A:$H,3,FALSE)</f>
        <v>CSC 12, CSC 13</v>
      </c>
      <c r="N260" s="72">
        <f>VLOOKUP($B260,'Standards Crosswalk'!$A:$H,4,FALSE)</f>
        <v>0</v>
      </c>
      <c r="O260" s="72">
        <f>VLOOKUP($B260,'Standards Crosswalk'!$A:$H,5,FALSE)</f>
        <v>0</v>
      </c>
      <c r="P260" s="72" t="str">
        <f>VLOOKUP($B260,'Standards Crosswalk'!$A:$H,6,FALSE)</f>
        <v>ID.GV-3</v>
      </c>
      <c r="Q260" s="72">
        <f>VLOOKUP($B260,'Standards Crosswalk'!$A:$H,7,FALSE)</f>
        <v>0</v>
      </c>
      <c r="R260" s="72">
        <f>VLOOKUP($B260,'Standards Crosswalk'!$A:$H,8,FALSE)</f>
        <v>0</v>
      </c>
      <c r="S260" s="72">
        <f>VLOOKUP($B260,'Standards Crosswalk'!$A:$I,9,FALSE)</f>
        <v>12.8</v>
      </c>
    </row>
    <row r="261" spans="1:25" ht="106" thickBot="1" x14ac:dyDescent="0.2">
      <c r="A261" s="71">
        <f t="shared" si="7"/>
        <v>259</v>
      </c>
      <c r="B261" s="77" t="s">
        <v>426</v>
      </c>
      <c r="C261" s="78" t="str">
        <f>VLOOKUP(B261,'HECVAT - Full'!A:E,2,FALSE)</f>
        <v xml:space="preserve">Include documentation describing the systems' abilities to comply with the PCI DSS and any features or capabilities of the system that must be added or changed in order to operate in compliance with the standards. </v>
      </c>
      <c r="D261" s="71">
        <f>VLOOKUP(B261,'HECVAT - Full'!A:E,4,FALSE)</f>
        <v>0</v>
      </c>
      <c r="E261" s="79" t="b">
        <f>IF(Table1[[#This Row],[Column11]]&gt;20,TRUE,FALSE)</f>
        <v>0</v>
      </c>
      <c r="F261" s="86" t="s">
        <v>2046</v>
      </c>
      <c r="G261" s="80" t="s">
        <v>21</v>
      </c>
      <c r="H261" s="81">
        <v>1</v>
      </c>
      <c r="I261" s="71">
        <f>VLOOKUP(B261,'HECVAT - Full'!A:E,3,FALSE)</f>
        <v>0</v>
      </c>
      <c r="J261" s="71">
        <f>IF(VLOOKUP(Table1[[#This Row],[Column2]],'Analyst Report'!$A$41:$G$88,7,FALSE)="Yes",1,0)</f>
        <v>0</v>
      </c>
      <c r="K261" s="71">
        <f>IF(Table1[[#This Row],[Column8]]=1,20,"")</f>
        <v>20</v>
      </c>
      <c r="L261" s="71">
        <f>IF(Table1[[#This Row],[Column8]]=1,J261*K261,"")</f>
        <v>0</v>
      </c>
      <c r="M261" s="72" t="str">
        <f>VLOOKUP($B261,'Standards Crosswalk'!$A:$H,3,FALSE)</f>
        <v>CSC 10</v>
      </c>
      <c r="N261" s="72">
        <f>VLOOKUP($B261,'Standards Crosswalk'!$A:$H,4,FALSE)</f>
        <v>0</v>
      </c>
      <c r="O261" s="72">
        <f>VLOOKUP($B261,'Standards Crosswalk'!$A:$H,5,FALSE)</f>
        <v>0</v>
      </c>
      <c r="P261" s="72" t="str">
        <f>VLOOKUP($B261,'Standards Crosswalk'!$A:$H,6,FALSE)</f>
        <v>ID.GV-3</v>
      </c>
      <c r="Q261" s="72">
        <f>VLOOKUP($B261,'Standards Crosswalk'!$A:$H,7,FALSE)</f>
        <v>0</v>
      </c>
      <c r="R261" s="72">
        <f>VLOOKUP($B261,'Standards Crosswalk'!$A:$H,8,FALSE)</f>
        <v>0</v>
      </c>
      <c r="S261" s="72">
        <f>VLOOKUP($B261,'Standards Crosswalk'!$A:$I,9,FALSE)</f>
        <v>12.8</v>
      </c>
    </row>
    <row r="262" spans="1:25" ht="61" thickBot="1" x14ac:dyDescent="0.2">
      <c r="A262" s="71">
        <f t="shared" si="7"/>
        <v>260</v>
      </c>
      <c r="B262" s="127" t="s">
        <v>178</v>
      </c>
      <c r="C262" s="128" t="str">
        <f>VLOOKUP(B262,'HECVAT - Full'!A:E,2,FALSE)</f>
        <v>Describe your organization’s business background and ownership structure, including all parent and subsidiary relationships.</v>
      </c>
      <c r="D262" s="126">
        <f>VLOOKUP(B262,'HECVAT - Full'!A:E,4,FALSE)</f>
        <v>0</v>
      </c>
      <c r="E262" s="129" t="b">
        <f>IF(Table1[[#This Row],[Column11]]&gt;20,TRUE,FALSE)</f>
        <v>0</v>
      </c>
      <c r="F262" s="130" t="s">
        <v>2560</v>
      </c>
      <c r="G262" s="131"/>
      <c r="H262" s="132">
        <v>1</v>
      </c>
      <c r="I262" s="126">
        <f>VLOOKUP(B262,'HECVAT - Full'!A:E,3,FALSE)</f>
        <v>0</v>
      </c>
      <c r="J262" s="126">
        <f>IF(VLOOKUP(Table1[[#This Row],[Column2]],'Analyst Report'!$A$38:$G$88,7,FALSE)="Yes",1,0)</f>
        <v>0</v>
      </c>
      <c r="K262" s="126">
        <f>IF(Table1[[#This Row],[Column8]]=1,10,"")</f>
        <v>10</v>
      </c>
      <c r="L262" s="71">
        <f>IF(Table1[[#This Row],[Column8]]=1,J262*K262,"")</f>
        <v>0</v>
      </c>
      <c r="M262" s="133">
        <f>VLOOKUP($B262,'Standards Crosswalk'!$A:$H,3,FALSE)</f>
        <v>0</v>
      </c>
      <c r="N262" s="133">
        <f>VLOOKUP($B262,'Standards Crosswalk'!$A:$H,4,FALSE)</f>
        <v>0</v>
      </c>
      <c r="O262" s="133">
        <f>VLOOKUP($B262,'Standards Crosswalk'!$A:$H,5,FALSE)</f>
        <v>0</v>
      </c>
      <c r="P262" s="133">
        <f>VLOOKUP($B262,'Standards Crosswalk'!$A:$H,6,FALSE)</f>
        <v>0</v>
      </c>
      <c r="Q262" s="133">
        <f>VLOOKUP($B262,'Standards Crosswalk'!$A:$H,7,FALSE)</f>
        <v>0</v>
      </c>
      <c r="R262" s="133">
        <f>VLOOKUP($B262,'Standards Crosswalk'!$A:$H,8,FALSE)</f>
        <v>0</v>
      </c>
      <c r="S262" s="133">
        <f>VLOOKUP($B262,'Standards Crosswalk'!$A:$I,9,FALSE)</f>
        <v>12.8</v>
      </c>
    </row>
    <row r="263" spans="1:25" ht="46" thickBot="1" x14ac:dyDescent="0.2">
      <c r="A263" s="71">
        <f t="shared" si="7"/>
        <v>261</v>
      </c>
      <c r="B263" s="127" t="s">
        <v>179</v>
      </c>
      <c r="C263" s="128" t="str">
        <f>VLOOKUP(B263,'HECVAT - Full'!A:E,2,FALSE)</f>
        <v>Describe how long your organization has conducted business in this product area.</v>
      </c>
      <c r="D263" s="126">
        <f>VLOOKUP(B263,'HECVAT - Full'!A:E,4,FALSE)</f>
        <v>0</v>
      </c>
      <c r="E263" s="129" t="b">
        <f>IF(Table1[[#This Row],[Column11]]&gt;20,TRUE,FALSE)</f>
        <v>0</v>
      </c>
      <c r="F263" s="130" t="s">
        <v>2560</v>
      </c>
      <c r="G263" s="131"/>
      <c r="H263" s="132">
        <v>1</v>
      </c>
      <c r="I263" s="126">
        <f>VLOOKUP(B263,'HECVAT - Full'!A:E,3,FALSE)</f>
        <v>0</v>
      </c>
      <c r="J263" s="126">
        <f>IF(VLOOKUP(Table1[[#This Row],[Column2]],'Analyst Report'!$A$38:$G$88,7,FALSE)="Yes",1,0)</f>
        <v>0</v>
      </c>
      <c r="K263" s="126">
        <f>IF(Table1[[#This Row],[Column8]]=1,10,"")</f>
        <v>10</v>
      </c>
      <c r="L263" s="71">
        <f>IF(Table1[[#This Row],[Column8]]=1,J263*K263,"")</f>
        <v>0</v>
      </c>
      <c r="M263" s="133">
        <f>VLOOKUP($B263,'Standards Crosswalk'!$A:$H,3,FALSE)</f>
        <v>0</v>
      </c>
      <c r="N263" s="133">
        <f>VLOOKUP($B263,'Standards Crosswalk'!$A:$H,4,FALSE)</f>
        <v>0</v>
      </c>
      <c r="O263" s="133">
        <f>VLOOKUP($B263,'Standards Crosswalk'!$A:$H,5,FALSE)</f>
        <v>0</v>
      </c>
      <c r="P263" s="133">
        <f>VLOOKUP($B263,'Standards Crosswalk'!$A:$H,6,FALSE)</f>
        <v>0</v>
      </c>
      <c r="Q263" s="133">
        <f>VLOOKUP($B263,'Standards Crosswalk'!$A:$H,7,FALSE)</f>
        <v>0</v>
      </c>
      <c r="R263" s="133">
        <f>VLOOKUP($B263,'Standards Crosswalk'!$A:$H,8,FALSE)</f>
        <v>0</v>
      </c>
      <c r="S263" s="133">
        <f>VLOOKUP($B263,'Standards Crosswalk'!$A:$I,9,FALSE)</f>
        <v>12.8</v>
      </c>
    </row>
    <row r="264" spans="1:25" ht="31" thickBot="1" x14ac:dyDescent="0.2">
      <c r="A264" s="71">
        <f t="shared" si="7"/>
        <v>262</v>
      </c>
      <c r="B264" s="127" t="s">
        <v>180</v>
      </c>
      <c r="C264" s="128" t="str">
        <f>VLOOKUP(B264,'HECVAT - Full'!A:E,2,FALSE)</f>
        <v>Do you have existing higher education customers?</v>
      </c>
      <c r="D264" s="126">
        <f>VLOOKUP(B264,'HECVAT - Full'!A:E,4,FALSE)</f>
        <v>0</v>
      </c>
      <c r="E264" s="129" t="b">
        <f>IF(Table1[[#This Row],[Column11]]&gt;20,TRUE,FALSE)</f>
        <v>0</v>
      </c>
      <c r="F264" s="130" t="s">
        <v>2560</v>
      </c>
      <c r="G264" s="131" t="s">
        <v>17</v>
      </c>
      <c r="H264" s="132">
        <v>1</v>
      </c>
      <c r="I264" s="126">
        <f>VLOOKUP(B264,'HECVAT - Full'!A:E,3,FALSE)</f>
        <v>0</v>
      </c>
      <c r="J264" s="71">
        <f>IF(Table1[[#This Row],[Column7]]=Table1[[#This Row],[Column9]],1,0)</f>
        <v>0</v>
      </c>
      <c r="K264" s="126">
        <f>IF(Table1[[#This Row],[Column8]]=1,10,"")</f>
        <v>10</v>
      </c>
      <c r="L264" s="71">
        <f>IF(Table1[[#This Row],[Column8]]=1,J264*K264,"")</f>
        <v>0</v>
      </c>
      <c r="M264" s="133">
        <f>VLOOKUP($B264,'Standards Crosswalk'!$A:$H,3,FALSE)</f>
        <v>0</v>
      </c>
      <c r="N264" s="133">
        <f>VLOOKUP($B264,'Standards Crosswalk'!$A:$H,4,FALSE)</f>
        <v>0</v>
      </c>
      <c r="O264" s="133" t="str">
        <f>VLOOKUP($B264,'Standards Crosswalk'!$A:$H,5,FALSE)</f>
        <v>15.2.1</v>
      </c>
      <c r="P264" s="133">
        <f>VLOOKUP($B264,'Standards Crosswalk'!$A:$H,6,FALSE)</f>
        <v>0</v>
      </c>
      <c r="Q264" s="133">
        <f>VLOOKUP($B264,'Standards Crosswalk'!$A:$H,7,FALSE)</f>
        <v>0</v>
      </c>
      <c r="R264" s="133">
        <f>VLOOKUP($B264,'Standards Crosswalk'!$A:$H,8,FALSE)</f>
        <v>0</v>
      </c>
      <c r="S264" s="133">
        <f>VLOOKUP($B264,'Standards Crosswalk'!$A:$I,9,FALSE)</f>
        <v>12.8</v>
      </c>
    </row>
    <row r="265" spans="1:25" ht="31" thickBot="1" x14ac:dyDescent="0.2">
      <c r="A265" s="71">
        <f t="shared" si="7"/>
        <v>263</v>
      </c>
      <c r="B265" s="127" t="s">
        <v>181</v>
      </c>
      <c r="C265" s="128" t="str">
        <f>VLOOKUP(B265,'HECVAT - Full'!A:E,2,FALSE)</f>
        <v>Have you had a significant breach in the last 5 years?</v>
      </c>
      <c r="D265" s="126">
        <f>VLOOKUP(B265,'HECVAT - Full'!A:E,4,FALSE)</f>
        <v>0</v>
      </c>
      <c r="E265" s="129" t="b">
        <f>IF(Table1[[#This Row],[Column11]]&gt;20,TRUE,FALSE)</f>
        <v>1</v>
      </c>
      <c r="F265" s="130" t="s">
        <v>2560</v>
      </c>
      <c r="G265" s="131" t="s">
        <v>21</v>
      </c>
      <c r="H265" s="132">
        <v>1</v>
      </c>
      <c r="I265" s="126">
        <f>VLOOKUP(B265,'HECVAT - Full'!A:E,3,FALSE)</f>
        <v>0</v>
      </c>
      <c r="J265" s="71">
        <f>IF(Table1[[#This Row],[Column7]]=Table1[[#This Row],[Column9]],1,0)</f>
        <v>0</v>
      </c>
      <c r="K265" s="126">
        <f>IF(Table1[[#This Row],[Column8]]=1,25,"")</f>
        <v>25</v>
      </c>
      <c r="L265" s="71">
        <f>IF(Table1[[#This Row],[Column8]]=1,J265*K265,"")</f>
        <v>0</v>
      </c>
      <c r="M265" s="133">
        <f>VLOOKUP($B265,'Standards Crosswalk'!$A:$H,3,FALSE)</f>
        <v>0</v>
      </c>
      <c r="N265" s="133">
        <f>VLOOKUP($B265,'Standards Crosswalk'!$A:$H,4,FALSE)</f>
        <v>0</v>
      </c>
      <c r="O265" s="133">
        <f>VLOOKUP($B265,'Standards Crosswalk'!$A:$H,5,FALSE)</f>
        <v>0</v>
      </c>
      <c r="P265" s="133">
        <f>VLOOKUP($B265,'Standards Crosswalk'!$A:$H,6,FALSE)</f>
        <v>0</v>
      </c>
      <c r="Q265" s="133">
        <f>VLOOKUP($B265,'Standards Crosswalk'!$A:$H,7,FALSE)</f>
        <v>0</v>
      </c>
      <c r="R265" s="133">
        <f>VLOOKUP($B265,'Standards Crosswalk'!$A:$H,8,FALSE)</f>
        <v>0</v>
      </c>
      <c r="S265" s="133">
        <f>VLOOKUP($B265,'Standards Crosswalk'!$A:$I,9,FALSE)</f>
        <v>0</v>
      </c>
    </row>
    <row r="266" spans="1:25" ht="31" thickBot="1" x14ac:dyDescent="0.2">
      <c r="A266" s="71">
        <f t="shared" si="7"/>
        <v>264</v>
      </c>
      <c r="B266" s="127" t="s">
        <v>182</v>
      </c>
      <c r="C266" s="128" t="str">
        <f>VLOOKUP(B266,'HECVAT - Full'!A:E,2,FALSE)</f>
        <v>Do you have a dedicated Information Security staff or office?</v>
      </c>
      <c r="D266" s="126">
        <f>VLOOKUP(B266,'HECVAT - Full'!A:E,4,FALSE)</f>
        <v>0</v>
      </c>
      <c r="E266" s="129" t="b">
        <f>IF(Table1[[#This Row],[Column11]]&gt;20,TRUE,FALSE)</f>
        <v>1</v>
      </c>
      <c r="F266" s="130" t="s">
        <v>2560</v>
      </c>
      <c r="G266" s="131" t="s">
        <v>17</v>
      </c>
      <c r="H266" s="132">
        <v>1</v>
      </c>
      <c r="I266" s="126">
        <f>VLOOKUP(B266,'HECVAT - Full'!A:E,3,FALSE)</f>
        <v>0</v>
      </c>
      <c r="J266" s="71">
        <f>IF(Table1[[#This Row],[Column7]]=Table1[[#This Row],[Column9]],1,0)</f>
        <v>0</v>
      </c>
      <c r="K266" s="126">
        <f>IF(Table1[[#This Row],[Column8]]=1,25,"")</f>
        <v>25</v>
      </c>
      <c r="L266" s="71">
        <f>IF(Table1[[#This Row],[Column8]]=1,J266*K266,"")</f>
        <v>0</v>
      </c>
      <c r="M266" s="133">
        <f>VLOOKUP($B266,'Standards Crosswalk'!$A:$H,3,FALSE)</f>
        <v>0</v>
      </c>
      <c r="N266" s="133">
        <f>VLOOKUP($B266,'Standards Crosswalk'!$A:$H,4,FALSE)</f>
        <v>0</v>
      </c>
      <c r="O266" s="133" t="str">
        <f>VLOOKUP($B266,'Standards Crosswalk'!$A:$H,5,FALSE)</f>
        <v>15.2.1</v>
      </c>
      <c r="P266" s="133">
        <f>VLOOKUP($B266,'Standards Crosswalk'!$A:$H,6,FALSE)</f>
        <v>0</v>
      </c>
      <c r="Q266" s="133">
        <f>VLOOKUP($B266,'Standards Crosswalk'!$A:$H,7,FALSE)</f>
        <v>0</v>
      </c>
      <c r="R266" s="133">
        <f>VLOOKUP($B266,'Standards Crosswalk'!$A:$H,8,FALSE)</f>
        <v>0</v>
      </c>
      <c r="S266" s="133" t="str">
        <f>VLOOKUP($B266,'Standards Crosswalk'!$A:$I,9,FALSE)</f>
        <v>12.8, 12.5</v>
      </c>
    </row>
    <row r="267" spans="1:25" ht="76" thickBot="1" x14ac:dyDescent="0.2">
      <c r="A267" s="71">
        <f t="shared" si="7"/>
        <v>265</v>
      </c>
      <c r="B267" s="127" t="s">
        <v>183</v>
      </c>
      <c r="C267" s="128" t="str">
        <f>VLOOKUP(B267,'HECVAT - Full'!A:E,2,FALSE)</f>
        <v>Do you have a dedicated Software and System Development team(s)? (e.g. Customer Support, Implementation, Product Management, etc.)</v>
      </c>
      <c r="D267" s="126">
        <f>VLOOKUP(B267,'HECVAT - Full'!A:E,4,FALSE)</f>
        <v>0</v>
      </c>
      <c r="E267" s="129" t="b">
        <f>IF(Table1[[#This Row],[Column11]]&gt;20,TRUE,FALSE)</f>
        <v>0</v>
      </c>
      <c r="F267" s="130" t="s">
        <v>2560</v>
      </c>
      <c r="G267" s="131" t="s">
        <v>17</v>
      </c>
      <c r="H267" s="132">
        <v>1</v>
      </c>
      <c r="I267" s="126">
        <f>VLOOKUP(B267,'HECVAT - Full'!A:E,3,FALSE)</f>
        <v>0</v>
      </c>
      <c r="J267" s="126">
        <f>IF(Table1[[#This Row],[Column7]]=Table1[[#This Row],[Column9]],1,0)</f>
        <v>0</v>
      </c>
      <c r="K267" s="126">
        <f>IF(Table1[[#This Row],[Column8]]=1,15,"")</f>
        <v>15</v>
      </c>
      <c r="L267" s="71">
        <f>IF(Table1[[#This Row],[Column8]]=1,J267*K267,"")</f>
        <v>0</v>
      </c>
      <c r="M267" s="133">
        <f>VLOOKUP($B267,'Standards Crosswalk'!$A:$H,3,FALSE)</f>
        <v>0</v>
      </c>
      <c r="N267" s="133">
        <f>VLOOKUP($B267,'Standards Crosswalk'!$A:$H,4,FALSE)</f>
        <v>0</v>
      </c>
      <c r="O267" s="133" t="str">
        <f>VLOOKUP($B267,'Standards Crosswalk'!$A:$H,5,FALSE)</f>
        <v>14.2.1</v>
      </c>
      <c r="P267" s="133">
        <f>VLOOKUP($B267,'Standards Crosswalk'!$A:$H,6,FALSE)</f>
        <v>0</v>
      </c>
      <c r="Q267" s="133">
        <f>VLOOKUP($B267,'Standards Crosswalk'!$A:$H,7,FALSE)</f>
        <v>0</v>
      </c>
      <c r="R267" s="133" t="str">
        <f>VLOOKUP($B267,'Standards Crosswalk'!$A:$H,8,FALSE)</f>
        <v xml:space="preserve">SA-3, SA-15, SC-2, PM-2, PM-10, SI-5,PM-3 </v>
      </c>
      <c r="S267" s="133">
        <f>VLOOKUP($B267,'Standards Crosswalk'!$A:$I,9,FALSE)</f>
        <v>12.8</v>
      </c>
    </row>
    <row r="268" spans="1:25" ht="60" x14ac:dyDescent="0.15">
      <c r="A268" s="71">
        <f t="shared" si="7"/>
        <v>266</v>
      </c>
      <c r="B268" s="127" t="s">
        <v>431</v>
      </c>
      <c r="C268" s="128" t="str">
        <f>VLOOKUP(B268,'HECVAT - Full'!A:E,2,FALSE)</f>
        <v>Use this area to share information about your environment that will assist those who are assessing your company data security program.</v>
      </c>
      <c r="D268" s="126">
        <f>VLOOKUP(B268,'HECVAT - Full'!A:E,4,FALSE)</f>
        <v>0</v>
      </c>
      <c r="E268" s="129" t="b">
        <f>IF(Table1[[#This Row],[Column11]]&gt;20,TRUE,FALSE)</f>
        <v>1</v>
      </c>
      <c r="F268" s="130" t="s">
        <v>2560</v>
      </c>
      <c r="G268" s="131"/>
      <c r="H268" s="132">
        <v>1</v>
      </c>
      <c r="I268" s="126">
        <f>VLOOKUP(B268,'HECVAT - Full'!A:E,3,FALSE)</f>
        <v>0</v>
      </c>
      <c r="J268" s="126">
        <f>IF(VLOOKUP(Table1[[#This Row],[Column2]],'Analyst Report'!$A$38:$G$88,7,FALSE)="Yes",1,0)</f>
        <v>0</v>
      </c>
      <c r="K268" s="126">
        <f>IF(Table1[[#This Row],[Column8]]=1,25,"")</f>
        <v>25</v>
      </c>
      <c r="L268" s="71">
        <f>IF(Table1[[#This Row],[Column8]]=1,J268*K268,"")</f>
        <v>0</v>
      </c>
      <c r="M268" s="133">
        <f>VLOOKUP($B268,'Standards Crosswalk'!$A:$H,3,FALSE)</f>
        <v>0</v>
      </c>
      <c r="N268" s="133">
        <f>VLOOKUP($B268,'Standards Crosswalk'!$A:$H,4,FALSE)</f>
        <v>0</v>
      </c>
      <c r="O268" s="133" t="str">
        <f>VLOOKUP($B268,'Standards Crosswalk'!$A:$H,5,FALSE)</f>
        <v>15.2.1</v>
      </c>
      <c r="P268" s="133">
        <f>VLOOKUP($B268,'Standards Crosswalk'!$A:$H,6,FALSE)</f>
        <v>0</v>
      </c>
      <c r="Q268" s="133">
        <f>VLOOKUP($B268,'Standards Crosswalk'!$A:$H,7,FALSE)</f>
        <v>0</v>
      </c>
      <c r="R268" s="133">
        <f>VLOOKUP($B268,'Standards Crosswalk'!$A:$H,8,FALSE)</f>
        <v>0</v>
      </c>
      <c r="S268" s="133">
        <f>VLOOKUP($B268,'Standards Crosswalk'!$A:$I,9,FALSE)</f>
        <v>12.8</v>
      </c>
    </row>
  </sheetData>
  <pageMargins left="0.7" right="0.7" top="0.75" bottom="0.75" header="0.3" footer="0.3"/>
  <pageSetup orientation="portrait" verticalDpi="0" r:id="rId1"/>
  <ignoredErrors>
    <ignoredError sqref="I261:I268 I20:I22" calculatedColumn="1"/>
  </ignoredErrors>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A1:L1685"/>
  <sheetViews>
    <sheetView topLeftCell="A43" workbookViewId="0">
      <selection activeCell="C49" sqref="C49"/>
    </sheetView>
  </sheetViews>
  <sheetFormatPr baseColWidth="10" defaultColWidth="8.625" defaultRowHeight="12" x14ac:dyDescent="0.2"/>
  <cols>
    <col min="1" max="1" width="10.125" style="93" bestFit="1" customWidth="1"/>
    <col min="2" max="2" width="8.5" style="93" customWidth="1"/>
    <col min="3" max="3" width="26.75" style="93" bestFit="1" customWidth="1"/>
    <col min="4" max="4" width="12.25" style="93" bestFit="1" customWidth="1"/>
    <col min="5" max="5" width="7.25" style="93" bestFit="1" customWidth="1"/>
    <col min="6" max="6" width="9.375" style="93" bestFit="1" customWidth="1"/>
    <col min="7" max="7" width="12" style="93" bestFit="1" customWidth="1"/>
    <col min="8" max="8" width="15.5" style="93" bestFit="1" customWidth="1"/>
    <col min="9" max="9" width="11.75" style="93" bestFit="1" customWidth="1"/>
    <col min="10" max="10" width="13.875" style="93" bestFit="1" customWidth="1"/>
    <col min="11" max="11" width="8.125" style="93" customWidth="1"/>
    <col min="12" max="16384" width="8.625" style="93"/>
  </cols>
  <sheetData>
    <row r="1" spans="1:12" ht="16" x14ac:dyDescent="0.2">
      <c r="A1" s="231" t="s">
        <v>2029</v>
      </c>
      <c r="B1" s="93" t="s">
        <v>2088</v>
      </c>
      <c r="L1"/>
    </row>
    <row r="2" spans="1:12" ht="16" x14ac:dyDescent="0.2">
      <c r="A2" s="231" t="s">
        <v>2057</v>
      </c>
      <c r="B2" s="232">
        <v>0</v>
      </c>
      <c r="L2"/>
    </row>
    <row r="3" spans="1:12" ht="16" x14ac:dyDescent="0.2">
      <c r="L3"/>
    </row>
    <row r="4" spans="1:12" ht="26" x14ac:dyDescent="0.2">
      <c r="A4" s="231" t="s">
        <v>2087</v>
      </c>
      <c r="B4" s="231" t="s">
        <v>2026</v>
      </c>
      <c r="C4" s="231" t="s">
        <v>2027</v>
      </c>
      <c r="D4" s="231" t="s">
        <v>2028</v>
      </c>
      <c r="E4" s="231" t="s">
        <v>2085</v>
      </c>
      <c r="F4" s="231" t="s">
        <v>563</v>
      </c>
      <c r="G4" s="231" t="s">
        <v>2086</v>
      </c>
      <c r="H4" s="231" t="s">
        <v>566</v>
      </c>
      <c r="I4" s="231" t="s">
        <v>565</v>
      </c>
      <c r="J4" s="231" t="s">
        <v>564</v>
      </c>
      <c r="K4" s="231" t="s">
        <v>2046</v>
      </c>
      <c r="L4"/>
    </row>
    <row r="5" spans="1:12" ht="39" x14ac:dyDescent="0.2">
      <c r="A5" s="232">
        <v>11</v>
      </c>
      <c r="B5" s="232" t="s">
        <v>175</v>
      </c>
      <c r="C5" s="232" t="s">
        <v>2635</v>
      </c>
      <c r="D5" s="233">
        <v>0</v>
      </c>
      <c r="E5" s="232">
        <v>0</v>
      </c>
      <c r="F5" s="232">
        <v>0</v>
      </c>
      <c r="G5" s="232" t="s">
        <v>617</v>
      </c>
      <c r="H5" s="232">
        <v>0</v>
      </c>
      <c r="I5" s="232">
        <v>0</v>
      </c>
      <c r="J5" s="232" t="s">
        <v>823</v>
      </c>
      <c r="K5" s="232" t="s">
        <v>2111</v>
      </c>
      <c r="L5"/>
    </row>
    <row r="6" spans="1:12" ht="26" x14ac:dyDescent="0.2">
      <c r="A6" s="232">
        <v>13</v>
      </c>
      <c r="B6" s="232" t="s">
        <v>177</v>
      </c>
      <c r="C6" s="232" t="s">
        <v>471</v>
      </c>
      <c r="D6" s="233">
        <v>0</v>
      </c>
      <c r="E6" s="232">
        <v>0</v>
      </c>
      <c r="F6" s="233" t="s">
        <v>600</v>
      </c>
      <c r="G6" s="233" t="s">
        <v>620</v>
      </c>
      <c r="H6" s="233" t="s">
        <v>698</v>
      </c>
      <c r="I6" s="233" t="s">
        <v>698</v>
      </c>
      <c r="J6" s="232" t="s">
        <v>823</v>
      </c>
      <c r="K6" s="232">
        <v>0</v>
      </c>
      <c r="L6"/>
    </row>
    <row r="7" spans="1:12" ht="117" x14ac:dyDescent="0.2">
      <c r="A7" s="232">
        <v>14</v>
      </c>
      <c r="B7" s="232" t="s">
        <v>184</v>
      </c>
      <c r="C7" s="232" t="s">
        <v>131</v>
      </c>
      <c r="D7" s="233">
        <v>0</v>
      </c>
      <c r="E7" s="232" t="s">
        <v>569</v>
      </c>
      <c r="F7" s="232">
        <v>0</v>
      </c>
      <c r="G7" s="232" t="s">
        <v>623</v>
      </c>
      <c r="H7" s="232" t="s">
        <v>769</v>
      </c>
      <c r="I7" s="232" t="s">
        <v>701</v>
      </c>
      <c r="J7" s="232" t="s">
        <v>826</v>
      </c>
      <c r="K7" s="232">
        <v>12.8</v>
      </c>
      <c r="L7"/>
    </row>
    <row r="8" spans="1:12" ht="39" x14ac:dyDescent="0.2">
      <c r="A8" s="232">
        <v>15</v>
      </c>
      <c r="B8" s="232" t="s">
        <v>185</v>
      </c>
      <c r="C8" s="232" t="s">
        <v>517</v>
      </c>
      <c r="D8" s="233">
        <v>0</v>
      </c>
      <c r="E8" s="232" t="s">
        <v>569</v>
      </c>
      <c r="F8" s="232">
        <v>0</v>
      </c>
      <c r="G8" s="232" t="s">
        <v>623</v>
      </c>
      <c r="H8" s="232" t="s">
        <v>769</v>
      </c>
      <c r="I8" s="232" t="s">
        <v>701</v>
      </c>
      <c r="J8" s="232">
        <v>0</v>
      </c>
      <c r="K8" s="232">
        <v>12.8</v>
      </c>
      <c r="L8"/>
    </row>
    <row r="9" spans="1:12" ht="52" x14ac:dyDescent="0.2">
      <c r="A9" s="232">
        <v>16</v>
      </c>
      <c r="B9" s="232" t="s">
        <v>186</v>
      </c>
      <c r="C9" s="232" t="s">
        <v>22</v>
      </c>
      <c r="D9" s="233">
        <v>0</v>
      </c>
      <c r="E9" s="232" t="s">
        <v>569</v>
      </c>
      <c r="F9" s="232">
        <v>0</v>
      </c>
      <c r="G9" s="232" t="s">
        <v>623</v>
      </c>
      <c r="H9" s="232" t="s">
        <v>698</v>
      </c>
      <c r="I9" s="232">
        <v>0</v>
      </c>
      <c r="J9" s="232" t="s">
        <v>827</v>
      </c>
      <c r="K9" s="232">
        <v>12.8</v>
      </c>
      <c r="L9"/>
    </row>
    <row r="10" spans="1:12" ht="65" x14ac:dyDescent="0.2">
      <c r="A10" s="232">
        <v>17</v>
      </c>
      <c r="B10" s="232" t="s">
        <v>430</v>
      </c>
      <c r="C10" s="232" t="s">
        <v>442</v>
      </c>
      <c r="D10" s="233">
        <v>0</v>
      </c>
      <c r="E10" s="232">
        <v>0</v>
      </c>
      <c r="F10" s="232">
        <v>0</v>
      </c>
      <c r="G10" s="232" t="s">
        <v>623</v>
      </c>
      <c r="H10" s="232" t="s">
        <v>699</v>
      </c>
      <c r="I10" s="232">
        <v>0</v>
      </c>
      <c r="J10" s="232" t="s">
        <v>828</v>
      </c>
      <c r="K10" s="232">
        <v>12.8</v>
      </c>
      <c r="L10"/>
    </row>
    <row r="11" spans="1:12" ht="26" x14ac:dyDescent="0.2">
      <c r="A11" s="232">
        <v>20</v>
      </c>
      <c r="B11" s="232" t="s">
        <v>189</v>
      </c>
      <c r="C11" s="232" t="s">
        <v>537</v>
      </c>
      <c r="D11" s="233">
        <v>0</v>
      </c>
      <c r="E11" s="232" t="s">
        <v>572</v>
      </c>
      <c r="F11" s="232">
        <v>0</v>
      </c>
      <c r="G11" s="232" t="s">
        <v>625</v>
      </c>
      <c r="H11" s="232" t="s">
        <v>699</v>
      </c>
      <c r="I11" s="232" t="s">
        <v>703</v>
      </c>
      <c r="J11" s="232">
        <v>0</v>
      </c>
      <c r="K11" s="232">
        <v>0</v>
      </c>
      <c r="L11"/>
    </row>
    <row r="12" spans="1:12" ht="26" x14ac:dyDescent="0.2">
      <c r="A12" s="232">
        <v>23</v>
      </c>
      <c r="B12" s="232" t="s">
        <v>192</v>
      </c>
      <c r="C12" s="232" t="s">
        <v>472</v>
      </c>
      <c r="D12" s="233">
        <v>0</v>
      </c>
      <c r="E12" s="232" t="s">
        <v>569</v>
      </c>
      <c r="F12" s="232">
        <v>0</v>
      </c>
      <c r="G12" s="232" t="s">
        <v>638</v>
      </c>
      <c r="H12" s="232" t="s">
        <v>699</v>
      </c>
      <c r="I12" s="232" t="s">
        <v>701</v>
      </c>
      <c r="J12" s="232" t="s">
        <v>830</v>
      </c>
      <c r="K12" s="232">
        <v>0</v>
      </c>
      <c r="L12"/>
    </row>
    <row r="13" spans="1:12" ht="26" x14ac:dyDescent="0.2">
      <c r="A13" s="232">
        <v>25</v>
      </c>
      <c r="B13" s="232" t="s">
        <v>194</v>
      </c>
      <c r="C13" s="232" t="s">
        <v>539</v>
      </c>
      <c r="D13" s="233">
        <v>0</v>
      </c>
      <c r="E13" s="232" t="s">
        <v>572</v>
      </c>
      <c r="F13" s="232">
        <v>0</v>
      </c>
      <c r="G13" s="232" t="s">
        <v>638</v>
      </c>
      <c r="H13" s="232" t="s">
        <v>699</v>
      </c>
      <c r="I13" s="232">
        <v>0</v>
      </c>
      <c r="J13" s="232">
        <v>0</v>
      </c>
      <c r="K13" s="232">
        <v>0</v>
      </c>
      <c r="L13"/>
    </row>
    <row r="14" spans="1:12" ht="26" x14ac:dyDescent="0.2">
      <c r="A14" s="232">
        <v>27</v>
      </c>
      <c r="B14" s="232" t="s">
        <v>196</v>
      </c>
      <c r="C14" s="232" t="s">
        <v>897</v>
      </c>
      <c r="D14" s="233">
        <v>0</v>
      </c>
      <c r="E14" s="232" t="s">
        <v>570</v>
      </c>
      <c r="F14" s="232">
        <v>0</v>
      </c>
      <c r="G14" s="232">
        <v>0</v>
      </c>
      <c r="H14" s="232" t="s">
        <v>770</v>
      </c>
      <c r="I14" s="232">
        <v>0</v>
      </c>
      <c r="J14" s="232">
        <v>0</v>
      </c>
      <c r="K14" s="232">
        <v>0</v>
      </c>
      <c r="L14"/>
    </row>
    <row r="15" spans="1:12" ht="26" x14ac:dyDescent="0.2">
      <c r="A15" s="232">
        <v>28</v>
      </c>
      <c r="B15" s="232" t="s">
        <v>197</v>
      </c>
      <c r="C15" s="232" t="s">
        <v>898</v>
      </c>
      <c r="D15" s="233">
        <v>0</v>
      </c>
      <c r="E15" s="232" t="s">
        <v>579</v>
      </c>
      <c r="F15" s="232">
        <v>0</v>
      </c>
      <c r="G15" s="232" t="s">
        <v>626</v>
      </c>
      <c r="H15" s="232" t="s">
        <v>770</v>
      </c>
      <c r="I15" s="232">
        <v>0</v>
      </c>
      <c r="J15" s="232">
        <v>0</v>
      </c>
      <c r="K15" s="232">
        <v>0</v>
      </c>
      <c r="L15"/>
    </row>
    <row r="16" spans="1:12" ht="65" x14ac:dyDescent="0.2">
      <c r="A16" s="232">
        <v>32</v>
      </c>
      <c r="B16" s="232" t="s">
        <v>200</v>
      </c>
      <c r="C16" s="232" t="s">
        <v>901</v>
      </c>
      <c r="D16" s="233">
        <v>0</v>
      </c>
      <c r="E16" s="232" t="s">
        <v>574</v>
      </c>
      <c r="F16" s="232">
        <v>0</v>
      </c>
      <c r="G16" s="232">
        <v>6.2</v>
      </c>
      <c r="H16" s="232" t="s">
        <v>774</v>
      </c>
      <c r="I16" s="232" t="s">
        <v>707</v>
      </c>
      <c r="J16" s="232" t="s">
        <v>834</v>
      </c>
      <c r="K16" s="232">
        <v>0</v>
      </c>
      <c r="L16"/>
    </row>
    <row r="17" spans="1:12" ht="39" x14ac:dyDescent="0.2">
      <c r="A17" s="232">
        <v>34</v>
      </c>
      <c r="B17" s="232" t="s">
        <v>202</v>
      </c>
      <c r="C17" s="232" t="s">
        <v>518</v>
      </c>
      <c r="D17" s="233">
        <v>0</v>
      </c>
      <c r="E17" s="232">
        <v>0</v>
      </c>
      <c r="F17" s="232">
        <v>0</v>
      </c>
      <c r="G17" s="232">
        <v>16</v>
      </c>
      <c r="H17" s="232">
        <v>0</v>
      </c>
      <c r="I17" s="232">
        <v>0</v>
      </c>
      <c r="J17" s="232">
        <v>0</v>
      </c>
      <c r="K17" s="232" t="s">
        <v>2114</v>
      </c>
      <c r="L17"/>
    </row>
    <row r="18" spans="1:12" ht="78" x14ac:dyDescent="0.2">
      <c r="A18" s="232">
        <v>36</v>
      </c>
      <c r="B18" s="232" t="s">
        <v>204</v>
      </c>
      <c r="C18" s="232" t="s">
        <v>444</v>
      </c>
      <c r="D18" s="233">
        <v>0</v>
      </c>
      <c r="E18" s="232" t="s">
        <v>575</v>
      </c>
      <c r="F18" s="232">
        <v>0</v>
      </c>
      <c r="G18" s="232" t="s">
        <v>630</v>
      </c>
      <c r="H18" s="232" t="s">
        <v>776</v>
      </c>
      <c r="I18" s="232">
        <v>0</v>
      </c>
      <c r="J18" s="232" t="s">
        <v>835</v>
      </c>
      <c r="K18" s="232">
        <v>2.4</v>
      </c>
      <c r="L18"/>
    </row>
    <row r="19" spans="1:12" ht="39" x14ac:dyDescent="0.2">
      <c r="A19" s="232">
        <v>37</v>
      </c>
      <c r="B19" s="232" t="s">
        <v>205</v>
      </c>
      <c r="C19" s="232" t="s">
        <v>503</v>
      </c>
      <c r="D19" s="233">
        <v>0</v>
      </c>
      <c r="E19" s="232" t="s">
        <v>569</v>
      </c>
      <c r="F19" s="232">
        <v>0</v>
      </c>
      <c r="G19" s="232" t="s">
        <v>631</v>
      </c>
      <c r="H19" s="232">
        <v>0</v>
      </c>
      <c r="I19" s="232">
        <v>0</v>
      </c>
      <c r="J19" s="232">
        <v>0</v>
      </c>
      <c r="K19" s="232">
        <v>0</v>
      </c>
    </row>
    <row r="20" spans="1:12" ht="26" x14ac:dyDescent="0.2">
      <c r="A20" s="232">
        <v>40</v>
      </c>
      <c r="B20" s="232" t="s">
        <v>208</v>
      </c>
      <c r="C20" s="232" t="s">
        <v>114</v>
      </c>
      <c r="D20" s="233">
        <v>0</v>
      </c>
      <c r="E20" s="232" t="s">
        <v>575</v>
      </c>
      <c r="F20" s="232">
        <v>0</v>
      </c>
      <c r="G20" s="232">
        <v>0</v>
      </c>
      <c r="H20" s="232">
        <v>0</v>
      </c>
      <c r="I20" s="232">
        <v>0</v>
      </c>
      <c r="J20" s="232">
        <v>0</v>
      </c>
      <c r="K20" s="232">
        <v>0</v>
      </c>
    </row>
    <row r="21" spans="1:12" ht="65" x14ac:dyDescent="0.2">
      <c r="A21" s="232">
        <v>41</v>
      </c>
      <c r="B21" s="232" t="s">
        <v>541</v>
      </c>
      <c r="C21" s="232" t="s">
        <v>446</v>
      </c>
      <c r="D21" s="233">
        <v>0</v>
      </c>
      <c r="E21" s="232" t="s">
        <v>572</v>
      </c>
      <c r="F21" s="232">
        <v>0</v>
      </c>
      <c r="G21" s="232" t="s">
        <v>633</v>
      </c>
      <c r="H21" s="232" t="s">
        <v>772</v>
      </c>
      <c r="I21" s="232" t="s">
        <v>708</v>
      </c>
      <c r="J21" s="232" t="s">
        <v>836</v>
      </c>
      <c r="K21" s="232" t="s">
        <v>2115</v>
      </c>
    </row>
    <row r="22" spans="1:12" ht="52" x14ac:dyDescent="0.2">
      <c r="A22" s="232">
        <v>42</v>
      </c>
      <c r="B22" s="232" t="s">
        <v>209</v>
      </c>
      <c r="C22" s="232" t="s">
        <v>504</v>
      </c>
      <c r="D22" s="233">
        <v>0</v>
      </c>
      <c r="E22" s="232" t="s">
        <v>577</v>
      </c>
      <c r="F22" s="232">
        <v>0</v>
      </c>
      <c r="G22" s="232">
        <v>9.1999999999999993</v>
      </c>
      <c r="H22" s="232" t="s">
        <v>772</v>
      </c>
      <c r="I22" s="232" t="s">
        <v>709</v>
      </c>
      <c r="J22" s="232" t="s">
        <v>837</v>
      </c>
      <c r="K22" s="232" t="s">
        <v>2116</v>
      </c>
    </row>
    <row r="23" spans="1:12" ht="26" x14ac:dyDescent="0.2">
      <c r="A23" s="232">
        <v>44</v>
      </c>
      <c r="B23" s="232" t="s">
        <v>212</v>
      </c>
      <c r="C23" s="232" t="s">
        <v>35</v>
      </c>
      <c r="D23" s="233">
        <v>0</v>
      </c>
      <c r="E23" s="232" t="s">
        <v>578</v>
      </c>
      <c r="F23" s="232">
        <v>0</v>
      </c>
      <c r="G23" s="232" t="s">
        <v>636</v>
      </c>
      <c r="H23" s="232" t="s">
        <v>778</v>
      </c>
      <c r="I23" s="232" t="s">
        <v>710</v>
      </c>
      <c r="J23" s="232" t="s">
        <v>838</v>
      </c>
      <c r="K23" s="232" t="s">
        <v>2118</v>
      </c>
    </row>
    <row r="24" spans="1:12" ht="39" x14ac:dyDescent="0.2">
      <c r="A24" s="232">
        <v>45</v>
      </c>
      <c r="B24" s="232" t="s">
        <v>213</v>
      </c>
      <c r="C24" s="232" t="s">
        <v>519</v>
      </c>
      <c r="D24" s="233">
        <v>0</v>
      </c>
      <c r="E24" s="232" t="s">
        <v>578</v>
      </c>
      <c r="F24" s="232">
        <v>0</v>
      </c>
      <c r="G24" s="232" t="s">
        <v>636</v>
      </c>
      <c r="H24" s="232" t="s">
        <v>778</v>
      </c>
      <c r="I24" s="232" t="s">
        <v>711</v>
      </c>
      <c r="J24" s="232" t="s">
        <v>839</v>
      </c>
      <c r="K24" s="232" t="s">
        <v>2118</v>
      </c>
    </row>
    <row r="25" spans="1:12" ht="26" x14ac:dyDescent="0.2">
      <c r="A25" s="232">
        <v>46</v>
      </c>
      <c r="B25" s="232" t="s">
        <v>214</v>
      </c>
      <c r="C25" s="232" t="s">
        <v>2067</v>
      </c>
      <c r="D25" s="233">
        <v>0</v>
      </c>
      <c r="E25" s="232" t="s">
        <v>578</v>
      </c>
      <c r="F25" s="232">
        <v>0</v>
      </c>
      <c r="G25" s="232" t="s">
        <v>636</v>
      </c>
      <c r="H25" s="232" t="s">
        <v>778</v>
      </c>
      <c r="I25" s="232">
        <v>0</v>
      </c>
      <c r="J25" s="232">
        <v>0</v>
      </c>
      <c r="K25" s="232" t="s">
        <v>2118</v>
      </c>
    </row>
    <row r="26" spans="1:12" ht="39" x14ac:dyDescent="0.2">
      <c r="A26" s="232">
        <v>48</v>
      </c>
      <c r="B26" s="232" t="s">
        <v>216</v>
      </c>
      <c r="C26" s="232" t="s">
        <v>2658</v>
      </c>
      <c r="D26" s="233">
        <v>0</v>
      </c>
      <c r="E26" s="232" t="s">
        <v>578</v>
      </c>
      <c r="F26" s="232">
        <v>0</v>
      </c>
      <c r="G26" s="232" t="s">
        <v>637</v>
      </c>
      <c r="H26" s="232" t="s">
        <v>778</v>
      </c>
      <c r="I26" s="232" t="s">
        <v>713</v>
      </c>
      <c r="J26" s="232" t="s">
        <v>840</v>
      </c>
      <c r="K26" s="232" t="s">
        <v>2118</v>
      </c>
    </row>
    <row r="27" spans="1:12" ht="26" x14ac:dyDescent="0.2">
      <c r="A27" s="232">
        <v>49</v>
      </c>
      <c r="B27" s="232" t="s">
        <v>217</v>
      </c>
      <c r="C27" s="232" t="s">
        <v>2565</v>
      </c>
      <c r="D27" s="233">
        <v>0</v>
      </c>
      <c r="E27" s="232" t="s">
        <v>578</v>
      </c>
      <c r="F27" s="232">
        <v>0</v>
      </c>
      <c r="G27" s="232" t="s">
        <v>638</v>
      </c>
      <c r="H27" s="232">
        <v>0</v>
      </c>
      <c r="I27" s="232">
        <v>0</v>
      </c>
      <c r="J27" s="232">
        <v>0</v>
      </c>
      <c r="K27" s="232" t="s">
        <v>2119</v>
      </c>
    </row>
    <row r="28" spans="1:12" ht="26" x14ac:dyDescent="0.2">
      <c r="A28" s="232">
        <v>50</v>
      </c>
      <c r="B28" s="232" t="s">
        <v>218</v>
      </c>
      <c r="C28" s="232" t="s">
        <v>36</v>
      </c>
      <c r="D28" s="233">
        <v>0</v>
      </c>
      <c r="E28" s="232" t="s">
        <v>578</v>
      </c>
      <c r="F28" s="232">
        <v>0</v>
      </c>
      <c r="G28" s="232" t="s">
        <v>638</v>
      </c>
      <c r="H28" s="232" t="s">
        <v>778</v>
      </c>
      <c r="I28" s="232">
        <v>0</v>
      </c>
      <c r="J28" s="232">
        <v>0</v>
      </c>
      <c r="K28" s="232" t="s">
        <v>2118</v>
      </c>
    </row>
    <row r="29" spans="1:12" ht="26" x14ac:dyDescent="0.2">
      <c r="A29" s="232">
        <v>51</v>
      </c>
      <c r="B29" s="232" t="s">
        <v>219</v>
      </c>
      <c r="C29" s="232" t="s">
        <v>37</v>
      </c>
      <c r="D29" s="233">
        <v>0</v>
      </c>
      <c r="E29" s="232" t="s">
        <v>578</v>
      </c>
      <c r="F29" s="232">
        <v>0</v>
      </c>
      <c r="G29" s="232" t="s">
        <v>638</v>
      </c>
      <c r="H29" s="232" t="s">
        <v>778</v>
      </c>
      <c r="I29" s="232" t="s">
        <v>714</v>
      </c>
      <c r="J29" s="232" t="s">
        <v>839</v>
      </c>
      <c r="K29" s="232" t="s">
        <v>2118</v>
      </c>
    </row>
    <row r="30" spans="1:12" ht="52" x14ac:dyDescent="0.2">
      <c r="A30" s="232">
        <v>54</v>
      </c>
      <c r="B30" s="232" t="s">
        <v>222</v>
      </c>
      <c r="C30" s="232" t="s">
        <v>520</v>
      </c>
      <c r="D30" s="233">
        <v>0</v>
      </c>
      <c r="E30" s="232" t="s">
        <v>578</v>
      </c>
      <c r="F30" s="232">
        <v>0</v>
      </c>
      <c r="G30" s="232" t="s">
        <v>638</v>
      </c>
      <c r="H30" s="232" t="s">
        <v>779</v>
      </c>
      <c r="I30" s="232">
        <v>0</v>
      </c>
      <c r="J30" s="232">
        <v>0</v>
      </c>
      <c r="K30" s="232" t="s">
        <v>2118</v>
      </c>
    </row>
    <row r="31" spans="1:12" ht="39" x14ac:dyDescent="0.2">
      <c r="A31" s="232">
        <v>56</v>
      </c>
      <c r="B31" s="232" t="s">
        <v>224</v>
      </c>
      <c r="C31" s="232" t="s">
        <v>95</v>
      </c>
      <c r="D31" s="233">
        <v>0</v>
      </c>
      <c r="E31" s="232" t="s">
        <v>578</v>
      </c>
      <c r="F31" s="232">
        <v>0</v>
      </c>
      <c r="G31" s="232">
        <v>0</v>
      </c>
      <c r="H31" s="232" t="s">
        <v>779</v>
      </c>
      <c r="I31" s="232">
        <v>0</v>
      </c>
      <c r="J31" s="232">
        <v>0</v>
      </c>
      <c r="K31" s="232">
        <v>0</v>
      </c>
    </row>
    <row r="32" spans="1:12" ht="39" x14ac:dyDescent="0.2">
      <c r="A32" s="232">
        <v>57</v>
      </c>
      <c r="B32" s="232" t="s">
        <v>225</v>
      </c>
      <c r="C32" s="232" t="s">
        <v>521</v>
      </c>
      <c r="D32" s="233">
        <v>0</v>
      </c>
      <c r="E32" s="232" t="s">
        <v>578</v>
      </c>
      <c r="F32" s="232">
        <v>0</v>
      </c>
      <c r="G32" s="232">
        <v>0</v>
      </c>
      <c r="H32" s="232" t="s">
        <v>779</v>
      </c>
      <c r="I32" s="232" t="s">
        <v>716</v>
      </c>
      <c r="J32" s="232">
        <v>0</v>
      </c>
      <c r="K32" s="232" t="s">
        <v>2118</v>
      </c>
    </row>
    <row r="33" spans="1:11" ht="52" x14ac:dyDescent="0.2">
      <c r="A33" s="232">
        <v>58</v>
      </c>
      <c r="B33" s="232" t="s">
        <v>226</v>
      </c>
      <c r="C33" s="232" t="s">
        <v>542</v>
      </c>
      <c r="D33" s="233">
        <v>0</v>
      </c>
      <c r="E33" s="232" t="s">
        <v>580</v>
      </c>
      <c r="F33" s="232">
        <v>0</v>
      </c>
      <c r="G33" s="232" t="s">
        <v>635</v>
      </c>
      <c r="H33" s="232" t="s">
        <v>780</v>
      </c>
      <c r="I33" s="232" t="s">
        <v>717</v>
      </c>
      <c r="J33" s="232" t="s">
        <v>842</v>
      </c>
      <c r="K33" s="232" t="s">
        <v>2120</v>
      </c>
    </row>
    <row r="34" spans="1:11" ht="130" x14ac:dyDescent="0.2">
      <c r="A34" s="232">
        <v>59</v>
      </c>
      <c r="B34" s="232" t="s">
        <v>227</v>
      </c>
      <c r="C34" s="232" t="s">
        <v>2098</v>
      </c>
      <c r="D34" s="233">
        <v>0</v>
      </c>
      <c r="E34" s="232" t="s">
        <v>580</v>
      </c>
      <c r="F34" s="232">
        <v>0</v>
      </c>
      <c r="G34" s="232" t="s">
        <v>635</v>
      </c>
      <c r="H34" s="232" t="s">
        <v>780</v>
      </c>
      <c r="I34" s="232" t="s">
        <v>718</v>
      </c>
      <c r="J34" s="232" t="s">
        <v>843</v>
      </c>
      <c r="K34" s="232" t="s">
        <v>2121</v>
      </c>
    </row>
    <row r="35" spans="1:11" ht="39" x14ac:dyDescent="0.2">
      <c r="A35" s="232">
        <v>61</v>
      </c>
      <c r="B35" s="232" t="s">
        <v>211</v>
      </c>
      <c r="C35" s="232" t="s">
        <v>543</v>
      </c>
      <c r="D35" s="233">
        <v>0</v>
      </c>
      <c r="E35" s="232" t="s">
        <v>571</v>
      </c>
      <c r="F35" s="232">
        <v>0</v>
      </c>
      <c r="G35" s="232" t="s">
        <v>641</v>
      </c>
      <c r="H35" s="232" t="s">
        <v>700</v>
      </c>
      <c r="I35" s="232" t="s">
        <v>720</v>
      </c>
      <c r="J35" s="232" t="s">
        <v>845</v>
      </c>
      <c r="K35" s="232">
        <v>0</v>
      </c>
    </row>
    <row r="36" spans="1:11" ht="39" x14ac:dyDescent="0.2">
      <c r="A36" s="232">
        <v>66</v>
      </c>
      <c r="B36" s="232" t="s">
        <v>233</v>
      </c>
      <c r="C36" s="232" t="s">
        <v>544</v>
      </c>
      <c r="D36" s="233">
        <v>0</v>
      </c>
      <c r="E36" s="232" t="s">
        <v>571</v>
      </c>
      <c r="F36" s="232">
        <v>0</v>
      </c>
      <c r="G36" s="232" t="s">
        <v>618</v>
      </c>
      <c r="H36" s="232" t="s">
        <v>700</v>
      </c>
      <c r="I36" s="232" t="s">
        <v>720</v>
      </c>
      <c r="J36" s="232" t="s">
        <v>845</v>
      </c>
      <c r="K36" s="232">
        <v>0</v>
      </c>
    </row>
    <row r="37" spans="1:11" ht="39" x14ac:dyDescent="0.2">
      <c r="A37" s="232">
        <v>67</v>
      </c>
      <c r="B37" s="232" t="s">
        <v>234</v>
      </c>
      <c r="C37" s="232" t="s">
        <v>2070</v>
      </c>
      <c r="D37" s="233">
        <v>0</v>
      </c>
      <c r="E37" s="232" t="s">
        <v>571</v>
      </c>
      <c r="F37" s="232">
        <v>0</v>
      </c>
      <c r="G37" s="232" t="s">
        <v>642</v>
      </c>
      <c r="H37" s="232" t="s">
        <v>700</v>
      </c>
      <c r="I37" s="232" t="s">
        <v>720</v>
      </c>
      <c r="J37" s="232" t="s">
        <v>845</v>
      </c>
      <c r="K37" s="232">
        <v>0</v>
      </c>
    </row>
    <row r="38" spans="1:11" ht="39" x14ac:dyDescent="0.2">
      <c r="A38" s="232">
        <v>73</v>
      </c>
      <c r="B38" s="232" t="s">
        <v>240</v>
      </c>
      <c r="C38" s="232" t="s">
        <v>102</v>
      </c>
      <c r="D38" s="233">
        <v>0</v>
      </c>
      <c r="E38" s="232" t="s">
        <v>571</v>
      </c>
      <c r="F38" s="232">
        <v>0</v>
      </c>
      <c r="G38" s="232" t="s">
        <v>647</v>
      </c>
      <c r="H38" s="232" t="s">
        <v>781</v>
      </c>
      <c r="I38" s="232" t="s">
        <v>722</v>
      </c>
      <c r="J38" s="232" t="s">
        <v>848</v>
      </c>
      <c r="K38" s="232" t="s">
        <v>2123</v>
      </c>
    </row>
    <row r="39" spans="1:11" ht="65" x14ac:dyDescent="0.2">
      <c r="A39" s="232">
        <v>77</v>
      </c>
      <c r="B39" s="232" t="s">
        <v>244</v>
      </c>
      <c r="C39" s="232" t="s">
        <v>451</v>
      </c>
      <c r="D39" s="233">
        <v>0</v>
      </c>
      <c r="E39" s="232" t="s">
        <v>575</v>
      </c>
      <c r="F39" s="232">
        <v>0</v>
      </c>
      <c r="G39" s="232">
        <v>0</v>
      </c>
      <c r="H39" s="232">
        <v>0</v>
      </c>
      <c r="I39" s="232">
        <v>0</v>
      </c>
      <c r="J39" s="232" t="s">
        <v>848</v>
      </c>
      <c r="K39" s="232" t="s">
        <v>2125</v>
      </c>
    </row>
    <row r="40" spans="1:11" ht="91" x14ac:dyDescent="0.2">
      <c r="A40" s="232">
        <v>80</v>
      </c>
      <c r="B40" s="232" t="s">
        <v>247</v>
      </c>
      <c r="C40" s="232" t="s">
        <v>2150</v>
      </c>
      <c r="D40" s="233">
        <v>0</v>
      </c>
      <c r="E40" s="232" t="s">
        <v>575</v>
      </c>
      <c r="F40" s="232">
        <v>0</v>
      </c>
      <c r="G40" s="232" t="s">
        <v>630</v>
      </c>
      <c r="H40" s="232" t="s">
        <v>777</v>
      </c>
      <c r="I40" s="232" t="s">
        <v>724</v>
      </c>
      <c r="J40" s="232" t="s">
        <v>848</v>
      </c>
      <c r="K40" s="232">
        <v>12.1</v>
      </c>
    </row>
    <row r="41" spans="1:11" ht="39" x14ac:dyDescent="0.2">
      <c r="A41" s="232">
        <v>88</v>
      </c>
      <c r="B41" s="232" t="s">
        <v>255</v>
      </c>
      <c r="C41" s="232" t="s">
        <v>2083</v>
      </c>
      <c r="D41" s="233">
        <v>0</v>
      </c>
      <c r="E41" s="232" t="s">
        <v>574</v>
      </c>
      <c r="F41" s="232">
        <v>0</v>
      </c>
      <c r="G41" s="232">
        <v>0</v>
      </c>
      <c r="H41" s="232" t="s">
        <v>784</v>
      </c>
      <c r="I41" s="232" t="s">
        <v>726</v>
      </c>
      <c r="J41" s="232" t="s">
        <v>849</v>
      </c>
      <c r="K41" s="232">
        <v>12.8</v>
      </c>
    </row>
    <row r="42" spans="1:11" ht="26" x14ac:dyDescent="0.2">
      <c r="A42" s="232">
        <v>90</v>
      </c>
      <c r="B42" s="232" t="s">
        <v>257</v>
      </c>
      <c r="C42" s="232" t="s">
        <v>2576</v>
      </c>
      <c r="D42" s="233">
        <v>0</v>
      </c>
      <c r="E42" s="232" t="s">
        <v>569</v>
      </c>
      <c r="F42" s="232">
        <v>0</v>
      </c>
      <c r="G42" s="232" t="s">
        <v>650</v>
      </c>
      <c r="H42" s="232" t="s">
        <v>785</v>
      </c>
      <c r="I42" s="232">
        <v>0</v>
      </c>
      <c r="J42" s="232">
        <v>0</v>
      </c>
      <c r="K42" s="232" t="s">
        <v>2131</v>
      </c>
    </row>
    <row r="43" spans="1:11" ht="26" x14ac:dyDescent="0.2">
      <c r="A43" s="232">
        <v>91</v>
      </c>
      <c r="B43" s="232" t="s">
        <v>258</v>
      </c>
      <c r="C43" s="232" t="s">
        <v>474</v>
      </c>
      <c r="D43" s="233">
        <v>0</v>
      </c>
      <c r="E43" s="232" t="s">
        <v>569</v>
      </c>
      <c r="F43" s="232">
        <v>0</v>
      </c>
      <c r="G43" s="232" t="s">
        <v>651</v>
      </c>
      <c r="H43" s="232" t="s">
        <v>786</v>
      </c>
      <c r="I43" s="232" t="s">
        <v>728</v>
      </c>
      <c r="J43" s="232" t="s">
        <v>851</v>
      </c>
      <c r="K43" s="232">
        <v>12.8</v>
      </c>
    </row>
    <row r="44" spans="1:11" ht="52" x14ac:dyDescent="0.2">
      <c r="A44" s="232">
        <v>92</v>
      </c>
      <c r="B44" s="232" t="s">
        <v>259</v>
      </c>
      <c r="C44" s="232" t="s">
        <v>453</v>
      </c>
      <c r="D44" s="233">
        <v>0</v>
      </c>
      <c r="E44" s="232" t="s">
        <v>569</v>
      </c>
      <c r="F44" s="232">
        <v>0</v>
      </c>
      <c r="G44" s="232" t="s">
        <v>651</v>
      </c>
      <c r="H44" s="232">
        <v>0</v>
      </c>
      <c r="I44" s="232" t="s">
        <v>737</v>
      </c>
      <c r="J44" s="232">
        <v>0</v>
      </c>
      <c r="K44" s="232">
        <v>12.1</v>
      </c>
    </row>
    <row r="45" spans="1:11" ht="65" x14ac:dyDescent="0.2">
      <c r="A45" s="232">
        <v>93</v>
      </c>
      <c r="B45" s="232" t="s">
        <v>260</v>
      </c>
      <c r="C45" s="232" t="s">
        <v>2577</v>
      </c>
      <c r="D45" s="233">
        <v>0</v>
      </c>
      <c r="E45" s="232" t="s">
        <v>569</v>
      </c>
      <c r="F45" s="232">
        <v>0</v>
      </c>
      <c r="G45" s="232" t="s">
        <v>657</v>
      </c>
      <c r="H45" s="232" t="s">
        <v>785</v>
      </c>
      <c r="I45" s="232">
        <v>0</v>
      </c>
      <c r="J45" s="232" t="s">
        <v>852</v>
      </c>
      <c r="K45" s="232" t="s">
        <v>2131</v>
      </c>
    </row>
    <row r="46" spans="1:11" ht="26" x14ac:dyDescent="0.2">
      <c r="A46" s="232">
        <v>95</v>
      </c>
      <c r="B46" s="232" t="s">
        <v>262</v>
      </c>
      <c r="C46" s="232" t="s">
        <v>523</v>
      </c>
      <c r="D46" s="233">
        <v>0</v>
      </c>
      <c r="E46" s="232" t="s">
        <v>569</v>
      </c>
      <c r="F46" s="232">
        <v>0</v>
      </c>
      <c r="G46" s="232" t="s">
        <v>652</v>
      </c>
      <c r="H46" s="232">
        <v>0</v>
      </c>
      <c r="I46" s="232" t="s">
        <v>729</v>
      </c>
      <c r="J46" s="232" t="s">
        <v>830</v>
      </c>
      <c r="K46" s="232">
        <v>12.8</v>
      </c>
    </row>
    <row r="47" spans="1:11" ht="39" x14ac:dyDescent="0.2">
      <c r="A47" s="232">
        <v>98</v>
      </c>
      <c r="B47" s="232" t="s">
        <v>265</v>
      </c>
      <c r="C47" s="232" t="s">
        <v>2579</v>
      </c>
      <c r="D47" s="233">
        <v>0</v>
      </c>
      <c r="E47" s="232" t="s">
        <v>569</v>
      </c>
      <c r="F47" s="232">
        <v>0</v>
      </c>
      <c r="G47" s="232" t="s">
        <v>654</v>
      </c>
      <c r="H47" s="232">
        <v>0</v>
      </c>
      <c r="I47" s="232" t="s">
        <v>729</v>
      </c>
      <c r="J47" s="232">
        <v>0</v>
      </c>
      <c r="K47" s="232">
        <v>12.8</v>
      </c>
    </row>
    <row r="48" spans="1:11" ht="13" x14ac:dyDescent="0.2">
      <c r="A48" s="232">
        <v>104</v>
      </c>
      <c r="B48" s="232" t="s">
        <v>271</v>
      </c>
      <c r="C48" s="232" t="s">
        <v>546</v>
      </c>
      <c r="D48" s="233">
        <v>0</v>
      </c>
      <c r="E48" s="232" t="s">
        <v>571</v>
      </c>
      <c r="F48" s="232">
        <v>0</v>
      </c>
      <c r="G48" s="232" t="s">
        <v>653</v>
      </c>
      <c r="H48" s="232" t="s">
        <v>788</v>
      </c>
      <c r="I48" s="232" t="s">
        <v>730</v>
      </c>
      <c r="J48" s="232" t="s">
        <v>853</v>
      </c>
      <c r="K48" s="232">
        <v>0</v>
      </c>
    </row>
    <row r="49" spans="1:11" ht="65" x14ac:dyDescent="0.2">
      <c r="A49" s="232">
        <v>109</v>
      </c>
      <c r="B49" s="232" t="s">
        <v>277</v>
      </c>
      <c r="C49" s="232" t="s">
        <v>2651</v>
      </c>
      <c r="D49" s="233">
        <v>0</v>
      </c>
      <c r="E49" s="232" t="s">
        <v>569</v>
      </c>
      <c r="F49" s="232">
        <v>0</v>
      </c>
      <c r="G49" s="232" t="s">
        <v>656</v>
      </c>
      <c r="H49" s="232" t="s">
        <v>790</v>
      </c>
      <c r="I49" s="232" t="s">
        <v>734</v>
      </c>
      <c r="J49" s="232" t="s">
        <v>854</v>
      </c>
      <c r="K49" s="232" t="s">
        <v>2132</v>
      </c>
    </row>
    <row r="50" spans="1:11" ht="26" x14ac:dyDescent="0.2">
      <c r="A50" s="232">
        <v>114</v>
      </c>
      <c r="B50" s="232" t="s">
        <v>282</v>
      </c>
      <c r="C50" s="232" t="s">
        <v>525</v>
      </c>
      <c r="D50" s="233">
        <v>0</v>
      </c>
      <c r="E50" s="232" t="s">
        <v>583</v>
      </c>
      <c r="F50" s="232">
        <v>0</v>
      </c>
      <c r="G50" s="232" t="s">
        <v>632</v>
      </c>
      <c r="H50" s="232" t="s">
        <v>771</v>
      </c>
      <c r="I50" s="232">
        <v>0</v>
      </c>
      <c r="J50" s="232">
        <v>0</v>
      </c>
      <c r="K50" s="232">
        <v>0</v>
      </c>
    </row>
    <row r="51" spans="1:11" ht="26" x14ac:dyDescent="0.2">
      <c r="A51" s="232">
        <v>115</v>
      </c>
      <c r="B51" s="232" t="s">
        <v>283</v>
      </c>
      <c r="C51" s="232" t="s">
        <v>26</v>
      </c>
      <c r="D51" s="233">
        <v>0</v>
      </c>
      <c r="E51" s="232" t="s">
        <v>569</v>
      </c>
      <c r="F51" s="232">
        <v>0</v>
      </c>
      <c r="G51" s="232" t="s">
        <v>650</v>
      </c>
      <c r="H51" s="232" t="s">
        <v>786</v>
      </c>
      <c r="I51" s="232">
        <v>0</v>
      </c>
      <c r="J51" s="232">
        <v>0</v>
      </c>
      <c r="K51" s="232">
        <v>0</v>
      </c>
    </row>
    <row r="52" spans="1:11" ht="26" x14ac:dyDescent="0.2">
      <c r="A52" s="232">
        <v>116</v>
      </c>
      <c r="B52" s="232" t="s">
        <v>284</v>
      </c>
      <c r="C52" s="232" t="s">
        <v>560</v>
      </c>
      <c r="D52" s="233">
        <v>0</v>
      </c>
      <c r="E52" s="232" t="s">
        <v>569</v>
      </c>
      <c r="F52" s="232">
        <v>0</v>
      </c>
      <c r="G52" s="232" t="s">
        <v>650</v>
      </c>
      <c r="H52" s="232" t="s">
        <v>792</v>
      </c>
      <c r="I52" s="232">
        <v>0</v>
      </c>
      <c r="J52" s="232">
        <v>0</v>
      </c>
      <c r="K52" s="232">
        <v>0</v>
      </c>
    </row>
    <row r="53" spans="1:11" ht="26" x14ac:dyDescent="0.2">
      <c r="A53" s="232">
        <v>120</v>
      </c>
      <c r="B53" s="232" t="s">
        <v>288</v>
      </c>
      <c r="C53" s="232" t="s">
        <v>27</v>
      </c>
      <c r="D53" s="233">
        <v>0</v>
      </c>
      <c r="E53" s="232" t="s">
        <v>586</v>
      </c>
      <c r="F53" s="232">
        <v>0</v>
      </c>
      <c r="G53" s="232">
        <v>0</v>
      </c>
      <c r="H53" s="232">
        <v>0</v>
      </c>
      <c r="I53" s="232">
        <v>0</v>
      </c>
      <c r="J53" s="232" t="s">
        <v>829</v>
      </c>
      <c r="K53" s="232">
        <v>12.8</v>
      </c>
    </row>
    <row r="54" spans="1:11" ht="26" x14ac:dyDescent="0.2">
      <c r="A54" s="232">
        <v>125</v>
      </c>
      <c r="B54" s="232" t="s">
        <v>293</v>
      </c>
      <c r="C54" s="232" t="s">
        <v>2611</v>
      </c>
      <c r="D54" s="233">
        <v>0</v>
      </c>
      <c r="E54" s="232" t="s">
        <v>574</v>
      </c>
      <c r="F54" s="232">
        <v>0</v>
      </c>
      <c r="G54" s="232" t="s">
        <v>617</v>
      </c>
      <c r="H54" s="232">
        <v>0</v>
      </c>
      <c r="I54" s="232">
        <v>0</v>
      </c>
      <c r="J54" s="232">
        <v>0</v>
      </c>
      <c r="K54" s="232">
        <v>12.9</v>
      </c>
    </row>
    <row r="55" spans="1:11" ht="26" x14ac:dyDescent="0.2">
      <c r="A55" s="232">
        <v>136</v>
      </c>
      <c r="B55" s="232" t="s">
        <v>304</v>
      </c>
      <c r="C55" s="232" t="s">
        <v>552</v>
      </c>
      <c r="D55" s="233">
        <v>0</v>
      </c>
      <c r="E55" s="232" t="s">
        <v>571</v>
      </c>
      <c r="F55" s="232">
        <v>0</v>
      </c>
      <c r="G55" s="232" t="s">
        <v>641</v>
      </c>
      <c r="H55" s="232" t="s">
        <v>700</v>
      </c>
      <c r="I55" s="232" t="s">
        <v>720</v>
      </c>
      <c r="J55" s="232" t="s">
        <v>846</v>
      </c>
      <c r="K55" s="232">
        <v>12.8</v>
      </c>
    </row>
    <row r="56" spans="1:11" ht="26" x14ac:dyDescent="0.2">
      <c r="A56" s="232">
        <v>142</v>
      </c>
      <c r="B56" s="232" t="s">
        <v>310</v>
      </c>
      <c r="C56" s="232" t="s">
        <v>122</v>
      </c>
      <c r="D56" s="233">
        <v>0</v>
      </c>
      <c r="E56" s="232" t="s">
        <v>571</v>
      </c>
      <c r="F56" s="232">
        <v>0</v>
      </c>
      <c r="G56" s="232">
        <v>0</v>
      </c>
      <c r="H56" s="232" t="s">
        <v>700</v>
      </c>
      <c r="I56" s="232" t="s">
        <v>720</v>
      </c>
      <c r="J56" s="232" t="s">
        <v>846</v>
      </c>
      <c r="K56" s="232">
        <v>12.8</v>
      </c>
    </row>
    <row r="57" spans="1:11" ht="26" x14ac:dyDescent="0.2">
      <c r="A57" s="232">
        <v>149</v>
      </c>
      <c r="B57" s="232" t="s">
        <v>317</v>
      </c>
      <c r="C57" s="232" t="s">
        <v>33</v>
      </c>
      <c r="D57" s="233">
        <v>0</v>
      </c>
      <c r="E57" s="232" t="s">
        <v>585</v>
      </c>
      <c r="F57" s="232">
        <v>0</v>
      </c>
      <c r="G57" s="232" t="s">
        <v>666</v>
      </c>
      <c r="H57" s="232" t="s">
        <v>796</v>
      </c>
      <c r="I57" s="232">
        <v>0</v>
      </c>
      <c r="J57" s="232">
        <v>0</v>
      </c>
      <c r="K57" s="232">
        <v>1.1000000000000001</v>
      </c>
    </row>
    <row r="58" spans="1:11" ht="26" x14ac:dyDescent="0.2">
      <c r="A58" s="232">
        <v>150</v>
      </c>
      <c r="B58" s="232" t="s">
        <v>318</v>
      </c>
      <c r="C58" s="232" t="s">
        <v>34</v>
      </c>
      <c r="D58" s="233">
        <v>0</v>
      </c>
      <c r="E58" s="232" t="s">
        <v>585</v>
      </c>
      <c r="F58" s="232">
        <v>0</v>
      </c>
      <c r="G58" s="232" t="s">
        <v>666</v>
      </c>
      <c r="H58" s="232" t="s">
        <v>796</v>
      </c>
      <c r="I58" s="232">
        <v>0</v>
      </c>
      <c r="J58" s="232">
        <v>0</v>
      </c>
      <c r="K58" s="232">
        <v>1.1000000000000001</v>
      </c>
    </row>
    <row r="59" spans="1:11" ht="26" x14ac:dyDescent="0.2">
      <c r="A59" s="232">
        <v>152</v>
      </c>
      <c r="B59" s="232" t="s">
        <v>320</v>
      </c>
      <c r="C59" s="232" t="s">
        <v>509</v>
      </c>
      <c r="D59" s="233">
        <v>0</v>
      </c>
      <c r="E59" s="232" t="s">
        <v>585</v>
      </c>
      <c r="F59" s="232">
        <v>0</v>
      </c>
      <c r="G59" s="232" t="s">
        <v>647</v>
      </c>
      <c r="H59" s="232" t="s">
        <v>794</v>
      </c>
      <c r="I59" s="232">
        <v>0</v>
      </c>
      <c r="J59" s="232">
        <v>0</v>
      </c>
      <c r="K59" s="232">
        <v>1.1000000000000001</v>
      </c>
    </row>
    <row r="60" spans="1:11" ht="26" x14ac:dyDescent="0.2">
      <c r="A60" s="232">
        <v>153</v>
      </c>
      <c r="B60" s="232" t="s">
        <v>321</v>
      </c>
      <c r="C60" s="232" t="s">
        <v>109</v>
      </c>
      <c r="D60" s="233">
        <v>0</v>
      </c>
      <c r="E60" s="232" t="s">
        <v>588</v>
      </c>
      <c r="F60" s="232">
        <v>0</v>
      </c>
      <c r="G60" s="232" t="s">
        <v>660</v>
      </c>
      <c r="H60" s="232" t="s">
        <v>797</v>
      </c>
      <c r="I60" s="232" t="s">
        <v>740</v>
      </c>
      <c r="J60" s="232" t="s">
        <v>861</v>
      </c>
      <c r="K60" s="232">
        <v>11.4</v>
      </c>
    </row>
    <row r="61" spans="1:11" ht="26" x14ac:dyDescent="0.2">
      <c r="A61" s="232">
        <v>155</v>
      </c>
      <c r="B61" s="232" t="s">
        <v>323</v>
      </c>
      <c r="C61" s="232" t="s">
        <v>128</v>
      </c>
      <c r="D61" s="233">
        <v>0</v>
      </c>
      <c r="E61" s="232" t="s">
        <v>588</v>
      </c>
      <c r="F61" s="232">
        <v>0</v>
      </c>
      <c r="G61" s="232" t="s">
        <v>660</v>
      </c>
      <c r="H61" s="232" t="s">
        <v>797</v>
      </c>
      <c r="I61" s="232" t="s">
        <v>740</v>
      </c>
      <c r="J61" s="232" t="s">
        <v>861</v>
      </c>
      <c r="K61" s="232">
        <v>11.4</v>
      </c>
    </row>
    <row r="62" spans="1:11" ht="39" x14ac:dyDescent="0.2">
      <c r="A62" s="232">
        <v>160</v>
      </c>
      <c r="B62" s="232" t="s">
        <v>328</v>
      </c>
      <c r="C62" s="232" t="s">
        <v>2590</v>
      </c>
      <c r="D62" s="233">
        <v>0</v>
      </c>
      <c r="E62" s="232" t="s">
        <v>580</v>
      </c>
      <c r="F62" s="232">
        <v>0</v>
      </c>
      <c r="G62" s="232" t="s">
        <v>667</v>
      </c>
      <c r="H62" s="232" t="s">
        <v>799</v>
      </c>
      <c r="I62" s="232" t="s">
        <v>741</v>
      </c>
      <c r="J62" s="232" t="s">
        <v>864</v>
      </c>
      <c r="K62" s="232" t="s">
        <v>2134</v>
      </c>
    </row>
    <row r="63" spans="1:11" ht="39" x14ac:dyDescent="0.2">
      <c r="A63" s="232">
        <v>163</v>
      </c>
      <c r="B63" s="232" t="s">
        <v>331</v>
      </c>
      <c r="C63" s="232" t="s">
        <v>53</v>
      </c>
      <c r="D63" s="233">
        <v>0</v>
      </c>
      <c r="E63" s="232" t="s">
        <v>570</v>
      </c>
      <c r="F63" s="232">
        <v>0</v>
      </c>
      <c r="G63" s="232">
        <v>0</v>
      </c>
      <c r="H63" s="232" t="s">
        <v>800</v>
      </c>
      <c r="I63" s="232">
        <v>0</v>
      </c>
      <c r="J63" s="232">
        <v>0</v>
      </c>
      <c r="K63" s="232">
        <v>0</v>
      </c>
    </row>
    <row r="64" spans="1:11" ht="13" x14ac:dyDescent="0.2">
      <c r="A64" s="232">
        <v>165</v>
      </c>
      <c r="B64" s="232" t="s">
        <v>333</v>
      </c>
      <c r="C64" s="232" t="s">
        <v>2594</v>
      </c>
      <c r="D64" s="233">
        <v>0</v>
      </c>
      <c r="E64" s="232" t="s">
        <v>569</v>
      </c>
      <c r="F64" s="232">
        <v>0</v>
      </c>
      <c r="G64" s="232" t="s">
        <v>669</v>
      </c>
      <c r="H64" s="232" t="s">
        <v>801</v>
      </c>
      <c r="I64" s="232" t="s">
        <v>742</v>
      </c>
      <c r="J64" s="232" t="s">
        <v>865</v>
      </c>
      <c r="K64" s="232">
        <v>4.0999999999999996</v>
      </c>
    </row>
    <row r="65" spans="1:11" ht="26" x14ac:dyDescent="0.2">
      <c r="A65" s="232">
        <v>166</v>
      </c>
      <c r="B65" s="232" t="s">
        <v>334</v>
      </c>
      <c r="C65" s="232" t="s">
        <v>2595</v>
      </c>
      <c r="D65" s="233">
        <v>0</v>
      </c>
      <c r="E65" s="232" t="s">
        <v>572</v>
      </c>
      <c r="F65" s="232">
        <v>0</v>
      </c>
      <c r="G65" s="232" t="s">
        <v>669</v>
      </c>
      <c r="H65" s="232" t="s">
        <v>802</v>
      </c>
      <c r="I65" s="232">
        <v>0</v>
      </c>
      <c r="J65" s="232">
        <v>0</v>
      </c>
      <c r="K65" s="232">
        <v>0</v>
      </c>
    </row>
    <row r="66" spans="1:11" ht="39" x14ac:dyDescent="0.2">
      <c r="A66" s="232">
        <v>167</v>
      </c>
      <c r="B66" s="232" t="s">
        <v>335</v>
      </c>
      <c r="C66" s="232" t="s">
        <v>55</v>
      </c>
      <c r="D66" s="233">
        <v>0</v>
      </c>
      <c r="E66" s="232" t="s">
        <v>578</v>
      </c>
      <c r="F66" s="232">
        <v>0</v>
      </c>
      <c r="G66" s="232" t="s">
        <v>670</v>
      </c>
      <c r="H66" s="232">
        <v>0</v>
      </c>
      <c r="I66" s="232">
        <v>0</v>
      </c>
      <c r="J66" s="232">
        <v>0</v>
      </c>
      <c r="K66" s="232">
        <v>0</v>
      </c>
    </row>
    <row r="67" spans="1:11" ht="26" x14ac:dyDescent="0.2">
      <c r="A67" s="232">
        <v>169</v>
      </c>
      <c r="B67" s="232" t="s">
        <v>337</v>
      </c>
      <c r="C67" s="232" t="s">
        <v>2596</v>
      </c>
      <c r="D67" s="233">
        <v>0</v>
      </c>
      <c r="E67" s="232" t="s">
        <v>570</v>
      </c>
      <c r="F67" s="232">
        <v>0</v>
      </c>
      <c r="G67" s="232" t="s">
        <v>622</v>
      </c>
      <c r="H67" s="232" t="s">
        <v>800</v>
      </c>
      <c r="I67" s="232">
        <v>0</v>
      </c>
      <c r="J67" s="232">
        <v>0</v>
      </c>
      <c r="K67" s="232">
        <v>0</v>
      </c>
    </row>
    <row r="68" spans="1:11" ht="26" x14ac:dyDescent="0.2">
      <c r="A68" s="232">
        <v>170</v>
      </c>
      <c r="B68" s="232" t="s">
        <v>338</v>
      </c>
      <c r="C68" s="232" t="s">
        <v>56</v>
      </c>
      <c r="D68" s="233">
        <v>0</v>
      </c>
      <c r="E68" s="232" t="s">
        <v>570</v>
      </c>
      <c r="F68" s="232">
        <v>0</v>
      </c>
      <c r="G68" s="232" t="s">
        <v>671</v>
      </c>
      <c r="H68" s="232" t="s">
        <v>803</v>
      </c>
      <c r="I68" s="232">
        <v>0</v>
      </c>
      <c r="J68" s="232">
        <v>0</v>
      </c>
      <c r="K68" s="232">
        <v>0</v>
      </c>
    </row>
    <row r="69" spans="1:11" ht="39" x14ac:dyDescent="0.2">
      <c r="A69" s="232">
        <v>171</v>
      </c>
      <c r="B69" s="232" t="s">
        <v>556</v>
      </c>
      <c r="C69" s="232" t="s">
        <v>2629</v>
      </c>
      <c r="D69" s="233">
        <v>0</v>
      </c>
      <c r="E69" s="232" t="s">
        <v>570</v>
      </c>
      <c r="F69" s="232">
        <v>0</v>
      </c>
      <c r="G69" s="232" t="s">
        <v>671</v>
      </c>
      <c r="H69" s="232" t="s">
        <v>803</v>
      </c>
      <c r="I69" s="232">
        <v>0</v>
      </c>
      <c r="J69" s="232">
        <v>0</v>
      </c>
      <c r="K69" s="232">
        <v>0</v>
      </c>
    </row>
    <row r="70" spans="1:11" ht="26" x14ac:dyDescent="0.2">
      <c r="A70" s="232">
        <v>173</v>
      </c>
      <c r="B70" s="232" t="s">
        <v>340</v>
      </c>
      <c r="C70" s="232" t="s">
        <v>557</v>
      </c>
      <c r="D70" s="233">
        <v>0</v>
      </c>
      <c r="E70" s="232" t="s">
        <v>569</v>
      </c>
      <c r="F70" s="232">
        <v>0</v>
      </c>
      <c r="G70" s="232" t="s">
        <v>669</v>
      </c>
      <c r="H70" s="232" t="s">
        <v>805</v>
      </c>
      <c r="I70" s="232" t="s">
        <v>745</v>
      </c>
      <c r="J70" s="232" t="s">
        <v>867</v>
      </c>
      <c r="K70" s="232" t="s">
        <v>2135</v>
      </c>
    </row>
    <row r="71" spans="1:11" ht="26" x14ac:dyDescent="0.2">
      <c r="A71" s="232">
        <v>178</v>
      </c>
      <c r="B71" s="232" t="s">
        <v>345</v>
      </c>
      <c r="C71" s="232" t="s">
        <v>39</v>
      </c>
      <c r="D71" s="233">
        <v>0</v>
      </c>
      <c r="E71" s="232" t="s">
        <v>591</v>
      </c>
      <c r="F71" s="232">
        <v>0</v>
      </c>
      <c r="G71" s="232" t="s">
        <v>648</v>
      </c>
      <c r="H71" s="232" t="s">
        <v>808</v>
      </c>
      <c r="I71" s="232">
        <v>0</v>
      </c>
      <c r="J71" s="232" t="s">
        <v>870</v>
      </c>
      <c r="K71" s="232" t="s">
        <v>2137</v>
      </c>
    </row>
    <row r="72" spans="1:11" ht="26" x14ac:dyDescent="0.2">
      <c r="A72" s="232">
        <v>180</v>
      </c>
      <c r="B72" s="232" t="s">
        <v>347</v>
      </c>
      <c r="C72" s="232" t="s">
        <v>41</v>
      </c>
      <c r="D72" s="233">
        <v>0</v>
      </c>
      <c r="E72" s="232" t="s">
        <v>593</v>
      </c>
      <c r="F72" s="232">
        <v>0</v>
      </c>
      <c r="G72" s="232" t="s">
        <v>622</v>
      </c>
      <c r="H72" s="232">
        <v>0</v>
      </c>
      <c r="I72" s="232">
        <v>0</v>
      </c>
      <c r="J72" s="232" t="s">
        <v>870</v>
      </c>
      <c r="K72" s="232" t="s">
        <v>2138</v>
      </c>
    </row>
    <row r="73" spans="1:11" ht="39" x14ac:dyDescent="0.2">
      <c r="A73" s="232">
        <v>182</v>
      </c>
      <c r="B73" s="232" t="s">
        <v>349</v>
      </c>
      <c r="C73" s="232" t="s">
        <v>2604</v>
      </c>
      <c r="D73" s="233">
        <v>0</v>
      </c>
      <c r="E73" s="232" t="s">
        <v>591</v>
      </c>
      <c r="F73" s="232">
        <v>0</v>
      </c>
      <c r="G73" s="232" t="s">
        <v>684</v>
      </c>
      <c r="H73" s="232" t="s">
        <v>809</v>
      </c>
      <c r="I73" s="232">
        <v>0</v>
      </c>
      <c r="J73" s="232" t="s">
        <v>870</v>
      </c>
      <c r="K73" s="232" t="s">
        <v>2139</v>
      </c>
    </row>
    <row r="74" spans="1:11" ht="26" x14ac:dyDescent="0.2">
      <c r="A74" s="232">
        <v>186</v>
      </c>
      <c r="B74" s="232" t="s">
        <v>353</v>
      </c>
      <c r="C74" s="232" t="s">
        <v>45</v>
      </c>
      <c r="D74" s="233">
        <v>0</v>
      </c>
      <c r="E74" s="232" t="s">
        <v>588</v>
      </c>
      <c r="F74" s="232">
        <v>0</v>
      </c>
      <c r="G74" s="232" t="s">
        <v>677</v>
      </c>
      <c r="H74" s="232" t="s">
        <v>700</v>
      </c>
      <c r="I74" s="232" t="s">
        <v>749</v>
      </c>
      <c r="J74" s="232" t="s">
        <v>872</v>
      </c>
      <c r="K74" s="232" t="s">
        <v>2142</v>
      </c>
    </row>
    <row r="75" spans="1:11" ht="26" x14ac:dyDescent="0.2">
      <c r="A75" s="232">
        <v>187</v>
      </c>
      <c r="B75" s="232" t="s">
        <v>354</v>
      </c>
      <c r="C75" s="232" t="s">
        <v>2606</v>
      </c>
      <c r="D75" s="233">
        <v>0</v>
      </c>
      <c r="E75" s="232" t="s">
        <v>588</v>
      </c>
      <c r="F75" s="232">
        <v>0</v>
      </c>
      <c r="G75" s="232" t="s">
        <v>617</v>
      </c>
      <c r="H75" s="232" t="s">
        <v>698</v>
      </c>
      <c r="I75" s="232" t="s">
        <v>750</v>
      </c>
      <c r="J75" s="232" t="s">
        <v>873</v>
      </c>
      <c r="K75" s="232">
        <v>12.8</v>
      </c>
    </row>
    <row r="76" spans="1:11" ht="26" x14ac:dyDescent="0.2">
      <c r="A76" s="232">
        <v>192</v>
      </c>
      <c r="B76" s="232" t="s">
        <v>359</v>
      </c>
      <c r="C76" s="232" t="s">
        <v>2607</v>
      </c>
      <c r="D76" s="233">
        <v>0</v>
      </c>
      <c r="E76" s="232" t="s">
        <v>592</v>
      </c>
      <c r="F76" s="232" t="s">
        <v>600</v>
      </c>
      <c r="G76" s="232" t="s">
        <v>675</v>
      </c>
      <c r="H76" s="232" t="s">
        <v>698</v>
      </c>
      <c r="I76" s="232">
        <v>0</v>
      </c>
      <c r="J76" s="232" t="s">
        <v>870</v>
      </c>
      <c r="K76" s="232" t="s">
        <v>2145</v>
      </c>
    </row>
    <row r="77" spans="1:11" ht="26" x14ac:dyDescent="0.2">
      <c r="A77" s="232">
        <v>193</v>
      </c>
      <c r="B77" s="232" t="s">
        <v>360</v>
      </c>
      <c r="C77" s="232" t="s">
        <v>47</v>
      </c>
      <c r="D77" s="233">
        <v>0</v>
      </c>
      <c r="E77" s="232" t="s">
        <v>592</v>
      </c>
      <c r="F77" s="232" t="s">
        <v>602</v>
      </c>
      <c r="G77" s="232" t="s">
        <v>680</v>
      </c>
      <c r="H77" s="232" t="s">
        <v>813</v>
      </c>
      <c r="I77" s="232" t="s">
        <v>752</v>
      </c>
      <c r="J77" s="232" t="s">
        <v>876</v>
      </c>
      <c r="K77" s="232">
        <v>12.6</v>
      </c>
    </row>
    <row r="78" spans="1:11" ht="39" x14ac:dyDescent="0.2">
      <c r="A78" s="232">
        <v>204</v>
      </c>
      <c r="B78" s="232" t="s">
        <v>371</v>
      </c>
      <c r="C78" s="232" t="s">
        <v>162</v>
      </c>
      <c r="D78" s="233">
        <v>0</v>
      </c>
      <c r="E78" s="232" t="s">
        <v>574</v>
      </c>
      <c r="F78" s="232">
        <v>0</v>
      </c>
      <c r="G78" s="232" t="s">
        <v>666</v>
      </c>
      <c r="H78" s="232" t="s">
        <v>814</v>
      </c>
      <c r="I78" s="232" t="s">
        <v>738</v>
      </c>
      <c r="J78" s="232" t="s">
        <v>829</v>
      </c>
      <c r="K78" s="232">
        <v>0</v>
      </c>
    </row>
    <row r="79" spans="1:11" ht="26" x14ac:dyDescent="0.2">
      <c r="A79" s="232">
        <v>208</v>
      </c>
      <c r="B79" s="232" t="s">
        <v>375</v>
      </c>
      <c r="C79" s="232" t="s">
        <v>2099</v>
      </c>
      <c r="D79" s="233">
        <v>0</v>
      </c>
      <c r="E79" s="232" t="s">
        <v>591</v>
      </c>
      <c r="F79" s="232">
        <v>0</v>
      </c>
      <c r="G79" s="232" t="s">
        <v>648</v>
      </c>
      <c r="H79" s="232" t="s">
        <v>817</v>
      </c>
      <c r="I79" s="232" t="s">
        <v>758</v>
      </c>
      <c r="J79" s="232" t="s">
        <v>881</v>
      </c>
      <c r="K79" s="232">
        <v>11.2</v>
      </c>
    </row>
    <row r="80" spans="1:11" ht="26" x14ac:dyDescent="0.2">
      <c r="A80" s="232">
        <v>211</v>
      </c>
      <c r="B80" s="232" t="s">
        <v>378</v>
      </c>
      <c r="C80" s="232" t="s">
        <v>2100</v>
      </c>
      <c r="D80" s="233">
        <v>0</v>
      </c>
      <c r="E80" s="232" t="s">
        <v>591</v>
      </c>
      <c r="F80" s="232">
        <v>0</v>
      </c>
      <c r="G80" s="232">
        <v>0</v>
      </c>
      <c r="H80" s="232" t="s">
        <v>817</v>
      </c>
      <c r="I80" s="232" t="s">
        <v>758</v>
      </c>
      <c r="J80" s="232" t="s">
        <v>881</v>
      </c>
      <c r="K80" s="232">
        <v>11.2</v>
      </c>
    </row>
    <row r="81" spans="1:11" ht="26" x14ac:dyDescent="0.2">
      <c r="A81" s="232">
        <v>212</v>
      </c>
      <c r="B81" s="232" t="s">
        <v>379</v>
      </c>
      <c r="C81" s="232" t="s">
        <v>2631</v>
      </c>
      <c r="D81" s="233">
        <v>0</v>
      </c>
      <c r="E81" s="232" t="s">
        <v>591</v>
      </c>
      <c r="F81" s="232">
        <v>0</v>
      </c>
      <c r="G81" s="232">
        <v>0</v>
      </c>
      <c r="H81" s="232" t="s">
        <v>817</v>
      </c>
      <c r="I81" s="232">
        <v>0</v>
      </c>
      <c r="J81" s="232" t="s">
        <v>881</v>
      </c>
      <c r="K81" s="232">
        <v>11.2</v>
      </c>
    </row>
    <row r="82" spans="1:11" ht="65" x14ac:dyDescent="0.2">
      <c r="A82" s="232">
        <v>216</v>
      </c>
      <c r="B82" s="232" t="s">
        <v>383</v>
      </c>
      <c r="C82" s="232" t="s">
        <v>530</v>
      </c>
      <c r="D82" s="233">
        <v>0</v>
      </c>
      <c r="E82" s="232" t="s">
        <v>594</v>
      </c>
      <c r="F82" s="232">
        <v>0</v>
      </c>
      <c r="G82" s="232" t="s">
        <v>686</v>
      </c>
      <c r="H82" s="232" t="s">
        <v>817</v>
      </c>
      <c r="I82" s="232" t="s">
        <v>758</v>
      </c>
      <c r="J82" s="232" t="s">
        <v>881</v>
      </c>
      <c r="K82" s="232" t="s">
        <v>2148</v>
      </c>
    </row>
    <row r="83" spans="1:11" ht="39" x14ac:dyDescent="0.2">
      <c r="A83" s="232">
        <v>219</v>
      </c>
      <c r="B83" s="232" t="s">
        <v>386</v>
      </c>
      <c r="C83" s="232" t="s">
        <v>136</v>
      </c>
      <c r="D83" s="233">
        <v>0</v>
      </c>
      <c r="E83" s="232" t="s">
        <v>592</v>
      </c>
      <c r="F83" s="232" t="s">
        <v>604</v>
      </c>
      <c r="G83" s="232" t="s">
        <v>617</v>
      </c>
      <c r="H83" s="232" t="s">
        <v>698</v>
      </c>
      <c r="I83" s="232">
        <v>0</v>
      </c>
      <c r="J83" s="232">
        <v>0</v>
      </c>
      <c r="K83" s="232">
        <v>0</v>
      </c>
    </row>
    <row r="84" spans="1:11" ht="52" x14ac:dyDescent="0.2">
      <c r="A84" s="232">
        <v>220</v>
      </c>
      <c r="B84" s="232" t="s">
        <v>387</v>
      </c>
      <c r="C84" s="232" t="s">
        <v>137</v>
      </c>
      <c r="D84" s="233">
        <v>0</v>
      </c>
      <c r="E84" s="232" t="s">
        <v>569</v>
      </c>
      <c r="F84" s="232">
        <v>0</v>
      </c>
      <c r="G84" s="232" t="s">
        <v>617</v>
      </c>
      <c r="H84" s="232" t="s">
        <v>698</v>
      </c>
      <c r="I84" s="232">
        <v>0</v>
      </c>
      <c r="J84" s="232">
        <v>0</v>
      </c>
      <c r="K84" s="232">
        <v>0</v>
      </c>
    </row>
    <row r="85" spans="1:11" ht="39" x14ac:dyDescent="0.2">
      <c r="A85" s="232">
        <v>222</v>
      </c>
      <c r="B85" s="232" t="s">
        <v>389</v>
      </c>
      <c r="C85" s="232" t="s">
        <v>139</v>
      </c>
      <c r="D85" s="233">
        <v>0</v>
      </c>
      <c r="E85" s="232" t="s">
        <v>588</v>
      </c>
      <c r="F85" s="232" t="s">
        <v>691</v>
      </c>
      <c r="G85" s="232" t="s">
        <v>690</v>
      </c>
      <c r="H85" s="232" t="s">
        <v>698</v>
      </c>
      <c r="I85" s="232" t="s">
        <v>762</v>
      </c>
      <c r="J85" s="232" t="s">
        <v>884</v>
      </c>
      <c r="K85" s="232">
        <v>12.8</v>
      </c>
    </row>
    <row r="86" spans="1:11" ht="26" x14ac:dyDescent="0.2">
      <c r="A86" s="232">
        <v>223</v>
      </c>
      <c r="B86" s="232" t="s">
        <v>390</v>
      </c>
      <c r="C86" s="232" t="s">
        <v>140</v>
      </c>
      <c r="D86" s="233">
        <v>0</v>
      </c>
      <c r="E86" s="232" t="s">
        <v>569</v>
      </c>
      <c r="F86" s="232" t="s">
        <v>600</v>
      </c>
      <c r="G86" s="232">
        <v>0</v>
      </c>
      <c r="H86" s="232" t="s">
        <v>698</v>
      </c>
      <c r="I86" s="232">
        <v>0</v>
      </c>
      <c r="J86" s="232">
        <v>0</v>
      </c>
      <c r="K86" s="232">
        <v>12.2</v>
      </c>
    </row>
    <row r="87" spans="1:11" ht="52" x14ac:dyDescent="0.2">
      <c r="A87" s="232">
        <v>230</v>
      </c>
      <c r="B87" s="232" t="s">
        <v>397</v>
      </c>
      <c r="C87" s="232" t="s">
        <v>61</v>
      </c>
      <c r="D87" s="233">
        <v>0</v>
      </c>
      <c r="E87" s="232" t="s">
        <v>578</v>
      </c>
      <c r="F87" s="232" t="s">
        <v>697</v>
      </c>
      <c r="G87" s="232" t="s">
        <v>634</v>
      </c>
      <c r="H87" s="232" t="s">
        <v>698</v>
      </c>
      <c r="I87" s="232" t="s">
        <v>714</v>
      </c>
      <c r="J87" s="232" t="s">
        <v>839</v>
      </c>
      <c r="K87" s="232" t="s">
        <v>2118</v>
      </c>
    </row>
    <row r="88" spans="1:11" ht="39" x14ac:dyDescent="0.2">
      <c r="A88" s="232">
        <v>250</v>
      </c>
      <c r="B88" s="232" t="s">
        <v>417</v>
      </c>
      <c r="C88" s="232" t="s">
        <v>73</v>
      </c>
      <c r="D88" s="233">
        <v>0</v>
      </c>
      <c r="E88" s="232" t="s">
        <v>571</v>
      </c>
      <c r="F88" s="232">
        <v>0</v>
      </c>
      <c r="G88" s="232" t="s">
        <v>617</v>
      </c>
      <c r="H88" s="232" t="s">
        <v>698</v>
      </c>
      <c r="I88" s="232">
        <v>0</v>
      </c>
      <c r="J88" s="232">
        <v>0</v>
      </c>
      <c r="K88" s="232">
        <v>12.8</v>
      </c>
    </row>
    <row r="89" spans="1:11" ht="26" x14ac:dyDescent="0.2">
      <c r="A89" s="232">
        <v>253</v>
      </c>
      <c r="B89" s="232" t="s">
        <v>420</v>
      </c>
      <c r="C89" s="232" t="s">
        <v>76</v>
      </c>
      <c r="D89" s="233">
        <v>0</v>
      </c>
      <c r="E89" s="232">
        <v>0</v>
      </c>
      <c r="F89" s="232">
        <v>0</v>
      </c>
      <c r="G89" s="232">
        <v>0</v>
      </c>
      <c r="H89" s="232" t="s">
        <v>698</v>
      </c>
      <c r="I89" s="232">
        <v>0</v>
      </c>
      <c r="J89" s="232">
        <v>0</v>
      </c>
      <c r="K89" s="232">
        <v>12.8</v>
      </c>
    </row>
    <row r="90" spans="1:11" ht="26" x14ac:dyDescent="0.2">
      <c r="A90" s="232">
        <v>256</v>
      </c>
      <c r="B90" s="232" t="s">
        <v>423</v>
      </c>
      <c r="C90" s="232" t="s">
        <v>79</v>
      </c>
      <c r="D90" s="233">
        <v>0</v>
      </c>
      <c r="E90" s="232" t="s">
        <v>571</v>
      </c>
      <c r="F90" s="232">
        <v>0</v>
      </c>
      <c r="G90" s="232">
        <v>0</v>
      </c>
      <c r="H90" s="232" t="s">
        <v>698</v>
      </c>
      <c r="I90" s="232">
        <v>0</v>
      </c>
      <c r="J90" s="232">
        <v>0</v>
      </c>
      <c r="K90" s="232">
        <v>12.8</v>
      </c>
    </row>
    <row r="91" spans="1:11" ht="26" x14ac:dyDescent="0.2">
      <c r="A91" s="232">
        <v>263</v>
      </c>
      <c r="B91" s="232" t="s">
        <v>181</v>
      </c>
      <c r="C91" s="232" t="s">
        <v>894</v>
      </c>
      <c r="D91" s="233">
        <v>0</v>
      </c>
      <c r="E91" s="232">
        <v>0</v>
      </c>
      <c r="F91" s="232">
        <v>0</v>
      </c>
      <c r="G91" s="232">
        <v>0</v>
      </c>
      <c r="H91" s="232">
        <v>0</v>
      </c>
      <c r="I91" s="232">
        <v>0</v>
      </c>
      <c r="J91" s="232">
        <v>0</v>
      </c>
      <c r="K91" s="232">
        <v>0</v>
      </c>
    </row>
    <row r="92" spans="1:11" ht="26" x14ac:dyDescent="0.2">
      <c r="A92" s="232">
        <v>264</v>
      </c>
      <c r="B92" s="232" t="s">
        <v>182</v>
      </c>
      <c r="C92" s="232" t="s">
        <v>895</v>
      </c>
      <c r="D92" s="233">
        <v>0</v>
      </c>
      <c r="E92" s="232">
        <v>0</v>
      </c>
      <c r="F92" s="232">
        <v>0</v>
      </c>
      <c r="G92" s="232" t="s">
        <v>619</v>
      </c>
      <c r="H92" s="232">
        <v>0</v>
      </c>
      <c r="I92" s="232">
        <v>0</v>
      </c>
      <c r="J92" s="232">
        <v>0</v>
      </c>
      <c r="K92" s="232" t="s">
        <v>2112</v>
      </c>
    </row>
    <row r="93" spans="1:11" ht="52" x14ac:dyDescent="0.2">
      <c r="A93" s="232">
        <v>266</v>
      </c>
      <c r="B93" s="232" t="s">
        <v>431</v>
      </c>
      <c r="C93" s="232" t="s">
        <v>896</v>
      </c>
      <c r="D93" s="233">
        <v>0</v>
      </c>
      <c r="E93" s="232">
        <v>0</v>
      </c>
      <c r="F93" s="232">
        <v>0</v>
      </c>
      <c r="G93" s="232" t="s">
        <v>619</v>
      </c>
      <c r="H93" s="232">
        <v>0</v>
      </c>
      <c r="I93" s="232">
        <v>0</v>
      </c>
      <c r="J93" s="232">
        <v>0</v>
      </c>
      <c r="K93" s="232">
        <v>12.8</v>
      </c>
    </row>
    <row r="94" spans="1:11" ht="16" x14ac:dyDescent="0.2">
      <c r="A94"/>
      <c r="B94"/>
      <c r="C94"/>
      <c r="D94"/>
      <c r="E94"/>
      <c r="F94"/>
      <c r="G94"/>
      <c r="H94"/>
      <c r="I94"/>
      <c r="J94"/>
      <c r="K94"/>
    </row>
    <row r="95" spans="1:11" ht="16" x14ac:dyDescent="0.2">
      <c r="A95"/>
      <c r="B95"/>
      <c r="C95"/>
      <c r="D95"/>
      <c r="E95"/>
      <c r="F95"/>
      <c r="G95"/>
      <c r="H95"/>
      <c r="I95"/>
      <c r="J95"/>
      <c r="K95"/>
    </row>
    <row r="96" spans="1:11" ht="16" x14ac:dyDescent="0.2">
      <c r="A96"/>
      <c r="B96"/>
      <c r="C96"/>
      <c r="D96"/>
      <c r="E96"/>
      <c r="F96"/>
      <c r="G96"/>
      <c r="H96"/>
      <c r="I96"/>
      <c r="J96"/>
      <c r="K96"/>
    </row>
    <row r="97" spans="1:11" ht="16" x14ac:dyDescent="0.2">
      <c r="A97"/>
      <c r="B97"/>
      <c r="C97"/>
      <c r="D97"/>
      <c r="E97"/>
      <c r="F97"/>
      <c r="G97"/>
      <c r="H97"/>
      <c r="I97"/>
      <c r="J97"/>
      <c r="K97"/>
    </row>
    <row r="98" spans="1:11" ht="16" x14ac:dyDescent="0.2">
      <c r="A98"/>
      <c r="B98"/>
      <c r="C98"/>
      <c r="D98"/>
      <c r="E98"/>
      <c r="F98"/>
      <c r="G98"/>
      <c r="H98"/>
      <c r="I98"/>
      <c r="J98"/>
      <c r="K98"/>
    </row>
    <row r="99" spans="1:11" ht="16" x14ac:dyDescent="0.2">
      <c r="A99"/>
      <c r="B99"/>
      <c r="C99"/>
      <c r="D99"/>
      <c r="E99"/>
      <c r="F99"/>
      <c r="G99"/>
      <c r="H99"/>
      <c r="I99"/>
      <c r="J99"/>
      <c r="K99"/>
    </row>
    <row r="100" spans="1:11" ht="16" x14ac:dyDescent="0.2">
      <c r="A100"/>
      <c r="B100"/>
      <c r="C100"/>
      <c r="D100"/>
      <c r="E100"/>
      <c r="F100"/>
      <c r="G100"/>
      <c r="H100"/>
      <c r="I100"/>
      <c r="J100"/>
      <c r="K100"/>
    </row>
    <row r="101" spans="1:11" ht="16" x14ac:dyDescent="0.2">
      <c r="A101"/>
      <c r="B101"/>
      <c r="C101"/>
      <c r="D101"/>
      <c r="E101"/>
      <c r="F101"/>
      <c r="G101"/>
      <c r="H101"/>
      <c r="I101"/>
      <c r="J101"/>
      <c r="K101"/>
    </row>
    <row r="102" spans="1:11" ht="16" x14ac:dyDescent="0.2">
      <c r="A102"/>
      <c r="B102"/>
      <c r="C102"/>
      <c r="D102"/>
      <c r="E102"/>
      <c r="F102"/>
      <c r="G102"/>
      <c r="H102"/>
      <c r="I102"/>
      <c r="J102"/>
      <c r="K102"/>
    </row>
    <row r="103" spans="1:11" ht="16" x14ac:dyDescent="0.2">
      <c r="A103"/>
      <c r="B103"/>
      <c r="C103"/>
      <c r="D103"/>
      <c r="E103"/>
      <c r="F103"/>
      <c r="G103"/>
      <c r="H103"/>
      <c r="I103"/>
      <c r="J103"/>
      <c r="K103"/>
    </row>
    <row r="104" spans="1:11" ht="16" x14ac:dyDescent="0.2">
      <c r="A104"/>
      <c r="B104"/>
      <c r="C104"/>
      <c r="D104"/>
      <c r="E104"/>
      <c r="F104"/>
      <c r="G104"/>
      <c r="H104"/>
      <c r="I104"/>
      <c r="J104"/>
      <c r="K104"/>
    </row>
    <row r="105" spans="1:11" ht="16" x14ac:dyDescent="0.2">
      <c r="A105"/>
      <c r="B105"/>
      <c r="C105"/>
      <c r="D105"/>
      <c r="E105"/>
      <c r="F105"/>
      <c r="G105"/>
      <c r="H105"/>
      <c r="I105"/>
      <c r="J105"/>
      <c r="K105"/>
    </row>
    <row r="106" spans="1:11" ht="16" x14ac:dyDescent="0.2">
      <c r="A106"/>
      <c r="B106"/>
      <c r="C106"/>
      <c r="D106"/>
      <c r="E106"/>
      <c r="F106"/>
      <c r="G106"/>
      <c r="H106"/>
      <c r="I106"/>
      <c r="J106"/>
      <c r="K106"/>
    </row>
    <row r="107" spans="1:11" ht="16" x14ac:dyDescent="0.2">
      <c r="A107"/>
      <c r="B107"/>
      <c r="C107"/>
      <c r="D107"/>
      <c r="E107"/>
      <c r="F107"/>
      <c r="G107"/>
      <c r="H107"/>
      <c r="I107"/>
      <c r="J107"/>
      <c r="K107"/>
    </row>
    <row r="108" spans="1:11" ht="16" x14ac:dyDescent="0.2">
      <c r="A108"/>
      <c r="B108"/>
      <c r="C108"/>
      <c r="D108"/>
      <c r="E108"/>
      <c r="F108"/>
      <c r="G108"/>
      <c r="H108"/>
      <c r="I108"/>
      <c r="J108"/>
      <c r="K108"/>
    </row>
    <row r="109" spans="1:11" ht="16" x14ac:dyDescent="0.2">
      <c r="A109"/>
      <c r="B109"/>
      <c r="C109"/>
      <c r="D109"/>
      <c r="E109"/>
      <c r="F109"/>
      <c r="G109"/>
      <c r="H109"/>
      <c r="I109"/>
      <c r="J109"/>
      <c r="K109"/>
    </row>
    <row r="110" spans="1:11" ht="16" x14ac:dyDescent="0.2">
      <c r="A110"/>
      <c r="B110"/>
      <c r="C110"/>
      <c r="D110"/>
      <c r="E110"/>
      <c r="F110"/>
      <c r="G110"/>
      <c r="H110"/>
      <c r="I110"/>
      <c r="J110"/>
      <c r="K110"/>
    </row>
    <row r="111" spans="1:11" ht="16" x14ac:dyDescent="0.2">
      <c r="A111"/>
      <c r="B111"/>
      <c r="C111"/>
      <c r="D111"/>
      <c r="E111"/>
      <c r="F111"/>
      <c r="G111"/>
      <c r="H111"/>
      <c r="I111"/>
      <c r="J111"/>
      <c r="K111"/>
    </row>
    <row r="112" spans="1:11" ht="16" x14ac:dyDescent="0.2">
      <c r="A112"/>
      <c r="B112"/>
      <c r="C112"/>
      <c r="D112"/>
      <c r="E112"/>
      <c r="F112"/>
      <c r="G112"/>
      <c r="H112"/>
      <c r="I112"/>
      <c r="J112"/>
      <c r="K112"/>
    </row>
    <row r="113" spans="1:11" ht="16" x14ac:dyDescent="0.2">
      <c r="A113"/>
      <c r="B113"/>
      <c r="C113"/>
      <c r="D113"/>
      <c r="E113"/>
      <c r="F113"/>
      <c r="G113"/>
      <c r="H113"/>
      <c r="I113"/>
      <c r="J113"/>
      <c r="K113"/>
    </row>
    <row r="114" spans="1:11" ht="16" x14ac:dyDescent="0.2">
      <c r="A114"/>
      <c r="B114"/>
      <c r="C114"/>
      <c r="D114"/>
      <c r="E114"/>
      <c r="F114"/>
      <c r="G114"/>
      <c r="H114"/>
      <c r="I114"/>
      <c r="J114"/>
      <c r="K114"/>
    </row>
    <row r="115" spans="1:11" ht="16" x14ac:dyDescent="0.2">
      <c r="A115"/>
      <c r="B115"/>
      <c r="C115"/>
      <c r="D115"/>
      <c r="E115"/>
      <c r="F115"/>
      <c r="G115"/>
      <c r="H115"/>
      <c r="I115"/>
      <c r="J115"/>
      <c r="K115"/>
    </row>
    <row r="116" spans="1:11" ht="16" x14ac:dyDescent="0.2">
      <c r="A116"/>
      <c r="B116"/>
      <c r="C116"/>
      <c r="D116"/>
      <c r="E116"/>
      <c r="F116"/>
      <c r="G116"/>
      <c r="H116"/>
      <c r="I116"/>
      <c r="J116"/>
      <c r="K116"/>
    </row>
    <row r="117" spans="1:11" ht="16" x14ac:dyDescent="0.2">
      <c r="A117"/>
      <c r="B117"/>
      <c r="C117"/>
      <c r="D117"/>
      <c r="E117"/>
      <c r="F117"/>
      <c r="G117"/>
      <c r="H117"/>
      <c r="I117"/>
      <c r="J117"/>
      <c r="K117"/>
    </row>
    <row r="118" spans="1:11" ht="16" x14ac:dyDescent="0.2">
      <c r="A118"/>
      <c r="B118"/>
      <c r="C118"/>
      <c r="D118"/>
      <c r="E118"/>
      <c r="F118"/>
      <c r="G118"/>
      <c r="H118"/>
      <c r="I118"/>
      <c r="J118"/>
      <c r="K118"/>
    </row>
    <row r="119" spans="1:11" ht="16" x14ac:dyDescent="0.2">
      <c r="A119"/>
      <c r="B119"/>
      <c r="C119"/>
      <c r="D119"/>
      <c r="E119"/>
      <c r="F119"/>
      <c r="G119"/>
      <c r="H119"/>
      <c r="I119"/>
      <c r="J119"/>
      <c r="K119"/>
    </row>
    <row r="120" spans="1:11" ht="16" x14ac:dyDescent="0.2">
      <c r="A120"/>
      <c r="B120"/>
      <c r="C120"/>
      <c r="D120"/>
      <c r="E120"/>
      <c r="F120"/>
      <c r="G120"/>
      <c r="H120"/>
      <c r="I120"/>
      <c r="J120"/>
      <c r="K120"/>
    </row>
    <row r="121" spans="1:11" ht="16" x14ac:dyDescent="0.2">
      <c r="A121"/>
      <c r="B121"/>
      <c r="C121"/>
      <c r="D121"/>
      <c r="E121"/>
      <c r="F121"/>
      <c r="G121"/>
      <c r="H121"/>
      <c r="I121"/>
      <c r="J121"/>
      <c r="K121"/>
    </row>
    <row r="122" spans="1:11" ht="16" x14ac:dyDescent="0.2">
      <c r="A122"/>
      <c r="B122"/>
      <c r="C122"/>
      <c r="D122"/>
      <c r="E122"/>
      <c r="F122"/>
      <c r="G122"/>
      <c r="H122"/>
      <c r="I122"/>
      <c r="J122"/>
      <c r="K122"/>
    </row>
    <row r="123" spans="1:11" ht="16" x14ac:dyDescent="0.2">
      <c r="A123"/>
      <c r="B123"/>
      <c r="C123"/>
      <c r="D123"/>
      <c r="E123"/>
      <c r="F123"/>
      <c r="G123"/>
      <c r="H123"/>
      <c r="I123"/>
      <c r="J123"/>
      <c r="K123"/>
    </row>
    <row r="124" spans="1:11" ht="16" x14ac:dyDescent="0.2">
      <c r="A124"/>
      <c r="B124"/>
      <c r="C124"/>
      <c r="D124"/>
      <c r="E124"/>
      <c r="F124"/>
      <c r="G124"/>
      <c r="H124"/>
      <c r="I124"/>
      <c r="J124"/>
      <c r="K124"/>
    </row>
    <row r="125" spans="1:11" ht="16" x14ac:dyDescent="0.2">
      <c r="A125"/>
      <c r="B125"/>
      <c r="C125"/>
      <c r="D125"/>
      <c r="E125"/>
      <c r="F125"/>
      <c r="G125"/>
      <c r="H125"/>
      <c r="I125"/>
      <c r="J125"/>
      <c r="K125"/>
    </row>
    <row r="126" spans="1:11" ht="16" x14ac:dyDescent="0.2">
      <c r="A126"/>
      <c r="B126"/>
      <c r="C126"/>
      <c r="D126"/>
      <c r="E126"/>
      <c r="F126"/>
      <c r="G126"/>
      <c r="H126"/>
      <c r="I126"/>
      <c r="J126"/>
      <c r="K126"/>
    </row>
    <row r="127" spans="1:11" ht="16" x14ac:dyDescent="0.2">
      <c r="A127"/>
      <c r="B127"/>
      <c r="C127"/>
      <c r="D127"/>
      <c r="E127"/>
      <c r="F127"/>
      <c r="G127"/>
      <c r="H127"/>
      <c r="I127"/>
      <c r="J127"/>
      <c r="K127"/>
    </row>
    <row r="128" spans="1:11" ht="16" x14ac:dyDescent="0.2">
      <c r="A128"/>
      <c r="B128"/>
      <c r="C128"/>
      <c r="D128"/>
      <c r="E128"/>
      <c r="F128"/>
      <c r="G128"/>
      <c r="H128"/>
      <c r="I128"/>
      <c r="J128"/>
      <c r="K128"/>
    </row>
    <row r="129" spans="1:11" ht="16" x14ac:dyDescent="0.2">
      <c r="A129"/>
      <c r="B129"/>
      <c r="C129"/>
      <c r="D129"/>
      <c r="E129"/>
      <c r="F129"/>
      <c r="G129"/>
      <c r="H129"/>
      <c r="I129"/>
      <c r="J129"/>
      <c r="K129"/>
    </row>
    <row r="130" spans="1:11" ht="16" x14ac:dyDescent="0.2">
      <c r="A130"/>
      <c r="B130"/>
      <c r="C130"/>
      <c r="D130"/>
      <c r="E130"/>
      <c r="F130"/>
      <c r="G130"/>
      <c r="H130"/>
      <c r="I130"/>
      <c r="J130"/>
      <c r="K130"/>
    </row>
    <row r="131" spans="1:11" ht="16" x14ac:dyDescent="0.2">
      <c r="A131"/>
      <c r="B131"/>
      <c r="C131"/>
      <c r="D131"/>
      <c r="E131"/>
      <c r="F131"/>
      <c r="G131"/>
      <c r="H131"/>
      <c r="I131"/>
      <c r="J131"/>
      <c r="K131"/>
    </row>
    <row r="132" spans="1:11" ht="16" x14ac:dyDescent="0.2">
      <c r="A132"/>
      <c r="B132"/>
      <c r="C132"/>
      <c r="D132"/>
      <c r="E132"/>
      <c r="F132"/>
      <c r="G132"/>
      <c r="H132"/>
      <c r="I132"/>
      <c r="J132"/>
      <c r="K132"/>
    </row>
    <row r="133" spans="1:11" ht="16" x14ac:dyDescent="0.2">
      <c r="A133"/>
      <c r="B133"/>
      <c r="C133"/>
      <c r="D133"/>
      <c r="E133"/>
      <c r="F133"/>
      <c r="G133"/>
      <c r="H133"/>
      <c r="I133"/>
      <c r="J133"/>
      <c r="K133"/>
    </row>
    <row r="134" spans="1:11" ht="16" x14ac:dyDescent="0.2">
      <c r="A134"/>
      <c r="B134"/>
      <c r="C134"/>
      <c r="D134"/>
      <c r="E134"/>
      <c r="F134"/>
      <c r="G134"/>
      <c r="H134"/>
      <c r="I134"/>
      <c r="J134"/>
      <c r="K134"/>
    </row>
    <row r="135" spans="1:11" ht="16" x14ac:dyDescent="0.2">
      <c r="A135"/>
      <c r="B135"/>
      <c r="C135"/>
      <c r="D135"/>
      <c r="E135"/>
      <c r="F135"/>
      <c r="G135"/>
      <c r="H135"/>
      <c r="I135"/>
      <c r="J135"/>
      <c r="K135"/>
    </row>
    <row r="136" spans="1:11" ht="16" x14ac:dyDescent="0.2">
      <c r="A136"/>
      <c r="B136"/>
      <c r="C136"/>
      <c r="D136"/>
      <c r="E136"/>
      <c r="F136"/>
      <c r="G136"/>
      <c r="H136"/>
      <c r="I136"/>
      <c r="J136"/>
      <c r="K136"/>
    </row>
    <row r="137" spans="1:11" ht="16" x14ac:dyDescent="0.2">
      <c r="A137"/>
      <c r="B137"/>
      <c r="C137"/>
      <c r="D137"/>
      <c r="E137"/>
      <c r="F137"/>
      <c r="G137"/>
      <c r="H137"/>
      <c r="I137"/>
      <c r="J137"/>
      <c r="K137"/>
    </row>
    <row r="138" spans="1:11" ht="16" x14ac:dyDescent="0.2">
      <c r="A138"/>
      <c r="B138"/>
      <c r="C138"/>
      <c r="D138"/>
      <c r="E138"/>
      <c r="F138"/>
      <c r="G138"/>
      <c r="H138"/>
      <c r="I138"/>
      <c r="J138"/>
      <c r="K138"/>
    </row>
    <row r="139" spans="1:11" ht="16" x14ac:dyDescent="0.2">
      <c r="A139"/>
      <c r="B139"/>
      <c r="C139"/>
      <c r="D139"/>
      <c r="E139"/>
      <c r="F139"/>
      <c r="G139"/>
      <c r="H139"/>
      <c r="I139"/>
      <c r="J139"/>
      <c r="K139"/>
    </row>
    <row r="140" spans="1:11" ht="16" x14ac:dyDescent="0.2">
      <c r="A140"/>
      <c r="B140"/>
      <c r="C140"/>
      <c r="D140"/>
      <c r="E140"/>
      <c r="F140"/>
      <c r="G140"/>
      <c r="H140"/>
      <c r="I140"/>
      <c r="J140"/>
      <c r="K140"/>
    </row>
    <row r="141" spans="1:11" ht="16" x14ac:dyDescent="0.2">
      <c r="A141"/>
      <c r="B141"/>
      <c r="C141"/>
      <c r="D141"/>
      <c r="E141"/>
      <c r="F141"/>
      <c r="G141"/>
      <c r="H141"/>
      <c r="I141"/>
      <c r="J141"/>
      <c r="K141"/>
    </row>
    <row r="142" spans="1:11" ht="16" x14ac:dyDescent="0.2">
      <c r="A142"/>
      <c r="B142"/>
      <c r="C142"/>
      <c r="D142"/>
      <c r="E142"/>
      <c r="F142"/>
      <c r="G142"/>
      <c r="H142"/>
      <c r="I142"/>
      <c r="J142"/>
      <c r="K142"/>
    </row>
    <row r="143" spans="1:11" ht="16" x14ac:dyDescent="0.2">
      <c r="A143"/>
      <c r="B143"/>
      <c r="C143"/>
      <c r="D143"/>
      <c r="E143"/>
      <c r="F143"/>
      <c r="G143"/>
      <c r="H143"/>
      <c r="I143"/>
      <c r="J143"/>
      <c r="K143"/>
    </row>
    <row r="144" spans="1:11" ht="16" x14ac:dyDescent="0.2">
      <c r="A144"/>
      <c r="B144"/>
      <c r="C144"/>
      <c r="D144"/>
      <c r="E144"/>
      <c r="F144"/>
      <c r="G144"/>
      <c r="H144"/>
      <c r="I144"/>
      <c r="J144"/>
      <c r="K144"/>
    </row>
    <row r="145" spans="1:11" ht="16" x14ac:dyDescent="0.2">
      <c r="A145"/>
      <c r="B145"/>
      <c r="C145"/>
      <c r="D145"/>
      <c r="E145"/>
      <c r="F145"/>
      <c r="G145"/>
      <c r="H145"/>
      <c r="I145"/>
      <c r="J145"/>
      <c r="K145"/>
    </row>
    <row r="146" spans="1:11" ht="16" x14ac:dyDescent="0.2">
      <c r="A146"/>
      <c r="B146"/>
      <c r="C146"/>
      <c r="D146"/>
      <c r="E146"/>
      <c r="F146"/>
      <c r="G146"/>
      <c r="H146"/>
      <c r="I146"/>
      <c r="J146"/>
      <c r="K146"/>
    </row>
    <row r="147" spans="1:11" ht="16" x14ac:dyDescent="0.2">
      <c r="A147"/>
      <c r="B147"/>
      <c r="C147"/>
      <c r="D147"/>
      <c r="E147"/>
      <c r="F147"/>
      <c r="G147"/>
      <c r="H147"/>
      <c r="I147"/>
      <c r="J147"/>
      <c r="K147"/>
    </row>
    <row r="148" spans="1:11" ht="16" x14ac:dyDescent="0.2">
      <c r="A148"/>
      <c r="B148"/>
      <c r="C148"/>
      <c r="D148"/>
      <c r="E148"/>
      <c r="F148"/>
      <c r="G148"/>
      <c r="H148"/>
      <c r="I148"/>
      <c r="J148"/>
      <c r="K148"/>
    </row>
    <row r="149" spans="1:11" ht="16" x14ac:dyDescent="0.2">
      <c r="A149"/>
      <c r="B149"/>
      <c r="C149"/>
      <c r="D149"/>
      <c r="E149"/>
      <c r="F149"/>
      <c r="G149"/>
      <c r="H149"/>
      <c r="I149"/>
      <c r="J149"/>
      <c r="K149"/>
    </row>
    <row r="150" spans="1:11" ht="16" x14ac:dyDescent="0.2">
      <c r="A150"/>
      <c r="B150"/>
      <c r="C150"/>
      <c r="D150"/>
      <c r="E150"/>
      <c r="F150"/>
      <c r="G150"/>
      <c r="H150"/>
      <c r="I150"/>
      <c r="J150"/>
      <c r="K150"/>
    </row>
    <row r="151" spans="1:11" ht="16" x14ac:dyDescent="0.2">
      <c r="A151"/>
      <c r="B151"/>
      <c r="C151"/>
      <c r="D151"/>
      <c r="E151"/>
      <c r="F151"/>
      <c r="G151"/>
      <c r="H151"/>
      <c r="I151"/>
      <c r="J151"/>
      <c r="K151"/>
    </row>
    <row r="152" spans="1:11" ht="16" x14ac:dyDescent="0.2">
      <c r="A152"/>
      <c r="B152"/>
      <c r="C152"/>
      <c r="D152"/>
      <c r="E152"/>
      <c r="F152"/>
      <c r="G152"/>
      <c r="H152"/>
      <c r="I152"/>
      <c r="J152"/>
      <c r="K152"/>
    </row>
    <row r="153" spans="1:11" ht="16" x14ac:dyDescent="0.2">
      <c r="A153"/>
      <c r="B153"/>
      <c r="C153"/>
      <c r="D153"/>
      <c r="E153"/>
      <c r="F153"/>
      <c r="G153"/>
      <c r="H153"/>
      <c r="I153"/>
      <c r="J153"/>
      <c r="K153"/>
    </row>
    <row r="154" spans="1:11" ht="16" x14ac:dyDescent="0.2">
      <c r="A154"/>
      <c r="B154"/>
      <c r="C154"/>
      <c r="D154"/>
      <c r="E154"/>
      <c r="F154"/>
      <c r="G154"/>
      <c r="H154"/>
      <c r="I154"/>
      <c r="J154"/>
      <c r="K154"/>
    </row>
    <row r="155" spans="1:11" ht="16" x14ac:dyDescent="0.2">
      <c r="A155"/>
      <c r="B155"/>
      <c r="C155"/>
      <c r="D155"/>
      <c r="E155"/>
      <c r="F155"/>
      <c r="G155"/>
      <c r="H155"/>
      <c r="I155"/>
      <c r="J155"/>
      <c r="K155"/>
    </row>
    <row r="156" spans="1:11" ht="16" x14ac:dyDescent="0.2">
      <c r="A156"/>
      <c r="B156"/>
      <c r="C156"/>
      <c r="D156"/>
      <c r="E156"/>
      <c r="F156"/>
      <c r="G156"/>
      <c r="H156"/>
      <c r="I156"/>
      <c r="J156"/>
      <c r="K156"/>
    </row>
    <row r="157" spans="1:11" ht="16" x14ac:dyDescent="0.2">
      <c r="A157"/>
      <c r="B157"/>
      <c r="C157"/>
      <c r="D157"/>
      <c r="E157"/>
      <c r="F157"/>
      <c r="G157"/>
      <c r="H157"/>
      <c r="I157"/>
      <c r="J157"/>
      <c r="K157"/>
    </row>
    <row r="158" spans="1:11" ht="16" x14ac:dyDescent="0.2">
      <c r="A158"/>
      <c r="B158"/>
      <c r="C158"/>
      <c r="D158"/>
      <c r="E158"/>
      <c r="F158"/>
      <c r="G158"/>
      <c r="H158"/>
      <c r="I158"/>
      <c r="J158"/>
      <c r="K158"/>
    </row>
    <row r="159" spans="1:11" ht="16" x14ac:dyDescent="0.2">
      <c r="A159"/>
      <c r="B159"/>
      <c r="C159"/>
      <c r="D159"/>
      <c r="E159"/>
      <c r="F159"/>
      <c r="G159"/>
      <c r="H159"/>
      <c r="I159"/>
      <c r="J159"/>
      <c r="K159"/>
    </row>
    <row r="160" spans="1:11" ht="16" x14ac:dyDescent="0.2">
      <c r="A160"/>
      <c r="B160"/>
      <c r="C160"/>
      <c r="D160"/>
      <c r="E160"/>
      <c r="F160"/>
      <c r="G160"/>
      <c r="H160"/>
      <c r="I160"/>
      <c r="J160"/>
      <c r="K160"/>
    </row>
    <row r="161" spans="1:11" ht="16" x14ac:dyDescent="0.2">
      <c r="A161"/>
      <c r="B161"/>
      <c r="C161"/>
      <c r="D161"/>
      <c r="E161"/>
      <c r="F161"/>
      <c r="G161"/>
      <c r="H161"/>
      <c r="I161"/>
      <c r="J161"/>
      <c r="K161"/>
    </row>
    <row r="162" spans="1:11" ht="16" x14ac:dyDescent="0.2">
      <c r="A162"/>
      <c r="B162"/>
      <c r="C162"/>
      <c r="D162"/>
      <c r="E162"/>
      <c r="F162"/>
      <c r="G162"/>
      <c r="H162"/>
      <c r="I162"/>
      <c r="J162"/>
      <c r="K162"/>
    </row>
    <row r="163" spans="1:11" ht="16" x14ac:dyDescent="0.2">
      <c r="A163"/>
      <c r="B163"/>
      <c r="C163"/>
      <c r="D163"/>
      <c r="E163"/>
      <c r="F163"/>
      <c r="G163"/>
      <c r="H163"/>
      <c r="I163"/>
      <c r="J163"/>
      <c r="K163"/>
    </row>
    <row r="164" spans="1:11" ht="16" x14ac:dyDescent="0.2">
      <c r="A164"/>
      <c r="B164"/>
      <c r="C164"/>
      <c r="D164"/>
      <c r="E164"/>
      <c r="F164"/>
      <c r="G164"/>
      <c r="H164"/>
      <c r="I164"/>
      <c r="J164"/>
      <c r="K164"/>
    </row>
    <row r="165" spans="1:11" ht="16" x14ac:dyDescent="0.2">
      <c r="A165"/>
      <c r="B165"/>
      <c r="C165"/>
      <c r="D165"/>
      <c r="E165"/>
      <c r="F165"/>
      <c r="G165"/>
      <c r="H165"/>
      <c r="I165"/>
      <c r="J165"/>
      <c r="K165"/>
    </row>
    <row r="166" spans="1:11" ht="16" x14ac:dyDescent="0.2">
      <c r="A166"/>
      <c r="B166"/>
      <c r="C166"/>
      <c r="D166"/>
      <c r="E166"/>
      <c r="F166"/>
      <c r="G166"/>
      <c r="H166"/>
      <c r="I166"/>
      <c r="J166"/>
      <c r="K166"/>
    </row>
    <row r="167" spans="1:11" ht="16" x14ac:dyDescent="0.2">
      <c r="A167"/>
      <c r="B167"/>
      <c r="C167"/>
      <c r="D167"/>
      <c r="E167"/>
      <c r="F167"/>
      <c r="G167"/>
      <c r="H167"/>
      <c r="I167"/>
      <c r="J167"/>
      <c r="K167"/>
    </row>
    <row r="168" spans="1:11" ht="16" x14ac:dyDescent="0.2">
      <c r="A168"/>
      <c r="B168"/>
      <c r="C168"/>
      <c r="D168"/>
      <c r="E168"/>
      <c r="F168"/>
      <c r="G168"/>
      <c r="H168"/>
      <c r="I168"/>
      <c r="J168"/>
      <c r="K168"/>
    </row>
    <row r="169" spans="1:11" ht="16" x14ac:dyDescent="0.2">
      <c r="A169"/>
      <c r="B169"/>
      <c r="C169"/>
      <c r="D169"/>
      <c r="E169"/>
      <c r="F169"/>
      <c r="G169"/>
      <c r="H169"/>
      <c r="I169"/>
      <c r="J169"/>
      <c r="K169"/>
    </row>
    <row r="170" spans="1:11" ht="16" x14ac:dyDescent="0.2">
      <c r="A170"/>
      <c r="B170"/>
      <c r="C170"/>
      <c r="D170"/>
      <c r="E170"/>
      <c r="F170"/>
      <c r="G170"/>
      <c r="H170"/>
      <c r="I170"/>
      <c r="J170"/>
      <c r="K170"/>
    </row>
    <row r="171" spans="1:11" ht="16" x14ac:dyDescent="0.2">
      <c r="A171"/>
      <c r="B171"/>
      <c r="C171"/>
      <c r="D171"/>
      <c r="E171"/>
      <c r="F171"/>
      <c r="G171"/>
      <c r="H171"/>
      <c r="I171"/>
      <c r="J171"/>
      <c r="K171"/>
    </row>
    <row r="172" spans="1:11" ht="16" x14ac:dyDescent="0.2">
      <c r="A172"/>
      <c r="B172"/>
      <c r="C172"/>
      <c r="D172"/>
      <c r="E172"/>
      <c r="F172"/>
      <c r="G172"/>
      <c r="H172"/>
      <c r="I172"/>
      <c r="J172"/>
      <c r="K172"/>
    </row>
    <row r="173" spans="1:11" ht="16" x14ac:dyDescent="0.2">
      <c r="A173"/>
      <c r="B173"/>
      <c r="C173"/>
      <c r="D173"/>
      <c r="E173"/>
      <c r="F173"/>
      <c r="G173"/>
      <c r="H173"/>
      <c r="I173"/>
      <c r="J173"/>
      <c r="K173"/>
    </row>
    <row r="174" spans="1:11" ht="16" x14ac:dyDescent="0.2">
      <c r="A174"/>
      <c r="B174"/>
      <c r="C174"/>
      <c r="D174"/>
      <c r="E174"/>
      <c r="F174"/>
      <c r="G174"/>
      <c r="H174"/>
      <c r="I174"/>
      <c r="J174"/>
      <c r="K174"/>
    </row>
    <row r="175" spans="1:11" ht="16" x14ac:dyDescent="0.2">
      <c r="A175"/>
      <c r="B175"/>
      <c r="C175"/>
      <c r="D175"/>
      <c r="E175"/>
      <c r="F175"/>
      <c r="G175"/>
      <c r="H175"/>
      <c r="I175"/>
      <c r="J175"/>
      <c r="K175"/>
    </row>
    <row r="176" spans="1:11" ht="16" x14ac:dyDescent="0.2">
      <c r="A176"/>
      <c r="B176"/>
      <c r="C176"/>
      <c r="D176"/>
      <c r="E176"/>
      <c r="F176"/>
      <c r="G176"/>
      <c r="H176"/>
      <c r="I176"/>
      <c r="J176"/>
      <c r="K176"/>
    </row>
    <row r="177" spans="1:11" ht="16" x14ac:dyDescent="0.2">
      <c r="A177"/>
      <c r="B177"/>
      <c r="C177"/>
      <c r="D177"/>
      <c r="E177"/>
      <c r="F177"/>
      <c r="G177"/>
      <c r="H177"/>
      <c r="I177"/>
      <c r="J177"/>
      <c r="K177"/>
    </row>
    <row r="178" spans="1:11" ht="16" x14ac:dyDescent="0.2">
      <c r="A178"/>
      <c r="B178"/>
      <c r="C178"/>
      <c r="D178"/>
      <c r="E178"/>
      <c r="F178"/>
      <c r="G178"/>
      <c r="H178"/>
      <c r="I178"/>
      <c r="J178"/>
      <c r="K178"/>
    </row>
    <row r="179" spans="1:11" ht="16" x14ac:dyDescent="0.2">
      <c r="A179"/>
      <c r="B179"/>
      <c r="C179"/>
      <c r="D179"/>
      <c r="E179"/>
      <c r="F179"/>
      <c r="G179"/>
      <c r="H179"/>
      <c r="I179"/>
      <c r="J179"/>
      <c r="K179"/>
    </row>
    <row r="180" spans="1:11" ht="16" x14ac:dyDescent="0.2">
      <c r="A180"/>
      <c r="B180"/>
      <c r="C180"/>
      <c r="D180"/>
      <c r="E180"/>
      <c r="F180"/>
      <c r="G180"/>
      <c r="H180"/>
      <c r="I180"/>
      <c r="J180"/>
      <c r="K180"/>
    </row>
    <row r="181" spans="1:11" ht="16" x14ac:dyDescent="0.2">
      <c r="A181"/>
      <c r="B181"/>
      <c r="C181"/>
      <c r="D181"/>
      <c r="E181"/>
      <c r="F181"/>
      <c r="G181"/>
      <c r="H181"/>
      <c r="I181"/>
      <c r="J181"/>
      <c r="K181"/>
    </row>
    <row r="182" spans="1:11" ht="16" x14ac:dyDescent="0.2">
      <c r="A182"/>
      <c r="B182"/>
      <c r="C182"/>
      <c r="D182"/>
      <c r="E182"/>
      <c r="F182"/>
      <c r="G182"/>
      <c r="H182"/>
      <c r="I182"/>
      <c r="J182"/>
      <c r="K182"/>
    </row>
    <row r="183" spans="1:11" ht="16" x14ac:dyDescent="0.2">
      <c r="A183"/>
      <c r="B183"/>
      <c r="C183"/>
      <c r="D183"/>
      <c r="E183"/>
      <c r="F183"/>
      <c r="G183"/>
      <c r="H183"/>
      <c r="I183"/>
      <c r="J183"/>
      <c r="K183"/>
    </row>
    <row r="184" spans="1:11" ht="16" x14ac:dyDescent="0.2">
      <c r="A184"/>
      <c r="B184"/>
      <c r="C184"/>
      <c r="D184"/>
      <c r="E184"/>
      <c r="F184"/>
      <c r="G184"/>
      <c r="H184"/>
      <c r="I184"/>
      <c r="J184"/>
      <c r="K184"/>
    </row>
    <row r="185" spans="1:11" ht="16" x14ac:dyDescent="0.2">
      <c r="A185"/>
      <c r="B185"/>
      <c r="C185"/>
      <c r="D185"/>
      <c r="E185"/>
      <c r="F185"/>
      <c r="G185"/>
      <c r="H185"/>
      <c r="I185"/>
      <c r="J185"/>
      <c r="K185"/>
    </row>
    <row r="186" spans="1:11" ht="16" x14ac:dyDescent="0.2">
      <c r="A186"/>
      <c r="B186"/>
      <c r="C186"/>
      <c r="D186"/>
      <c r="E186"/>
      <c r="F186"/>
      <c r="G186"/>
      <c r="H186"/>
      <c r="I186"/>
      <c r="J186"/>
      <c r="K186"/>
    </row>
    <row r="187" spans="1:11" ht="16" x14ac:dyDescent="0.2">
      <c r="A187"/>
      <c r="B187"/>
      <c r="C187"/>
      <c r="D187"/>
      <c r="E187"/>
      <c r="F187"/>
      <c r="G187"/>
      <c r="H187"/>
      <c r="I187"/>
      <c r="J187"/>
      <c r="K187"/>
    </row>
    <row r="188" spans="1:11" ht="16" x14ac:dyDescent="0.2">
      <c r="A188"/>
      <c r="B188"/>
      <c r="C188"/>
      <c r="D188"/>
      <c r="E188"/>
      <c r="F188"/>
      <c r="G188"/>
      <c r="H188"/>
      <c r="I188"/>
      <c r="J188"/>
      <c r="K188"/>
    </row>
    <row r="189" spans="1:11" ht="16" x14ac:dyDescent="0.2">
      <c r="A189"/>
      <c r="B189"/>
      <c r="C189"/>
      <c r="D189"/>
      <c r="E189"/>
      <c r="F189"/>
      <c r="G189"/>
      <c r="H189"/>
      <c r="I189"/>
      <c r="J189"/>
      <c r="K189"/>
    </row>
    <row r="190" spans="1:11" ht="16" x14ac:dyDescent="0.2">
      <c r="A190"/>
      <c r="B190"/>
      <c r="C190"/>
      <c r="D190"/>
      <c r="E190"/>
      <c r="F190"/>
      <c r="G190"/>
      <c r="H190"/>
      <c r="I190"/>
      <c r="J190"/>
      <c r="K190"/>
    </row>
    <row r="191" spans="1:11" ht="16" x14ac:dyDescent="0.2">
      <c r="A191"/>
      <c r="B191"/>
      <c r="C191"/>
      <c r="D191"/>
      <c r="E191"/>
      <c r="F191"/>
      <c r="G191"/>
      <c r="H191"/>
      <c r="I191"/>
      <c r="J191"/>
      <c r="K191"/>
    </row>
    <row r="192" spans="1:11" ht="16" x14ac:dyDescent="0.2">
      <c r="A192"/>
      <c r="B192"/>
      <c r="C192"/>
      <c r="D192"/>
      <c r="E192"/>
      <c r="F192"/>
      <c r="G192"/>
      <c r="H192"/>
      <c r="I192"/>
      <c r="J192"/>
      <c r="K192"/>
    </row>
    <row r="193" spans="1:11" ht="16" x14ac:dyDescent="0.2">
      <c r="A193"/>
      <c r="B193"/>
      <c r="C193"/>
      <c r="D193"/>
      <c r="E193"/>
      <c r="F193"/>
      <c r="G193"/>
      <c r="H193"/>
      <c r="I193"/>
      <c r="J193"/>
      <c r="K193"/>
    </row>
    <row r="194" spans="1:11" ht="16" x14ac:dyDescent="0.2">
      <c r="A194"/>
      <c r="B194"/>
      <c r="C194"/>
      <c r="D194"/>
      <c r="E194"/>
      <c r="F194"/>
      <c r="G194"/>
      <c r="H194"/>
      <c r="I194"/>
      <c r="J194"/>
      <c r="K194"/>
    </row>
    <row r="195" spans="1:11" ht="16" x14ac:dyDescent="0.2">
      <c r="A195"/>
      <c r="B195"/>
      <c r="C195"/>
      <c r="D195"/>
      <c r="E195"/>
      <c r="F195"/>
      <c r="G195"/>
      <c r="H195"/>
      <c r="I195"/>
      <c r="J195"/>
      <c r="K195"/>
    </row>
    <row r="196" spans="1:11" ht="16" x14ac:dyDescent="0.2">
      <c r="A196"/>
      <c r="B196"/>
      <c r="C196"/>
      <c r="D196"/>
      <c r="E196"/>
      <c r="F196"/>
      <c r="G196"/>
      <c r="H196"/>
      <c r="I196"/>
      <c r="J196"/>
      <c r="K196"/>
    </row>
    <row r="197" spans="1:11" ht="16" x14ac:dyDescent="0.2">
      <c r="A197"/>
      <c r="B197"/>
      <c r="C197"/>
      <c r="D197"/>
      <c r="E197"/>
      <c r="F197"/>
      <c r="G197"/>
      <c r="H197"/>
      <c r="I197"/>
      <c r="J197"/>
      <c r="K197"/>
    </row>
    <row r="198" spans="1:11" ht="16" x14ac:dyDescent="0.2">
      <c r="A198"/>
      <c r="B198"/>
      <c r="C198"/>
      <c r="D198"/>
      <c r="E198"/>
      <c r="F198"/>
      <c r="G198"/>
      <c r="H198"/>
      <c r="I198"/>
      <c r="J198"/>
      <c r="K198"/>
    </row>
    <row r="199" spans="1:11" ht="16" x14ac:dyDescent="0.2">
      <c r="A199"/>
      <c r="B199"/>
      <c r="C199"/>
      <c r="D199"/>
      <c r="E199"/>
      <c r="F199"/>
      <c r="G199"/>
      <c r="H199"/>
      <c r="I199"/>
      <c r="J199"/>
      <c r="K199"/>
    </row>
    <row r="200" spans="1:11" ht="16" x14ac:dyDescent="0.2">
      <c r="A200"/>
      <c r="B200"/>
      <c r="C200"/>
      <c r="D200"/>
      <c r="E200"/>
      <c r="F200"/>
      <c r="G200"/>
      <c r="H200"/>
      <c r="I200"/>
      <c r="J200"/>
      <c r="K200"/>
    </row>
    <row r="201" spans="1:11" ht="16" x14ac:dyDescent="0.2">
      <c r="A201"/>
      <c r="B201"/>
      <c r="C201"/>
      <c r="D201"/>
      <c r="E201"/>
      <c r="F201"/>
      <c r="G201"/>
      <c r="H201"/>
      <c r="I201"/>
      <c r="J201"/>
      <c r="K201"/>
    </row>
    <row r="202" spans="1:11" ht="16" x14ac:dyDescent="0.2">
      <c r="A202"/>
      <c r="B202"/>
      <c r="C202"/>
      <c r="D202"/>
      <c r="E202"/>
      <c r="F202"/>
      <c r="G202"/>
      <c r="H202"/>
      <c r="I202"/>
      <c r="J202"/>
      <c r="K202"/>
    </row>
    <row r="203" spans="1:11" ht="16" x14ac:dyDescent="0.2">
      <c r="A203"/>
      <c r="B203"/>
      <c r="C203"/>
      <c r="D203"/>
      <c r="E203"/>
      <c r="F203"/>
      <c r="G203"/>
      <c r="H203"/>
      <c r="I203"/>
      <c r="J203"/>
      <c r="K203"/>
    </row>
    <row r="204" spans="1:11" ht="16" x14ac:dyDescent="0.2">
      <c r="A204"/>
      <c r="B204"/>
      <c r="C204"/>
      <c r="D204"/>
      <c r="E204"/>
      <c r="F204"/>
      <c r="G204"/>
      <c r="H204"/>
      <c r="I204"/>
      <c r="J204"/>
      <c r="K204"/>
    </row>
    <row r="205" spans="1:11" ht="16" x14ac:dyDescent="0.2">
      <c r="A205"/>
      <c r="B205"/>
      <c r="C205"/>
      <c r="D205"/>
      <c r="E205"/>
      <c r="F205"/>
      <c r="G205"/>
      <c r="H205"/>
      <c r="I205"/>
      <c r="J205"/>
      <c r="K205"/>
    </row>
    <row r="206" spans="1:11" ht="16" x14ac:dyDescent="0.2">
      <c r="A206"/>
      <c r="B206"/>
      <c r="C206"/>
      <c r="D206"/>
      <c r="E206"/>
      <c r="F206"/>
      <c r="G206"/>
      <c r="H206"/>
      <c r="I206"/>
      <c r="J206"/>
      <c r="K206"/>
    </row>
    <row r="207" spans="1:11" ht="16" x14ac:dyDescent="0.2">
      <c r="A207"/>
      <c r="B207"/>
      <c r="C207"/>
      <c r="D207"/>
      <c r="E207"/>
      <c r="F207"/>
      <c r="G207"/>
      <c r="H207"/>
      <c r="I207"/>
      <c r="J207"/>
      <c r="K207"/>
    </row>
    <row r="208" spans="1:11" ht="16" x14ac:dyDescent="0.2">
      <c r="A208"/>
      <c r="B208"/>
      <c r="C208"/>
      <c r="D208"/>
      <c r="E208"/>
      <c r="F208"/>
      <c r="G208"/>
      <c r="H208"/>
      <c r="I208"/>
      <c r="J208"/>
      <c r="K208"/>
    </row>
    <row r="209" spans="1:11" ht="16" x14ac:dyDescent="0.2">
      <c r="A209"/>
      <c r="B209"/>
      <c r="C209"/>
      <c r="D209"/>
      <c r="E209"/>
      <c r="F209"/>
      <c r="G209"/>
      <c r="H209"/>
      <c r="I209"/>
      <c r="J209"/>
      <c r="K209"/>
    </row>
    <row r="210" spans="1:11" ht="16" x14ac:dyDescent="0.2">
      <c r="A210"/>
      <c r="B210"/>
      <c r="C210"/>
      <c r="D210"/>
      <c r="E210"/>
      <c r="F210"/>
      <c r="G210"/>
      <c r="H210"/>
      <c r="I210"/>
      <c r="J210"/>
      <c r="K210"/>
    </row>
    <row r="211" spans="1:11" ht="16" x14ac:dyDescent="0.2">
      <c r="A211"/>
      <c r="B211"/>
      <c r="C211"/>
      <c r="D211"/>
      <c r="E211"/>
      <c r="F211"/>
      <c r="G211"/>
      <c r="H211"/>
      <c r="I211"/>
      <c r="J211"/>
      <c r="K211"/>
    </row>
    <row r="212" spans="1:11" ht="16" x14ac:dyDescent="0.2">
      <c r="A212"/>
      <c r="B212"/>
      <c r="C212"/>
      <c r="D212"/>
      <c r="E212"/>
      <c r="F212"/>
      <c r="G212"/>
      <c r="H212"/>
      <c r="I212"/>
      <c r="J212"/>
      <c r="K212"/>
    </row>
    <row r="213" spans="1:11" ht="16" x14ac:dyDescent="0.2">
      <c r="A213"/>
      <c r="B213"/>
      <c r="C213"/>
      <c r="D213"/>
      <c r="E213"/>
      <c r="F213"/>
      <c r="G213"/>
      <c r="H213"/>
      <c r="I213"/>
      <c r="J213"/>
      <c r="K213"/>
    </row>
    <row r="214" spans="1:11" ht="16" x14ac:dyDescent="0.2">
      <c r="A214"/>
      <c r="B214"/>
      <c r="C214"/>
      <c r="D214"/>
      <c r="E214"/>
      <c r="F214"/>
      <c r="G214"/>
      <c r="H214"/>
      <c r="I214"/>
      <c r="J214"/>
      <c r="K214"/>
    </row>
    <row r="215" spans="1:11" ht="16" x14ac:dyDescent="0.2">
      <c r="A215"/>
      <c r="B215"/>
      <c r="C215"/>
      <c r="D215"/>
      <c r="E215"/>
      <c r="F215"/>
      <c r="G215"/>
      <c r="H215"/>
      <c r="I215"/>
      <c r="J215"/>
      <c r="K215"/>
    </row>
    <row r="216" spans="1:11" ht="16" x14ac:dyDescent="0.2">
      <c r="A216"/>
      <c r="B216"/>
      <c r="C216"/>
      <c r="D216"/>
      <c r="E216"/>
      <c r="F216"/>
      <c r="G216"/>
      <c r="H216"/>
      <c r="I216"/>
      <c r="J216"/>
      <c r="K216"/>
    </row>
    <row r="217" spans="1:11" ht="16" x14ac:dyDescent="0.2">
      <c r="A217"/>
      <c r="B217"/>
      <c r="C217"/>
      <c r="D217"/>
      <c r="E217"/>
      <c r="F217"/>
      <c r="G217"/>
      <c r="H217"/>
      <c r="I217"/>
      <c r="J217"/>
      <c r="K217"/>
    </row>
    <row r="218" spans="1:11" ht="16" x14ac:dyDescent="0.2">
      <c r="A218"/>
      <c r="B218"/>
      <c r="C218"/>
      <c r="D218"/>
      <c r="E218"/>
      <c r="F218"/>
      <c r="G218"/>
      <c r="H218"/>
      <c r="I218"/>
      <c r="J218"/>
      <c r="K218"/>
    </row>
    <row r="219" spans="1:11" ht="16" x14ac:dyDescent="0.2">
      <c r="A219"/>
      <c r="B219"/>
      <c r="C219"/>
      <c r="D219"/>
      <c r="E219"/>
      <c r="F219"/>
      <c r="G219"/>
      <c r="H219"/>
      <c r="I219"/>
      <c r="J219"/>
      <c r="K219"/>
    </row>
    <row r="220" spans="1:11" ht="16" x14ac:dyDescent="0.2">
      <c r="A220"/>
      <c r="B220"/>
      <c r="C220"/>
      <c r="D220"/>
      <c r="E220"/>
      <c r="F220"/>
      <c r="G220"/>
      <c r="H220"/>
      <c r="I220"/>
      <c r="J220"/>
      <c r="K220"/>
    </row>
    <row r="221" spans="1:11" ht="16" x14ac:dyDescent="0.2">
      <c r="A221"/>
      <c r="B221"/>
      <c r="C221"/>
      <c r="D221"/>
      <c r="E221"/>
      <c r="F221"/>
      <c r="G221"/>
      <c r="H221"/>
      <c r="I221"/>
      <c r="J221"/>
      <c r="K221"/>
    </row>
    <row r="222" spans="1:11" ht="16" x14ac:dyDescent="0.2">
      <c r="A222"/>
      <c r="B222"/>
      <c r="C222"/>
      <c r="D222"/>
      <c r="E222"/>
      <c r="F222"/>
      <c r="G222"/>
      <c r="H222"/>
      <c r="I222"/>
      <c r="J222"/>
      <c r="K222"/>
    </row>
    <row r="223" spans="1:11" ht="16" x14ac:dyDescent="0.2">
      <c r="A223"/>
      <c r="B223"/>
      <c r="C223"/>
      <c r="D223"/>
      <c r="E223"/>
      <c r="F223"/>
      <c r="G223"/>
      <c r="H223"/>
      <c r="I223"/>
      <c r="J223"/>
      <c r="K223"/>
    </row>
    <row r="224" spans="1:11" ht="16" x14ac:dyDescent="0.2">
      <c r="A224"/>
      <c r="B224"/>
      <c r="C224"/>
      <c r="D224"/>
      <c r="E224"/>
      <c r="F224"/>
      <c r="G224"/>
      <c r="H224"/>
      <c r="I224"/>
      <c r="J224"/>
      <c r="K224"/>
    </row>
    <row r="225" spans="1:11" ht="16" x14ac:dyDescent="0.2">
      <c r="A225"/>
      <c r="B225"/>
      <c r="C225"/>
      <c r="D225"/>
      <c r="E225"/>
      <c r="F225"/>
      <c r="G225"/>
      <c r="H225"/>
      <c r="I225"/>
      <c r="J225"/>
      <c r="K225"/>
    </row>
    <row r="226" spans="1:11" ht="16" x14ac:dyDescent="0.2">
      <c r="A226"/>
      <c r="B226"/>
      <c r="C226"/>
      <c r="D226"/>
      <c r="E226"/>
      <c r="F226"/>
      <c r="G226"/>
      <c r="H226"/>
      <c r="I226"/>
      <c r="J226"/>
      <c r="K226"/>
    </row>
    <row r="227" spans="1:11" ht="16" x14ac:dyDescent="0.2">
      <c r="A227"/>
      <c r="B227"/>
      <c r="C227"/>
      <c r="D227"/>
      <c r="E227"/>
      <c r="F227"/>
      <c r="G227"/>
      <c r="H227"/>
      <c r="I227"/>
      <c r="J227"/>
      <c r="K227"/>
    </row>
    <row r="228" spans="1:11" ht="16" x14ac:dyDescent="0.2">
      <c r="A228"/>
      <c r="B228"/>
      <c r="C228"/>
      <c r="D228"/>
      <c r="E228"/>
      <c r="F228"/>
      <c r="G228"/>
      <c r="H228"/>
      <c r="I228"/>
      <c r="J228"/>
      <c r="K228"/>
    </row>
    <row r="229" spans="1:11" ht="16" x14ac:dyDescent="0.2">
      <c r="A229"/>
      <c r="B229"/>
      <c r="C229"/>
      <c r="D229"/>
      <c r="E229"/>
      <c r="F229"/>
      <c r="G229"/>
      <c r="H229"/>
      <c r="I229"/>
      <c r="J229"/>
      <c r="K229"/>
    </row>
    <row r="230" spans="1:11" ht="16" x14ac:dyDescent="0.2">
      <c r="A230"/>
      <c r="B230"/>
      <c r="C230"/>
      <c r="D230"/>
      <c r="E230"/>
      <c r="F230"/>
      <c r="G230"/>
      <c r="H230"/>
      <c r="I230"/>
      <c r="J230"/>
      <c r="K230"/>
    </row>
    <row r="231" spans="1:11" ht="16" x14ac:dyDescent="0.2">
      <c r="A231"/>
      <c r="B231"/>
      <c r="C231"/>
      <c r="D231"/>
      <c r="E231"/>
      <c r="F231"/>
      <c r="G231"/>
      <c r="H231"/>
      <c r="I231"/>
      <c r="J231"/>
      <c r="K231"/>
    </row>
    <row r="232" spans="1:11" ht="16" x14ac:dyDescent="0.2">
      <c r="A232"/>
      <c r="B232"/>
      <c r="C232"/>
      <c r="D232"/>
      <c r="E232"/>
      <c r="F232"/>
      <c r="G232"/>
      <c r="H232"/>
      <c r="I232"/>
      <c r="J232"/>
      <c r="K232"/>
    </row>
    <row r="233" spans="1:11" ht="16" x14ac:dyDescent="0.2">
      <c r="A233"/>
      <c r="B233"/>
      <c r="C233"/>
      <c r="D233"/>
      <c r="E233"/>
      <c r="F233"/>
      <c r="G233"/>
      <c r="H233"/>
      <c r="I233"/>
      <c r="J233"/>
      <c r="K233"/>
    </row>
    <row r="234" spans="1:11" ht="16" x14ac:dyDescent="0.2">
      <c r="A234"/>
      <c r="B234"/>
      <c r="C234"/>
      <c r="D234"/>
      <c r="E234"/>
      <c r="F234"/>
      <c r="G234"/>
      <c r="H234"/>
      <c r="I234"/>
      <c r="J234"/>
      <c r="K234"/>
    </row>
    <row r="235" spans="1:11" ht="16" x14ac:dyDescent="0.2">
      <c r="A235"/>
      <c r="B235"/>
      <c r="C235"/>
      <c r="D235"/>
      <c r="E235"/>
      <c r="F235"/>
      <c r="G235"/>
      <c r="H235"/>
      <c r="I235"/>
      <c r="J235"/>
      <c r="K235"/>
    </row>
    <row r="236" spans="1:11" ht="16" x14ac:dyDescent="0.2">
      <c r="A236"/>
      <c r="B236"/>
      <c r="C236"/>
      <c r="D236"/>
      <c r="E236"/>
      <c r="F236"/>
      <c r="G236"/>
      <c r="H236"/>
      <c r="I236"/>
      <c r="J236"/>
      <c r="K236"/>
    </row>
    <row r="237" spans="1:11" ht="16" x14ac:dyDescent="0.2">
      <c r="A237"/>
      <c r="B237"/>
      <c r="C237"/>
      <c r="D237"/>
      <c r="E237"/>
      <c r="F237"/>
      <c r="G237"/>
      <c r="H237"/>
      <c r="I237"/>
      <c r="J237"/>
      <c r="K237"/>
    </row>
    <row r="238" spans="1:11" ht="16" x14ac:dyDescent="0.2">
      <c r="A238"/>
      <c r="B238"/>
      <c r="C238"/>
      <c r="D238"/>
      <c r="E238"/>
      <c r="F238"/>
      <c r="G238"/>
      <c r="H238"/>
      <c r="I238"/>
      <c r="J238"/>
      <c r="K238"/>
    </row>
    <row r="239" spans="1:11" ht="16" x14ac:dyDescent="0.2">
      <c r="A239"/>
      <c r="B239"/>
      <c r="C239"/>
      <c r="D239"/>
      <c r="E239"/>
      <c r="F239"/>
      <c r="G239"/>
      <c r="H239"/>
      <c r="I239"/>
      <c r="J239"/>
      <c r="K239"/>
    </row>
    <row r="240" spans="1:11" ht="16" x14ac:dyDescent="0.2">
      <c r="A240"/>
      <c r="B240"/>
      <c r="C240"/>
      <c r="D240"/>
      <c r="E240"/>
      <c r="F240"/>
      <c r="G240"/>
      <c r="H240"/>
      <c r="I240"/>
      <c r="J240"/>
      <c r="K240"/>
    </row>
    <row r="241" spans="1:11" ht="16" x14ac:dyDescent="0.2">
      <c r="A241"/>
      <c r="B241"/>
      <c r="C241"/>
      <c r="D241"/>
      <c r="E241"/>
      <c r="F241"/>
      <c r="G241"/>
      <c r="H241"/>
      <c r="I241"/>
      <c r="J241"/>
      <c r="K241"/>
    </row>
    <row r="242" spans="1:11" ht="16" x14ac:dyDescent="0.2">
      <c r="A242"/>
      <c r="B242"/>
      <c r="C242"/>
      <c r="D242"/>
      <c r="E242"/>
      <c r="F242"/>
      <c r="G242"/>
      <c r="H242"/>
      <c r="I242"/>
      <c r="J242"/>
      <c r="K242"/>
    </row>
    <row r="243" spans="1:11" ht="16" x14ac:dyDescent="0.2">
      <c r="A243"/>
      <c r="B243"/>
      <c r="C243"/>
      <c r="D243"/>
      <c r="E243"/>
      <c r="F243"/>
      <c r="G243"/>
      <c r="H243"/>
      <c r="I243"/>
      <c r="J243"/>
      <c r="K243"/>
    </row>
    <row r="244" spans="1:11" ht="16" x14ac:dyDescent="0.2">
      <c r="A244"/>
      <c r="B244"/>
      <c r="C244"/>
      <c r="D244"/>
      <c r="E244"/>
      <c r="F244"/>
      <c r="G244"/>
      <c r="H244"/>
      <c r="I244"/>
      <c r="J244"/>
      <c r="K244"/>
    </row>
    <row r="245" spans="1:11" ht="16" x14ac:dyDescent="0.2">
      <c r="A245"/>
      <c r="B245"/>
      <c r="C245"/>
      <c r="D245"/>
      <c r="E245"/>
      <c r="F245"/>
      <c r="G245"/>
      <c r="H245"/>
      <c r="I245"/>
      <c r="J245"/>
      <c r="K245"/>
    </row>
    <row r="246" spans="1:11" ht="16" x14ac:dyDescent="0.2">
      <c r="A246"/>
      <c r="B246"/>
      <c r="C246"/>
      <c r="D246"/>
      <c r="E246"/>
      <c r="F246"/>
      <c r="G246"/>
      <c r="H246"/>
      <c r="I246"/>
      <c r="J246"/>
      <c r="K246"/>
    </row>
    <row r="247" spans="1:11" ht="16" x14ac:dyDescent="0.2">
      <c r="A247"/>
      <c r="B247"/>
      <c r="C247"/>
      <c r="D247"/>
      <c r="E247"/>
      <c r="F247"/>
      <c r="G247"/>
      <c r="H247"/>
      <c r="I247"/>
      <c r="J247"/>
      <c r="K247"/>
    </row>
    <row r="248" spans="1:11" ht="16" x14ac:dyDescent="0.2">
      <c r="A248"/>
      <c r="B248"/>
      <c r="C248"/>
      <c r="D248"/>
      <c r="E248"/>
      <c r="F248"/>
      <c r="G248"/>
      <c r="H248"/>
      <c r="I248"/>
      <c r="J248"/>
      <c r="K248"/>
    </row>
    <row r="249" spans="1:11" ht="16" x14ac:dyDescent="0.2">
      <c r="A249"/>
      <c r="B249"/>
      <c r="C249"/>
      <c r="D249"/>
      <c r="E249"/>
      <c r="F249"/>
      <c r="G249"/>
      <c r="H249"/>
      <c r="I249"/>
      <c r="J249"/>
      <c r="K249"/>
    </row>
    <row r="250" spans="1:11" ht="16" x14ac:dyDescent="0.2">
      <c r="A250"/>
      <c r="B250"/>
      <c r="C250"/>
      <c r="D250"/>
      <c r="E250"/>
      <c r="F250"/>
      <c r="G250"/>
      <c r="H250"/>
      <c r="I250"/>
      <c r="J250"/>
      <c r="K250"/>
    </row>
    <row r="251" spans="1:11" ht="16" x14ac:dyDescent="0.2">
      <c r="A251"/>
      <c r="B251"/>
      <c r="C251"/>
      <c r="D251"/>
      <c r="E251"/>
      <c r="F251"/>
      <c r="G251"/>
      <c r="H251"/>
      <c r="I251"/>
      <c r="J251"/>
      <c r="K251"/>
    </row>
    <row r="252" spans="1:11" ht="16" x14ac:dyDescent="0.2">
      <c r="A252"/>
      <c r="B252"/>
      <c r="C252"/>
      <c r="D252"/>
      <c r="E252"/>
      <c r="F252"/>
      <c r="G252"/>
      <c r="H252"/>
      <c r="I252"/>
      <c r="J252"/>
      <c r="K252"/>
    </row>
    <row r="253" spans="1:11" ht="16" x14ac:dyDescent="0.2">
      <c r="A253"/>
      <c r="B253"/>
      <c r="C253"/>
      <c r="D253"/>
      <c r="E253"/>
      <c r="F253"/>
      <c r="G253"/>
      <c r="H253"/>
      <c r="I253"/>
      <c r="J253"/>
      <c r="K253"/>
    </row>
    <row r="254" spans="1:11" ht="16" x14ac:dyDescent="0.2">
      <c r="A254"/>
      <c r="B254"/>
      <c r="C254"/>
      <c r="D254"/>
      <c r="E254"/>
      <c r="F254"/>
      <c r="G254"/>
      <c r="H254"/>
      <c r="I254"/>
      <c r="J254"/>
      <c r="K254"/>
    </row>
    <row r="255" spans="1:11" ht="16" x14ac:dyDescent="0.2">
      <c r="A255"/>
      <c r="B255"/>
      <c r="C255"/>
      <c r="D255"/>
      <c r="E255"/>
      <c r="F255"/>
      <c r="G255"/>
      <c r="H255"/>
      <c r="I255"/>
      <c r="J255"/>
      <c r="K255"/>
    </row>
    <row r="256" spans="1:11" ht="16" x14ac:dyDescent="0.2">
      <c r="A256"/>
      <c r="B256"/>
      <c r="C256"/>
      <c r="D256"/>
      <c r="E256"/>
      <c r="F256"/>
      <c r="G256"/>
      <c r="H256"/>
      <c r="I256"/>
      <c r="J256"/>
      <c r="K256"/>
    </row>
    <row r="257" spans="1:11" ht="16" x14ac:dyDescent="0.2">
      <c r="A257"/>
      <c r="B257"/>
      <c r="C257"/>
      <c r="D257"/>
      <c r="E257"/>
      <c r="F257"/>
      <c r="G257"/>
      <c r="H257"/>
      <c r="I257"/>
      <c r="J257"/>
      <c r="K257"/>
    </row>
    <row r="258" spans="1:11" ht="16" x14ac:dyDescent="0.2">
      <c r="A258"/>
      <c r="B258"/>
      <c r="C258"/>
      <c r="D258"/>
      <c r="E258"/>
      <c r="F258"/>
      <c r="G258"/>
      <c r="H258"/>
      <c r="I258"/>
      <c r="J258"/>
      <c r="K258"/>
    </row>
    <row r="259" spans="1:11" ht="16" x14ac:dyDescent="0.2">
      <c r="A259"/>
      <c r="B259"/>
      <c r="C259"/>
      <c r="D259"/>
      <c r="E259"/>
      <c r="F259"/>
      <c r="G259"/>
      <c r="H259"/>
      <c r="I259"/>
      <c r="J259"/>
      <c r="K259"/>
    </row>
    <row r="260" spans="1:11" ht="16" x14ac:dyDescent="0.2">
      <c r="A260"/>
      <c r="B260"/>
      <c r="C260"/>
      <c r="D260"/>
      <c r="E260"/>
      <c r="F260"/>
      <c r="G260"/>
      <c r="H260"/>
      <c r="I260"/>
      <c r="J260"/>
      <c r="K260"/>
    </row>
    <row r="261" spans="1:11" ht="16" x14ac:dyDescent="0.2">
      <c r="A261"/>
      <c r="B261"/>
      <c r="C261"/>
      <c r="D261"/>
      <c r="E261"/>
      <c r="F261"/>
      <c r="G261"/>
      <c r="H261"/>
      <c r="I261"/>
      <c r="J261"/>
      <c r="K261"/>
    </row>
    <row r="262" spans="1:11" ht="16" x14ac:dyDescent="0.2">
      <c r="A262"/>
      <c r="B262"/>
      <c r="C262"/>
      <c r="D262"/>
      <c r="E262"/>
      <c r="F262"/>
      <c r="G262"/>
      <c r="H262"/>
      <c r="I262"/>
      <c r="J262"/>
      <c r="K262"/>
    </row>
    <row r="263" spans="1:11" ht="16" x14ac:dyDescent="0.2">
      <c r="A263"/>
      <c r="B263"/>
      <c r="C263"/>
      <c r="D263"/>
      <c r="E263"/>
      <c r="F263"/>
      <c r="G263"/>
      <c r="H263"/>
      <c r="I263"/>
      <c r="J263"/>
      <c r="K263"/>
    </row>
    <row r="264" spans="1:11" ht="16" x14ac:dyDescent="0.2">
      <c r="A264"/>
      <c r="B264"/>
      <c r="C264"/>
      <c r="D264"/>
      <c r="E264"/>
      <c r="F264"/>
      <c r="G264"/>
      <c r="H264"/>
      <c r="I264"/>
      <c r="J264"/>
      <c r="K264"/>
    </row>
    <row r="265" spans="1:11" ht="16" x14ac:dyDescent="0.2">
      <c r="A265"/>
      <c r="B265"/>
      <c r="C265"/>
      <c r="D265"/>
      <c r="E265"/>
      <c r="F265"/>
      <c r="G265"/>
      <c r="H265"/>
      <c r="I265"/>
      <c r="J265"/>
      <c r="K265"/>
    </row>
    <row r="266" spans="1:11" ht="16" x14ac:dyDescent="0.2">
      <c r="A266"/>
      <c r="B266"/>
      <c r="C266"/>
      <c r="D266"/>
      <c r="E266"/>
      <c r="F266"/>
      <c r="G266"/>
      <c r="H266"/>
      <c r="I266"/>
      <c r="J266"/>
      <c r="K266"/>
    </row>
    <row r="267" spans="1:11" ht="16" x14ac:dyDescent="0.2">
      <c r="A267"/>
      <c r="B267"/>
      <c r="C267"/>
      <c r="D267"/>
      <c r="E267"/>
      <c r="F267"/>
      <c r="G267"/>
      <c r="H267"/>
      <c r="I267"/>
      <c r="J267"/>
      <c r="K267"/>
    </row>
    <row r="268" spans="1:11" ht="16" x14ac:dyDescent="0.2">
      <c r="A268"/>
      <c r="B268"/>
      <c r="C268"/>
      <c r="D268"/>
      <c r="E268"/>
      <c r="F268"/>
      <c r="G268"/>
      <c r="H268"/>
      <c r="I268"/>
      <c r="J268"/>
      <c r="K268"/>
    </row>
    <row r="269" spans="1:11" ht="16" x14ac:dyDescent="0.2">
      <c r="A269"/>
      <c r="B269"/>
      <c r="C269"/>
      <c r="D269"/>
      <c r="E269"/>
      <c r="F269"/>
      <c r="G269"/>
      <c r="H269"/>
      <c r="I269"/>
      <c r="J269"/>
      <c r="K269"/>
    </row>
    <row r="270" spans="1:11" ht="16" x14ac:dyDescent="0.2">
      <c r="A270"/>
      <c r="B270"/>
      <c r="C270"/>
      <c r="D270"/>
      <c r="E270"/>
      <c r="F270"/>
      <c r="G270"/>
      <c r="H270"/>
      <c r="I270"/>
      <c r="J270"/>
      <c r="K270"/>
    </row>
    <row r="271" spans="1:11" ht="16" x14ac:dyDescent="0.2">
      <c r="A271"/>
      <c r="B271"/>
      <c r="C271"/>
      <c r="D271"/>
      <c r="E271"/>
      <c r="F271"/>
      <c r="G271"/>
      <c r="H271"/>
      <c r="I271"/>
      <c r="J271"/>
      <c r="K271"/>
    </row>
    <row r="272" spans="1:11" ht="16" x14ac:dyDescent="0.2">
      <c r="A272"/>
      <c r="B272"/>
      <c r="C272"/>
      <c r="D272"/>
      <c r="E272"/>
      <c r="F272"/>
      <c r="G272"/>
      <c r="H272"/>
      <c r="I272"/>
      <c r="J272"/>
      <c r="K272"/>
    </row>
    <row r="273" spans="1:11" ht="16" x14ac:dyDescent="0.2">
      <c r="A273"/>
      <c r="B273"/>
      <c r="C273"/>
      <c r="D273"/>
      <c r="E273"/>
      <c r="F273"/>
      <c r="G273"/>
      <c r="H273"/>
      <c r="I273"/>
      <c r="J273"/>
      <c r="K273"/>
    </row>
    <row r="274" spans="1:11" ht="16" x14ac:dyDescent="0.2">
      <c r="A274"/>
      <c r="B274"/>
      <c r="C274"/>
      <c r="D274"/>
      <c r="E274"/>
      <c r="F274"/>
      <c r="G274"/>
      <c r="H274"/>
      <c r="I274"/>
      <c r="J274"/>
      <c r="K274"/>
    </row>
    <row r="275" spans="1:11" ht="16" x14ac:dyDescent="0.2">
      <c r="A275"/>
      <c r="B275"/>
      <c r="C275"/>
      <c r="D275"/>
      <c r="E275"/>
      <c r="F275"/>
      <c r="G275"/>
      <c r="H275"/>
      <c r="I275"/>
      <c r="J275"/>
      <c r="K275"/>
    </row>
    <row r="276" spans="1:11" ht="16" x14ac:dyDescent="0.2">
      <c r="A276"/>
      <c r="B276"/>
      <c r="C276"/>
      <c r="D276"/>
      <c r="E276"/>
      <c r="F276"/>
      <c r="G276"/>
      <c r="H276"/>
      <c r="I276"/>
      <c r="J276"/>
      <c r="K276"/>
    </row>
    <row r="277" spans="1:11" ht="16" x14ac:dyDescent="0.2">
      <c r="A277"/>
      <c r="B277"/>
      <c r="C277"/>
      <c r="D277"/>
      <c r="E277"/>
      <c r="F277"/>
      <c r="G277"/>
      <c r="H277"/>
      <c r="I277"/>
      <c r="J277"/>
      <c r="K277"/>
    </row>
    <row r="278" spans="1:11" ht="16" x14ac:dyDescent="0.2">
      <c r="A278"/>
      <c r="B278"/>
      <c r="C278"/>
      <c r="D278"/>
      <c r="E278"/>
      <c r="F278"/>
      <c r="G278"/>
      <c r="H278"/>
      <c r="I278"/>
      <c r="J278"/>
      <c r="K278"/>
    </row>
    <row r="279" spans="1:11" ht="16" x14ac:dyDescent="0.2">
      <c r="A279"/>
      <c r="B279"/>
      <c r="C279"/>
      <c r="D279"/>
      <c r="E279"/>
      <c r="F279"/>
      <c r="G279"/>
      <c r="H279"/>
      <c r="I279"/>
      <c r="J279"/>
      <c r="K279"/>
    </row>
    <row r="280" spans="1:11" ht="16" x14ac:dyDescent="0.2">
      <c r="A280"/>
      <c r="B280"/>
      <c r="C280"/>
      <c r="D280"/>
      <c r="E280"/>
      <c r="F280"/>
      <c r="G280"/>
      <c r="H280"/>
      <c r="I280"/>
      <c r="J280"/>
      <c r="K280"/>
    </row>
    <row r="281" spans="1:11" ht="16" x14ac:dyDescent="0.2">
      <c r="A281"/>
      <c r="B281"/>
      <c r="C281"/>
      <c r="D281"/>
      <c r="E281"/>
      <c r="F281"/>
      <c r="G281"/>
      <c r="H281"/>
      <c r="I281"/>
      <c r="J281"/>
      <c r="K281"/>
    </row>
    <row r="282" spans="1:11" ht="16" x14ac:dyDescent="0.2">
      <c r="A282"/>
      <c r="B282"/>
      <c r="C282"/>
      <c r="D282"/>
      <c r="E282"/>
      <c r="F282"/>
      <c r="G282"/>
      <c r="H282"/>
      <c r="I282"/>
      <c r="J282"/>
      <c r="K282"/>
    </row>
    <row r="283" spans="1:11" ht="16" x14ac:dyDescent="0.2">
      <c r="A283"/>
      <c r="B283"/>
      <c r="C283"/>
      <c r="D283"/>
      <c r="E283"/>
      <c r="F283"/>
      <c r="G283"/>
      <c r="H283"/>
      <c r="I283"/>
      <c r="J283"/>
      <c r="K283"/>
    </row>
    <row r="284" spans="1:11" ht="16" x14ac:dyDescent="0.2">
      <c r="A284"/>
      <c r="B284"/>
      <c r="C284"/>
      <c r="D284"/>
      <c r="E284"/>
      <c r="F284"/>
      <c r="G284"/>
      <c r="H284"/>
      <c r="I284"/>
      <c r="J284"/>
      <c r="K284"/>
    </row>
    <row r="285" spans="1:11" ht="16" x14ac:dyDescent="0.2">
      <c r="A285"/>
      <c r="B285"/>
      <c r="C285"/>
      <c r="D285"/>
      <c r="E285"/>
      <c r="F285"/>
      <c r="G285"/>
      <c r="H285"/>
      <c r="I285"/>
      <c r="J285"/>
      <c r="K285"/>
    </row>
    <row r="286" spans="1:11" ht="16" x14ac:dyDescent="0.2">
      <c r="A286"/>
      <c r="B286"/>
      <c r="C286"/>
      <c r="D286"/>
      <c r="E286"/>
      <c r="F286"/>
      <c r="G286"/>
      <c r="H286"/>
      <c r="I286"/>
      <c r="J286"/>
      <c r="K286"/>
    </row>
    <row r="287" spans="1:11" ht="16" x14ac:dyDescent="0.2">
      <c r="A287"/>
      <c r="B287"/>
      <c r="C287"/>
      <c r="D287"/>
      <c r="E287"/>
      <c r="F287"/>
      <c r="G287"/>
      <c r="H287"/>
      <c r="I287"/>
      <c r="J287"/>
      <c r="K287"/>
    </row>
    <row r="288" spans="1:11" ht="16" x14ac:dyDescent="0.2">
      <c r="A288"/>
      <c r="B288"/>
      <c r="C288"/>
      <c r="D288"/>
      <c r="E288"/>
      <c r="F288"/>
      <c r="G288"/>
      <c r="H288"/>
      <c r="I288"/>
      <c r="J288"/>
      <c r="K288"/>
    </row>
    <row r="289" spans="1:11" ht="16" x14ac:dyDescent="0.2">
      <c r="A289"/>
      <c r="B289"/>
      <c r="C289"/>
      <c r="D289"/>
      <c r="E289"/>
      <c r="F289"/>
      <c r="G289"/>
      <c r="H289"/>
      <c r="I289"/>
      <c r="J289"/>
      <c r="K289"/>
    </row>
    <row r="290" spans="1:11" ht="16" x14ac:dyDescent="0.2">
      <c r="A290"/>
      <c r="B290"/>
      <c r="C290"/>
      <c r="D290"/>
      <c r="E290"/>
      <c r="F290"/>
      <c r="G290"/>
      <c r="H290"/>
      <c r="I290"/>
      <c r="J290"/>
      <c r="K290"/>
    </row>
    <row r="291" spans="1:11" ht="16" x14ac:dyDescent="0.2">
      <c r="A291"/>
      <c r="B291"/>
      <c r="C291"/>
      <c r="D291"/>
      <c r="E291"/>
      <c r="F291"/>
      <c r="G291"/>
      <c r="H291"/>
      <c r="I291"/>
      <c r="J291"/>
      <c r="K291"/>
    </row>
    <row r="292" spans="1:11" ht="16" x14ac:dyDescent="0.2">
      <c r="A292"/>
      <c r="B292"/>
      <c r="C292"/>
      <c r="D292"/>
      <c r="E292"/>
      <c r="F292"/>
      <c r="G292"/>
      <c r="H292"/>
      <c r="I292"/>
      <c r="J292"/>
      <c r="K292"/>
    </row>
    <row r="293" spans="1:11" ht="16" x14ac:dyDescent="0.2">
      <c r="A293"/>
      <c r="B293"/>
      <c r="C293"/>
      <c r="D293"/>
      <c r="E293"/>
      <c r="F293"/>
      <c r="G293"/>
      <c r="H293"/>
      <c r="I293"/>
      <c r="J293"/>
      <c r="K293"/>
    </row>
    <row r="294" spans="1:11" ht="16" x14ac:dyDescent="0.2">
      <c r="A294"/>
      <c r="B294"/>
      <c r="C294"/>
      <c r="D294"/>
      <c r="E294"/>
      <c r="F294"/>
      <c r="G294"/>
      <c r="H294"/>
      <c r="I294"/>
      <c r="J294"/>
      <c r="K294"/>
    </row>
    <row r="295" spans="1:11" ht="16" x14ac:dyDescent="0.2">
      <c r="A295"/>
      <c r="B295"/>
      <c r="C295"/>
      <c r="D295"/>
      <c r="E295"/>
      <c r="F295"/>
      <c r="G295"/>
      <c r="H295"/>
      <c r="I295"/>
      <c r="J295"/>
      <c r="K295"/>
    </row>
    <row r="296" spans="1:11" ht="16" x14ac:dyDescent="0.2">
      <c r="A296"/>
      <c r="B296"/>
      <c r="C296"/>
      <c r="D296"/>
      <c r="E296"/>
      <c r="F296"/>
      <c r="G296"/>
      <c r="H296"/>
      <c r="I296"/>
      <c r="J296"/>
      <c r="K296"/>
    </row>
    <row r="297" spans="1:11" ht="16" x14ac:dyDescent="0.2">
      <c r="A297"/>
      <c r="B297"/>
      <c r="C297"/>
      <c r="D297"/>
      <c r="E297"/>
      <c r="F297"/>
      <c r="G297"/>
      <c r="H297"/>
      <c r="I297"/>
      <c r="J297"/>
      <c r="K297"/>
    </row>
    <row r="298" spans="1:11" ht="16" x14ac:dyDescent="0.2">
      <c r="A298"/>
      <c r="B298"/>
      <c r="C298"/>
      <c r="D298"/>
      <c r="E298"/>
      <c r="F298"/>
      <c r="G298"/>
      <c r="H298"/>
      <c r="I298"/>
      <c r="J298"/>
      <c r="K298"/>
    </row>
    <row r="299" spans="1:11" ht="16" x14ac:dyDescent="0.2">
      <c r="A299"/>
      <c r="B299"/>
      <c r="C299"/>
      <c r="D299"/>
      <c r="E299"/>
      <c r="F299"/>
      <c r="G299"/>
      <c r="H299"/>
      <c r="I299"/>
      <c r="J299"/>
      <c r="K299"/>
    </row>
    <row r="300" spans="1:11" ht="16" x14ac:dyDescent="0.2">
      <c r="A300"/>
      <c r="B300"/>
      <c r="C300"/>
      <c r="D300"/>
      <c r="E300"/>
      <c r="F300"/>
      <c r="G300"/>
      <c r="H300"/>
      <c r="I300"/>
      <c r="J300"/>
      <c r="K300"/>
    </row>
    <row r="301" spans="1:11" ht="16" x14ac:dyDescent="0.2">
      <c r="A301"/>
      <c r="B301"/>
      <c r="C301"/>
      <c r="D301"/>
      <c r="E301"/>
      <c r="F301"/>
      <c r="G301"/>
      <c r="H301"/>
      <c r="I301"/>
      <c r="J301"/>
      <c r="K301"/>
    </row>
    <row r="302" spans="1:11" ht="16" x14ac:dyDescent="0.2">
      <c r="A302"/>
      <c r="B302"/>
      <c r="C302"/>
      <c r="D302"/>
      <c r="E302"/>
      <c r="F302"/>
      <c r="G302"/>
      <c r="H302"/>
      <c r="I302"/>
      <c r="J302"/>
      <c r="K302"/>
    </row>
    <row r="303" spans="1:11" ht="16" x14ac:dyDescent="0.2">
      <c r="A303"/>
      <c r="B303"/>
      <c r="C303"/>
      <c r="D303"/>
      <c r="E303"/>
      <c r="F303"/>
      <c r="G303"/>
      <c r="H303"/>
      <c r="I303"/>
      <c r="J303"/>
      <c r="K303"/>
    </row>
    <row r="304" spans="1:11" ht="16" x14ac:dyDescent="0.2">
      <c r="A304"/>
      <c r="B304"/>
      <c r="C304"/>
      <c r="D304"/>
      <c r="E304"/>
      <c r="F304"/>
      <c r="G304"/>
      <c r="H304"/>
      <c r="I304"/>
      <c r="J304"/>
      <c r="K304"/>
    </row>
    <row r="305" spans="1:11" ht="16" x14ac:dyDescent="0.2">
      <c r="A305"/>
      <c r="B305"/>
      <c r="C305"/>
      <c r="D305"/>
      <c r="E305"/>
      <c r="F305"/>
      <c r="G305"/>
      <c r="H305"/>
      <c r="I305"/>
      <c r="J305"/>
      <c r="K305"/>
    </row>
    <row r="306" spans="1:11" ht="16" x14ac:dyDescent="0.2">
      <c r="A306"/>
      <c r="B306"/>
      <c r="C306"/>
      <c r="D306"/>
      <c r="E306"/>
      <c r="F306"/>
      <c r="G306"/>
      <c r="H306"/>
      <c r="I306"/>
      <c r="J306"/>
      <c r="K306"/>
    </row>
    <row r="307" spans="1:11" ht="16" x14ac:dyDescent="0.2">
      <c r="A307"/>
      <c r="B307"/>
      <c r="C307"/>
      <c r="D307"/>
      <c r="E307"/>
      <c r="F307"/>
      <c r="G307"/>
      <c r="H307"/>
      <c r="I307"/>
      <c r="J307"/>
      <c r="K307"/>
    </row>
    <row r="308" spans="1:11" ht="16" x14ac:dyDescent="0.2">
      <c r="A308"/>
      <c r="B308"/>
      <c r="C308"/>
      <c r="D308"/>
      <c r="E308"/>
      <c r="F308"/>
      <c r="G308"/>
      <c r="H308"/>
      <c r="I308"/>
      <c r="J308"/>
      <c r="K308"/>
    </row>
    <row r="309" spans="1:11" ht="16" x14ac:dyDescent="0.2">
      <c r="A309"/>
      <c r="B309"/>
      <c r="C309"/>
      <c r="D309"/>
      <c r="E309"/>
      <c r="F309"/>
      <c r="G309"/>
      <c r="H309"/>
      <c r="I309"/>
      <c r="J309"/>
      <c r="K309"/>
    </row>
    <row r="310" spans="1:11" ht="16" x14ac:dyDescent="0.2">
      <c r="A310"/>
      <c r="B310"/>
      <c r="C310"/>
      <c r="D310"/>
      <c r="E310"/>
      <c r="F310"/>
      <c r="G310"/>
      <c r="H310"/>
      <c r="I310"/>
      <c r="J310"/>
      <c r="K310"/>
    </row>
    <row r="311" spans="1:11" ht="16" x14ac:dyDescent="0.2">
      <c r="A311"/>
      <c r="B311"/>
      <c r="C311"/>
      <c r="D311"/>
      <c r="E311"/>
      <c r="F311"/>
      <c r="G311"/>
      <c r="H311"/>
      <c r="I311"/>
      <c r="J311"/>
      <c r="K311"/>
    </row>
    <row r="312" spans="1:11" ht="16" x14ac:dyDescent="0.2">
      <c r="A312"/>
      <c r="B312"/>
      <c r="C312"/>
      <c r="D312"/>
      <c r="E312"/>
      <c r="F312"/>
      <c r="G312"/>
      <c r="H312"/>
      <c r="I312"/>
      <c r="J312"/>
      <c r="K312"/>
    </row>
    <row r="313" spans="1:11" ht="16" x14ac:dyDescent="0.2">
      <c r="A313"/>
      <c r="B313"/>
      <c r="C313"/>
      <c r="D313"/>
      <c r="E313"/>
      <c r="F313"/>
      <c r="G313"/>
      <c r="H313"/>
      <c r="I313"/>
      <c r="J313"/>
      <c r="K313"/>
    </row>
    <row r="314" spans="1:11" ht="16" x14ac:dyDescent="0.2">
      <c r="A314"/>
      <c r="B314"/>
      <c r="C314"/>
      <c r="D314"/>
      <c r="E314"/>
      <c r="F314"/>
      <c r="G314"/>
      <c r="H314"/>
      <c r="I314"/>
      <c r="J314"/>
      <c r="K314"/>
    </row>
    <row r="315" spans="1:11" ht="16" x14ac:dyDescent="0.2">
      <c r="A315"/>
      <c r="B315"/>
      <c r="C315"/>
      <c r="D315"/>
      <c r="E315"/>
      <c r="F315"/>
      <c r="G315"/>
      <c r="H315"/>
      <c r="I315"/>
      <c r="J315"/>
      <c r="K315"/>
    </row>
    <row r="316" spans="1:11" ht="16" x14ac:dyDescent="0.2">
      <c r="A316"/>
      <c r="B316"/>
      <c r="C316"/>
      <c r="D316"/>
      <c r="E316"/>
      <c r="F316"/>
      <c r="G316"/>
      <c r="H316"/>
      <c r="I316"/>
      <c r="J316"/>
      <c r="K316"/>
    </row>
    <row r="317" spans="1:11" ht="16" x14ac:dyDescent="0.2">
      <c r="A317"/>
      <c r="B317"/>
      <c r="C317"/>
      <c r="D317"/>
      <c r="E317"/>
      <c r="F317"/>
      <c r="G317"/>
      <c r="H317"/>
      <c r="I317"/>
      <c r="J317"/>
      <c r="K317"/>
    </row>
    <row r="318" spans="1:11" ht="16" x14ac:dyDescent="0.2">
      <c r="A318"/>
      <c r="B318"/>
      <c r="C318"/>
      <c r="D318"/>
      <c r="E318"/>
      <c r="F318"/>
      <c r="G318"/>
      <c r="H318"/>
      <c r="I318"/>
      <c r="J318"/>
      <c r="K318"/>
    </row>
    <row r="319" spans="1:11" ht="16" x14ac:dyDescent="0.2">
      <c r="A319"/>
      <c r="B319"/>
      <c r="C319"/>
      <c r="D319"/>
      <c r="E319"/>
      <c r="F319"/>
      <c r="G319"/>
      <c r="H319"/>
      <c r="I319"/>
      <c r="J319"/>
      <c r="K319"/>
    </row>
    <row r="320" spans="1:11" ht="16" x14ac:dyDescent="0.2">
      <c r="A320"/>
      <c r="B320"/>
      <c r="C320"/>
      <c r="D320"/>
      <c r="E320"/>
      <c r="F320"/>
      <c r="G320"/>
      <c r="H320"/>
      <c r="I320"/>
      <c r="J320"/>
      <c r="K320"/>
    </row>
    <row r="321" spans="1:11" ht="16" x14ac:dyDescent="0.2">
      <c r="A321"/>
      <c r="B321"/>
      <c r="C321"/>
      <c r="D321"/>
      <c r="E321"/>
      <c r="F321"/>
      <c r="G321"/>
      <c r="H321"/>
      <c r="I321"/>
      <c r="J321"/>
      <c r="K321"/>
    </row>
    <row r="322" spans="1:11" ht="16" x14ac:dyDescent="0.2">
      <c r="A322"/>
      <c r="B322"/>
      <c r="C322"/>
      <c r="D322"/>
      <c r="E322"/>
      <c r="F322"/>
      <c r="G322"/>
      <c r="H322"/>
      <c r="I322"/>
      <c r="J322"/>
      <c r="K322"/>
    </row>
    <row r="323" spans="1:11" ht="16" x14ac:dyDescent="0.2">
      <c r="A323"/>
      <c r="B323"/>
      <c r="C323"/>
      <c r="D323"/>
      <c r="E323"/>
      <c r="F323"/>
      <c r="G323"/>
      <c r="H323"/>
      <c r="I323"/>
      <c r="J323"/>
      <c r="K323"/>
    </row>
    <row r="324" spans="1:11" ht="16" x14ac:dyDescent="0.2">
      <c r="A324"/>
      <c r="B324"/>
      <c r="C324"/>
      <c r="D324"/>
      <c r="E324"/>
      <c r="F324"/>
      <c r="G324"/>
      <c r="H324"/>
      <c r="I324"/>
      <c r="J324"/>
      <c r="K324"/>
    </row>
    <row r="325" spans="1:11" ht="16" x14ac:dyDescent="0.2">
      <c r="A325"/>
      <c r="B325"/>
      <c r="C325"/>
      <c r="D325"/>
      <c r="E325"/>
      <c r="F325"/>
      <c r="G325"/>
      <c r="H325"/>
      <c r="I325"/>
      <c r="J325"/>
      <c r="K325"/>
    </row>
    <row r="326" spans="1:11" ht="16" x14ac:dyDescent="0.2">
      <c r="A326"/>
      <c r="B326"/>
      <c r="C326"/>
      <c r="D326"/>
      <c r="E326"/>
      <c r="F326"/>
      <c r="G326"/>
      <c r="H326"/>
      <c r="I326"/>
      <c r="J326"/>
      <c r="K326"/>
    </row>
    <row r="327" spans="1:11" ht="16" x14ac:dyDescent="0.2">
      <c r="A327"/>
      <c r="B327"/>
      <c r="C327"/>
      <c r="D327"/>
      <c r="E327"/>
      <c r="F327"/>
      <c r="G327"/>
      <c r="H327"/>
      <c r="I327"/>
      <c r="J327"/>
      <c r="K327"/>
    </row>
    <row r="328" spans="1:11" ht="16" x14ac:dyDescent="0.2">
      <c r="A328"/>
      <c r="B328"/>
      <c r="C328"/>
      <c r="D328"/>
      <c r="E328"/>
      <c r="F328"/>
      <c r="G328"/>
      <c r="H328"/>
      <c r="I328"/>
      <c r="J328"/>
      <c r="K328"/>
    </row>
    <row r="329" spans="1:11" ht="16" x14ac:dyDescent="0.2">
      <c r="A329"/>
      <c r="B329"/>
      <c r="C329"/>
      <c r="D329"/>
      <c r="E329"/>
      <c r="F329"/>
      <c r="G329"/>
      <c r="H329"/>
      <c r="I329"/>
      <c r="J329"/>
      <c r="K329"/>
    </row>
    <row r="330" spans="1:11" ht="16" x14ac:dyDescent="0.2">
      <c r="A330"/>
      <c r="B330"/>
      <c r="C330"/>
      <c r="D330"/>
      <c r="E330"/>
      <c r="F330"/>
      <c r="G330"/>
      <c r="H330"/>
      <c r="I330"/>
      <c r="J330"/>
      <c r="K330"/>
    </row>
    <row r="331" spans="1:11" ht="16" x14ac:dyDescent="0.2">
      <c r="A331"/>
      <c r="B331"/>
      <c r="C331"/>
      <c r="D331"/>
      <c r="E331"/>
      <c r="F331"/>
      <c r="G331"/>
      <c r="H331"/>
      <c r="I331"/>
      <c r="J331"/>
      <c r="K331"/>
    </row>
    <row r="332" spans="1:11" ht="16" x14ac:dyDescent="0.2">
      <c r="A332"/>
      <c r="B332"/>
      <c r="C332"/>
      <c r="D332"/>
      <c r="E332"/>
      <c r="F332"/>
      <c r="G332"/>
      <c r="H332"/>
      <c r="I332"/>
      <c r="J332"/>
      <c r="K332"/>
    </row>
    <row r="333" spans="1:11" ht="16" x14ac:dyDescent="0.2">
      <c r="A333"/>
      <c r="B333"/>
      <c r="C333"/>
      <c r="D333"/>
      <c r="E333"/>
      <c r="F333"/>
      <c r="G333"/>
      <c r="H333"/>
      <c r="I333"/>
      <c r="J333"/>
      <c r="K333"/>
    </row>
    <row r="334" spans="1:11" ht="16" x14ac:dyDescent="0.2">
      <c r="A334"/>
      <c r="B334"/>
      <c r="C334"/>
      <c r="D334"/>
      <c r="E334"/>
      <c r="F334"/>
      <c r="G334"/>
      <c r="H334"/>
      <c r="I334"/>
      <c r="J334"/>
      <c r="K334"/>
    </row>
    <row r="335" spans="1:11" ht="16" x14ac:dyDescent="0.2">
      <c r="A335"/>
      <c r="B335"/>
      <c r="C335"/>
      <c r="D335"/>
      <c r="E335"/>
      <c r="F335"/>
      <c r="G335"/>
      <c r="H335"/>
      <c r="I335"/>
      <c r="J335"/>
      <c r="K335"/>
    </row>
    <row r="336" spans="1:11" ht="16" x14ac:dyDescent="0.2">
      <c r="A336"/>
      <c r="B336"/>
      <c r="C336"/>
      <c r="D336"/>
      <c r="E336"/>
      <c r="F336"/>
      <c r="G336"/>
      <c r="H336"/>
      <c r="I336"/>
      <c r="J336"/>
      <c r="K336"/>
    </row>
    <row r="337" spans="1:11" ht="16" x14ac:dyDescent="0.2">
      <c r="A337"/>
      <c r="B337"/>
      <c r="C337"/>
      <c r="D337"/>
      <c r="E337"/>
      <c r="F337"/>
      <c r="G337"/>
      <c r="H337"/>
      <c r="I337"/>
      <c r="J337"/>
      <c r="K337"/>
    </row>
    <row r="338" spans="1:11" ht="16" x14ac:dyDescent="0.2">
      <c r="A338"/>
      <c r="B338"/>
      <c r="C338"/>
      <c r="D338"/>
      <c r="E338"/>
      <c r="F338"/>
      <c r="G338"/>
      <c r="H338"/>
      <c r="I338"/>
      <c r="J338"/>
      <c r="K338"/>
    </row>
    <row r="339" spans="1:11" ht="16" x14ac:dyDescent="0.2">
      <c r="A339"/>
      <c r="B339"/>
      <c r="C339"/>
      <c r="D339"/>
      <c r="E339"/>
      <c r="F339"/>
      <c r="G339"/>
      <c r="H339"/>
      <c r="I339"/>
      <c r="J339"/>
      <c r="K339"/>
    </row>
    <row r="340" spans="1:11" ht="16" x14ac:dyDescent="0.2">
      <c r="A340"/>
      <c r="B340"/>
      <c r="C340"/>
      <c r="D340"/>
      <c r="E340"/>
      <c r="F340"/>
      <c r="G340"/>
      <c r="H340"/>
      <c r="I340"/>
      <c r="J340"/>
      <c r="K340"/>
    </row>
    <row r="341" spans="1:11" ht="16" x14ac:dyDescent="0.2">
      <c r="A341"/>
      <c r="B341"/>
      <c r="C341"/>
      <c r="D341"/>
      <c r="E341"/>
      <c r="F341"/>
      <c r="G341"/>
      <c r="H341"/>
      <c r="I341"/>
      <c r="J341"/>
      <c r="K341"/>
    </row>
    <row r="342" spans="1:11" ht="16" x14ac:dyDescent="0.2">
      <c r="A342"/>
      <c r="B342"/>
      <c r="C342"/>
      <c r="D342"/>
      <c r="E342"/>
      <c r="F342"/>
      <c r="G342"/>
      <c r="H342"/>
      <c r="I342"/>
      <c r="J342"/>
      <c r="K342"/>
    </row>
    <row r="343" spans="1:11" ht="16" x14ac:dyDescent="0.2">
      <c r="A343"/>
      <c r="B343"/>
      <c r="C343"/>
      <c r="D343"/>
      <c r="E343"/>
      <c r="F343"/>
      <c r="G343"/>
      <c r="H343"/>
      <c r="I343"/>
      <c r="J343"/>
      <c r="K343"/>
    </row>
    <row r="344" spans="1:11" ht="16" x14ac:dyDescent="0.2">
      <c r="A344"/>
      <c r="B344"/>
      <c r="C344"/>
      <c r="D344"/>
      <c r="E344"/>
      <c r="F344"/>
      <c r="G344"/>
      <c r="H344"/>
      <c r="I344"/>
      <c r="J344"/>
      <c r="K344"/>
    </row>
    <row r="345" spans="1:11" ht="16" x14ac:dyDescent="0.2">
      <c r="A345"/>
      <c r="B345"/>
      <c r="C345"/>
      <c r="D345"/>
      <c r="E345"/>
      <c r="F345"/>
      <c r="G345"/>
      <c r="H345"/>
      <c r="I345"/>
      <c r="J345"/>
      <c r="K345"/>
    </row>
    <row r="346" spans="1:11" ht="16" x14ac:dyDescent="0.2">
      <c r="A346"/>
      <c r="B346"/>
      <c r="C346"/>
      <c r="D346"/>
      <c r="E346"/>
      <c r="F346"/>
      <c r="G346"/>
      <c r="H346"/>
      <c r="I346"/>
      <c r="J346"/>
      <c r="K346"/>
    </row>
    <row r="347" spans="1:11" ht="16" x14ac:dyDescent="0.2">
      <c r="A347"/>
      <c r="B347"/>
      <c r="C347"/>
      <c r="D347"/>
      <c r="E347"/>
      <c r="F347"/>
      <c r="G347"/>
      <c r="H347"/>
      <c r="I347"/>
      <c r="J347"/>
      <c r="K347"/>
    </row>
    <row r="348" spans="1:11" ht="16" x14ac:dyDescent="0.2">
      <c r="A348"/>
      <c r="B348"/>
      <c r="C348"/>
      <c r="D348"/>
      <c r="E348"/>
      <c r="F348"/>
      <c r="G348"/>
      <c r="H348"/>
      <c r="I348"/>
      <c r="J348"/>
      <c r="K348"/>
    </row>
    <row r="349" spans="1:11" ht="16" x14ac:dyDescent="0.2">
      <c r="A349"/>
      <c r="B349"/>
      <c r="C349"/>
      <c r="D349"/>
      <c r="E349"/>
      <c r="F349"/>
      <c r="G349"/>
      <c r="H349"/>
      <c r="I349"/>
      <c r="J349"/>
      <c r="K349"/>
    </row>
    <row r="350" spans="1:11" ht="16" x14ac:dyDescent="0.2">
      <c r="A350"/>
      <c r="B350"/>
      <c r="C350"/>
      <c r="D350"/>
      <c r="E350"/>
      <c r="F350"/>
      <c r="G350"/>
      <c r="H350"/>
      <c r="I350"/>
      <c r="J350"/>
      <c r="K350"/>
    </row>
    <row r="351" spans="1:11" ht="16" x14ac:dyDescent="0.2">
      <c r="A351"/>
      <c r="B351"/>
      <c r="C351"/>
      <c r="D351"/>
      <c r="E351"/>
      <c r="F351"/>
      <c r="G351"/>
      <c r="H351"/>
      <c r="I351"/>
      <c r="J351"/>
      <c r="K351"/>
    </row>
    <row r="352" spans="1:11" ht="16" x14ac:dyDescent="0.2">
      <c r="A352"/>
      <c r="B352"/>
      <c r="C352"/>
      <c r="D352"/>
      <c r="E352"/>
      <c r="F352"/>
      <c r="G352"/>
      <c r="H352"/>
      <c r="I352"/>
      <c r="J352"/>
      <c r="K352"/>
    </row>
    <row r="353" spans="1:11" ht="16" x14ac:dyDescent="0.2">
      <c r="A353"/>
      <c r="B353"/>
      <c r="C353"/>
      <c r="D353"/>
      <c r="E353"/>
      <c r="F353"/>
      <c r="G353"/>
      <c r="H353"/>
      <c r="I353"/>
      <c r="J353"/>
      <c r="K353"/>
    </row>
    <row r="354" spans="1:11" ht="16" x14ac:dyDescent="0.2">
      <c r="A354"/>
      <c r="B354"/>
      <c r="C354"/>
      <c r="D354"/>
      <c r="E354"/>
      <c r="F354"/>
      <c r="G354"/>
      <c r="H354"/>
      <c r="I354"/>
      <c r="J354"/>
      <c r="K354"/>
    </row>
    <row r="355" spans="1:11" ht="16" x14ac:dyDescent="0.2">
      <c r="A355"/>
      <c r="B355"/>
      <c r="C355"/>
      <c r="D355"/>
      <c r="E355"/>
      <c r="F355"/>
      <c r="G355"/>
      <c r="H355"/>
      <c r="I355"/>
      <c r="J355"/>
      <c r="K355"/>
    </row>
    <row r="356" spans="1:11" ht="16" x14ac:dyDescent="0.2">
      <c r="A356"/>
      <c r="B356"/>
      <c r="C356"/>
      <c r="D356"/>
      <c r="E356"/>
      <c r="F356"/>
      <c r="G356"/>
      <c r="H356"/>
      <c r="I356"/>
      <c r="J356"/>
      <c r="K356"/>
    </row>
    <row r="357" spans="1:11" ht="16" x14ac:dyDescent="0.2">
      <c r="A357"/>
      <c r="B357"/>
      <c r="C357"/>
      <c r="D357"/>
      <c r="E357"/>
      <c r="F357"/>
      <c r="G357"/>
      <c r="H357"/>
      <c r="I357"/>
      <c r="J357"/>
      <c r="K357"/>
    </row>
    <row r="358" spans="1:11" ht="16" x14ac:dyDescent="0.2">
      <c r="A358"/>
      <c r="B358"/>
      <c r="C358"/>
      <c r="D358"/>
      <c r="E358"/>
      <c r="F358"/>
      <c r="G358"/>
      <c r="H358"/>
      <c r="I358"/>
      <c r="J358"/>
      <c r="K358"/>
    </row>
    <row r="359" spans="1:11" ht="16" x14ac:dyDescent="0.2">
      <c r="A359"/>
      <c r="B359"/>
      <c r="C359"/>
      <c r="D359"/>
      <c r="E359"/>
      <c r="F359"/>
      <c r="G359"/>
      <c r="H359"/>
      <c r="I359"/>
      <c r="J359"/>
      <c r="K359"/>
    </row>
    <row r="360" spans="1:11" ht="16" x14ac:dyDescent="0.2">
      <c r="A360"/>
      <c r="B360"/>
      <c r="C360"/>
      <c r="D360"/>
      <c r="E360"/>
      <c r="F360"/>
      <c r="G360"/>
      <c r="H360"/>
      <c r="I360"/>
      <c r="J360"/>
      <c r="K360"/>
    </row>
    <row r="361" spans="1:11" ht="16" x14ac:dyDescent="0.2">
      <c r="A361" s="70"/>
      <c r="B361" s="70"/>
      <c r="C361" s="70"/>
      <c r="D361" s="70"/>
      <c r="E361" s="70"/>
      <c r="F361" s="70"/>
      <c r="G361" s="70"/>
      <c r="H361" s="70"/>
      <c r="I361" s="70"/>
      <c r="J361" s="70"/>
    </row>
    <row r="362" spans="1:11" ht="16" x14ac:dyDescent="0.2">
      <c r="A362" s="70"/>
      <c r="B362" s="70"/>
      <c r="C362" s="70"/>
      <c r="D362" s="70"/>
      <c r="E362" s="70"/>
      <c r="F362" s="70"/>
      <c r="G362" s="70"/>
      <c r="H362" s="70"/>
      <c r="I362" s="70"/>
      <c r="J362" s="70"/>
    </row>
    <row r="363" spans="1:11" ht="16" x14ac:dyDescent="0.2">
      <c r="A363" s="70"/>
      <c r="B363" s="70"/>
      <c r="C363" s="70"/>
      <c r="D363" s="70"/>
      <c r="E363" s="70"/>
      <c r="F363" s="70"/>
      <c r="G363" s="70"/>
      <c r="H363" s="70"/>
      <c r="I363" s="70"/>
      <c r="J363" s="70"/>
    </row>
    <row r="364" spans="1:11" ht="16" x14ac:dyDescent="0.2">
      <c r="A364" s="70"/>
      <c r="B364" s="70"/>
      <c r="C364" s="70"/>
      <c r="D364" s="70"/>
      <c r="E364" s="70"/>
      <c r="F364" s="70"/>
      <c r="G364" s="70"/>
      <c r="H364" s="70"/>
      <c r="I364" s="70"/>
      <c r="J364" s="70"/>
    </row>
    <row r="365" spans="1:11" ht="16" x14ac:dyDescent="0.2">
      <c r="A365" s="70"/>
      <c r="B365" s="70"/>
      <c r="C365" s="70"/>
      <c r="D365" s="70"/>
      <c r="E365" s="70"/>
      <c r="F365" s="70"/>
      <c r="G365" s="70"/>
      <c r="H365" s="70"/>
      <c r="I365" s="70"/>
      <c r="J365" s="70"/>
    </row>
    <row r="366" spans="1:11" ht="16" x14ac:dyDescent="0.2">
      <c r="A366" s="70"/>
      <c r="B366" s="70"/>
      <c r="C366" s="70"/>
      <c r="D366" s="70"/>
      <c r="E366" s="70"/>
      <c r="F366" s="70"/>
      <c r="G366" s="70"/>
      <c r="H366" s="70"/>
      <c r="I366" s="70"/>
      <c r="J366" s="70"/>
    </row>
    <row r="367" spans="1:11" ht="16" x14ac:dyDescent="0.2">
      <c r="A367" s="70"/>
      <c r="B367" s="70"/>
      <c r="C367" s="70"/>
      <c r="D367" s="70"/>
      <c r="E367" s="70"/>
      <c r="F367" s="70"/>
      <c r="G367" s="70"/>
      <c r="H367" s="70"/>
      <c r="I367" s="70"/>
      <c r="J367" s="70"/>
    </row>
    <row r="368" spans="1:11" ht="16" x14ac:dyDescent="0.2">
      <c r="A368" s="70"/>
      <c r="B368" s="70"/>
      <c r="C368" s="70"/>
      <c r="D368" s="70"/>
      <c r="E368" s="70"/>
      <c r="F368" s="70"/>
      <c r="G368" s="70"/>
      <c r="H368" s="70"/>
      <c r="I368" s="70"/>
      <c r="J368" s="70"/>
    </row>
    <row r="369" spans="1:10" ht="16" x14ac:dyDescent="0.2">
      <c r="A369" s="70"/>
      <c r="B369" s="70"/>
      <c r="C369" s="70"/>
      <c r="D369" s="70"/>
      <c r="E369" s="70"/>
      <c r="F369" s="70"/>
      <c r="G369" s="70"/>
      <c r="H369" s="70"/>
      <c r="I369" s="70"/>
      <c r="J369" s="70"/>
    </row>
    <row r="370" spans="1:10" ht="16" x14ac:dyDescent="0.2">
      <c r="A370" s="70"/>
      <c r="B370" s="70"/>
      <c r="C370" s="70"/>
      <c r="D370" s="70"/>
      <c r="E370" s="70"/>
      <c r="F370" s="70"/>
      <c r="G370" s="70"/>
      <c r="H370" s="70"/>
      <c r="I370" s="70"/>
      <c r="J370" s="70"/>
    </row>
    <row r="371" spans="1:10" ht="16" x14ac:dyDescent="0.2">
      <c r="A371" s="70"/>
      <c r="B371" s="70"/>
      <c r="C371" s="70"/>
      <c r="D371" s="70"/>
      <c r="E371" s="70"/>
      <c r="F371" s="70"/>
      <c r="G371" s="70"/>
      <c r="H371" s="70"/>
      <c r="I371" s="70"/>
      <c r="J371" s="70"/>
    </row>
    <row r="372" spans="1:10" ht="16" x14ac:dyDescent="0.2">
      <c r="A372" s="70"/>
      <c r="B372" s="70"/>
      <c r="C372" s="70"/>
      <c r="D372" s="70"/>
      <c r="E372" s="70"/>
      <c r="F372" s="70"/>
      <c r="G372" s="70"/>
      <c r="H372" s="70"/>
      <c r="I372" s="70"/>
      <c r="J372" s="70"/>
    </row>
    <row r="373" spans="1:10" ht="16" x14ac:dyDescent="0.2">
      <c r="A373" s="70"/>
      <c r="B373" s="70"/>
      <c r="C373" s="70"/>
      <c r="D373" s="70"/>
      <c r="E373" s="70"/>
      <c r="F373" s="70"/>
      <c r="G373" s="70"/>
      <c r="H373" s="70"/>
      <c r="I373" s="70"/>
      <c r="J373" s="70"/>
    </row>
    <row r="374" spans="1:10" ht="16" x14ac:dyDescent="0.2">
      <c r="A374" s="70"/>
      <c r="B374" s="70"/>
      <c r="C374" s="70"/>
      <c r="D374" s="70"/>
      <c r="E374" s="70"/>
      <c r="F374" s="70"/>
      <c r="G374" s="70"/>
      <c r="H374" s="70"/>
      <c r="I374" s="70"/>
      <c r="J374" s="70"/>
    </row>
    <row r="375" spans="1:10" ht="16" x14ac:dyDescent="0.2">
      <c r="A375" s="70"/>
      <c r="B375" s="70"/>
      <c r="C375" s="70"/>
      <c r="D375" s="70"/>
      <c r="E375" s="70"/>
      <c r="F375" s="70"/>
      <c r="G375" s="70"/>
      <c r="H375" s="70"/>
      <c r="I375" s="70"/>
      <c r="J375" s="70"/>
    </row>
    <row r="376" spans="1:10" ht="16" x14ac:dyDescent="0.2">
      <c r="A376" s="70"/>
      <c r="B376" s="70"/>
      <c r="C376" s="70"/>
      <c r="D376" s="70"/>
      <c r="E376" s="70"/>
      <c r="F376" s="70"/>
      <c r="G376" s="70"/>
      <c r="H376" s="70"/>
      <c r="I376" s="70"/>
      <c r="J376" s="70"/>
    </row>
    <row r="377" spans="1:10" ht="16" x14ac:dyDescent="0.2">
      <c r="A377" s="70"/>
      <c r="B377" s="70"/>
      <c r="C377" s="70"/>
      <c r="D377" s="70"/>
      <c r="E377" s="70"/>
      <c r="F377" s="70"/>
      <c r="G377" s="70"/>
      <c r="H377" s="70"/>
      <c r="I377" s="70"/>
      <c r="J377" s="70"/>
    </row>
    <row r="378" spans="1:10" ht="16" x14ac:dyDescent="0.2">
      <c r="A378" s="70"/>
      <c r="B378" s="70"/>
      <c r="C378" s="70"/>
      <c r="D378" s="70"/>
      <c r="E378" s="70"/>
      <c r="F378" s="70"/>
      <c r="G378" s="70"/>
      <c r="H378" s="70"/>
      <c r="I378" s="70"/>
      <c r="J378" s="70"/>
    </row>
    <row r="379" spans="1:10" ht="16" x14ac:dyDescent="0.2">
      <c r="A379" s="70"/>
      <c r="B379" s="70"/>
      <c r="C379" s="70"/>
      <c r="D379" s="70"/>
      <c r="E379" s="70"/>
      <c r="F379" s="70"/>
      <c r="G379" s="70"/>
      <c r="H379" s="70"/>
      <c r="I379" s="70"/>
      <c r="J379" s="70"/>
    </row>
    <row r="380" spans="1:10" ht="16" x14ac:dyDescent="0.2">
      <c r="A380" s="70"/>
      <c r="B380" s="70"/>
      <c r="C380" s="70"/>
      <c r="D380" s="70"/>
      <c r="E380" s="70"/>
      <c r="F380" s="70"/>
      <c r="G380" s="70"/>
      <c r="H380" s="70"/>
      <c r="I380" s="70"/>
      <c r="J380" s="70"/>
    </row>
    <row r="381" spans="1:10" ht="16" x14ac:dyDescent="0.2">
      <c r="A381" s="70"/>
      <c r="B381" s="70"/>
      <c r="C381" s="70"/>
      <c r="D381" s="70"/>
      <c r="E381" s="70"/>
      <c r="F381" s="70"/>
      <c r="G381" s="70"/>
      <c r="H381" s="70"/>
      <c r="I381" s="70"/>
      <c r="J381" s="70"/>
    </row>
    <row r="382" spans="1:10" ht="16" x14ac:dyDescent="0.2">
      <c r="A382" s="70"/>
      <c r="B382" s="70"/>
      <c r="C382" s="70"/>
      <c r="D382" s="70"/>
      <c r="E382" s="70"/>
      <c r="F382" s="70"/>
      <c r="G382" s="70"/>
      <c r="H382" s="70"/>
      <c r="I382" s="70"/>
      <c r="J382" s="70"/>
    </row>
    <row r="383" spans="1:10" ht="16" x14ac:dyDescent="0.2">
      <c r="A383" s="70"/>
      <c r="B383" s="70"/>
      <c r="C383" s="70"/>
      <c r="D383" s="70"/>
      <c r="E383" s="70"/>
      <c r="F383" s="70"/>
      <c r="G383" s="70"/>
      <c r="H383" s="70"/>
      <c r="I383" s="70"/>
      <c r="J383" s="70"/>
    </row>
    <row r="384" spans="1:10" ht="16" x14ac:dyDescent="0.2">
      <c r="A384" s="70"/>
      <c r="B384" s="70"/>
      <c r="C384" s="70"/>
      <c r="D384" s="70"/>
      <c r="E384" s="70"/>
      <c r="F384" s="70"/>
      <c r="G384" s="70"/>
      <c r="H384" s="70"/>
      <c r="I384" s="70"/>
      <c r="J384" s="70"/>
    </row>
    <row r="385" spans="1:10" ht="16" x14ac:dyDescent="0.2">
      <c r="A385" s="70"/>
      <c r="B385" s="70"/>
      <c r="C385" s="70"/>
      <c r="D385" s="70"/>
      <c r="E385" s="70"/>
      <c r="F385" s="70"/>
      <c r="G385" s="70"/>
      <c r="H385" s="70"/>
      <c r="I385" s="70"/>
      <c r="J385" s="70"/>
    </row>
    <row r="386" spans="1:10" ht="16" x14ac:dyDescent="0.2">
      <c r="A386" s="70"/>
      <c r="B386" s="70"/>
      <c r="C386" s="70"/>
      <c r="D386" s="70"/>
      <c r="E386" s="70"/>
      <c r="F386" s="70"/>
      <c r="G386" s="70"/>
      <c r="H386" s="70"/>
      <c r="I386" s="70"/>
      <c r="J386" s="70"/>
    </row>
    <row r="387" spans="1:10" ht="16" x14ac:dyDescent="0.2">
      <c r="A387" s="70"/>
      <c r="B387" s="70"/>
      <c r="C387" s="70"/>
      <c r="D387" s="70"/>
      <c r="E387" s="70"/>
      <c r="F387" s="70"/>
      <c r="G387" s="70"/>
      <c r="H387" s="70"/>
      <c r="I387" s="70"/>
      <c r="J387" s="70"/>
    </row>
    <row r="388" spans="1:10" ht="16" x14ac:dyDescent="0.2">
      <c r="A388" s="70"/>
      <c r="B388" s="70"/>
      <c r="C388" s="70"/>
      <c r="D388" s="70"/>
      <c r="E388" s="70"/>
      <c r="F388" s="70"/>
      <c r="G388" s="70"/>
      <c r="H388" s="70"/>
      <c r="I388" s="70"/>
      <c r="J388" s="70"/>
    </row>
    <row r="389" spans="1:10" ht="16" x14ac:dyDescent="0.2">
      <c r="A389" s="70"/>
      <c r="B389" s="70"/>
      <c r="C389" s="70"/>
      <c r="D389" s="70"/>
      <c r="E389" s="70"/>
      <c r="F389" s="70"/>
      <c r="G389" s="70"/>
      <c r="H389" s="70"/>
      <c r="I389" s="70"/>
      <c r="J389" s="70"/>
    </row>
    <row r="390" spans="1:10" ht="16" x14ac:dyDescent="0.2">
      <c r="A390" s="70"/>
      <c r="B390" s="70"/>
      <c r="C390" s="70"/>
      <c r="D390" s="70"/>
      <c r="E390" s="70"/>
      <c r="F390" s="70"/>
      <c r="G390" s="70"/>
      <c r="H390" s="70"/>
      <c r="I390" s="70"/>
      <c r="J390" s="70"/>
    </row>
    <row r="391" spans="1:10" ht="16" x14ac:dyDescent="0.2">
      <c r="A391" s="70"/>
      <c r="B391" s="70"/>
      <c r="C391" s="70"/>
      <c r="D391" s="70"/>
      <c r="E391" s="70"/>
      <c r="F391" s="70"/>
      <c r="G391" s="70"/>
      <c r="H391" s="70"/>
      <c r="I391" s="70"/>
      <c r="J391" s="70"/>
    </row>
    <row r="392" spans="1:10" ht="16" x14ac:dyDescent="0.2">
      <c r="A392" s="70"/>
      <c r="B392" s="70"/>
      <c r="C392" s="70"/>
      <c r="D392" s="70"/>
      <c r="E392" s="70"/>
      <c r="F392" s="70"/>
      <c r="G392" s="70"/>
      <c r="H392" s="70"/>
      <c r="I392" s="70"/>
      <c r="J392" s="70"/>
    </row>
    <row r="393" spans="1:10" ht="16" x14ac:dyDescent="0.2">
      <c r="A393" s="70"/>
      <c r="B393" s="70"/>
      <c r="C393" s="70"/>
      <c r="D393" s="70"/>
      <c r="E393" s="70"/>
      <c r="F393" s="70"/>
      <c r="G393" s="70"/>
      <c r="H393" s="70"/>
      <c r="I393" s="70"/>
      <c r="J393" s="70"/>
    </row>
    <row r="394" spans="1:10" ht="16" x14ac:dyDescent="0.2">
      <c r="A394" s="70"/>
      <c r="B394" s="70"/>
      <c r="C394" s="70"/>
      <c r="D394" s="70"/>
      <c r="E394" s="70"/>
      <c r="F394" s="70"/>
      <c r="G394" s="70"/>
      <c r="H394" s="70"/>
      <c r="I394" s="70"/>
      <c r="J394" s="70"/>
    </row>
    <row r="395" spans="1:10" ht="16" x14ac:dyDescent="0.2">
      <c r="A395" s="70"/>
      <c r="B395" s="70"/>
      <c r="C395" s="70"/>
      <c r="D395" s="70"/>
      <c r="E395" s="70"/>
      <c r="F395" s="70"/>
      <c r="G395" s="70"/>
      <c r="H395" s="70"/>
      <c r="I395" s="70"/>
      <c r="J395" s="70"/>
    </row>
    <row r="396" spans="1:10" ht="16" x14ac:dyDescent="0.2">
      <c r="A396" s="70"/>
      <c r="B396" s="70"/>
      <c r="C396" s="70"/>
      <c r="D396" s="70"/>
      <c r="E396" s="70"/>
      <c r="F396" s="70"/>
      <c r="G396" s="70"/>
      <c r="H396" s="70"/>
      <c r="I396" s="70"/>
      <c r="J396" s="70"/>
    </row>
    <row r="397" spans="1:10" ht="16" x14ac:dyDescent="0.2">
      <c r="A397" s="70"/>
      <c r="B397" s="70"/>
      <c r="C397" s="70"/>
      <c r="D397" s="70"/>
      <c r="E397" s="70"/>
      <c r="F397" s="70"/>
      <c r="G397" s="70"/>
      <c r="H397" s="70"/>
      <c r="I397" s="70"/>
      <c r="J397" s="70"/>
    </row>
    <row r="398" spans="1:10" ht="16" x14ac:dyDescent="0.2">
      <c r="A398" s="70"/>
      <c r="B398" s="70"/>
      <c r="C398" s="70"/>
      <c r="D398" s="70"/>
      <c r="E398" s="70"/>
      <c r="F398" s="70"/>
      <c r="G398" s="70"/>
      <c r="H398" s="70"/>
      <c r="I398" s="70"/>
      <c r="J398" s="70"/>
    </row>
    <row r="399" spans="1:10" ht="16" x14ac:dyDescent="0.2">
      <c r="A399" s="70"/>
      <c r="B399" s="70"/>
      <c r="C399" s="70"/>
      <c r="D399" s="70"/>
      <c r="E399" s="70"/>
      <c r="F399" s="70"/>
      <c r="G399" s="70"/>
      <c r="H399" s="70"/>
      <c r="I399" s="70"/>
      <c r="J399" s="70"/>
    </row>
    <row r="400" spans="1:10" ht="16" x14ac:dyDescent="0.2">
      <c r="A400" s="70"/>
      <c r="B400" s="70"/>
      <c r="C400" s="70"/>
      <c r="D400" s="70"/>
      <c r="E400" s="70"/>
      <c r="F400" s="70"/>
      <c r="G400" s="70"/>
      <c r="H400" s="70"/>
      <c r="I400" s="70"/>
      <c r="J400" s="70"/>
    </row>
    <row r="401" spans="1:10" ht="16" x14ac:dyDescent="0.2">
      <c r="A401" s="70"/>
      <c r="B401" s="70"/>
      <c r="C401" s="70"/>
      <c r="D401" s="70"/>
      <c r="E401" s="70"/>
      <c r="F401" s="70"/>
      <c r="G401" s="70"/>
      <c r="H401" s="70"/>
      <c r="I401" s="70"/>
      <c r="J401" s="70"/>
    </row>
    <row r="402" spans="1:10" ht="16" x14ac:dyDescent="0.2">
      <c r="A402" s="70"/>
      <c r="B402" s="70"/>
      <c r="C402" s="70"/>
      <c r="D402" s="70"/>
      <c r="E402" s="70"/>
      <c r="F402" s="70"/>
      <c r="G402" s="70"/>
      <c r="H402" s="70"/>
      <c r="I402" s="70"/>
      <c r="J402" s="70"/>
    </row>
    <row r="403" spans="1:10" ht="16" x14ac:dyDescent="0.2">
      <c r="A403" s="70"/>
      <c r="B403" s="70"/>
      <c r="C403" s="70"/>
      <c r="D403" s="70"/>
      <c r="E403" s="70"/>
      <c r="F403" s="70"/>
      <c r="G403" s="70"/>
      <c r="H403" s="70"/>
      <c r="I403" s="70"/>
      <c r="J403" s="70"/>
    </row>
    <row r="404" spans="1:10" ht="16" x14ac:dyDescent="0.2">
      <c r="A404" s="70"/>
      <c r="B404" s="70"/>
      <c r="C404" s="70"/>
      <c r="D404" s="70"/>
      <c r="E404" s="70"/>
      <c r="F404" s="70"/>
      <c r="G404" s="70"/>
      <c r="H404" s="70"/>
      <c r="I404" s="70"/>
      <c r="J404" s="70"/>
    </row>
    <row r="405" spans="1:10" ht="16" x14ac:dyDescent="0.2">
      <c r="A405" s="70"/>
      <c r="B405" s="70"/>
      <c r="C405" s="70"/>
      <c r="D405" s="70"/>
      <c r="E405" s="70"/>
      <c r="F405" s="70"/>
      <c r="G405" s="70"/>
      <c r="H405" s="70"/>
      <c r="I405" s="70"/>
      <c r="J405" s="70"/>
    </row>
    <row r="406" spans="1:10" ht="16" x14ac:dyDescent="0.2">
      <c r="A406" s="70"/>
      <c r="B406" s="70"/>
      <c r="C406" s="70"/>
      <c r="D406" s="70"/>
      <c r="E406" s="70"/>
      <c r="F406" s="70"/>
      <c r="G406" s="70"/>
      <c r="H406" s="70"/>
      <c r="I406" s="70"/>
      <c r="J406" s="70"/>
    </row>
    <row r="407" spans="1:10" ht="16" x14ac:dyDescent="0.2">
      <c r="A407" s="70"/>
      <c r="B407" s="70"/>
      <c r="C407" s="70"/>
      <c r="D407" s="70"/>
      <c r="E407" s="70"/>
      <c r="F407" s="70"/>
      <c r="G407" s="70"/>
      <c r="H407" s="70"/>
      <c r="I407" s="70"/>
      <c r="J407" s="70"/>
    </row>
    <row r="408" spans="1:10" ht="16" x14ac:dyDescent="0.2">
      <c r="A408" s="70"/>
      <c r="B408" s="70"/>
      <c r="C408" s="70"/>
      <c r="D408" s="70"/>
      <c r="E408" s="70"/>
      <c r="F408" s="70"/>
      <c r="G408" s="70"/>
      <c r="H408" s="70"/>
      <c r="I408" s="70"/>
      <c r="J408" s="70"/>
    </row>
    <row r="409" spans="1:10" ht="16" x14ac:dyDescent="0.2">
      <c r="A409" s="70"/>
      <c r="B409" s="70"/>
      <c r="C409" s="70"/>
      <c r="D409" s="70"/>
      <c r="E409" s="70"/>
      <c r="F409" s="70"/>
      <c r="G409" s="70"/>
      <c r="H409" s="70"/>
      <c r="I409" s="70"/>
      <c r="J409" s="70"/>
    </row>
    <row r="410" spans="1:10" ht="16" x14ac:dyDescent="0.2">
      <c r="A410" s="70"/>
      <c r="B410" s="70"/>
      <c r="C410" s="70"/>
      <c r="D410" s="70"/>
      <c r="E410" s="70"/>
      <c r="F410" s="70"/>
      <c r="G410" s="70"/>
      <c r="H410" s="70"/>
      <c r="I410" s="70"/>
      <c r="J410" s="70"/>
    </row>
    <row r="411" spans="1:10" ht="16" x14ac:dyDescent="0.2">
      <c r="A411" s="70"/>
      <c r="B411" s="70"/>
      <c r="C411" s="70"/>
      <c r="D411" s="70"/>
      <c r="E411" s="70"/>
      <c r="F411" s="70"/>
      <c r="G411" s="70"/>
      <c r="H411" s="70"/>
      <c r="I411" s="70"/>
      <c r="J411" s="70"/>
    </row>
    <row r="412" spans="1:10" ht="16" x14ac:dyDescent="0.2">
      <c r="A412" s="70"/>
      <c r="B412" s="70"/>
      <c r="C412" s="70"/>
      <c r="D412" s="70"/>
      <c r="E412" s="70"/>
      <c r="F412" s="70"/>
      <c r="G412" s="70"/>
      <c r="H412" s="70"/>
      <c r="I412" s="70"/>
      <c r="J412" s="70"/>
    </row>
    <row r="413" spans="1:10" ht="16" x14ac:dyDescent="0.2">
      <c r="A413" s="70"/>
      <c r="B413" s="70"/>
      <c r="C413" s="70"/>
      <c r="D413" s="70"/>
      <c r="E413" s="70"/>
      <c r="F413" s="70"/>
      <c r="G413" s="70"/>
      <c r="H413" s="70"/>
      <c r="I413" s="70"/>
      <c r="J413" s="70"/>
    </row>
    <row r="414" spans="1:10" ht="16" x14ac:dyDescent="0.2">
      <c r="A414" s="70"/>
      <c r="B414" s="70"/>
      <c r="C414" s="70"/>
      <c r="D414" s="70"/>
      <c r="E414" s="70"/>
      <c r="F414" s="70"/>
      <c r="G414" s="70"/>
      <c r="H414" s="70"/>
      <c r="I414" s="70"/>
      <c r="J414" s="70"/>
    </row>
    <row r="415" spans="1:10" ht="16" x14ac:dyDescent="0.2">
      <c r="A415" s="70"/>
      <c r="B415" s="70"/>
      <c r="C415" s="70"/>
      <c r="D415" s="70"/>
      <c r="E415" s="70"/>
      <c r="F415" s="70"/>
      <c r="G415" s="70"/>
      <c r="H415" s="70"/>
      <c r="I415" s="70"/>
      <c r="J415" s="70"/>
    </row>
    <row r="416" spans="1:10" ht="16" x14ac:dyDescent="0.2">
      <c r="A416" s="70"/>
      <c r="B416" s="70"/>
      <c r="C416" s="70"/>
      <c r="D416" s="70"/>
      <c r="E416" s="70"/>
      <c r="F416" s="70"/>
      <c r="G416" s="70"/>
      <c r="H416" s="70"/>
      <c r="I416" s="70"/>
      <c r="J416" s="70"/>
    </row>
    <row r="417" spans="1:10" ht="16" x14ac:dyDescent="0.2">
      <c r="A417" s="70"/>
      <c r="B417" s="70"/>
      <c r="C417" s="70"/>
      <c r="D417" s="70"/>
      <c r="E417" s="70"/>
      <c r="F417" s="70"/>
      <c r="G417" s="70"/>
      <c r="H417" s="70"/>
      <c r="I417" s="70"/>
      <c r="J417" s="70"/>
    </row>
    <row r="418" spans="1:10" ht="16" x14ac:dyDescent="0.2">
      <c r="A418" s="70"/>
      <c r="B418" s="70"/>
      <c r="C418" s="70"/>
      <c r="D418" s="70"/>
      <c r="E418" s="70"/>
      <c r="F418" s="70"/>
      <c r="G418" s="70"/>
      <c r="H418" s="70"/>
      <c r="I418" s="70"/>
      <c r="J418" s="70"/>
    </row>
    <row r="419" spans="1:10" ht="16" x14ac:dyDescent="0.2">
      <c r="A419" s="70"/>
      <c r="B419" s="70"/>
      <c r="C419" s="70"/>
      <c r="D419" s="70"/>
      <c r="E419" s="70"/>
      <c r="F419" s="70"/>
      <c r="G419" s="70"/>
      <c r="H419" s="70"/>
      <c r="I419" s="70"/>
      <c r="J419" s="70"/>
    </row>
    <row r="420" spans="1:10" ht="16" x14ac:dyDescent="0.2">
      <c r="A420" s="70"/>
      <c r="B420" s="70"/>
      <c r="C420" s="70"/>
      <c r="D420" s="70"/>
      <c r="E420" s="70"/>
      <c r="F420" s="70"/>
      <c r="G420" s="70"/>
      <c r="H420" s="70"/>
      <c r="I420" s="70"/>
      <c r="J420" s="70"/>
    </row>
    <row r="421" spans="1:10" ht="16" x14ac:dyDescent="0.2">
      <c r="A421" s="70"/>
      <c r="B421" s="70"/>
      <c r="C421" s="70"/>
      <c r="D421" s="70"/>
      <c r="E421" s="70"/>
      <c r="F421" s="70"/>
      <c r="G421" s="70"/>
      <c r="H421" s="70"/>
      <c r="I421" s="70"/>
      <c r="J421" s="70"/>
    </row>
    <row r="422" spans="1:10" ht="16" x14ac:dyDescent="0.2">
      <c r="A422" s="70"/>
      <c r="B422" s="70"/>
      <c r="C422" s="70"/>
      <c r="D422" s="70"/>
      <c r="E422" s="70"/>
      <c r="F422" s="70"/>
      <c r="G422" s="70"/>
      <c r="H422" s="70"/>
      <c r="I422" s="70"/>
      <c r="J422" s="70"/>
    </row>
    <row r="423" spans="1:10" ht="16" x14ac:dyDescent="0.2">
      <c r="A423" s="70"/>
      <c r="B423" s="70"/>
      <c r="C423" s="70"/>
      <c r="D423" s="70"/>
      <c r="E423" s="70"/>
      <c r="F423" s="70"/>
      <c r="G423" s="70"/>
      <c r="H423" s="70"/>
      <c r="I423" s="70"/>
      <c r="J423" s="70"/>
    </row>
    <row r="424" spans="1:10" ht="16" x14ac:dyDescent="0.2">
      <c r="A424" s="70"/>
      <c r="B424" s="70"/>
      <c r="C424" s="70"/>
      <c r="D424" s="70"/>
      <c r="E424" s="70"/>
      <c r="F424" s="70"/>
      <c r="G424" s="70"/>
      <c r="H424" s="70"/>
      <c r="I424" s="70"/>
      <c r="J424" s="70"/>
    </row>
    <row r="425" spans="1:10" ht="16" x14ac:dyDescent="0.2">
      <c r="A425" s="70"/>
      <c r="B425" s="70"/>
      <c r="C425" s="70"/>
      <c r="D425" s="70"/>
      <c r="E425" s="70"/>
      <c r="F425" s="70"/>
      <c r="G425" s="70"/>
      <c r="H425" s="70"/>
      <c r="I425" s="70"/>
      <c r="J425" s="70"/>
    </row>
    <row r="426" spans="1:10" ht="16" x14ac:dyDescent="0.2">
      <c r="A426" s="70"/>
      <c r="B426" s="70"/>
      <c r="C426" s="70"/>
      <c r="D426" s="70"/>
      <c r="E426" s="70"/>
      <c r="F426" s="70"/>
      <c r="G426" s="70"/>
      <c r="H426" s="70"/>
      <c r="I426" s="70"/>
      <c r="J426" s="70"/>
    </row>
    <row r="427" spans="1:10" ht="16" x14ac:dyDescent="0.2">
      <c r="A427" s="70"/>
      <c r="B427" s="70"/>
      <c r="C427" s="70"/>
      <c r="D427" s="70"/>
      <c r="E427" s="70"/>
      <c r="F427" s="70"/>
      <c r="G427" s="70"/>
      <c r="H427" s="70"/>
      <c r="I427" s="70"/>
      <c r="J427" s="70"/>
    </row>
    <row r="428" spans="1:10" ht="16" x14ac:dyDescent="0.2">
      <c r="A428" s="70"/>
      <c r="B428" s="70"/>
      <c r="C428" s="70"/>
      <c r="D428" s="70"/>
      <c r="E428" s="70"/>
      <c r="F428" s="70"/>
      <c r="G428" s="70"/>
      <c r="H428" s="70"/>
      <c r="I428" s="70"/>
      <c r="J428" s="70"/>
    </row>
    <row r="429" spans="1:10" ht="16" x14ac:dyDescent="0.2">
      <c r="A429" s="70"/>
      <c r="B429" s="70"/>
      <c r="C429" s="70"/>
      <c r="D429" s="70"/>
      <c r="E429" s="70"/>
      <c r="F429" s="70"/>
      <c r="G429" s="70"/>
      <c r="H429" s="70"/>
      <c r="I429" s="70"/>
      <c r="J429" s="70"/>
    </row>
    <row r="430" spans="1:10" ht="16" x14ac:dyDescent="0.2">
      <c r="A430" s="70"/>
      <c r="B430" s="70"/>
      <c r="C430" s="70"/>
      <c r="D430" s="70"/>
      <c r="E430" s="70"/>
      <c r="F430" s="70"/>
      <c r="G430" s="70"/>
      <c r="H430" s="70"/>
      <c r="I430" s="70"/>
      <c r="J430" s="70"/>
    </row>
    <row r="431" spans="1:10" ht="16" x14ac:dyDescent="0.2">
      <c r="A431" s="70"/>
      <c r="B431" s="70"/>
      <c r="C431" s="70"/>
      <c r="D431" s="70"/>
      <c r="E431" s="70"/>
      <c r="F431" s="70"/>
      <c r="G431" s="70"/>
      <c r="H431" s="70"/>
      <c r="I431" s="70"/>
      <c r="J431" s="70"/>
    </row>
    <row r="432" spans="1:10" ht="16" x14ac:dyDescent="0.2">
      <c r="A432" s="70"/>
      <c r="B432" s="70"/>
      <c r="C432" s="70"/>
      <c r="D432" s="70"/>
      <c r="E432" s="70"/>
      <c r="F432" s="70"/>
      <c r="G432" s="70"/>
      <c r="H432" s="70"/>
      <c r="I432" s="70"/>
      <c r="J432" s="70"/>
    </row>
    <row r="433" spans="1:10" ht="16" x14ac:dyDescent="0.2">
      <c r="A433" s="70"/>
      <c r="B433" s="70"/>
      <c r="C433" s="70"/>
      <c r="D433" s="70"/>
      <c r="E433" s="70"/>
      <c r="F433" s="70"/>
      <c r="G433" s="70"/>
      <c r="H433" s="70"/>
      <c r="I433" s="70"/>
      <c r="J433" s="70"/>
    </row>
    <row r="434" spans="1:10" ht="16" x14ac:dyDescent="0.2">
      <c r="A434" s="70"/>
      <c r="B434" s="70"/>
      <c r="C434" s="70"/>
      <c r="D434" s="70"/>
      <c r="E434" s="70"/>
      <c r="F434" s="70"/>
      <c r="G434" s="70"/>
      <c r="H434" s="70"/>
      <c r="I434" s="70"/>
      <c r="J434" s="70"/>
    </row>
    <row r="435" spans="1:10" ht="16" x14ac:dyDescent="0.2">
      <c r="A435" s="70"/>
      <c r="B435" s="70"/>
      <c r="C435" s="70"/>
      <c r="D435" s="70"/>
      <c r="E435" s="70"/>
      <c r="F435" s="70"/>
      <c r="G435" s="70"/>
      <c r="H435" s="70"/>
      <c r="I435" s="70"/>
      <c r="J435" s="70"/>
    </row>
    <row r="436" spans="1:10" ht="16" x14ac:dyDescent="0.2">
      <c r="A436" s="70"/>
      <c r="B436" s="70"/>
      <c r="C436" s="70"/>
      <c r="D436" s="70"/>
      <c r="E436" s="70"/>
      <c r="F436" s="70"/>
      <c r="G436" s="70"/>
      <c r="H436" s="70"/>
      <c r="I436" s="70"/>
      <c r="J436" s="70"/>
    </row>
    <row r="437" spans="1:10" ht="16" x14ac:dyDescent="0.2">
      <c r="A437" s="70"/>
      <c r="B437" s="70"/>
      <c r="C437" s="70"/>
      <c r="D437" s="70"/>
      <c r="E437" s="70"/>
      <c r="F437" s="70"/>
      <c r="G437" s="70"/>
      <c r="H437" s="70"/>
      <c r="I437" s="70"/>
      <c r="J437" s="70"/>
    </row>
    <row r="438" spans="1:10" ht="16" x14ac:dyDescent="0.2">
      <c r="A438" s="70"/>
      <c r="B438" s="70"/>
      <c r="C438" s="70"/>
      <c r="D438" s="70"/>
      <c r="E438" s="70"/>
      <c r="F438" s="70"/>
      <c r="G438" s="70"/>
      <c r="H438" s="70"/>
      <c r="I438" s="70"/>
      <c r="J438" s="70"/>
    </row>
    <row r="439" spans="1:10" ht="16" x14ac:dyDescent="0.2">
      <c r="A439" s="70"/>
      <c r="B439" s="70"/>
      <c r="C439" s="70"/>
      <c r="D439" s="70"/>
      <c r="E439" s="70"/>
      <c r="F439" s="70"/>
      <c r="G439" s="70"/>
      <c r="H439" s="70"/>
      <c r="I439" s="70"/>
      <c r="J439" s="70"/>
    </row>
    <row r="440" spans="1:10" ht="16" x14ac:dyDescent="0.2">
      <c r="A440" s="70"/>
      <c r="B440" s="70"/>
      <c r="C440" s="70"/>
      <c r="D440" s="70"/>
      <c r="E440" s="70"/>
      <c r="F440" s="70"/>
      <c r="G440" s="70"/>
      <c r="H440" s="70"/>
      <c r="I440" s="70"/>
      <c r="J440" s="70"/>
    </row>
    <row r="441" spans="1:10" ht="16" x14ac:dyDescent="0.2">
      <c r="A441" s="70"/>
      <c r="B441" s="70"/>
      <c r="C441" s="70"/>
      <c r="D441" s="70"/>
      <c r="E441" s="70"/>
      <c r="F441" s="70"/>
      <c r="G441" s="70"/>
      <c r="H441" s="70"/>
      <c r="I441" s="70"/>
      <c r="J441" s="70"/>
    </row>
    <row r="442" spans="1:10" ht="16" x14ac:dyDescent="0.2">
      <c r="A442" s="70"/>
      <c r="B442" s="70"/>
      <c r="C442" s="70"/>
      <c r="D442" s="70"/>
      <c r="E442" s="70"/>
      <c r="F442" s="70"/>
      <c r="G442" s="70"/>
      <c r="H442" s="70"/>
      <c r="I442" s="70"/>
      <c r="J442" s="70"/>
    </row>
    <row r="443" spans="1:10" ht="16" x14ac:dyDescent="0.2">
      <c r="A443" s="70"/>
      <c r="B443" s="70"/>
      <c r="C443" s="70"/>
      <c r="D443" s="70"/>
      <c r="E443" s="70"/>
      <c r="F443" s="70"/>
      <c r="G443" s="70"/>
      <c r="H443" s="70"/>
      <c r="I443" s="70"/>
      <c r="J443" s="70"/>
    </row>
    <row r="444" spans="1:10" ht="16" x14ac:dyDescent="0.2">
      <c r="A444" s="70"/>
      <c r="B444" s="70"/>
      <c r="C444" s="70"/>
      <c r="D444" s="70"/>
      <c r="E444" s="70"/>
      <c r="F444" s="70"/>
      <c r="G444" s="70"/>
      <c r="H444" s="70"/>
      <c r="I444" s="70"/>
      <c r="J444" s="70"/>
    </row>
    <row r="445" spans="1:10" ht="16" x14ac:dyDescent="0.2">
      <c r="A445" s="70"/>
      <c r="B445" s="70"/>
      <c r="C445" s="70"/>
      <c r="D445" s="70"/>
      <c r="E445" s="70"/>
      <c r="F445" s="70"/>
      <c r="G445" s="70"/>
      <c r="H445" s="70"/>
      <c r="I445" s="70"/>
      <c r="J445" s="70"/>
    </row>
    <row r="446" spans="1:10" ht="16" x14ac:dyDescent="0.2">
      <c r="A446" s="70"/>
      <c r="B446" s="70"/>
      <c r="C446" s="70"/>
      <c r="D446" s="70"/>
      <c r="E446" s="70"/>
      <c r="F446" s="70"/>
      <c r="G446" s="70"/>
      <c r="H446" s="70"/>
      <c r="I446" s="70"/>
      <c r="J446" s="70"/>
    </row>
    <row r="447" spans="1:10" ht="16" x14ac:dyDescent="0.2">
      <c r="A447" s="70"/>
      <c r="B447" s="70"/>
      <c r="C447" s="70"/>
      <c r="D447" s="70"/>
      <c r="E447" s="70"/>
      <c r="F447" s="70"/>
      <c r="G447" s="70"/>
      <c r="H447" s="70"/>
      <c r="I447" s="70"/>
      <c r="J447" s="70"/>
    </row>
    <row r="448" spans="1:10" ht="16" x14ac:dyDescent="0.2">
      <c r="A448" s="70"/>
      <c r="B448" s="70"/>
      <c r="C448" s="70"/>
      <c r="D448" s="70"/>
      <c r="E448" s="70"/>
      <c r="F448" s="70"/>
      <c r="G448" s="70"/>
      <c r="H448" s="70"/>
      <c r="I448" s="70"/>
      <c r="J448" s="70"/>
    </row>
    <row r="449" spans="1:10" ht="16" x14ac:dyDescent="0.2">
      <c r="A449" s="70"/>
      <c r="B449" s="70"/>
      <c r="C449" s="70"/>
      <c r="D449" s="70"/>
      <c r="E449" s="70"/>
      <c r="F449" s="70"/>
      <c r="G449" s="70"/>
      <c r="H449" s="70"/>
      <c r="I449" s="70"/>
      <c r="J449" s="70"/>
    </row>
    <row r="450" spans="1:10" ht="16" x14ac:dyDescent="0.2">
      <c r="A450" s="70"/>
      <c r="B450" s="70"/>
      <c r="C450" s="70"/>
      <c r="D450" s="70"/>
      <c r="E450" s="70"/>
      <c r="F450" s="70"/>
      <c r="G450" s="70"/>
      <c r="H450" s="70"/>
      <c r="I450" s="70"/>
      <c r="J450" s="70"/>
    </row>
    <row r="451" spans="1:10" ht="16" x14ac:dyDescent="0.2">
      <c r="A451" s="70"/>
      <c r="B451" s="70"/>
      <c r="C451" s="70"/>
      <c r="D451" s="70"/>
      <c r="E451" s="70"/>
      <c r="F451" s="70"/>
      <c r="G451" s="70"/>
      <c r="H451" s="70"/>
      <c r="I451" s="70"/>
      <c r="J451" s="70"/>
    </row>
    <row r="452" spans="1:10" ht="16" x14ac:dyDescent="0.2">
      <c r="A452" s="70"/>
      <c r="B452" s="70"/>
      <c r="C452" s="70"/>
      <c r="D452" s="70"/>
      <c r="E452" s="70"/>
      <c r="F452" s="70"/>
      <c r="G452" s="70"/>
      <c r="H452" s="70"/>
      <c r="I452" s="70"/>
      <c r="J452" s="70"/>
    </row>
    <row r="453" spans="1:10" ht="16" x14ac:dyDescent="0.2">
      <c r="A453" s="70"/>
      <c r="B453" s="70"/>
      <c r="C453" s="70"/>
      <c r="D453" s="70"/>
      <c r="E453" s="70"/>
      <c r="F453" s="70"/>
      <c r="G453" s="70"/>
      <c r="H453" s="70"/>
      <c r="I453" s="70"/>
      <c r="J453" s="70"/>
    </row>
    <row r="454" spans="1:10" ht="16" x14ac:dyDescent="0.2">
      <c r="A454" s="70"/>
      <c r="B454" s="70"/>
      <c r="C454" s="70"/>
      <c r="D454" s="70"/>
      <c r="E454" s="70"/>
      <c r="F454" s="70"/>
      <c r="G454" s="70"/>
      <c r="H454" s="70"/>
      <c r="I454" s="70"/>
      <c r="J454" s="70"/>
    </row>
    <row r="455" spans="1:10" ht="16" x14ac:dyDescent="0.2">
      <c r="A455" s="70"/>
      <c r="B455" s="70"/>
      <c r="C455" s="70"/>
      <c r="D455" s="70"/>
      <c r="E455" s="70"/>
      <c r="F455" s="70"/>
      <c r="G455" s="70"/>
      <c r="H455" s="70"/>
      <c r="I455" s="70"/>
      <c r="J455" s="70"/>
    </row>
    <row r="456" spans="1:10" ht="16" x14ac:dyDescent="0.2">
      <c r="A456" s="70"/>
      <c r="B456" s="70"/>
      <c r="C456" s="70"/>
      <c r="D456" s="70"/>
      <c r="E456" s="70"/>
      <c r="F456" s="70"/>
      <c r="G456" s="70"/>
      <c r="H456" s="70"/>
      <c r="I456" s="70"/>
      <c r="J456" s="70"/>
    </row>
    <row r="457" spans="1:10" ht="16" x14ac:dyDescent="0.2">
      <c r="A457" s="70"/>
      <c r="B457" s="70"/>
      <c r="C457" s="70"/>
      <c r="D457" s="70"/>
      <c r="E457" s="70"/>
      <c r="F457" s="70"/>
      <c r="G457" s="70"/>
      <c r="H457" s="70"/>
      <c r="I457" s="70"/>
      <c r="J457" s="70"/>
    </row>
    <row r="458" spans="1:10" ht="16" x14ac:dyDescent="0.2">
      <c r="A458" s="70"/>
      <c r="B458" s="70"/>
      <c r="C458" s="70"/>
      <c r="D458" s="70"/>
      <c r="E458" s="70"/>
      <c r="F458" s="70"/>
      <c r="G458" s="70"/>
      <c r="H458" s="70"/>
      <c r="I458" s="70"/>
      <c r="J458" s="70"/>
    </row>
    <row r="459" spans="1:10" ht="16" x14ac:dyDescent="0.2">
      <c r="A459" s="70"/>
      <c r="B459" s="70"/>
      <c r="C459" s="70"/>
      <c r="D459" s="70"/>
      <c r="E459" s="70"/>
      <c r="F459" s="70"/>
      <c r="G459" s="70"/>
      <c r="H459" s="70"/>
      <c r="I459" s="70"/>
      <c r="J459" s="70"/>
    </row>
    <row r="460" spans="1:10" ht="16" x14ac:dyDescent="0.2">
      <c r="A460" s="70"/>
      <c r="B460" s="70"/>
      <c r="C460" s="70"/>
      <c r="D460" s="70"/>
      <c r="E460" s="70"/>
      <c r="F460" s="70"/>
      <c r="G460" s="70"/>
      <c r="H460" s="70"/>
      <c r="I460" s="70"/>
      <c r="J460" s="70"/>
    </row>
    <row r="461" spans="1:10" ht="16" x14ac:dyDescent="0.2">
      <c r="A461" s="70"/>
      <c r="B461" s="70"/>
      <c r="C461" s="70"/>
      <c r="D461" s="70"/>
      <c r="E461" s="70"/>
      <c r="F461" s="70"/>
      <c r="G461" s="70"/>
      <c r="H461" s="70"/>
      <c r="I461" s="70"/>
      <c r="J461" s="70"/>
    </row>
    <row r="462" spans="1:10" ht="16" x14ac:dyDescent="0.2">
      <c r="A462" s="70"/>
      <c r="B462" s="70"/>
      <c r="C462" s="70"/>
      <c r="D462" s="70"/>
      <c r="E462" s="70"/>
      <c r="F462" s="70"/>
      <c r="G462" s="70"/>
      <c r="H462" s="70"/>
      <c r="I462" s="70"/>
      <c r="J462" s="70"/>
    </row>
    <row r="463" spans="1:10" ht="16" x14ac:dyDescent="0.2">
      <c r="A463" s="70"/>
      <c r="B463" s="70"/>
      <c r="C463" s="70"/>
      <c r="D463" s="70"/>
      <c r="E463" s="70"/>
      <c r="F463" s="70"/>
      <c r="G463" s="70"/>
      <c r="H463" s="70"/>
      <c r="I463" s="70"/>
      <c r="J463" s="70"/>
    </row>
    <row r="464" spans="1:10" ht="16" x14ac:dyDescent="0.2">
      <c r="A464" s="70"/>
      <c r="B464" s="70"/>
      <c r="C464" s="70"/>
      <c r="D464" s="70"/>
      <c r="E464" s="70"/>
      <c r="F464" s="70"/>
      <c r="G464" s="70"/>
      <c r="H464" s="70"/>
      <c r="I464" s="70"/>
      <c r="J464" s="70"/>
    </row>
    <row r="465" spans="1:10" ht="16" x14ac:dyDescent="0.2">
      <c r="A465" s="70"/>
      <c r="B465" s="70"/>
      <c r="C465" s="70"/>
      <c r="D465" s="70"/>
      <c r="E465" s="70"/>
      <c r="F465" s="70"/>
      <c r="G465" s="70"/>
      <c r="H465" s="70"/>
      <c r="I465" s="70"/>
      <c r="J465" s="70"/>
    </row>
    <row r="466" spans="1:10" ht="16" x14ac:dyDescent="0.2">
      <c r="A466" s="70"/>
      <c r="B466" s="70"/>
      <c r="C466" s="70"/>
      <c r="D466" s="70"/>
      <c r="E466" s="70"/>
      <c r="F466" s="70"/>
      <c r="G466" s="70"/>
      <c r="H466" s="70"/>
      <c r="I466" s="70"/>
      <c r="J466" s="70"/>
    </row>
    <row r="467" spans="1:10" ht="16" x14ac:dyDescent="0.2">
      <c r="A467" s="70"/>
      <c r="B467" s="70"/>
      <c r="C467" s="70"/>
      <c r="D467" s="70"/>
      <c r="E467" s="70"/>
      <c r="F467" s="70"/>
      <c r="G467" s="70"/>
      <c r="H467" s="70"/>
      <c r="I467" s="70"/>
      <c r="J467" s="70"/>
    </row>
    <row r="468" spans="1:10" ht="16" x14ac:dyDescent="0.2">
      <c r="A468" s="70"/>
      <c r="B468" s="70"/>
      <c r="C468" s="70"/>
      <c r="D468" s="70"/>
      <c r="E468" s="70"/>
      <c r="F468" s="70"/>
      <c r="G468" s="70"/>
      <c r="H468" s="70"/>
      <c r="I468" s="70"/>
      <c r="J468" s="70"/>
    </row>
    <row r="469" spans="1:10" ht="16" x14ac:dyDescent="0.2">
      <c r="A469" s="70"/>
      <c r="B469" s="70"/>
      <c r="C469" s="70"/>
      <c r="D469" s="70"/>
      <c r="E469" s="70"/>
      <c r="F469" s="70"/>
      <c r="G469" s="70"/>
      <c r="H469" s="70"/>
      <c r="I469" s="70"/>
      <c r="J469" s="70"/>
    </row>
    <row r="470" spans="1:10" ht="16" x14ac:dyDescent="0.2">
      <c r="A470" s="70"/>
      <c r="B470" s="70"/>
      <c r="C470" s="70"/>
      <c r="D470" s="70"/>
      <c r="E470" s="70"/>
      <c r="F470" s="70"/>
      <c r="G470" s="70"/>
      <c r="H470" s="70"/>
      <c r="I470" s="70"/>
      <c r="J470" s="70"/>
    </row>
    <row r="471" spans="1:10" ht="16" x14ac:dyDescent="0.2">
      <c r="A471" s="70"/>
      <c r="B471" s="70"/>
      <c r="C471" s="70"/>
      <c r="D471" s="70"/>
      <c r="E471" s="70"/>
      <c r="F471" s="70"/>
      <c r="G471" s="70"/>
      <c r="H471" s="70"/>
      <c r="I471" s="70"/>
      <c r="J471" s="70"/>
    </row>
    <row r="472" spans="1:10" ht="16" x14ac:dyDescent="0.2">
      <c r="A472" s="70"/>
      <c r="B472" s="70"/>
      <c r="C472" s="70"/>
      <c r="D472" s="70"/>
      <c r="E472" s="70"/>
      <c r="F472" s="70"/>
      <c r="G472" s="70"/>
      <c r="H472" s="70"/>
      <c r="I472" s="70"/>
      <c r="J472" s="70"/>
    </row>
    <row r="473" spans="1:10" ht="16" x14ac:dyDescent="0.2">
      <c r="A473" s="70"/>
      <c r="B473" s="70"/>
      <c r="C473" s="70"/>
      <c r="D473" s="70"/>
      <c r="E473" s="70"/>
      <c r="F473" s="70"/>
      <c r="G473" s="70"/>
      <c r="H473" s="70"/>
      <c r="I473" s="70"/>
      <c r="J473" s="70"/>
    </row>
    <row r="474" spans="1:10" ht="16" x14ac:dyDescent="0.2">
      <c r="A474" s="70"/>
      <c r="B474" s="70"/>
      <c r="C474" s="70"/>
      <c r="D474" s="70"/>
      <c r="E474" s="70"/>
      <c r="F474" s="70"/>
      <c r="G474" s="70"/>
      <c r="H474" s="70"/>
      <c r="I474" s="70"/>
      <c r="J474" s="70"/>
    </row>
    <row r="475" spans="1:10" ht="16" x14ac:dyDescent="0.2">
      <c r="A475" s="70"/>
      <c r="B475" s="70"/>
      <c r="C475" s="70"/>
      <c r="D475" s="70"/>
      <c r="E475" s="70"/>
      <c r="F475" s="70"/>
      <c r="G475" s="70"/>
      <c r="H475" s="70"/>
      <c r="I475" s="70"/>
      <c r="J475" s="70"/>
    </row>
    <row r="476" spans="1:10" ht="16" x14ac:dyDescent="0.2">
      <c r="A476" s="70"/>
      <c r="B476" s="70"/>
      <c r="C476" s="70"/>
      <c r="D476" s="70"/>
      <c r="E476" s="70"/>
      <c r="F476" s="70"/>
      <c r="G476" s="70"/>
      <c r="H476" s="70"/>
      <c r="I476" s="70"/>
      <c r="J476" s="70"/>
    </row>
    <row r="477" spans="1:10" ht="16" x14ac:dyDescent="0.2">
      <c r="A477" s="70"/>
      <c r="B477" s="70"/>
      <c r="C477" s="70"/>
      <c r="D477" s="70"/>
      <c r="E477" s="70"/>
      <c r="F477" s="70"/>
      <c r="G477" s="70"/>
      <c r="H477" s="70"/>
      <c r="I477" s="70"/>
      <c r="J477" s="70"/>
    </row>
    <row r="478" spans="1:10" ht="16" x14ac:dyDescent="0.2">
      <c r="A478" s="70"/>
      <c r="B478" s="70"/>
      <c r="C478" s="70"/>
      <c r="D478" s="70"/>
      <c r="E478" s="70"/>
      <c r="F478" s="70"/>
      <c r="G478" s="70"/>
      <c r="H478" s="70"/>
      <c r="I478" s="70"/>
      <c r="J478" s="70"/>
    </row>
    <row r="479" spans="1:10" ht="16" x14ac:dyDescent="0.2">
      <c r="A479" s="70"/>
      <c r="B479" s="70"/>
      <c r="C479" s="70"/>
      <c r="D479" s="70"/>
      <c r="E479" s="70"/>
      <c r="F479" s="70"/>
      <c r="G479" s="70"/>
      <c r="H479" s="70"/>
      <c r="I479" s="70"/>
      <c r="J479" s="70"/>
    </row>
    <row r="480" spans="1:10" ht="16" x14ac:dyDescent="0.2">
      <c r="A480" s="70"/>
      <c r="B480" s="70"/>
      <c r="C480" s="70"/>
      <c r="D480" s="70"/>
      <c r="E480" s="70"/>
      <c r="F480" s="70"/>
      <c r="G480" s="70"/>
      <c r="H480" s="70"/>
      <c r="I480" s="70"/>
      <c r="J480" s="70"/>
    </row>
    <row r="481" spans="1:10" ht="16" x14ac:dyDescent="0.2">
      <c r="A481" s="70"/>
      <c r="B481" s="70"/>
      <c r="C481" s="70"/>
      <c r="D481" s="70"/>
      <c r="E481" s="70"/>
      <c r="F481" s="70"/>
      <c r="G481" s="70"/>
      <c r="H481" s="70"/>
      <c r="I481" s="70"/>
      <c r="J481" s="70"/>
    </row>
    <row r="482" spans="1:10" ht="16" x14ac:dyDescent="0.2">
      <c r="A482" s="70"/>
      <c r="B482" s="70"/>
      <c r="C482" s="70"/>
      <c r="D482" s="70"/>
      <c r="E482" s="70"/>
      <c r="F482" s="70"/>
      <c r="G482" s="70"/>
      <c r="H482" s="70"/>
      <c r="I482" s="70"/>
      <c r="J482" s="70"/>
    </row>
    <row r="483" spans="1:10" ht="16" x14ac:dyDescent="0.2">
      <c r="A483" s="70"/>
      <c r="B483" s="70"/>
      <c r="C483" s="70"/>
      <c r="D483" s="70"/>
      <c r="E483" s="70"/>
      <c r="F483" s="70"/>
      <c r="G483" s="70"/>
      <c r="H483" s="70"/>
      <c r="I483" s="70"/>
      <c r="J483" s="70"/>
    </row>
    <row r="484" spans="1:10" ht="16" x14ac:dyDescent="0.2">
      <c r="A484" s="70"/>
      <c r="B484" s="70"/>
      <c r="C484" s="70"/>
      <c r="D484" s="70"/>
      <c r="E484" s="70"/>
      <c r="F484" s="70"/>
      <c r="G484" s="70"/>
      <c r="H484" s="70"/>
      <c r="I484" s="70"/>
      <c r="J484" s="70"/>
    </row>
    <row r="485" spans="1:10" ht="16" x14ac:dyDescent="0.2">
      <c r="A485" s="70"/>
      <c r="B485" s="70"/>
      <c r="C485" s="70"/>
      <c r="D485" s="70"/>
      <c r="E485" s="70"/>
      <c r="F485" s="70"/>
      <c r="G485" s="70"/>
      <c r="H485" s="70"/>
      <c r="I485" s="70"/>
      <c r="J485" s="70"/>
    </row>
    <row r="486" spans="1:10" ht="16" x14ac:dyDescent="0.2">
      <c r="A486" s="70"/>
      <c r="B486" s="70"/>
      <c r="C486" s="70"/>
      <c r="D486" s="70"/>
      <c r="E486" s="70"/>
      <c r="F486" s="70"/>
      <c r="G486" s="70"/>
      <c r="H486" s="70"/>
      <c r="I486" s="70"/>
      <c r="J486" s="70"/>
    </row>
    <row r="487" spans="1:10" ht="16" x14ac:dyDescent="0.2">
      <c r="A487" s="70"/>
      <c r="B487" s="70"/>
      <c r="C487" s="70"/>
      <c r="D487" s="70"/>
      <c r="E487" s="70"/>
      <c r="F487" s="70"/>
      <c r="G487" s="70"/>
      <c r="H487" s="70"/>
      <c r="I487" s="70"/>
      <c r="J487" s="70"/>
    </row>
    <row r="488" spans="1:10" ht="16" x14ac:dyDescent="0.2">
      <c r="A488" s="70"/>
      <c r="B488" s="70"/>
      <c r="C488" s="70"/>
      <c r="D488" s="70"/>
      <c r="E488" s="70"/>
      <c r="F488" s="70"/>
      <c r="G488" s="70"/>
      <c r="H488" s="70"/>
      <c r="I488" s="70"/>
      <c r="J488" s="70"/>
    </row>
    <row r="489" spans="1:10" ht="16" x14ac:dyDescent="0.2">
      <c r="A489" s="70"/>
      <c r="B489" s="70"/>
      <c r="C489" s="70"/>
      <c r="D489" s="70"/>
      <c r="E489" s="70"/>
      <c r="F489" s="70"/>
      <c r="G489" s="70"/>
      <c r="H489" s="70"/>
      <c r="I489" s="70"/>
      <c r="J489" s="70"/>
    </row>
    <row r="490" spans="1:10" ht="16" x14ac:dyDescent="0.2">
      <c r="A490" s="70"/>
      <c r="B490" s="70"/>
      <c r="C490" s="70"/>
      <c r="D490" s="70"/>
      <c r="E490" s="70"/>
      <c r="F490" s="70"/>
      <c r="G490" s="70"/>
      <c r="H490" s="70"/>
      <c r="I490" s="70"/>
      <c r="J490" s="70"/>
    </row>
    <row r="491" spans="1:10" ht="16" x14ac:dyDescent="0.2">
      <c r="A491" s="70"/>
      <c r="B491" s="70"/>
      <c r="C491" s="70"/>
      <c r="D491" s="70"/>
      <c r="E491" s="70"/>
      <c r="F491" s="70"/>
      <c r="G491" s="70"/>
      <c r="H491" s="70"/>
      <c r="I491" s="70"/>
      <c r="J491" s="70"/>
    </row>
    <row r="492" spans="1:10" ht="16" x14ac:dyDescent="0.2">
      <c r="A492" s="70"/>
      <c r="B492" s="70"/>
      <c r="C492" s="70"/>
      <c r="D492" s="70"/>
      <c r="E492" s="70"/>
      <c r="F492" s="70"/>
      <c r="G492" s="70"/>
      <c r="H492" s="70"/>
      <c r="I492" s="70"/>
      <c r="J492" s="70"/>
    </row>
    <row r="493" spans="1:10" ht="16" x14ac:dyDescent="0.2">
      <c r="A493" s="70"/>
      <c r="B493" s="70"/>
      <c r="C493" s="70"/>
      <c r="D493" s="70"/>
      <c r="E493" s="70"/>
      <c r="F493" s="70"/>
      <c r="G493" s="70"/>
      <c r="H493" s="70"/>
      <c r="I493" s="70"/>
      <c r="J493" s="70"/>
    </row>
    <row r="494" spans="1:10" ht="16" x14ac:dyDescent="0.2">
      <c r="A494" s="70"/>
      <c r="B494" s="70"/>
      <c r="C494" s="70"/>
      <c r="D494" s="70"/>
      <c r="E494" s="70"/>
      <c r="F494" s="70"/>
      <c r="G494" s="70"/>
      <c r="H494" s="70"/>
      <c r="I494" s="70"/>
      <c r="J494" s="70"/>
    </row>
    <row r="495" spans="1:10" ht="16" x14ac:dyDescent="0.2">
      <c r="A495" s="70"/>
      <c r="B495" s="70"/>
      <c r="C495" s="70"/>
      <c r="D495" s="70"/>
      <c r="E495" s="70"/>
      <c r="F495" s="70"/>
      <c r="G495" s="70"/>
      <c r="H495" s="70"/>
      <c r="I495" s="70"/>
      <c r="J495" s="70"/>
    </row>
    <row r="496" spans="1:10" ht="16" x14ac:dyDescent="0.2">
      <c r="A496" s="70"/>
      <c r="B496" s="70"/>
      <c r="C496" s="70"/>
      <c r="D496" s="70"/>
      <c r="E496" s="70"/>
      <c r="F496" s="70"/>
      <c r="G496" s="70"/>
      <c r="H496" s="70"/>
      <c r="I496" s="70"/>
      <c r="J496" s="70"/>
    </row>
    <row r="497" spans="1:10" ht="16" x14ac:dyDescent="0.2">
      <c r="A497" s="70"/>
      <c r="B497" s="70"/>
      <c r="C497" s="70"/>
      <c r="D497" s="70"/>
      <c r="E497" s="70"/>
      <c r="F497" s="70"/>
      <c r="G497" s="70"/>
      <c r="H497" s="70"/>
      <c r="I497" s="70"/>
      <c r="J497" s="70"/>
    </row>
    <row r="498" spans="1:10" ht="16" x14ac:dyDescent="0.2">
      <c r="A498" s="70"/>
      <c r="B498" s="70"/>
      <c r="C498" s="70"/>
      <c r="D498" s="70"/>
      <c r="E498" s="70"/>
      <c r="F498" s="70"/>
      <c r="G498" s="70"/>
      <c r="H498" s="70"/>
      <c r="I498" s="70"/>
      <c r="J498" s="70"/>
    </row>
    <row r="499" spans="1:10" ht="16" x14ac:dyDescent="0.2">
      <c r="A499" s="70"/>
      <c r="B499" s="70"/>
      <c r="C499" s="70"/>
      <c r="D499" s="70"/>
      <c r="E499" s="70"/>
      <c r="F499" s="70"/>
      <c r="G499" s="70"/>
      <c r="H499" s="70"/>
      <c r="I499" s="70"/>
      <c r="J499" s="70"/>
    </row>
    <row r="500" spans="1:10" ht="16" x14ac:dyDescent="0.2">
      <c r="A500" s="70"/>
      <c r="B500" s="70"/>
      <c r="C500" s="70"/>
      <c r="D500" s="70"/>
      <c r="E500" s="70"/>
      <c r="F500" s="70"/>
      <c r="G500" s="70"/>
      <c r="H500" s="70"/>
      <c r="I500" s="70"/>
      <c r="J500" s="70"/>
    </row>
    <row r="501" spans="1:10" ht="16" x14ac:dyDescent="0.2">
      <c r="A501" s="70"/>
      <c r="B501" s="70"/>
      <c r="C501" s="70"/>
      <c r="D501" s="70"/>
      <c r="E501" s="70"/>
      <c r="F501" s="70"/>
      <c r="G501" s="70"/>
      <c r="H501" s="70"/>
      <c r="I501" s="70"/>
      <c r="J501" s="70"/>
    </row>
    <row r="502" spans="1:10" ht="16" x14ac:dyDescent="0.2">
      <c r="A502" s="70"/>
      <c r="B502" s="70"/>
      <c r="C502" s="70"/>
      <c r="D502" s="70"/>
      <c r="E502" s="70"/>
      <c r="F502" s="70"/>
      <c r="G502" s="70"/>
      <c r="H502" s="70"/>
      <c r="I502" s="70"/>
      <c r="J502" s="70"/>
    </row>
    <row r="503" spans="1:10" ht="16" x14ac:dyDescent="0.2">
      <c r="A503" s="70"/>
      <c r="B503" s="70"/>
      <c r="C503" s="70"/>
      <c r="D503" s="70"/>
      <c r="E503" s="70"/>
      <c r="F503" s="70"/>
      <c r="G503" s="70"/>
      <c r="H503" s="70"/>
      <c r="I503" s="70"/>
      <c r="J503" s="70"/>
    </row>
    <row r="504" spans="1:10" ht="16" x14ac:dyDescent="0.2">
      <c r="A504" s="70"/>
      <c r="B504" s="70"/>
      <c r="C504" s="70"/>
      <c r="D504" s="70"/>
      <c r="E504" s="70"/>
      <c r="F504" s="70"/>
      <c r="G504" s="70"/>
      <c r="H504" s="70"/>
      <c r="I504" s="70"/>
      <c r="J504" s="70"/>
    </row>
    <row r="505" spans="1:10" ht="16" x14ac:dyDescent="0.2">
      <c r="A505" s="70"/>
      <c r="B505" s="70"/>
      <c r="C505" s="70"/>
      <c r="D505" s="70"/>
      <c r="E505" s="70"/>
      <c r="F505" s="70"/>
      <c r="G505" s="70"/>
      <c r="H505" s="70"/>
      <c r="I505" s="70"/>
      <c r="J505" s="70"/>
    </row>
    <row r="506" spans="1:10" ht="16" x14ac:dyDescent="0.2">
      <c r="A506" s="70"/>
      <c r="B506" s="70"/>
      <c r="C506" s="70"/>
      <c r="D506" s="70"/>
      <c r="E506" s="70"/>
      <c r="F506" s="70"/>
      <c r="G506" s="70"/>
      <c r="H506" s="70"/>
      <c r="I506" s="70"/>
      <c r="J506" s="70"/>
    </row>
    <row r="507" spans="1:10" ht="16" x14ac:dyDescent="0.2">
      <c r="A507" s="70"/>
      <c r="B507" s="70"/>
      <c r="C507" s="70"/>
      <c r="D507" s="70"/>
      <c r="E507" s="70"/>
      <c r="F507" s="70"/>
      <c r="G507" s="70"/>
      <c r="H507" s="70"/>
      <c r="I507" s="70"/>
      <c r="J507" s="70"/>
    </row>
    <row r="508" spans="1:10" ht="16" x14ac:dyDescent="0.2">
      <c r="A508" s="70"/>
      <c r="B508" s="70"/>
      <c r="C508" s="70"/>
      <c r="D508" s="70"/>
      <c r="E508" s="70"/>
      <c r="F508" s="70"/>
      <c r="G508" s="70"/>
      <c r="H508" s="70"/>
      <c r="I508" s="70"/>
      <c r="J508" s="70"/>
    </row>
    <row r="509" spans="1:10" ht="16" x14ac:dyDescent="0.2">
      <c r="A509" s="70"/>
      <c r="B509" s="70"/>
      <c r="C509" s="70"/>
      <c r="D509" s="70"/>
      <c r="E509" s="70"/>
      <c r="F509" s="70"/>
      <c r="G509" s="70"/>
      <c r="H509" s="70"/>
      <c r="I509" s="70"/>
      <c r="J509" s="70"/>
    </row>
    <row r="510" spans="1:10" ht="16" x14ac:dyDescent="0.2">
      <c r="A510" s="70"/>
      <c r="B510" s="70"/>
      <c r="C510" s="70"/>
      <c r="D510" s="70"/>
      <c r="E510" s="70"/>
      <c r="F510" s="70"/>
      <c r="G510" s="70"/>
      <c r="H510" s="70"/>
      <c r="I510" s="70"/>
      <c r="J510" s="70"/>
    </row>
    <row r="511" spans="1:10" ht="16" x14ac:dyDescent="0.2">
      <c r="A511" s="70"/>
      <c r="B511" s="70"/>
      <c r="C511" s="70"/>
      <c r="D511" s="70"/>
      <c r="E511" s="70"/>
      <c r="F511" s="70"/>
      <c r="G511" s="70"/>
      <c r="H511" s="70"/>
      <c r="I511" s="70"/>
      <c r="J511" s="70"/>
    </row>
    <row r="512" spans="1:10" ht="16" x14ac:dyDescent="0.2">
      <c r="A512" s="70"/>
      <c r="B512" s="70"/>
      <c r="C512" s="70"/>
      <c r="D512" s="70"/>
      <c r="E512" s="70"/>
      <c r="F512" s="70"/>
      <c r="G512" s="70"/>
      <c r="H512" s="70"/>
      <c r="I512" s="70"/>
      <c r="J512" s="70"/>
    </row>
    <row r="513" spans="1:10" ht="16" x14ac:dyDescent="0.2">
      <c r="A513" s="70"/>
      <c r="B513" s="70"/>
      <c r="C513" s="70"/>
      <c r="D513" s="70"/>
      <c r="E513" s="70"/>
      <c r="F513" s="70"/>
      <c r="G513" s="70"/>
      <c r="H513" s="70"/>
      <c r="I513" s="70"/>
      <c r="J513" s="70"/>
    </row>
    <row r="514" spans="1:10" ht="16" x14ac:dyDescent="0.2">
      <c r="A514" s="70"/>
      <c r="B514" s="70"/>
      <c r="C514" s="70"/>
      <c r="D514" s="70"/>
      <c r="E514" s="70"/>
      <c r="F514" s="70"/>
      <c r="G514" s="70"/>
      <c r="H514" s="70"/>
      <c r="I514" s="70"/>
      <c r="J514" s="70"/>
    </row>
    <row r="515" spans="1:10" ht="16" x14ac:dyDescent="0.2">
      <c r="A515" s="70"/>
      <c r="B515" s="70"/>
      <c r="C515" s="70"/>
      <c r="D515" s="70"/>
      <c r="E515" s="70"/>
      <c r="F515" s="70"/>
      <c r="G515" s="70"/>
      <c r="H515" s="70"/>
      <c r="I515" s="70"/>
      <c r="J515" s="70"/>
    </row>
    <row r="516" spans="1:10" ht="16" x14ac:dyDescent="0.2">
      <c r="A516" s="70"/>
      <c r="B516" s="70"/>
      <c r="C516" s="70"/>
      <c r="D516" s="70"/>
      <c r="E516" s="70"/>
      <c r="F516" s="70"/>
      <c r="G516" s="70"/>
      <c r="H516" s="70"/>
      <c r="I516" s="70"/>
      <c r="J516" s="70"/>
    </row>
    <row r="517" spans="1:10" ht="16" x14ac:dyDescent="0.2">
      <c r="A517" s="70"/>
      <c r="B517" s="70"/>
      <c r="C517" s="70"/>
      <c r="D517" s="70"/>
      <c r="E517" s="70"/>
      <c r="F517" s="70"/>
      <c r="G517" s="70"/>
      <c r="H517" s="70"/>
      <c r="I517" s="70"/>
      <c r="J517" s="70"/>
    </row>
    <row r="518" spans="1:10" ht="16" x14ac:dyDescent="0.2">
      <c r="A518" s="70"/>
      <c r="B518" s="70"/>
      <c r="C518" s="70"/>
      <c r="D518" s="70"/>
      <c r="E518" s="70"/>
      <c r="F518" s="70"/>
      <c r="G518" s="70"/>
      <c r="H518" s="70"/>
      <c r="I518" s="70"/>
      <c r="J518" s="70"/>
    </row>
    <row r="519" spans="1:10" ht="16" x14ac:dyDescent="0.2">
      <c r="A519" s="70"/>
      <c r="B519" s="70"/>
      <c r="C519" s="70"/>
      <c r="D519" s="70"/>
      <c r="E519" s="70"/>
      <c r="F519" s="70"/>
      <c r="G519" s="70"/>
      <c r="H519" s="70"/>
      <c r="I519" s="70"/>
      <c r="J519" s="70"/>
    </row>
    <row r="520" spans="1:10" ht="16" x14ac:dyDescent="0.2">
      <c r="A520" s="70"/>
      <c r="B520" s="70"/>
      <c r="C520" s="70"/>
      <c r="D520" s="70"/>
      <c r="E520" s="70"/>
      <c r="F520" s="70"/>
      <c r="G520" s="70"/>
      <c r="H520" s="70"/>
      <c r="I520" s="70"/>
      <c r="J520" s="70"/>
    </row>
    <row r="521" spans="1:10" ht="16" x14ac:dyDescent="0.2">
      <c r="A521" s="70"/>
      <c r="B521" s="70"/>
      <c r="C521" s="70"/>
      <c r="D521" s="70"/>
      <c r="E521" s="70"/>
      <c r="F521" s="70"/>
      <c r="G521" s="70"/>
      <c r="H521" s="70"/>
      <c r="I521" s="70"/>
      <c r="J521" s="70"/>
    </row>
    <row r="522" spans="1:10" ht="16" x14ac:dyDescent="0.2">
      <c r="A522" s="70"/>
      <c r="B522" s="70"/>
      <c r="C522" s="70"/>
      <c r="D522" s="70"/>
      <c r="E522" s="70"/>
      <c r="F522" s="70"/>
      <c r="G522" s="70"/>
      <c r="H522" s="70"/>
      <c r="I522" s="70"/>
      <c r="J522" s="70"/>
    </row>
    <row r="523" spans="1:10" ht="16" x14ac:dyDescent="0.2">
      <c r="A523" s="70"/>
      <c r="B523" s="70"/>
      <c r="C523" s="70"/>
      <c r="D523" s="70"/>
      <c r="E523" s="70"/>
      <c r="F523" s="70"/>
      <c r="G523" s="70"/>
      <c r="H523" s="70"/>
      <c r="I523" s="70"/>
      <c r="J523" s="70"/>
    </row>
    <row r="524" spans="1:10" ht="16" x14ac:dyDescent="0.2">
      <c r="A524" s="70"/>
      <c r="B524" s="70"/>
      <c r="C524" s="70"/>
      <c r="D524" s="70"/>
      <c r="E524" s="70"/>
      <c r="F524" s="70"/>
      <c r="G524" s="70"/>
      <c r="H524" s="70"/>
      <c r="I524" s="70"/>
      <c r="J524" s="70"/>
    </row>
    <row r="525" spans="1:10" ht="16" x14ac:dyDescent="0.2">
      <c r="A525" s="70"/>
      <c r="B525" s="70"/>
      <c r="C525" s="70"/>
      <c r="D525" s="70"/>
      <c r="E525" s="70"/>
      <c r="F525" s="70"/>
      <c r="G525" s="70"/>
      <c r="H525" s="70"/>
      <c r="I525" s="70"/>
      <c r="J525" s="70"/>
    </row>
    <row r="526" spans="1:10" ht="16" x14ac:dyDescent="0.2">
      <c r="A526" s="70"/>
      <c r="B526" s="70"/>
      <c r="C526" s="70"/>
      <c r="D526" s="70"/>
      <c r="E526" s="70"/>
      <c r="F526" s="70"/>
      <c r="G526" s="70"/>
      <c r="H526" s="70"/>
      <c r="I526" s="70"/>
      <c r="J526" s="70"/>
    </row>
    <row r="527" spans="1:10" ht="16" x14ac:dyDescent="0.2">
      <c r="A527" s="70"/>
      <c r="B527" s="70"/>
      <c r="C527" s="70"/>
      <c r="D527" s="70"/>
      <c r="E527" s="70"/>
      <c r="F527" s="70"/>
      <c r="G527" s="70"/>
      <c r="H527" s="70"/>
      <c r="I527" s="70"/>
      <c r="J527" s="70"/>
    </row>
    <row r="528" spans="1:10" ht="16" x14ac:dyDescent="0.2">
      <c r="A528" s="70"/>
      <c r="B528" s="70"/>
      <c r="C528" s="70"/>
      <c r="D528" s="70"/>
      <c r="E528" s="70"/>
      <c r="F528" s="70"/>
      <c r="G528" s="70"/>
      <c r="H528" s="70"/>
      <c r="I528" s="70"/>
      <c r="J528" s="70"/>
    </row>
    <row r="529" spans="1:10" ht="16" x14ac:dyDescent="0.2">
      <c r="A529" s="70"/>
      <c r="B529" s="70"/>
      <c r="C529" s="70"/>
      <c r="D529" s="70"/>
      <c r="E529" s="70"/>
      <c r="F529" s="70"/>
      <c r="G529" s="70"/>
      <c r="H529" s="70"/>
      <c r="I529" s="70"/>
      <c r="J529" s="70"/>
    </row>
    <row r="530" spans="1:10" ht="16" x14ac:dyDescent="0.2">
      <c r="A530" s="70"/>
      <c r="B530" s="70"/>
      <c r="C530" s="70"/>
      <c r="D530" s="70"/>
      <c r="E530" s="70"/>
      <c r="F530" s="70"/>
      <c r="G530" s="70"/>
      <c r="H530" s="70"/>
      <c r="I530" s="70"/>
      <c r="J530" s="70"/>
    </row>
    <row r="531" spans="1:10" ht="16" x14ac:dyDescent="0.2">
      <c r="A531" s="70"/>
      <c r="B531" s="70"/>
      <c r="C531" s="70"/>
      <c r="D531" s="70"/>
      <c r="E531" s="70"/>
      <c r="F531" s="70"/>
      <c r="G531" s="70"/>
      <c r="H531" s="70"/>
      <c r="I531" s="70"/>
      <c r="J531" s="70"/>
    </row>
    <row r="532" spans="1:10" ht="16" x14ac:dyDescent="0.2">
      <c r="A532" s="70"/>
      <c r="B532" s="70"/>
      <c r="C532" s="70"/>
      <c r="D532" s="70"/>
      <c r="E532" s="70"/>
      <c r="F532" s="70"/>
      <c r="G532" s="70"/>
      <c r="H532" s="70"/>
      <c r="I532" s="70"/>
      <c r="J532" s="70"/>
    </row>
    <row r="533" spans="1:10" ht="16" x14ac:dyDescent="0.2">
      <c r="A533" s="70"/>
      <c r="B533" s="70"/>
      <c r="C533" s="70"/>
      <c r="D533" s="70"/>
      <c r="E533" s="70"/>
      <c r="F533" s="70"/>
      <c r="G533" s="70"/>
      <c r="H533" s="70"/>
      <c r="I533" s="70"/>
      <c r="J533" s="70"/>
    </row>
    <row r="534" spans="1:10" ht="16" x14ac:dyDescent="0.2">
      <c r="A534" s="70"/>
      <c r="B534" s="70"/>
      <c r="C534" s="70"/>
      <c r="D534" s="70"/>
      <c r="E534" s="70"/>
      <c r="F534" s="70"/>
      <c r="G534" s="70"/>
      <c r="H534" s="70"/>
      <c r="I534" s="70"/>
      <c r="J534" s="70"/>
    </row>
    <row r="535" spans="1:10" ht="16" x14ac:dyDescent="0.2">
      <c r="A535" s="70"/>
      <c r="B535" s="70"/>
      <c r="C535" s="70"/>
      <c r="D535" s="70"/>
      <c r="E535" s="70"/>
      <c r="F535" s="70"/>
      <c r="G535" s="70"/>
      <c r="H535" s="70"/>
      <c r="I535" s="70"/>
      <c r="J535" s="70"/>
    </row>
    <row r="536" spans="1:10" ht="16" x14ac:dyDescent="0.2">
      <c r="A536" s="70"/>
      <c r="B536" s="70"/>
      <c r="C536" s="70"/>
      <c r="D536" s="70"/>
      <c r="E536" s="70"/>
      <c r="F536" s="70"/>
      <c r="G536" s="70"/>
      <c r="H536" s="70"/>
      <c r="I536" s="70"/>
      <c r="J536" s="70"/>
    </row>
    <row r="537" spans="1:10" ht="16" x14ac:dyDescent="0.2">
      <c r="A537" s="70"/>
      <c r="B537" s="70"/>
      <c r="C537" s="70"/>
      <c r="D537" s="70"/>
      <c r="E537" s="70"/>
      <c r="F537" s="70"/>
      <c r="G537" s="70"/>
      <c r="H537" s="70"/>
      <c r="I537" s="70"/>
      <c r="J537" s="70"/>
    </row>
    <row r="538" spans="1:10" ht="16" x14ac:dyDescent="0.2">
      <c r="A538" s="70"/>
      <c r="B538" s="70"/>
      <c r="C538" s="70"/>
      <c r="D538" s="70"/>
      <c r="E538" s="70"/>
      <c r="F538" s="70"/>
      <c r="G538" s="70"/>
      <c r="H538" s="70"/>
      <c r="I538" s="70"/>
      <c r="J538" s="70"/>
    </row>
    <row r="539" spans="1:10" ht="16" x14ac:dyDescent="0.2">
      <c r="A539" s="70"/>
      <c r="B539" s="70"/>
      <c r="C539" s="70"/>
      <c r="D539" s="70"/>
      <c r="E539" s="70"/>
      <c r="F539" s="70"/>
      <c r="G539" s="70"/>
      <c r="H539" s="70"/>
      <c r="I539" s="70"/>
      <c r="J539" s="70"/>
    </row>
    <row r="540" spans="1:10" ht="16" x14ac:dyDescent="0.2">
      <c r="A540" s="70"/>
      <c r="B540" s="70"/>
      <c r="C540" s="70"/>
      <c r="D540" s="70"/>
      <c r="E540" s="70"/>
      <c r="F540" s="70"/>
      <c r="G540" s="70"/>
      <c r="H540" s="70"/>
      <c r="I540" s="70"/>
      <c r="J540" s="70"/>
    </row>
    <row r="541" spans="1:10" ht="16" x14ac:dyDescent="0.2">
      <c r="A541" s="70"/>
      <c r="B541" s="70"/>
      <c r="C541" s="70"/>
      <c r="D541" s="70"/>
      <c r="E541" s="70"/>
      <c r="F541" s="70"/>
      <c r="G541" s="70"/>
      <c r="H541" s="70"/>
      <c r="I541" s="70"/>
      <c r="J541" s="70"/>
    </row>
    <row r="542" spans="1:10" ht="16" x14ac:dyDescent="0.2">
      <c r="A542" s="70"/>
      <c r="B542" s="70"/>
      <c r="C542" s="70"/>
      <c r="D542" s="70"/>
      <c r="E542" s="70"/>
      <c r="F542" s="70"/>
      <c r="G542" s="70"/>
      <c r="H542" s="70"/>
      <c r="I542" s="70"/>
      <c r="J542" s="70"/>
    </row>
    <row r="543" spans="1:10" ht="16" x14ac:dyDescent="0.2">
      <c r="A543" s="70"/>
      <c r="B543" s="70"/>
      <c r="C543" s="70"/>
      <c r="D543" s="70"/>
      <c r="E543" s="70"/>
      <c r="F543" s="70"/>
      <c r="G543" s="70"/>
      <c r="H543" s="70"/>
      <c r="I543" s="70"/>
      <c r="J543" s="70"/>
    </row>
    <row r="544" spans="1:10" ht="16" x14ac:dyDescent="0.2">
      <c r="A544" s="70"/>
      <c r="B544" s="70"/>
      <c r="C544" s="70"/>
      <c r="D544" s="70"/>
      <c r="E544" s="70"/>
      <c r="F544" s="70"/>
      <c r="G544" s="70"/>
      <c r="H544" s="70"/>
      <c r="I544" s="70"/>
      <c r="J544" s="70"/>
    </row>
    <row r="545" spans="1:10" ht="16" x14ac:dyDescent="0.2">
      <c r="A545" s="70"/>
      <c r="B545" s="70"/>
      <c r="C545" s="70"/>
      <c r="D545" s="70"/>
      <c r="E545" s="70"/>
      <c r="F545" s="70"/>
      <c r="G545" s="70"/>
      <c r="H545" s="70"/>
      <c r="I545" s="70"/>
      <c r="J545" s="70"/>
    </row>
    <row r="546" spans="1:10" ht="16" x14ac:dyDescent="0.2">
      <c r="A546" s="70"/>
      <c r="B546" s="70"/>
      <c r="C546" s="70"/>
      <c r="D546" s="70"/>
      <c r="E546" s="70"/>
      <c r="F546" s="70"/>
      <c r="G546" s="70"/>
      <c r="H546" s="70"/>
      <c r="I546" s="70"/>
      <c r="J546" s="70"/>
    </row>
    <row r="547" spans="1:10" ht="16" x14ac:dyDescent="0.2">
      <c r="A547" s="70"/>
      <c r="B547" s="70"/>
      <c r="C547" s="70"/>
      <c r="D547" s="70"/>
      <c r="E547" s="70"/>
      <c r="F547" s="70"/>
      <c r="G547" s="70"/>
      <c r="H547" s="70"/>
      <c r="I547" s="70"/>
      <c r="J547" s="70"/>
    </row>
    <row r="548" spans="1:10" ht="16" x14ac:dyDescent="0.2">
      <c r="A548" s="70"/>
      <c r="B548" s="70"/>
      <c r="C548" s="70"/>
      <c r="D548" s="70"/>
      <c r="E548" s="70"/>
      <c r="F548" s="70"/>
      <c r="G548" s="70"/>
      <c r="H548" s="70"/>
      <c r="I548" s="70"/>
      <c r="J548" s="70"/>
    </row>
    <row r="549" spans="1:10" ht="16" x14ac:dyDescent="0.2">
      <c r="A549" s="70"/>
      <c r="B549" s="70"/>
      <c r="C549" s="70"/>
      <c r="D549" s="70"/>
      <c r="E549" s="70"/>
      <c r="F549" s="70"/>
      <c r="G549" s="70"/>
      <c r="H549" s="70"/>
      <c r="I549" s="70"/>
      <c r="J549" s="70"/>
    </row>
    <row r="550" spans="1:10" ht="16" x14ac:dyDescent="0.2">
      <c r="A550" s="70"/>
      <c r="B550" s="70"/>
      <c r="C550" s="70"/>
      <c r="D550" s="70"/>
      <c r="E550" s="70"/>
      <c r="F550" s="70"/>
      <c r="G550" s="70"/>
      <c r="H550" s="70"/>
      <c r="I550" s="70"/>
      <c r="J550" s="70"/>
    </row>
    <row r="551" spans="1:10" ht="16" x14ac:dyDescent="0.2">
      <c r="A551" s="70"/>
      <c r="B551" s="70"/>
      <c r="C551" s="70"/>
      <c r="D551" s="70"/>
      <c r="E551" s="70"/>
      <c r="F551" s="70"/>
      <c r="G551" s="70"/>
      <c r="H551" s="70"/>
      <c r="I551" s="70"/>
      <c r="J551" s="70"/>
    </row>
    <row r="552" spans="1:10" ht="16" x14ac:dyDescent="0.2">
      <c r="A552" s="70"/>
      <c r="B552" s="70"/>
      <c r="C552" s="70"/>
      <c r="D552" s="70"/>
      <c r="E552" s="70"/>
      <c r="F552" s="70"/>
      <c r="G552" s="70"/>
      <c r="H552" s="70"/>
      <c r="I552" s="70"/>
      <c r="J552" s="70"/>
    </row>
    <row r="553" spans="1:10" ht="16" x14ac:dyDescent="0.2">
      <c r="A553" s="70"/>
      <c r="B553" s="70"/>
      <c r="C553" s="70"/>
      <c r="D553" s="70"/>
      <c r="E553" s="70"/>
      <c r="F553" s="70"/>
      <c r="G553" s="70"/>
      <c r="H553" s="70"/>
      <c r="I553" s="70"/>
      <c r="J553" s="70"/>
    </row>
    <row r="554" spans="1:10" ht="16" x14ac:dyDescent="0.2">
      <c r="A554" s="70"/>
      <c r="B554" s="70"/>
      <c r="C554" s="70"/>
      <c r="D554" s="70"/>
      <c r="E554" s="70"/>
      <c r="F554" s="70"/>
      <c r="G554" s="70"/>
      <c r="H554" s="70"/>
      <c r="I554" s="70"/>
      <c r="J554" s="70"/>
    </row>
    <row r="555" spans="1:10" ht="16" x14ac:dyDescent="0.2">
      <c r="A555" s="70"/>
      <c r="B555" s="70"/>
      <c r="C555" s="70"/>
      <c r="D555" s="70"/>
      <c r="E555" s="70"/>
      <c r="F555" s="70"/>
      <c r="G555" s="70"/>
      <c r="H555" s="70"/>
      <c r="I555" s="70"/>
      <c r="J555" s="70"/>
    </row>
    <row r="556" spans="1:10" ht="16" x14ac:dyDescent="0.2">
      <c r="A556" s="70"/>
      <c r="B556" s="70"/>
      <c r="C556" s="70"/>
      <c r="D556" s="70"/>
      <c r="E556" s="70"/>
      <c r="F556" s="70"/>
      <c r="G556" s="70"/>
      <c r="H556" s="70"/>
      <c r="I556" s="70"/>
      <c r="J556" s="70"/>
    </row>
    <row r="557" spans="1:10" ht="16" x14ac:dyDescent="0.2">
      <c r="A557" s="70"/>
      <c r="B557" s="70"/>
      <c r="C557" s="70"/>
      <c r="D557" s="70"/>
      <c r="E557" s="70"/>
      <c r="F557" s="70"/>
      <c r="G557" s="70"/>
      <c r="H557" s="70"/>
      <c r="I557" s="70"/>
      <c r="J557" s="70"/>
    </row>
    <row r="558" spans="1:10" ht="16" x14ac:dyDescent="0.2">
      <c r="A558" s="70"/>
      <c r="B558" s="70"/>
      <c r="C558" s="70"/>
      <c r="D558" s="70"/>
      <c r="E558" s="70"/>
      <c r="F558" s="70"/>
      <c r="G558" s="70"/>
      <c r="H558" s="70"/>
      <c r="I558" s="70"/>
      <c r="J558" s="70"/>
    </row>
    <row r="559" spans="1:10" ht="16" x14ac:dyDescent="0.2">
      <c r="A559" s="70"/>
      <c r="B559" s="70"/>
      <c r="C559" s="70"/>
      <c r="D559" s="70"/>
      <c r="E559" s="70"/>
      <c r="F559" s="70"/>
      <c r="G559" s="70"/>
      <c r="H559" s="70"/>
      <c r="I559" s="70"/>
      <c r="J559" s="70"/>
    </row>
    <row r="560" spans="1:10" ht="16" x14ac:dyDescent="0.2">
      <c r="A560" s="70"/>
      <c r="B560" s="70"/>
      <c r="C560" s="70"/>
      <c r="D560" s="70"/>
      <c r="E560" s="70"/>
      <c r="F560" s="70"/>
      <c r="G560" s="70"/>
      <c r="H560" s="70"/>
      <c r="I560" s="70"/>
      <c r="J560" s="70"/>
    </row>
    <row r="561" spans="1:10" ht="16" x14ac:dyDescent="0.2">
      <c r="A561" s="70"/>
      <c r="B561" s="70"/>
      <c r="C561" s="70"/>
      <c r="D561" s="70"/>
      <c r="E561" s="70"/>
      <c r="F561" s="70"/>
      <c r="G561" s="70"/>
      <c r="H561" s="70"/>
      <c r="I561" s="70"/>
      <c r="J561" s="70"/>
    </row>
    <row r="562" spans="1:10" ht="16" x14ac:dyDescent="0.2">
      <c r="A562" s="70"/>
      <c r="B562" s="70"/>
      <c r="C562" s="70"/>
      <c r="D562" s="70"/>
      <c r="E562" s="70"/>
      <c r="F562" s="70"/>
      <c r="G562" s="70"/>
      <c r="H562" s="70"/>
      <c r="I562" s="70"/>
      <c r="J562" s="70"/>
    </row>
    <row r="563" spans="1:10" ht="16" x14ac:dyDescent="0.2">
      <c r="A563" s="70"/>
      <c r="B563" s="70"/>
      <c r="C563" s="70"/>
      <c r="D563" s="70"/>
      <c r="E563" s="70"/>
      <c r="F563" s="70"/>
      <c r="G563" s="70"/>
      <c r="H563" s="70"/>
      <c r="I563" s="70"/>
      <c r="J563" s="70"/>
    </row>
    <row r="564" spans="1:10" ht="16" x14ac:dyDescent="0.2">
      <c r="A564" s="70"/>
      <c r="B564" s="70"/>
      <c r="C564" s="70"/>
      <c r="D564" s="70"/>
      <c r="E564" s="70"/>
      <c r="F564" s="70"/>
      <c r="G564" s="70"/>
      <c r="H564" s="70"/>
      <c r="I564" s="70"/>
      <c r="J564" s="70"/>
    </row>
    <row r="565" spans="1:10" ht="16" x14ac:dyDescent="0.2">
      <c r="A565" s="70"/>
      <c r="B565" s="70"/>
      <c r="C565" s="70"/>
      <c r="D565" s="70"/>
      <c r="E565" s="70"/>
      <c r="F565" s="70"/>
      <c r="G565" s="70"/>
      <c r="H565" s="70"/>
      <c r="I565" s="70"/>
      <c r="J565" s="70"/>
    </row>
    <row r="566" spans="1:10" ht="16" x14ac:dyDescent="0.2">
      <c r="A566" s="70"/>
      <c r="B566" s="70"/>
      <c r="C566" s="70"/>
      <c r="D566" s="70"/>
      <c r="E566" s="70"/>
      <c r="F566" s="70"/>
      <c r="G566" s="70"/>
      <c r="H566" s="70"/>
      <c r="I566" s="70"/>
      <c r="J566" s="70"/>
    </row>
    <row r="567" spans="1:10" ht="16" x14ac:dyDescent="0.2">
      <c r="A567" s="70"/>
      <c r="B567" s="70"/>
      <c r="C567" s="70"/>
      <c r="D567" s="70"/>
      <c r="E567" s="70"/>
      <c r="F567" s="70"/>
      <c r="G567" s="70"/>
      <c r="H567" s="70"/>
      <c r="I567" s="70"/>
      <c r="J567" s="70"/>
    </row>
    <row r="568" spans="1:10" ht="16" x14ac:dyDescent="0.2">
      <c r="A568" s="70"/>
      <c r="B568" s="70"/>
      <c r="C568" s="70"/>
      <c r="D568" s="70"/>
      <c r="E568" s="70"/>
      <c r="F568" s="70"/>
      <c r="G568" s="70"/>
      <c r="H568" s="70"/>
      <c r="I568" s="70"/>
      <c r="J568" s="70"/>
    </row>
    <row r="569" spans="1:10" ht="16" x14ac:dyDescent="0.2">
      <c r="A569" s="70"/>
      <c r="B569" s="70"/>
      <c r="C569" s="70"/>
      <c r="D569" s="70"/>
      <c r="E569" s="70"/>
      <c r="F569" s="70"/>
      <c r="G569" s="70"/>
      <c r="H569" s="70"/>
      <c r="I569" s="70"/>
      <c r="J569" s="70"/>
    </row>
    <row r="570" spans="1:10" ht="16" x14ac:dyDescent="0.2">
      <c r="A570" s="70"/>
      <c r="B570" s="70"/>
      <c r="C570" s="70"/>
      <c r="D570" s="70"/>
      <c r="E570" s="70"/>
      <c r="F570" s="70"/>
      <c r="G570" s="70"/>
      <c r="H570" s="70"/>
      <c r="I570" s="70"/>
      <c r="J570" s="70"/>
    </row>
    <row r="571" spans="1:10" ht="16" x14ac:dyDescent="0.2">
      <c r="A571" s="70"/>
      <c r="B571" s="70"/>
      <c r="C571" s="70"/>
      <c r="D571" s="70"/>
      <c r="E571" s="70"/>
      <c r="F571" s="70"/>
      <c r="G571" s="70"/>
      <c r="H571" s="70"/>
      <c r="I571" s="70"/>
      <c r="J571" s="70"/>
    </row>
    <row r="572" spans="1:10" ht="16" x14ac:dyDescent="0.2">
      <c r="A572" s="70"/>
      <c r="B572" s="70"/>
      <c r="C572" s="70"/>
      <c r="D572" s="70"/>
      <c r="E572" s="70"/>
      <c r="F572" s="70"/>
      <c r="G572" s="70"/>
      <c r="H572" s="70"/>
      <c r="I572" s="70"/>
      <c r="J572" s="70"/>
    </row>
    <row r="573" spans="1:10" ht="16" x14ac:dyDescent="0.2">
      <c r="A573" s="70"/>
      <c r="B573" s="70"/>
      <c r="C573" s="70"/>
      <c r="D573" s="70"/>
      <c r="E573" s="70"/>
      <c r="F573" s="70"/>
      <c r="G573" s="70"/>
      <c r="H573" s="70"/>
      <c r="I573" s="70"/>
      <c r="J573" s="70"/>
    </row>
    <row r="574" spans="1:10" ht="16" x14ac:dyDescent="0.2">
      <c r="A574" s="70"/>
      <c r="B574" s="70"/>
      <c r="C574" s="70"/>
      <c r="D574" s="70"/>
      <c r="E574" s="70"/>
      <c r="F574" s="70"/>
      <c r="G574" s="70"/>
      <c r="H574" s="70"/>
      <c r="I574" s="70"/>
      <c r="J574" s="70"/>
    </row>
    <row r="575" spans="1:10" ht="16" x14ac:dyDescent="0.2">
      <c r="A575" s="70"/>
      <c r="B575" s="70"/>
      <c r="C575" s="70"/>
      <c r="D575" s="70"/>
      <c r="E575" s="70"/>
      <c r="F575" s="70"/>
      <c r="G575" s="70"/>
      <c r="H575" s="70"/>
      <c r="I575" s="70"/>
      <c r="J575" s="70"/>
    </row>
    <row r="576" spans="1:10" ht="16" x14ac:dyDescent="0.2">
      <c r="A576" s="70"/>
      <c r="B576" s="70"/>
      <c r="C576" s="70"/>
      <c r="D576" s="70"/>
      <c r="E576" s="70"/>
      <c r="F576" s="70"/>
      <c r="G576" s="70"/>
      <c r="H576" s="70"/>
      <c r="I576" s="70"/>
      <c r="J576" s="70"/>
    </row>
    <row r="577" spans="1:10" ht="16" x14ac:dyDescent="0.2">
      <c r="A577" s="70"/>
      <c r="B577" s="70"/>
      <c r="C577" s="70"/>
      <c r="D577" s="70"/>
      <c r="E577" s="70"/>
      <c r="F577" s="70"/>
      <c r="G577" s="70"/>
      <c r="H577" s="70"/>
      <c r="I577" s="70"/>
      <c r="J577" s="70"/>
    </row>
    <row r="578" spans="1:10" ht="16" x14ac:dyDescent="0.2">
      <c r="A578" s="70"/>
      <c r="B578" s="70"/>
      <c r="C578" s="70"/>
      <c r="D578" s="70"/>
      <c r="E578" s="70"/>
      <c r="F578" s="70"/>
      <c r="G578" s="70"/>
      <c r="H578" s="70"/>
      <c r="I578" s="70"/>
      <c r="J578" s="70"/>
    </row>
    <row r="579" spans="1:10" ht="16" x14ac:dyDescent="0.2">
      <c r="A579" s="70"/>
      <c r="B579" s="70"/>
      <c r="C579" s="70"/>
      <c r="D579" s="70"/>
      <c r="E579" s="70"/>
      <c r="F579" s="70"/>
      <c r="G579" s="70"/>
      <c r="H579" s="70"/>
      <c r="I579" s="70"/>
      <c r="J579" s="70"/>
    </row>
    <row r="580" spans="1:10" ht="16" x14ac:dyDescent="0.2">
      <c r="A580" s="70"/>
      <c r="B580" s="70"/>
      <c r="C580" s="70"/>
      <c r="D580" s="70"/>
      <c r="E580" s="70"/>
      <c r="F580" s="70"/>
      <c r="G580" s="70"/>
      <c r="H580" s="70"/>
      <c r="I580" s="70"/>
      <c r="J580" s="70"/>
    </row>
    <row r="581" spans="1:10" ht="16" x14ac:dyDescent="0.2">
      <c r="A581" s="70"/>
      <c r="B581" s="70"/>
      <c r="C581" s="70"/>
      <c r="D581" s="70"/>
      <c r="E581" s="70"/>
      <c r="F581" s="70"/>
      <c r="G581" s="70"/>
      <c r="H581" s="70"/>
      <c r="I581" s="70"/>
      <c r="J581" s="70"/>
    </row>
    <row r="582" spans="1:10" ht="16" x14ac:dyDescent="0.2">
      <c r="A582" s="70"/>
      <c r="B582" s="70"/>
      <c r="C582" s="70"/>
      <c r="D582" s="70"/>
      <c r="E582" s="70"/>
      <c r="F582" s="70"/>
      <c r="G582" s="70"/>
      <c r="H582" s="70"/>
      <c r="I582" s="70"/>
      <c r="J582" s="70"/>
    </row>
    <row r="583" spans="1:10" ht="16" x14ac:dyDescent="0.2">
      <c r="A583" s="70"/>
      <c r="B583" s="70"/>
      <c r="C583" s="70"/>
      <c r="D583" s="70"/>
      <c r="E583" s="70"/>
      <c r="F583" s="70"/>
      <c r="G583" s="70"/>
      <c r="H583" s="70"/>
      <c r="I583" s="70"/>
      <c r="J583" s="70"/>
    </row>
    <row r="584" spans="1:10" ht="16" x14ac:dyDescent="0.2">
      <c r="A584" s="70"/>
      <c r="B584" s="70"/>
      <c r="C584" s="70"/>
      <c r="D584" s="70"/>
      <c r="E584" s="70"/>
      <c r="F584" s="70"/>
      <c r="G584" s="70"/>
      <c r="H584" s="70"/>
      <c r="I584" s="70"/>
      <c r="J584" s="70"/>
    </row>
    <row r="585" spans="1:10" ht="16" x14ac:dyDescent="0.2">
      <c r="A585" s="70"/>
      <c r="B585" s="70"/>
      <c r="C585" s="70"/>
      <c r="D585" s="70"/>
      <c r="E585" s="70"/>
      <c r="F585" s="70"/>
      <c r="G585" s="70"/>
      <c r="H585" s="70"/>
      <c r="I585" s="70"/>
      <c r="J585" s="70"/>
    </row>
    <row r="586" spans="1:10" ht="16" x14ac:dyDescent="0.2">
      <c r="A586" s="70"/>
      <c r="B586" s="70"/>
      <c r="C586" s="70"/>
      <c r="D586" s="70"/>
      <c r="E586" s="70"/>
      <c r="F586" s="70"/>
      <c r="G586" s="70"/>
      <c r="H586" s="70"/>
      <c r="I586" s="70"/>
      <c r="J586" s="70"/>
    </row>
    <row r="587" spans="1:10" ht="16" x14ac:dyDescent="0.2">
      <c r="A587" s="70"/>
      <c r="B587" s="70"/>
      <c r="C587" s="70"/>
      <c r="D587" s="70"/>
      <c r="E587" s="70"/>
      <c r="F587" s="70"/>
      <c r="G587" s="70"/>
      <c r="H587" s="70"/>
      <c r="I587" s="70"/>
      <c r="J587" s="70"/>
    </row>
    <row r="588" spans="1:10" ht="16" x14ac:dyDescent="0.2">
      <c r="A588" s="70"/>
      <c r="B588" s="70"/>
      <c r="C588" s="70"/>
      <c r="D588" s="70"/>
      <c r="E588" s="70"/>
      <c r="F588" s="70"/>
      <c r="G588" s="70"/>
      <c r="H588" s="70"/>
      <c r="I588" s="70"/>
      <c r="J588" s="70"/>
    </row>
    <row r="589" spans="1:10" ht="16" x14ac:dyDescent="0.2">
      <c r="A589" s="70"/>
      <c r="B589" s="70"/>
      <c r="C589" s="70"/>
      <c r="D589" s="70"/>
      <c r="E589" s="70"/>
      <c r="F589" s="70"/>
      <c r="G589" s="70"/>
      <c r="H589" s="70"/>
      <c r="I589" s="70"/>
      <c r="J589" s="70"/>
    </row>
    <row r="590" spans="1:10" ht="16" x14ac:dyDescent="0.2">
      <c r="A590" s="70"/>
      <c r="B590" s="70"/>
      <c r="C590" s="70"/>
      <c r="D590" s="70"/>
      <c r="E590" s="70"/>
      <c r="F590" s="70"/>
      <c r="G590" s="70"/>
      <c r="H590" s="70"/>
      <c r="I590" s="70"/>
      <c r="J590" s="70"/>
    </row>
    <row r="591" spans="1:10" ht="16" x14ac:dyDescent="0.2">
      <c r="A591" s="70"/>
      <c r="B591" s="70"/>
      <c r="C591" s="70"/>
      <c r="D591" s="70"/>
      <c r="E591" s="70"/>
      <c r="F591" s="70"/>
      <c r="G591" s="70"/>
      <c r="H591" s="70"/>
      <c r="I591" s="70"/>
      <c r="J591" s="70"/>
    </row>
    <row r="592" spans="1:10" ht="16" x14ac:dyDescent="0.2">
      <c r="A592" s="70"/>
      <c r="B592" s="70"/>
      <c r="C592" s="70"/>
      <c r="D592" s="70"/>
      <c r="E592" s="70"/>
      <c r="F592" s="70"/>
      <c r="G592" s="70"/>
      <c r="H592" s="70"/>
      <c r="I592" s="70"/>
      <c r="J592" s="70"/>
    </row>
    <row r="593" spans="1:10" ht="16" x14ac:dyDescent="0.2">
      <c r="A593" s="70"/>
      <c r="B593" s="70"/>
      <c r="C593" s="70"/>
      <c r="D593" s="70"/>
      <c r="E593" s="70"/>
      <c r="F593" s="70"/>
      <c r="G593" s="70"/>
      <c r="H593" s="70"/>
      <c r="I593" s="70"/>
      <c r="J593" s="70"/>
    </row>
    <row r="594" spans="1:10" ht="16" x14ac:dyDescent="0.2">
      <c r="A594" s="70"/>
      <c r="B594" s="70"/>
      <c r="C594" s="70"/>
      <c r="D594" s="70"/>
      <c r="E594" s="70"/>
      <c r="F594" s="70"/>
      <c r="G594" s="70"/>
      <c r="H594" s="70"/>
      <c r="I594" s="70"/>
      <c r="J594" s="70"/>
    </row>
    <row r="595" spans="1:10" ht="16" x14ac:dyDescent="0.2">
      <c r="A595" s="70"/>
      <c r="B595" s="70"/>
      <c r="C595" s="70"/>
      <c r="D595" s="70"/>
      <c r="E595" s="70"/>
      <c r="F595" s="70"/>
      <c r="G595" s="70"/>
      <c r="H595" s="70"/>
      <c r="I595" s="70"/>
      <c r="J595" s="70"/>
    </row>
    <row r="596" spans="1:10" ht="16" x14ac:dyDescent="0.2">
      <c r="A596" s="70"/>
      <c r="B596" s="70"/>
      <c r="C596" s="70"/>
      <c r="D596" s="70"/>
      <c r="E596" s="70"/>
      <c r="F596" s="70"/>
      <c r="G596" s="70"/>
      <c r="H596" s="70"/>
      <c r="I596" s="70"/>
      <c r="J596" s="70"/>
    </row>
    <row r="597" spans="1:10" ht="16" x14ac:dyDescent="0.2">
      <c r="A597" s="70"/>
      <c r="B597" s="70"/>
      <c r="C597" s="70"/>
      <c r="D597" s="70"/>
      <c r="E597" s="70"/>
      <c r="F597" s="70"/>
      <c r="G597" s="70"/>
      <c r="H597" s="70"/>
      <c r="I597" s="70"/>
      <c r="J597" s="70"/>
    </row>
    <row r="598" spans="1:10" ht="16" x14ac:dyDescent="0.2">
      <c r="A598" s="70"/>
      <c r="B598" s="70"/>
      <c r="C598" s="70"/>
      <c r="D598" s="70"/>
      <c r="E598" s="70"/>
      <c r="F598" s="70"/>
      <c r="G598" s="70"/>
      <c r="H598" s="70"/>
      <c r="I598" s="70"/>
      <c r="J598" s="70"/>
    </row>
    <row r="599" spans="1:10" ht="16" x14ac:dyDescent="0.2">
      <c r="A599" s="70"/>
      <c r="B599" s="70"/>
      <c r="C599" s="70"/>
      <c r="D599" s="70"/>
      <c r="E599" s="70"/>
      <c r="F599" s="70"/>
      <c r="G599" s="70"/>
      <c r="H599" s="70"/>
      <c r="I599" s="70"/>
      <c r="J599" s="70"/>
    </row>
    <row r="600" spans="1:10" ht="16" x14ac:dyDescent="0.2">
      <c r="A600" s="70"/>
      <c r="B600" s="70"/>
      <c r="C600" s="70"/>
      <c r="D600" s="70"/>
      <c r="E600" s="70"/>
      <c r="F600" s="70"/>
      <c r="G600" s="70"/>
      <c r="H600" s="70"/>
      <c r="I600" s="70"/>
      <c r="J600" s="70"/>
    </row>
    <row r="601" spans="1:10" ht="16" x14ac:dyDescent="0.2">
      <c r="A601" s="70"/>
      <c r="B601" s="70"/>
      <c r="C601" s="70"/>
      <c r="D601" s="70"/>
      <c r="E601" s="70"/>
      <c r="F601" s="70"/>
      <c r="G601" s="70"/>
      <c r="H601" s="70"/>
      <c r="I601" s="70"/>
      <c r="J601" s="70"/>
    </row>
    <row r="602" spans="1:10" ht="16" x14ac:dyDescent="0.2">
      <c r="A602" s="70"/>
      <c r="B602" s="70"/>
      <c r="C602" s="70"/>
      <c r="D602" s="70"/>
      <c r="E602" s="70"/>
      <c r="F602" s="70"/>
      <c r="G602" s="70"/>
      <c r="H602" s="70"/>
      <c r="I602" s="70"/>
      <c r="J602" s="70"/>
    </row>
    <row r="603" spans="1:10" ht="16" x14ac:dyDescent="0.2">
      <c r="A603" s="70"/>
      <c r="B603" s="70"/>
      <c r="C603" s="70"/>
      <c r="D603" s="70"/>
      <c r="E603" s="70"/>
      <c r="F603" s="70"/>
      <c r="G603" s="70"/>
      <c r="H603" s="70"/>
      <c r="I603" s="70"/>
      <c r="J603" s="70"/>
    </row>
    <row r="604" spans="1:10" ht="16" x14ac:dyDescent="0.2">
      <c r="A604" s="70"/>
      <c r="B604" s="70"/>
      <c r="C604" s="70"/>
      <c r="D604" s="70"/>
      <c r="E604" s="70"/>
      <c r="F604" s="70"/>
      <c r="G604" s="70"/>
      <c r="H604" s="70"/>
      <c r="I604" s="70"/>
      <c r="J604" s="70"/>
    </row>
    <row r="605" spans="1:10" ht="16" x14ac:dyDescent="0.2">
      <c r="A605" s="70"/>
      <c r="B605" s="70"/>
      <c r="C605" s="70"/>
      <c r="D605" s="70"/>
      <c r="E605" s="70"/>
      <c r="F605" s="70"/>
      <c r="G605" s="70"/>
      <c r="H605" s="70"/>
      <c r="I605" s="70"/>
      <c r="J605" s="70"/>
    </row>
    <row r="606" spans="1:10" ht="16" x14ac:dyDescent="0.2">
      <c r="A606" s="70"/>
      <c r="B606" s="70"/>
      <c r="C606" s="70"/>
      <c r="D606" s="70"/>
      <c r="E606" s="70"/>
      <c r="F606" s="70"/>
      <c r="G606" s="70"/>
      <c r="H606" s="70"/>
      <c r="I606" s="70"/>
      <c r="J606" s="70"/>
    </row>
    <row r="607" spans="1:10" ht="16" x14ac:dyDescent="0.2">
      <c r="A607" s="70"/>
      <c r="B607" s="70"/>
      <c r="C607" s="70"/>
      <c r="D607" s="70"/>
      <c r="E607" s="70"/>
      <c r="F607" s="70"/>
      <c r="G607" s="70"/>
      <c r="H607" s="70"/>
      <c r="I607" s="70"/>
      <c r="J607" s="70"/>
    </row>
    <row r="608" spans="1:10" ht="16" x14ac:dyDescent="0.2">
      <c r="A608" s="70"/>
      <c r="B608" s="70"/>
      <c r="C608" s="70"/>
      <c r="D608" s="70"/>
      <c r="E608" s="70"/>
      <c r="F608" s="70"/>
      <c r="G608" s="70"/>
      <c r="H608" s="70"/>
      <c r="I608" s="70"/>
      <c r="J608" s="70"/>
    </row>
    <row r="609" spans="1:10" ht="16" x14ac:dyDescent="0.2">
      <c r="A609" s="70"/>
      <c r="B609" s="70"/>
      <c r="C609" s="70"/>
      <c r="D609" s="70"/>
      <c r="E609" s="70"/>
      <c r="F609" s="70"/>
      <c r="G609" s="70"/>
      <c r="H609" s="70"/>
      <c r="I609" s="70"/>
      <c r="J609" s="70"/>
    </row>
    <row r="610" spans="1:10" ht="16" x14ac:dyDescent="0.2">
      <c r="A610" s="70"/>
      <c r="B610" s="70"/>
      <c r="C610" s="70"/>
      <c r="D610" s="70"/>
      <c r="E610" s="70"/>
      <c r="F610" s="70"/>
      <c r="G610" s="70"/>
      <c r="H610" s="70"/>
      <c r="I610" s="70"/>
      <c r="J610" s="70"/>
    </row>
    <row r="611" spans="1:10" ht="16" x14ac:dyDescent="0.2">
      <c r="A611" s="70"/>
      <c r="B611" s="70"/>
      <c r="C611" s="70"/>
      <c r="D611" s="70"/>
      <c r="E611" s="70"/>
      <c r="F611" s="70"/>
      <c r="G611" s="70"/>
      <c r="H611" s="70"/>
      <c r="I611" s="70"/>
      <c r="J611" s="70"/>
    </row>
    <row r="612" spans="1:10" ht="16" x14ac:dyDescent="0.2">
      <c r="A612" s="70"/>
      <c r="B612" s="70"/>
      <c r="C612" s="70"/>
      <c r="D612" s="70"/>
      <c r="E612" s="70"/>
      <c r="F612" s="70"/>
      <c r="G612" s="70"/>
      <c r="H612" s="70"/>
      <c r="I612" s="70"/>
      <c r="J612" s="70"/>
    </row>
    <row r="613" spans="1:10" ht="16" x14ac:dyDescent="0.2">
      <c r="A613" s="70"/>
      <c r="B613" s="70"/>
      <c r="C613" s="70"/>
      <c r="D613" s="70"/>
      <c r="E613" s="70"/>
      <c r="F613" s="70"/>
      <c r="G613" s="70"/>
      <c r="H613" s="70"/>
      <c r="I613" s="70"/>
      <c r="J613" s="70"/>
    </row>
    <row r="614" spans="1:10" ht="16" x14ac:dyDescent="0.2">
      <c r="A614" s="70"/>
      <c r="B614" s="70"/>
      <c r="C614" s="70"/>
      <c r="D614" s="70"/>
      <c r="E614" s="70"/>
      <c r="F614" s="70"/>
      <c r="G614" s="70"/>
      <c r="H614" s="70"/>
      <c r="I614" s="70"/>
      <c r="J614" s="70"/>
    </row>
    <row r="615" spans="1:10" ht="16" x14ac:dyDescent="0.2">
      <c r="A615" s="70"/>
      <c r="B615" s="70"/>
      <c r="C615" s="70"/>
      <c r="D615" s="70"/>
      <c r="E615" s="70"/>
      <c r="F615" s="70"/>
      <c r="G615" s="70"/>
      <c r="H615" s="70"/>
      <c r="I615" s="70"/>
      <c r="J615" s="70"/>
    </row>
    <row r="616" spans="1:10" ht="16" x14ac:dyDescent="0.2">
      <c r="A616" s="70"/>
      <c r="B616" s="70"/>
      <c r="C616" s="70"/>
      <c r="D616" s="70"/>
      <c r="E616" s="70"/>
      <c r="F616" s="70"/>
      <c r="G616" s="70"/>
      <c r="H616" s="70"/>
      <c r="I616" s="70"/>
      <c r="J616" s="70"/>
    </row>
    <row r="617" spans="1:10" ht="16" x14ac:dyDescent="0.2">
      <c r="A617" s="70"/>
      <c r="B617" s="70"/>
      <c r="C617" s="70"/>
      <c r="D617" s="70"/>
      <c r="E617" s="70"/>
      <c r="F617" s="70"/>
      <c r="G617" s="70"/>
      <c r="H617" s="70"/>
      <c r="I617" s="70"/>
      <c r="J617" s="70"/>
    </row>
    <row r="618" spans="1:10" ht="16" x14ac:dyDescent="0.2">
      <c r="A618" s="70"/>
      <c r="B618" s="70"/>
      <c r="C618" s="70"/>
      <c r="D618" s="70"/>
      <c r="E618" s="70"/>
      <c r="F618" s="70"/>
      <c r="G618" s="70"/>
      <c r="H618" s="70"/>
      <c r="I618" s="70"/>
      <c r="J618" s="70"/>
    </row>
    <row r="619" spans="1:10" ht="16" x14ac:dyDescent="0.2">
      <c r="A619" s="70"/>
      <c r="B619" s="70"/>
      <c r="C619" s="70"/>
      <c r="D619" s="70"/>
      <c r="E619" s="70"/>
      <c r="F619" s="70"/>
      <c r="G619" s="70"/>
      <c r="H619" s="70"/>
      <c r="I619" s="70"/>
      <c r="J619" s="70"/>
    </row>
    <row r="620" spans="1:10" ht="16" x14ac:dyDescent="0.2">
      <c r="A620" s="70"/>
      <c r="B620" s="70"/>
      <c r="C620" s="70"/>
      <c r="D620" s="70"/>
      <c r="E620" s="70"/>
      <c r="F620" s="70"/>
      <c r="G620" s="70"/>
      <c r="H620" s="70"/>
      <c r="I620" s="70"/>
      <c r="J620" s="70"/>
    </row>
    <row r="621" spans="1:10" ht="16" x14ac:dyDescent="0.2">
      <c r="A621" s="70"/>
      <c r="B621" s="70"/>
      <c r="C621" s="70"/>
      <c r="D621" s="70"/>
      <c r="E621" s="70"/>
      <c r="F621" s="70"/>
      <c r="G621" s="70"/>
      <c r="H621" s="70"/>
      <c r="I621" s="70"/>
      <c r="J621" s="70"/>
    </row>
    <row r="622" spans="1:10" ht="16" x14ac:dyDescent="0.2">
      <c r="A622" s="70"/>
      <c r="B622" s="70"/>
      <c r="C622" s="70"/>
      <c r="D622" s="70"/>
      <c r="E622" s="70"/>
      <c r="F622" s="70"/>
      <c r="G622" s="70"/>
      <c r="H622" s="70"/>
      <c r="I622" s="70"/>
      <c r="J622" s="70"/>
    </row>
    <row r="623" spans="1:10" ht="16" x14ac:dyDescent="0.2">
      <c r="A623" s="70"/>
      <c r="B623" s="70"/>
      <c r="C623" s="70"/>
      <c r="D623" s="70"/>
      <c r="E623" s="70"/>
      <c r="F623" s="70"/>
      <c r="G623" s="70"/>
      <c r="H623" s="70"/>
      <c r="I623" s="70"/>
      <c r="J623" s="70"/>
    </row>
    <row r="624" spans="1:10" ht="16" x14ac:dyDescent="0.2">
      <c r="A624" s="70"/>
      <c r="B624" s="70"/>
      <c r="C624" s="70"/>
      <c r="D624" s="70"/>
      <c r="E624" s="70"/>
      <c r="F624" s="70"/>
      <c r="G624" s="70"/>
      <c r="H624" s="70"/>
      <c r="I624" s="70"/>
      <c r="J624" s="70"/>
    </row>
    <row r="625" spans="1:10" ht="16" x14ac:dyDescent="0.2">
      <c r="A625" s="70"/>
      <c r="B625" s="70"/>
      <c r="C625" s="70"/>
      <c r="D625" s="70"/>
      <c r="E625" s="70"/>
      <c r="F625" s="70"/>
      <c r="G625" s="70"/>
      <c r="H625" s="70"/>
      <c r="I625" s="70"/>
      <c r="J625" s="70"/>
    </row>
    <row r="626" spans="1:10" ht="16" x14ac:dyDescent="0.2">
      <c r="A626" s="70"/>
      <c r="B626" s="70"/>
      <c r="C626" s="70"/>
      <c r="D626" s="70"/>
      <c r="E626" s="70"/>
      <c r="F626" s="70"/>
      <c r="G626" s="70"/>
      <c r="H626" s="70"/>
      <c r="I626" s="70"/>
      <c r="J626" s="70"/>
    </row>
    <row r="627" spans="1:10" ht="16" x14ac:dyDescent="0.2">
      <c r="A627" s="70"/>
      <c r="B627" s="70"/>
      <c r="C627" s="70"/>
      <c r="D627" s="70"/>
      <c r="E627" s="70"/>
      <c r="F627" s="70"/>
      <c r="G627" s="70"/>
      <c r="H627" s="70"/>
      <c r="I627" s="70"/>
      <c r="J627" s="70"/>
    </row>
    <row r="628" spans="1:10" ht="16" x14ac:dyDescent="0.2">
      <c r="A628" s="70"/>
      <c r="B628" s="70"/>
      <c r="C628" s="70"/>
      <c r="D628" s="70"/>
      <c r="E628" s="70"/>
      <c r="F628" s="70"/>
      <c r="G628" s="70"/>
      <c r="H628" s="70"/>
      <c r="I628" s="70"/>
      <c r="J628" s="70"/>
    </row>
    <row r="629" spans="1:10" ht="16" x14ac:dyDescent="0.2">
      <c r="A629" s="70"/>
      <c r="B629" s="70"/>
      <c r="C629" s="70"/>
      <c r="D629" s="70"/>
      <c r="E629" s="70"/>
      <c r="F629" s="70"/>
      <c r="G629" s="70"/>
      <c r="H629" s="70"/>
      <c r="I629" s="70"/>
      <c r="J629" s="70"/>
    </row>
    <row r="630" spans="1:10" ht="16" x14ac:dyDescent="0.2">
      <c r="A630" s="70"/>
      <c r="B630" s="70"/>
      <c r="C630" s="70"/>
      <c r="D630" s="70"/>
      <c r="E630" s="70"/>
      <c r="F630" s="70"/>
      <c r="G630" s="70"/>
      <c r="H630" s="70"/>
      <c r="I630" s="70"/>
      <c r="J630" s="70"/>
    </row>
    <row r="631" spans="1:10" ht="16" x14ac:dyDescent="0.2">
      <c r="A631" s="70"/>
      <c r="B631" s="70"/>
      <c r="C631" s="70"/>
      <c r="D631" s="70"/>
      <c r="E631" s="70"/>
      <c r="F631" s="70"/>
      <c r="G631" s="70"/>
      <c r="H631" s="70"/>
      <c r="I631" s="70"/>
      <c r="J631" s="70"/>
    </row>
    <row r="632" spans="1:10" ht="16" x14ac:dyDescent="0.2">
      <c r="A632" s="70"/>
      <c r="B632" s="70"/>
      <c r="C632" s="70"/>
      <c r="D632" s="70"/>
      <c r="E632" s="70"/>
      <c r="F632" s="70"/>
      <c r="G632" s="70"/>
      <c r="H632" s="70"/>
      <c r="I632" s="70"/>
      <c r="J632" s="70"/>
    </row>
    <row r="633" spans="1:10" ht="16" x14ac:dyDescent="0.2">
      <c r="A633" s="70"/>
      <c r="B633" s="70"/>
      <c r="C633" s="70"/>
      <c r="D633" s="70"/>
      <c r="E633" s="70"/>
      <c r="F633" s="70"/>
      <c r="G633" s="70"/>
      <c r="H633" s="70"/>
      <c r="I633" s="70"/>
      <c r="J633" s="70"/>
    </row>
    <row r="634" spans="1:10" ht="16" x14ac:dyDescent="0.2">
      <c r="A634" s="70"/>
      <c r="B634" s="70"/>
      <c r="C634" s="70"/>
      <c r="D634" s="70"/>
      <c r="E634" s="70"/>
      <c r="F634" s="70"/>
      <c r="G634" s="70"/>
      <c r="H634" s="70"/>
      <c r="I634" s="70"/>
      <c r="J634" s="70"/>
    </row>
    <row r="635" spans="1:10" ht="16" x14ac:dyDescent="0.2">
      <c r="A635" s="70"/>
      <c r="B635" s="70"/>
      <c r="C635" s="70"/>
      <c r="D635" s="70"/>
      <c r="E635" s="70"/>
      <c r="F635" s="70"/>
      <c r="G635" s="70"/>
      <c r="H635" s="70"/>
      <c r="I635" s="70"/>
      <c r="J635" s="70"/>
    </row>
    <row r="636" spans="1:10" ht="16" x14ac:dyDescent="0.2">
      <c r="A636" s="70"/>
      <c r="B636" s="70"/>
      <c r="C636" s="70"/>
      <c r="D636" s="70"/>
      <c r="E636" s="70"/>
      <c r="F636" s="70"/>
      <c r="G636" s="70"/>
      <c r="H636" s="70"/>
      <c r="I636" s="70"/>
      <c r="J636" s="70"/>
    </row>
    <row r="637" spans="1:10" ht="16" x14ac:dyDescent="0.2">
      <c r="A637" s="70"/>
      <c r="B637" s="70"/>
      <c r="C637" s="70"/>
      <c r="D637" s="70"/>
      <c r="E637" s="70"/>
      <c r="F637" s="70"/>
      <c r="G637" s="70"/>
      <c r="H637" s="70"/>
      <c r="I637" s="70"/>
      <c r="J637" s="70"/>
    </row>
    <row r="638" spans="1:10" ht="16" x14ac:dyDescent="0.2">
      <c r="A638" s="70"/>
      <c r="B638" s="70"/>
      <c r="C638" s="70"/>
      <c r="D638" s="70"/>
      <c r="E638" s="70"/>
      <c r="F638" s="70"/>
      <c r="G638" s="70"/>
      <c r="H638" s="70"/>
      <c r="I638" s="70"/>
      <c r="J638" s="70"/>
    </row>
    <row r="639" spans="1:10" ht="16" x14ac:dyDescent="0.2">
      <c r="A639" s="70"/>
      <c r="B639" s="70"/>
      <c r="C639" s="70"/>
      <c r="D639" s="70"/>
      <c r="E639" s="70"/>
      <c r="F639" s="70"/>
      <c r="G639" s="70"/>
      <c r="H639" s="70"/>
      <c r="I639" s="70"/>
      <c r="J639" s="70"/>
    </row>
    <row r="640" spans="1:10" ht="16" x14ac:dyDescent="0.2">
      <c r="A640" s="70"/>
      <c r="B640" s="70"/>
      <c r="C640" s="70"/>
      <c r="D640" s="70"/>
      <c r="E640" s="70"/>
      <c r="F640" s="70"/>
      <c r="G640" s="70"/>
      <c r="H640" s="70"/>
      <c r="I640" s="70"/>
      <c r="J640" s="70"/>
    </row>
    <row r="641" spans="1:10" ht="16" x14ac:dyDescent="0.2">
      <c r="A641" s="70"/>
      <c r="B641" s="70"/>
      <c r="C641" s="70"/>
      <c r="D641" s="70"/>
      <c r="E641" s="70"/>
      <c r="F641" s="70"/>
      <c r="G641" s="70"/>
      <c r="H641" s="70"/>
      <c r="I641" s="70"/>
      <c r="J641" s="70"/>
    </row>
    <row r="642" spans="1:10" ht="16" x14ac:dyDescent="0.2">
      <c r="A642" s="70"/>
      <c r="B642" s="70"/>
      <c r="C642" s="70"/>
      <c r="D642" s="70"/>
      <c r="E642" s="70"/>
      <c r="F642" s="70"/>
      <c r="G642" s="70"/>
      <c r="H642" s="70"/>
      <c r="I642" s="70"/>
      <c r="J642" s="70"/>
    </row>
    <row r="643" spans="1:10" ht="16" x14ac:dyDescent="0.2">
      <c r="A643" s="70"/>
      <c r="B643" s="70"/>
      <c r="C643" s="70"/>
      <c r="D643" s="70"/>
      <c r="E643" s="70"/>
      <c r="F643" s="70"/>
      <c r="G643" s="70"/>
      <c r="H643" s="70"/>
      <c r="I643" s="70"/>
      <c r="J643" s="70"/>
    </row>
    <row r="644" spans="1:10" ht="16" x14ac:dyDescent="0.2">
      <c r="A644" s="70"/>
      <c r="B644" s="70"/>
      <c r="C644" s="70"/>
      <c r="D644" s="70"/>
      <c r="E644" s="70"/>
      <c r="F644" s="70"/>
      <c r="G644" s="70"/>
      <c r="H644" s="70"/>
      <c r="I644" s="70"/>
      <c r="J644" s="70"/>
    </row>
    <row r="645" spans="1:10" ht="16" x14ac:dyDescent="0.2">
      <c r="A645" s="70"/>
      <c r="B645" s="70"/>
      <c r="C645" s="70"/>
      <c r="D645" s="70"/>
      <c r="E645" s="70"/>
      <c r="F645" s="70"/>
      <c r="G645" s="70"/>
      <c r="H645" s="70"/>
      <c r="I645" s="70"/>
      <c r="J645" s="70"/>
    </row>
    <row r="646" spans="1:10" ht="16" x14ac:dyDescent="0.2">
      <c r="A646" s="70"/>
      <c r="B646" s="70"/>
      <c r="C646" s="70"/>
      <c r="D646" s="70"/>
      <c r="E646" s="70"/>
      <c r="F646" s="70"/>
      <c r="G646" s="70"/>
      <c r="H646" s="70"/>
      <c r="I646" s="70"/>
      <c r="J646" s="70"/>
    </row>
    <row r="647" spans="1:10" ht="16" x14ac:dyDescent="0.2">
      <c r="A647" s="70"/>
      <c r="B647" s="70"/>
      <c r="C647" s="70"/>
      <c r="D647" s="70"/>
      <c r="E647" s="70"/>
      <c r="F647" s="70"/>
      <c r="G647" s="70"/>
      <c r="H647" s="70"/>
      <c r="I647" s="70"/>
      <c r="J647" s="70"/>
    </row>
    <row r="648" spans="1:10" ht="16" x14ac:dyDescent="0.2">
      <c r="A648" s="70"/>
      <c r="B648" s="70"/>
      <c r="C648" s="70"/>
      <c r="D648" s="70"/>
      <c r="E648" s="70"/>
      <c r="F648" s="70"/>
      <c r="G648" s="70"/>
      <c r="H648" s="70"/>
      <c r="I648" s="70"/>
      <c r="J648" s="70"/>
    </row>
    <row r="649" spans="1:10" ht="16" x14ac:dyDescent="0.2">
      <c r="A649" s="70"/>
      <c r="B649" s="70"/>
      <c r="C649" s="70"/>
      <c r="D649" s="70"/>
      <c r="E649" s="70"/>
      <c r="F649" s="70"/>
      <c r="G649" s="70"/>
      <c r="H649" s="70"/>
      <c r="I649" s="70"/>
      <c r="J649" s="70"/>
    </row>
    <row r="650" spans="1:10" ht="16" x14ac:dyDescent="0.2">
      <c r="A650" s="70"/>
      <c r="B650" s="70"/>
      <c r="C650" s="70"/>
      <c r="D650" s="70"/>
      <c r="E650" s="70"/>
      <c r="F650" s="70"/>
      <c r="G650" s="70"/>
      <c r="H650" s="70"/>
      <c r="I650" s="70"/>
      <c r="J650" s="70"/>
    </row>
    <row r="651" spans="1:10" ht="16" x14ac:dyDescent="0.2">
      <c r="A651" s="70"/>
      <c r="B651" s="70"/>
      <c r="C651" s="70"/>
      <c r="D651" s="70"/>
      <c r="E651" s="70"/>
      <c r="F651" s="70"/>
      <c r="G651" s="70"/>
      <c r="H651" s="70"/>
      <c r="I651" s="70"/>
      <c r="J651" s="70"/>
    </row>
    <row r="652" spans="1:10" ht="16" x14ac:dyDescent="0.2">
      <c r="A652" s="70"/>
      <c r="B652" s="70"/>
      <c r="C652" s="70"/>
      <c r="D652" s="70"/>
      <c r="E652" s="70"/>
      <c r="F652" s="70"/>
      <c r="G652" s="70"/>
      <c r="H652" s="70"/>
      <c r="I652" s="70"/>
      <c r="J652" s="70"/>
    </row>
    <row r="653" spans="1:10" ht="16" x14ac:dyDescent="0.2">
      <c r="A653" s="70"/>
      <c r="B653" s="70"/>
      <c r="C653" s="70"/>
      <c r="D653" s="70"/>
      <c r="E653" s="70"/>
      <c r="F653" s="70"/>
      <c r="G653" s="70"/>
      <c r="H653" s="70"/>
      <c r="I653" s="70"/>
      <c r="J653" s="70"/>
    </row>
    <row r="654" spans="1:10" ht="16" x14ac:dyDescent="0.2">
      <c r="A654" s="70"/>
      <c r="B654" s="70"/>
      <c r="C654" s="70"/>
      <c r="D654" s="70"/>
      <c r="E654" s="70"/>
      <c r="F654" s="70"/>
      <c r="G654" s="70"/>
      <c r="H654" s="70"/>
      <c r="I654" s="70"/>
      <c r="J654" s="70"/>
    </row>
    <row r="655" spans="1:10" ht="16" x14ac:dyDescent="0.2">
      <c r="A655" s="70"/>
      <c r="B655" s="70"/>
      <c r="C655" s="70"/>
      <c r="D655" s="70"/>
      <c r="E655" s="70"/>
      <c r="F655" s="70"/>
      <c r="G655" s="70"/>
      <c r="H655" s="70"/>
      <c r="I655" s="70"/>
      <c r="J655" s="70"/>
    </row>
    <row r="656" spans="1:10" ht="16" x14ac:dyDescent="0.2">
      <c r="A656" s="70"/>
      <c r="B656" s="70"/>
      <c r="C656" s="70"/>
      <c r="D656" s="70"/>
      <c r="E656" s="70"/>
      <c r="F656" s="70"/>
      <c r="G656" s="70"/>
      <c r="H656" s="70"/>
      <c r="I656" s="70"/>
      <c r="J656" s="70"/>
    </row>
    <row r="657" spans="1:10" ht="16" x14ac:dyDescent="0.2">
      <c r="A657" s="70"/>
      <c r="B657" s="70"/>
      <c r="C657" s="70"/>
      <c r="D657" s="70"/>
      <c r="E657" s="70"/>
      <c r="F657" s="70"/>
      <c r="G657" s="70"/>
      <c r="H657" s="70"/>
      <c r="I657" s="70"/>
      <c r="J657" s="70"/>
    </row>
    <row r="658" spans="1:10" ht="16" x14ac:dyDescent="0.2">
      <c r="A658" s="70"/>
      <c r="B658" s="70"/>
      <c r="C658" s="70"/>
      <c r="D658" s="70"/>
      <c r="E658" s="70"/>
      <c r="F658" s="70"/>
      <c r="G658" s="70"/>
      <c r="H658" s="70"/>
      <c r="I658" s="70"/>
      <c r="J658" s="70"/>
    </row>
    <row r="659" spans="1:10" ht="16" x14ac:dyDescent="0.2">
      <c r="A659" s="70"/>
      <c r="B659" s="70"/>
      <c r="C659" s="70"/>
      <c r="D659" s="70"/>
      <c r="E659" s="70"/>
      <c r="F659" s="70"/>
      <c r="G659" s="70"/>
      <c r="H659" s="70"/>
      <c r="I659" s="70"/>
      <c r="J659" s="70"/>
    </row>
    <row r="660" spans="1:10" ht="16" x14ac:dyDescent="0.2">
      <c r="A660" s="70"/>
      <c r="B660" s="70"/>
      <c r="C660" s="70"/>
      <c r="D660" s="70"/>
      <c r="E660" s="70"/>
      <c r="F660" s="70"/>
      <c r="G660" s="70"/>
      <c r="H660" s="70"/>
      <c r="I660" s="70"/>
      <c r="J660" s="70"/>
    </row>
    <row r="661" spans="1:10" ht="16" x14ac:dyDescent="0.2">
      <c r="A661" s="70"/>
      <c r="B661" s="70"/>
      <c r="C661" s="70"/>
      <c r="D661" s="70"/>
      <c r="E661" s="70"/>
      <c r="F661" s="70"/>
      <c r="G661" s="70"/>
      <c r="H661" s="70"/>
      <c r="I661" s="70"/>
      <c r="J661" s="70"/>
    </row>
    <row r="662" spans="1:10" ht="16" x14ac:dyDescent="0.2">
      <c r="A662" s="70"/>
      <c r="B662" s="70"/>
      <c r="C662" s="70"/>
      <c r="D662" s="70"/>
      <c r="E662" s="70"/>
      <c r="F662" s="70"/>
      <c r="G662" s="70"/>
      <c r="H662" s="70"/>
      <c r="I662" s="70"/>
      <c r="J662" s="70"/>
    </row>
    <row r="663" spans="1:10" ht="16" x14ac:dyDescent="0.2">
      <c r="A663" s="70"/>
      <c r="B663" s="70"/>
      <c r="C663" s="70"/>
      <c r="D663" s="70"/>
      <c r="E663" s="70"/>
      <c r="F663" s="70"/>
      <c r="G663" s="70"/>
      <c r="H663" s="70"/>
      <c r="I663" s="70"/>
      <c r="J663" s="70"/>
    </row>
    <row r="664" spans="1:10" ht="16" x14ac:dyDescent="0.2">
      <c r="A664" s="70"/>
      <c r="B664" s="70"/>
      <c r="C664" s="70"/>
      <c r="D664" s="70"/>
      <c r="E664" s="70"/>
      <c r="F664" s="70"/>
      <c r="G664" s="70"/>
      <c r="H664" s="70"/>
      <c r="I664" s="70"/>
      <c r="J664" s="70"/>
    </row>
    <row r="665" spans="1:10" ht="16" x14ac:dyDescent="0.2">
      <c r="A665" s="70"/>
      <c r="B665" s="70"/>
      <c r="C665" s="70"/>
      <c r="D665" s="70"/>
      <c r="E665" s="70"/>
      <c r="F665" s="70"/>
      <c r="G665" s="70"/>
      <c r="H665" s="70"/>
      <c r="I665" s="70"/>
      <c r="J665" s="70"/>
    </row>
    <row r="666" spans="1:10" ht="16" x14ac:dyDescent="0.2">
      <c r="A666" s="70"/>
      <c r="B666" s="70"/>
      <c r="C666" s="70"/>
      <c r="D666" s="70"/>
      <c r="E666" s="70"/>
      <c r="F666" s="70"/>
      <c r="G666" s="70"/>
      <c r="H666" s="70"/>
      <c r="I666" s="70"/>
      <c r="J666" s="70"/>
    </row>
    <row r="667" spans="1:10" ht="16" x14ac:dyDescent="0.2">
      <c r="A667" s="70"/>
      <c r="B667" s="70"/>
      <c r="C667" s="70"/>
      <c r="D667" s="70"/>
      <c r="E667" s="70"/>
      <c r="F667" s="70"/>
      <c r="G667" s="70"/>
      <c r="H667" s="70"/>
      <c r="I667" s="70"/>
      <c r="J667" s="70"/>
    </row>
    <row r="668" spans="1:10" ht="16" x14ac:dyDescent="0.2">
      <c r="A668" s="70"/>
      <c r="B668" s="70"/>
      <c r="C668" s="70"/>
      <c r="D668" s="70"/>
      <c r="E668" s="70"/>
      <c r="F668" s="70"/>
      <c r="G668" s="70"/>
      <c r="H668" s="70"/>
      <c r="I668" s="70"/>
      <c r="J668" s="70"/>
    </row>
    <row r="669" spans="1:10" ht="16" x14ac:dyDescent="0.2">
      <c r="A669" s="70"/>
      <c r="B669" s="70"/>
      <c r="C669" s="70"/>
      <c r="D669" s="70"/>
      <c r="E669" s="70"/>
      <c r="F669" s="70"/>
      <c r="G669" s="70"/>
      <c r="H669" s="70"/>
      <c r="I669" s="70"/>
      <c r="J669" s="70"/>
    </row>
    <row r="670" spans="1:10" ht="16" x14ac:dyDescent="0.2">
      <c r="A670" s="70"/>
      <c r="B670" s="70"/>
      <c r="C670" s="70"/>
      <c r="D670" s="70"/>
      <c r="E670" s="70"/>
      <c r="F670" s="70"/>
      <c r="G670" s="70"/>
      <c r="H670" s="70"/>
      <c r="I670" s="70"/>
      <c r="J670" s="70"/>
    </row>
    <row r="671" spans="1:10" ht="16" x14ac:dyDescent="0.2">
      <c r="A671" s="70"/>
      <c r="B671" s="70"/>
      <c r="C671" s="70"/>
      <c r="D671" s="70"/>
      <c r="E671" s="70"/>
      <c r="F671" s="70"/>
      <c r="G671" s="70"/>
      <c r="H671" s="70"/>
      <c r="I671" s="70"/>
      <c r="J671" s="70"/>
    </row>
    <row r="672" spans="1:10" ht="16" x14ac:dyDescent="0.2">
      <c r="A672" s="70"/>
      <c r="B672" s="70"/>
      <c r="C672" s="70"/>
      <c r="D672" s="70"/>
      <c r="E672" s="70"/>
      <c r="F672" s="70"/>
      <c r="G672" s="70"/>
      <c r="H672" s="70"/>
      <c r="I672" s="70"/>
      <c r="J672" s="70"/>
    </row>
    <row r="673" spans="1:10" ht="16" x14ac:dyDescent="0.2">
      <c r="A673" s="70"/>
      <c r="B673" s="70"/>
      <c r="C673" s="70"/>
      <c r="D673" s="70"/>
      <c r="E673" s="70"/>
      <c r="F673" s="70"/>
      <c r="G673" s="70"/>
      <c r="H673" s="70"/>
      <c r="I673" s="70"/>
      <c r="J673" s="70"/>
    </row>
    <row r="674" spans="1:10" ht="16" x14ac:dyDescent="0.2">
      <c r="A674" s="70"/>
      <c r="B674" s="70"/>
      <c r="C674" s="70"/>
      <c r="D674" s="70"/>
      <c r="E674" s="70"/>
      <c r="F674" s="70"/>
      <c r="G674" s="70"/>
      <c r="H674" s="70"/>
      <c r="I674" s="70"/>
      <c r="J674" s="70"/>
    </row>
    <row r="675" spans="1:10" ht="16" x14ac:dyDescent="0.2">
      <c r="A675" s="70"/>
      <c r="B675" s="70"/>
      <c r="C675" s="70"/>
      <c r="D675" s="70"/>
      <c r="E675" s="70"/>
      <c r="F675" s="70"/>
      <c r="G675" s="70"/>
      <c r="H675" s="70"/>
      <c r="I675" s="70"/>
      <c r="J675" s="70"/>
    </row>
    <row r="676" spans="1:10" ht="16" x14ac:dyDescent="0.2">
      <c r="A676" s="70"/>
      <c r="B676" s="70"/>
      <c r="C676" s="70"/>
      <c r="D676" s="70"/>
      <c r="E676" s="70"/>
      <c r="F676" s="70"/>
      <c r="G676" s="70"/>
      <c r="H676" s="70"/>
      <c r="I676" s="70"/>
      <c r="J676" s="70"/>
    </row>
    <row r="677" spans="1:10" ht="16" x14ac:dyDescent="0.2">
      <c r="A677" s="70"/>
      <c r="B677" s="70"/>
      <c r="C677" s="70"/>
      <c r="D677" s="70"/>
      <c r="E677" s="70"/>
      <c r="F677" s="70"/>
      <c r="G677" s="70"/>
      <c r="H677" s="70"/>
      <c r="I677" s="70"/>
      <c r="J677" s="70"/>
    </row>
    <row r="678" spans="1:10" ht="16" x14ac:dyDescent="0.2">
      <c r="A678" s="70"/>
      <c r="B678" s="70"/>
      <c r="C678" s="70"/>
      <c r="D678" s="70"/>
      <c r="E678" s="70"/>
      <c r="F678" s="70"/>
      <c r="G678" s="70"/>
      <c r="H678" s="70"/>
      <c r="I678" s="70"/>
      <c r="J678" s="70"/>
    </row>
    <row r="679" spans="1:10" ht="16" x14ac:dyDescent="0.2">
      <c r="A679" s="70"/>
      <c r="B679" s="70"/>
      <c r="C679" s="70"/>
      <c r="D679" s="70"/>
      <c r="E679" s="70"/>
      <c r="F679" s="70"/>
      <c r="G679" s="70"/>
      <c r="H679" s="70"/>
      <c r="I679" s="70"/>
      <c r="J679" s="70"/>
    </row>
    <row r="680" spans="1:10" ht="16" x14ac:dyDescent="0.2">
      <c r="A680" s="70"/>
      <c r="B680" s="70"/>
      <c r="C680" s="70"/>
      <c r="D680" s="70"/>
      <c r="E680" s="70"/>
      <c r="F680" s="70"/>
      <c r="G680" s="70"/>
      <c r="H680" s="70"/>
      <c r="I680" s="70"/>
      <c r="J680" s="70"/>
    </row>
    <row r="681" spans="1:10" ht="16" x14ac:dyDescent="0.2">
      <c r="A681" s="70"/>
      <c r="B681" s="70"/>
      <c r="C681" s="70"/>
      <c r="D681" s="70"/>
      <c r="E681" s="70"/>
      <c r="F681" s="70"/>
      <c r="G681" s="70"/>
      <c r="H681" s="70"/>
      <c r="I681" s="70"/>
      <c r="J681" s="70"/>
    </row>
    <row r="682" spans="1:10" ht="16" x14ac:dyDescent="0.2">
      <c r="A682" s="70"/>
      <c r="B682" s="70"/>
      <c r="C682" s="70"/>
      <c r="D682" s="70"/>
      <c r="E682" s="70"/>
      <c r="F682" s="70"/>
      <c r="G682" s="70"/>
      <c r="H682" s="70"/>
      <c r="I682" s="70"/>
      <c r="J682" s="70"/>
    </row>
    <row r="683" spans="1:10" ht="16" x14ac:dyDescent="0.2">
      <c r="A683" s="70"/>
      <c r="B683" s="70"/>
      <c r="C683" s="70"/>
      <c r="D683" s="70"/>
      <c r="E683" s="70"/>
      <c r="F683" s="70"/>
      <c r="G683" s="70"/>
      <c r="H683" s="70"/>
      <c r="I683" s="70"/>
      <c r="J683" s="70"/>
    </row>
    <row r="684" spans="1:10" ht="16" x14ac:dyDescent="0.2">
      <c r="A684" s="70"/>
      <c r="B684" s="70"/>
      <c r="C684" s="70"/>
      <c r="D684" s="70"/>
      <c r="E684" s="70"/>
      <c r="F684" s="70"/>
      <c r="G684" s="70"/>
      <c r="H684" s="70"/>
      <c r="I684" s="70"/>
      <c r="J684" s="70"/>
    </row>
    <row r="685" spans="1:10" ht="16" x14ac:dyDescent="0.2">
      <c r="A685" s="70"/>
      <c r="B685" s="70"/>
      <c r="C685" s="70"/>
      <c r="D685" s="70"/>
      <c r="E685" s="70"/>
      <c r="F685" s="70"/>
      <c r="G685" s="70"/>
      <c r="H685" s="70"/>
      <c r="I685" s="70"/>
      <c r="J685" s="70"/>
    </row>
    <row r="686" spans="1:10" ht="16" x14ac:dyDescent="0.2">
      <c r="A686" s="70"/>
      <c r="B686" s="70"/>
      <c r="C686" s="70"/>
      <c r="D686" s="70"/>
      <c r="E686" s="70"/>
      <c r="F686" s="70"/>
      <c r="G686" s="70"/>
      <c r="H686" s="70"/>
      <c r="I686" s="70"/>
      <c r="J686" s="70"/>
    </row>
    <row r="687" spans="1:10" ht="16" x14ac:dyDescent="0.2">
      <c r="A687" s="70"/>
      <c r="B687" s="70"/>
      <c r="C687" s="70"/>
      <c r="D687" s="70"/>
      <c r="E687" s="70"/>
      <c r="F687" s="70"/>
      <c r="G687" s="70"/>
      <c r="H687" s="70"/>
      <c r="I687" s="70"/>
      <c r="J687" s="70"/>
    </row>
    <row r="688" spans="1:10" ht="16" x14ac:dyDescent="0.2">
      <c r="A688" s="70"/>
      <c r="B688" s="70"/>
      <c r="C688" s="70"/>
      <c r="D688" s="70"/>
      <c r="E688" s="70"/>
      <c r="F688" s="70"/>
      <c r="G688" s="70"/>
      <c r="H688" s="70"/>
      <c r="I688" s="70"/>
      <c r="J688" s="70"/>
    </row>
    <row r="689" spans="1:10" ht="16" x14ac:dyDescent="0.2">
      <c r="A689" s="70"/>
      <c r="B689" s="70"/>
      <c r="C689" s="70"/>
      <c r="D689" s="70"/>
      <c r="E689" s="70"/>
      <c r="F689" s="70"/>
      <c r="G689" s="70"/>
      <c r="H689" s="70"/>
      <c r="I689" s="70"/>
      <c r="J689" s="70"/>
    </row>
    <row r="690" spans="1:10" ht="16" x14ac:dyDescent="0.2">
      <c r="A690" s="70"/>
      <c r="B690" s="70"/>
      <c r="C690" s="70"/>
      <c r="D690" s="70"/>
      <c r="E690" s="70"/>
      <c r="F690" s="70"/>
      <c r="G690" s="70"/>
      <c r="H690" s="70"/>
      <c r="I690" s="70"/>
      <c r="J690" s="70"/>
    </row>
    <row r="691" spans="1:10" ht="16" x14ac:dyDescent="0.2">
      <c r="A691" s="70"/>
      <c r="B691" s="70"/>
      <c r="C691" s="70"/>
      <c r="D691" s="70"/>
      <c r="E691" s="70"/>
      <c r="F691" s="70"/>
      <c r="G691" s="70"/>
      <c r="H691" s="70"/>
      <c r="I691" s="70"/>
      <c r="J691" s="70"/>
    </row>
    <row r="692" spans="1:10" ht="16" x14ac:dyDescent="0.2">
      <c r="A692" s="70"/>
      <c r="B692" s="70"/>
      <c r="C692" s="70"/>
      <c r="D692" s="70"/>
      <c r="E692" s="70"/>
      <c r="F692" s="70"/>
      <c r="G692" s="70"/>
      <c r="H692" s="70"/>
      <c r="I692" s="70"/>
      <c r="J692" s="70"/>
    </row>
    <row r="693" spans="1:10" ht="16" x14ac:dyDescent="0.2">
      <c r="A693" s="70"/>
      <c r="B693" s="70"/>
      <c r="C693" s="70"/>
      <c r="D693" s="70"/>
      <c r="E693" s="70"/>
      <c r="F693" s="70"/>
      <c r="G693" s="70"/>
      <c r="H693" s="70"/>
      <c r="I693" s="70"/>
      <c r="J693" s="70"/>
    </row>
    <row r="694" spans="1:10" ht="16" x14ac:dyDescent="0.2">
      <c r="A694" s="70"/>
      <c r="B694" s="70"/>
      <c r="C694" s="70"/>
      <c r="D694" s="70"/>
      <c r="E694" s="70"/>
      <c r="F694" s="70"/>
      <c r="G694" s="70"/>
      <c r="H694" s="70"/>
      <c r="I694" s="70"/>
      <c r="J694" s="70"/>
    </row>
    <row r="695" spans="1:10" ht="16" x14ac:dyDescent="0.2">
      <c r="A695" s="70"/>
      <c r="B695" s="70"/>
      <c r="C695" s="70"/>
      <c r="D695" s="70"/>
      <c r="E695" s="70"/>
      <c r="F695" s="70"/>
      <c r="G695" s="70"/>
      <c r="H695" s="70"/>
      <c r="I695" s="70"/>
      <c r="J695" s="70"/>
    </row>
    <row r="696" spans="1:10" ht="16" x14ac:dyDescent="0.2">
      <c r="A696" s="70"/>
      <c r="B696" s="70"/>
      <c r="C696" s="70"/>
      <c r="D696" s="70"/>
      <c r="E696" s="70"/>
      <c r="F696" s="70"/>
      <c r="G696" s="70"/>
      <c r="H696" s="70"/>
      <c r="I696" s="70"/>
      <c r="J696" s="70"/>
    </row>
    <row r="697" spans="1:10" ht="16" x14ac:dyDescent="0.2">
      <c r="A697" s="70"/>
      <c r="B697" s="70"/>
      <c r="C697" s="70"/>
      <c r="D697" s="70"/>
      <c r="E697" s="70"/>
      <c r="F697" s="70"/>
      <c r="G697" s="70"/>
      <c r="H697" s="70"/>
      <c r="I697" s="70"/>
      <c r="J697" s="70"/>
    </row>
    <row r="698" spans="1:10" ht="16" x14ac:dyDescent="0.2">
      <c r="A698" s="70"/>
      <c r="B698" s="70"/>
      <c r="C698" s="70"/>
      <c r="D698" s="70"/>
      <c r="E698" s="70"/>
      <c r="F698" s="70"/>
      <c r="G698" s="70"/>
      <c r="H698" s="70"/>
      <c r="I698" s="70"/>
      <c r="J698" s="70"/>
    </row>
    <row r="699" spans="1:10" ht="16" x14ac:dyDescent="0.2">
      <c r="A699" s="70"/>
      <c r="B699" s="70"/>
      <c r="C699" s="70"/>
      <c r="D699" s="70"/>
      <c r="E699" s="70"/>
      <c r="F699" s="70"/>
      <c r="G699" s="70"/>
      <c r="H699" s="70"/>
      <c r="I699" s="70"/>
      <c r="J699" s="70"/>
    </row>
    <row r="700" spans="1:10" ht="16" x14ac:dyDescent="0.2">
      <c r="A700" s="70"/>
      <c r="B700" s="70"/>
      <c r="C700" s="70"/>
      <c r="D700" s="70"/>
      <c r="E700" s="70"/>
      <c r="F700" s="70"/>
      <c r="G700" s="70"/>
      <c r="H700" s="70"/>
      <c r="I700" s="70"/>
      <c r="J700" s="70"/>
    </row>
    <row r="701" spans="1:10" ht="16" x14ac:dyDescent="0.2">
      <c r="A701" s="70"/>
      <c r="B701" s="70"/>
      <c r="C701" s="70"/>
      <c r="D701" s="70"/>
      <c r="E701" s="70"/>
      <c r="F701" s="70"/>
      <c r="G701" s="70"/>
      <c r="H701" s="70"/>
      <c r="I701" s="70"/>
      <c r="J701" s="70"/>
    </row>
    <row r="702" spans="1:10" ht="16" x14ac:dyDescent="0.2">
      <c r="A702" s="70"/>
      <c r="B702" s="70"/>
      <c r="C702" s="70"/>
      <c r="D702" s="70"/>
      <c r="E702" s="70"/>
      <c r="F702" s="70"/>
      <c r="G702" s="70"/>
      <c r="H702" s="70"/>
      <c r="I702" s="70"/>
      <c r="J702" s="70"/>
    </row>
    <row r="703" spans="1:10" ht="16" x14ac:dyDescent="0.2">
      <c r="A703" s="70"/>
      <c r="B703" s="70"/>
      <c r="C703" s="70"/>
      <c r="D703" s="70"/>
      <c r="E703" s="70"/>
      <c r="F703" s="70"/>
      <c r="G703" s="70"/>
      <c r="H703" s="70"/>
      <c r="I703" s="70"/>
      <c r="J703" s="70"/>
    </row>
    <row r="704" spans="1:10" ht="16" x14ac:dyDescent="0.2">
      <c r="A704" s="70"/>
      <c r="B704" s="70"/>
      <c r="C704" s="70"/>
      <c r="D704" s="70"/>
      <c r="E704" s="70"/>
      <c r="F704" s="70"/>
      <c r="G704" s="70"/>
      <c r="H704" s="70"/>
      <c r="I704" s="70"/>
      <c r="J704" s="70"/>
    </row>
    <row r="705" spans="1:10" ht="16" x14ac:dyDescent="0.2">
      <c r="A705" s="70"/>
      <c r="B705" s="70"/>
      <c r="C705" s="70"/>
      <c r="D705" s="70"/>
      <c r="E705" s="70"/>
      <c r="F705" s="70"/>
      <c r="G705" s="70"/>
      <c r="H705" s="70"/>
      <c r="I705" s="70"/>
      <c r="J705" s="70"/>
    </row>
    <row r="706" spans="1:10" ht="16" x14ac:dyDescent="0.2">
      <c r="A706" s="70"/>
      <c r="B706" s="70"/>
      <c r="C706" s="70"/>
      <c r="D706" s="70"/>
      <c r="E706" s="70"/>
      <c r="F706" s="70"/>
      <c r="G706" s="70"/>
      <c r="H706" s="70"/>
      <c r="I706" s="70"/>
      <c r="J706" s="70"/>
    </row>
    <row r="707" spans="1:10" ht="16" x14ac:dyDescent="0.2">
      <c r="A707" s="70"/>
      <c r="B707" s="70"/>
      <c r="C707" s="70"/>
      <c r="D707" s="70"/>
      <c r="E707" s="70"/>
      <c r="F707" s="70"/>
      <c r="G707" s="70"/>
      <c r="H707" s="70"/>
      <c r="I707" s="70"/>
      <c r="J707" s="70"/>
    </row>
    <row r="708" spans="1:10" ht="16" x14ac:dyDescent="0.2">
      <c r="A708" s="70"/>
      <c r="B708" s="70"/>
      <c r="C708" s="70"/>
      <c r="D708" s="70"/>
      <c r="E708" s="70"/>
      <c r="F708" s="70"/>
      <c r="G708" s="70"/>
      <c r="H708" s="70"/>
      <c r="I708" s="70"/>
      <c r="J708" s="70"/>
    </row>
    <row r="709" spans="1:10" ht="16" x14ac:dyDescent="0.2">
      <c r="A709" s="70"/>
      <c r="B709" s="70"/>
      <c r="C709" s="70"/>
      <c r="D709" s="70"/>
      <c r="E709" s="70"/>
      <c r="F709" s="70"/>
      <c r="G709" s="70"/>
      <c r="H709" s="70"/>
      <c r="I709" s="70"/>
      <c r="J709" s="70"/>
    </row>
    <row r="710" spans="1:10" ht="16" x14ac:dyDescent="0.2">
      <c r="A710" s="70"/>
      <c r="B710" s="70"/>
      <c r="C710" s="70"/>
      <c r="D710" s="70"/>
      <c r="E710" s="70"/>
      <c r="F710" s="70"/>
      <c r="G710" s="70"/>
      <c r="H710" s="70"/>
      <c r="I710" s="70"/>
      <c r="J710" s="70"/>
    </row>
    <row r="711" spans="1:10" ht="16" x14ac:dyDescent="0.2">
      <c r="A711" s="70"/>
      <c r="B711" s="70"/>
      <c r="C711" s="70"/>
      <c r="D711" s="70"/>
      <c r="E711" s="70"/>
      <c r="F711" s="70"/>
      <c r="G711" s="70"/>
      <c r="H711" s="70"/>
      <c r="I711" s="70"/>
      <c r="J711" s="70"/>
    </row>
    <row r="712" spans="1:10" ht="16" x14ac:dyDescent="0.2">
      <c r="A712" s="70"/>
      <c r="B712" s="70"/>
      <c r="C712" s="70"/>
      <c r="D712" s="70"/>
      <c r="E712" s="70"/>
      <c r="F712" s="70"/>
      <c r="G712" s="70"/>
      <c r="H712" s="70"/>
      <c r="I712" s="70"/>
      <c r="J712" s="70"/>
    </row>
    <row r="713" spans="1:10" ht="16" x14ac:dyDescent="0.2">
      <c r="A713" s="70"/>
      <c r="B713" s="70"/>
      <c r="C713" s="70"/>
      <c r="D713" s="70"/>
      <c r="E713" s="70"/>
      <c r="F713" s="70"/>
      <c r="G713" s="70"/>
      <c r="H713" s="70"/>
      <c r="I713" s="70"/>
      <c r="J713" s="70"/>
    </row>
    <row r="714" spans="1:10" ht="16" x14ac:dyDescent="0.2">
      <c r="A714" s="70"/>
      <c r="B714" s="70"/>
      <c r="C714" s="70"/>
      <c r="D714" s="70"/>
      <c r="E714" s="70"/>
      <c r="F714" s="70"/>
      <c r="G714" s="70"/>
      <c r="H714" s="70"/>
      <c r="I714" s="70"/>
      <c r="J714" s="70"/>
    </row>
    <row r="715" spans="1:10" ht="16" x14ac:dyDescent="0.2">
      <c r="A715" s="70"/>
      <c r="B715" s="70"/>
      <c r="C715" s="70"/>
      <c r="D715" s="70"/>
      <c r="E715" s="70"/>
      <c r="F715" s="70"/>
      <c r="G715" s="70"/>
      <c r="H715" s="70"/>
      <c r="I715" s="70"/>
      <c r="J715" s="70"/>
    </row>
    <row r="716" spans="1:10" ht="16" x14ac:dyDescent="0.2">
      <c r="A716" s="70"/>
      <c r="B716" s="70"/>
      <c r="C716" s="70"/>
      <c r="D716" s="70"/>
      <c r="E716" s="70"/>
      <c r="F716" s="70"/>
      <c r="G716" s="70"/>
      <c r="H716" s="70"/>
      <c r="I716" s="70"/>
      <c r="J716" s="70"/>
    </row>
    <row r="717" spans="1:10" ht="16" x14ac:dyDescent="0.2">
      <c r="A717" s="70"/>
      <c r="B717" s="70"/>
      <c r="C717" s="70"/>
      <c r="D717" s="70"/>
      <c r="E717" s="70"/>
      <c r="F717" s="70"/>
      <c r="G717" s="70"/>
      <c r="H717" s="70"/>
      <c r="I717" s="70"/>
      <c r="J717" s="70"/>
    </row>
    <row r="718" spans="1:10" ht="16" x14ac:dyDescent="0.2">
      <c r="A718" s="70"/>
      <c r="B718" s="70"/>
      <c r="C718" s="70"/>
      <c r="D718" s="70"/>
      <c r="E718" s="70"/>
      <c r="F718" s="70"/>
      <c r="G718" s="70"/>
      <c r="H718" s="70"/>
      <c r="I718" s="70"/>
      <c r="J718" s="70"/>
    </row>
    <row r="719" spans="1:10" ht="16" x14ac:dyDescent="0.2">
      <c r="A719" s="70"/>
      <c r="B719" s="70"/>
      <c r="C719" s="70"/>
      <c r="D719" s="70"/>
      <c r="E719" s="70"/>
      <c r="F719" s="70"/>
      <c r="G719" s="70"/>
      <c r="H719" s="70"/>
      <c r="I719" s="70"/>
      <c r="J719" s="70"/>
    </row>
    <row r="720" spans="1:10" ht="16" x14ac:dyDescent="0.2">
      <c r="A720" s="70"/>
      <c r="B720" s="70"/>
      <c r="C720" s="70"/>
      <c r="D720" s="70"/>
      <c r="E720" s="70"/>
      <c r="F720" s="70"/>
      <c r="G720" s="70"/>
      <c r="H720" s="70"/>
      <c r="I720" s="70"/>
      <c r="J720" s="70"/>
    </row>
    <row r="721" spans="1:10" ht="16" x14ac:dyDescent="0.2">
      <c r="A721" s="70"/>
      <c r="B721" s="70"/>
      <c r="C721" s="70"/>
      <c r="D721" s="70"/>
      <c r="E721" s="70"/>
      <c r="F721" s="70"/>
      <c r="G721" s="70"/>
      <c r="H721" s="70"/>
      <c r="I721" s="70"/>
      <c r="J721" s="70"/>
    </row>
    <row r="722" spans="1:10" ht="16" x14ac:dyDescent="0.2">
      <c r="A722" s="70"/>
      <c r="B722" s="70"/>
      <c r="C722" s="70"/>
      <c r="D722" s="70"/>
      <c r="E722" s="70"/>
      <c r="F722" s="70"/>
      <c r="G722" s="70"/>
      <c r="H722" s="70"/>
      <c r="I722" s="70"/>
      <c r="J722" s="70"/>
    </row>
    <row r="723" spans="1:10" ht="16" x14ac:dyDescent="0.2">
      <c r="A723" s="70"/>
      <c r="B723" s="70"/>
      <c r="C723" s="70"/>
      <c r="D723" s="70"/>
      <c r="E723" s="70"/>
      <c r="F723" s="70"/>
      <c r="G723" s="70"/>
      <c r="H723" s="70"/>
      <c r="I723" s="70"/>
      <c r="J723" s="70"/>
    </row>
    <row r="724" spans="1:10" ht="16" x14ac:dyDescent="0.2">
      <c r="A724" s="70"/>
      <c r="B724" s="70"/>
      <c r="C724" s="70"/>
      <c r="D724" s="70"/>
      <c r="E724" s="70"/>
      <c r="F724" s="70"/>
      <c r="G724" s="70"/>
      <c r="H724" s="70"/>
      <c r="I724" s="70"/>
      <c r="J724" s="70"/>
    </row>
    <row r="725" spans="1:10" ht="16" x14ac:dyDescent="0.2">
      <c r="A725" s="70"/>
      <c r="B725" s="70"/>
      <c r="C725" s="70"/>
      <c r="D725" s="70"/>
      <c r="E725" s="70"/>
      <c r="F725" s="70"/>
      <c r="G725" s="70"/>
      <c r="H725" s="70"/>
      <c r="I725" s="70"/>
      <c r="J725" s="70"/>
    </row>
    <row r="726" spans="1:10" ht="16" x14ac:dyDescent="0.2">
      <c r="A726" s="70"/>
      <c r="B726" s="70"/>
      <c r="C726" s="70"/>
      <c r="D726" s="70"/>
      <c r="E726" s="70"/>
      <c r="F726" s="70"/>
      <c r="G726" s="70"/>
      <c r="H726" s="70"/>
      <c r="I726" s="70"/>
      <c r="J726" s="70"/>
    </row>
    <row r="727" spans="1:10" ht="16" x14ac:dyDescent="0.2">
      <c r="A727" s="70"/>
      <c r="B727" s="70"/>
      <c r="C727" s="70"/>
      <c r="D727" s="70"/>
      <c r="E727" s="70"/>
      <c r="F727" s="70"/>
      <c r="G727" s="70"/>
      <c r="H727" s="70"/>
      <c r="I727" s="70"/>
      <c r="J727" s="70"/>
    </row>
    <row r="728" spans="1:10" ht="16" x14ac:dyDescent="0.2">
      <c r="A728" s="70"/>
      <c r="B728" s="70"/>
      <c r="C728" s="70"/>
      <c r="D728" s="70"/>
      <c r="E728" s="70"/>
      <c r="F728" s="70"/>
      <c r="G728" s="70"/>
      <c r="H728" s="70"/>
      <c r="I728" s="70"/>
      <c r="J728" s="70"/>
    </row>
    <row r="729" spans="1:10" ht="16" x14ac:dyDescent="0.2">
      <c r="A729" s="70"/>
      <c r="B729" s="70"/>
      <c r="C729" s="70"/>
      <c r="D729" s="70"/>
      <c r="E729" s="70"/>
      <c r="F729" s="70"/>
      <c r="G729" s="70"/>
      <c r="H729" s="70"/>
      <c r="I729" s="70"/>
      <c r="J729" s="70"/>
    </row>
    <row r="730" spans="1:10" ht="16" x14ac:dyDescent="0.2">
      <c r="A730" s="70"/>
      <c r="B730" s="70"/>
      <c r="C730" s="70"/>
      <c r="D730" s="70"/>
      <c r="E730" s="70"/>
      <c r="F730" s="70"/>
      <c r="G730" s="70"/>
      <c r="H730" s="70"/>
      <c r="I730" s="70"/>
      <c r="J730" s="70"/>
    </row>
    <row r="731" spans="1:10" ht="16" x14ac:dyDescent="0.2">
      <c r="A731" s="70"/>
      <c r="B731" s="70"/>
      <c r="C731" s="70"/>
      <c r="D731" s="70"/>
      <c r="E731" s="70"/>
      <c r="F731" s="70"/>
      <c r="G731" s="70"/>
      <c r="H731" s="70"/>
      <c r="I731" s="70"/>
      <c r="J731" s="70"/>
    </row>
    <row r="732" spans="1:10" ht="16" x14ac:dyDescent="0.2">
      <c r="A732" s="70"/>
      <c r="B732" s="70"/>
      <c r="C732" s="70"/>
      <c r="D732" s="70"/>
      <c r="E732" s="70"/>
      <c r="F732" s="70"/>
      <c r="G732" s="70"/>
      <c r="H732" s="70"/>
      <c r="I732" s="70"/>
      <c r="J732" s="70"/>
    </row>
    <row r="733" spans="1:10" ht="16" x14ac:dyDescent="0.2">
      <c r="A733" s="70"/>
      <c r="B733" s="70"/>
      <c r="C733" s="70"/>
      <c r="D733" s="70"/>
      <c r="E733" s="70"/>
      <c r="F733" s="70"/>
      <c r="G733" s="70"/>
      <c r="H733" s="70"/>
      <c r="I733" s="70"/>
      <c r="J733" s="70"/>
    </row>
    <row r="734" spans="1:10" ht="16" x14ac:dyDescent="0.2">
      <c r="A734" s="70"/>
      <c r="B734" s="70"/>
      <c r="C734" s="70"/>
      <c r="D734" s="70"/>
      <c r="E734" s="70"/>
      <c r="F734" s="70"/>
      <c r="G734" s="70"/>
      <c r="H734" s="70"/>
      <c r="I734" s="70"/>
      <c r="J734" s="70"/>
    </row>
    <row r="735" spans="1:10" ht="16" x14ac:dyDescent="0.2">
      <c r="A735" s="70"/>
      <c r="B735" s="70"/>
      <c r="C735" s="70"/>
      <c r="D735" s="70"/>
      <c r="E735" s="70"/>
      <c r="F735" s="70"/>
      <c r="G735" s="70"/>
      <c r="H735" s="70"/>
      <c r="I735" s="70"/>
      <c r="J735" s="70"/>
    </row>
    <row r="736" spans="1:10" ht="16" x14ac:dyDescent="0.2">
      <c r="A736" s="70"/>
      <c r="B736" s="70"/>
      <c r="C736" s="70"/>
      <c r="D736" s="70"/>
      <c r="E736" s="70"/>
      <c r="F736" s="70"/>
      <c r="G736" s="70"/>
      <c r="H736" s="70"/>
      <c r="I736" s="70"/>
      <c r="J736" s="70"/>
    </row>
    <row r="737" spans="1:10" ht="16" x14ac:dyDescent="0.2">
      <c r="A737" s="70"/>
      <c r="B737" s="70"/>
      <c r="C737" s="70"/>
      <c r="D737" s="70"/>
      <c r="E737" s="70"/>
      <c r="F737" s="70"/>
      <c r="G737" s="70"/>
      <c r="H737" s="70"/>
      <c r="I737" s="70"/>
      <c r="J737" s="70"/>
    </row>
    <row r="738" spans="1:10" ht="16" x14ac:dyDescent="0.2">
      <c r="A738" s="70"/>
      <c r="B738" s="70"/>
      <c r="C738" s="70"/>
      <c r="D738" s="70"/>
      <c r="E738" s="70"/>
      <c r="F738" s="70"/>
      <c r="G738" s="70"/>
      <c r="H738" s="70"/>
      <c r="I738" s="70"/>
      <c r="J738" s="70"/>
    </row>
    <row r="739" spans="1:10" ht="16" x14ac:dyDescent="0.2">
      <c r="A739" s="70"/>
      <c r="B739" s="70"/>
      <c r="C739" s="70"/>
      <c r="D739" s="70"/>
      <c r="E739" s="70"/>
      <c r="F739" s="70"/>
      <c r="G739" s="70"/>
      <c r="H739" s="70"/>
      <c r="I739" s="70"/>
      <c r="J739" s="70"/>
    </row>
    <row r="740" spans="1:10" ht="16" x14ac:dyDescent="0.2">
      <c r="A740" s="70"/>
      <c r="B740" s="70"/>
      <c r="C740" s="70"/>
      <c r="D740" s="70"/>
      <c r="E740" s="70"/>
      <c r="F740" s="70"/>
      <c r="G740" s="70"/>
      <c r="H740" s="70"/>
      <c r="I740" s="70"/>
      <c r="J740" s="70"/>
    </row>
    <row r="741" spans="1:10" ht="16" x14ac:dyDescent="0.2">
      <c r="A741" s="70"/>
      <c r="B741" s="70"/>
      <c r="C741" s="70"/>
      <c r="D741" s="70"/>
      <c r="E741" s="70"/>
      <c r="F741" s="70"/>
      <c r="G741" s="70"/>
      <c r="H741" s="70"/>
      <c r="I741" s="70"/>
      <c r="J741" s="70"/>
    </row>
    <row r="742" spans="1:10" ht="16" x14ac:dyDescent="0.2">
      <c r="A742" s="70"/>
      <c r="B742" s="70"/>
      <c r="C742" s="70"/>
      <c r="D742" s="70"/>
      <c r="E742" s="70"/>
      <c r="F742" s="70"/>
      <c r="G742" s="70"/>
      <c r="H742" s="70"/>
      <c r="I742" s="70"/>
      <c r="J742" s="70"/>
    </row>
    <row r="743" spans="1:10" ht="16" x14ac:dyDescent="0.2">
      <c r="A743" s="70"/>
      <c r="B743" s="70"/>
      <c r="C743" s="70"/>
      <c r="D743" s="70"/>
      <c r="E743" s="70"/>
      <c r="F743" s="70"/>
      <c r="G743" s="70"/>
      <c r="H743" s="70"/>
      <c r="I743" s="70"/>
      <c r="J743" s="70"/>
    </row>
    <row r="744" spans="1:10" ht="16" x14ac:dyDescent="0.2">
      <c r="A744" s="70"/>
      <c r="B744" s="70"/>
      <c r="C744" s="70"/>
      <c r="D744" s="70"/>
      <c r="E744" s="70"/>
      <c r="F744" s="70"/>
      <c r="G744" s="70"/>
      <c r="H744" s="70"/>
      <c r="I744" s="70"/>
      <c r="J744" s="70"/>
    </row>
    <row r="745" spans="1:10" ht="16" x14ac:dyDescent="0.2">
      <c r="A745" s="70"/>
      <c r="B745" s="70"/>
      <c r="C745" s="70"/>
      <c r="D745" s="70"/>
      <c r="E745" s="70"/>
      <c r="F745" s="70"/>
      <c r="G745" s="70"/>
      <c r="H745" s="70"/>
      <c r="I745" s="70"/>
      <c r="J745" s="70"/>
    </row>
    <row r="746" spans="1:10" ht="16" x14ac:dyDescent="0.2">
      <c r="A746" s="70"/>
      <c r="B746" s="70"/>
      <c r="C746" s="70"/>
      <c r="D746" s="70"/>
      <c r="E746" s="70"/>
      <c r="F746" s="70"/>
      <c r="G746" s="70"/>
      <c r="H746" s="70"/>
      <c r="I746" s="70"/>
      <c r="J746" s="70"/>
    </row>
    <row r="747" spans="1:10" ht="16" x14ac:dyDescent="0.2">
      <c r="A747" s="70"/>
      <c r="B747" s="70"/>
      <c r="C747" s="70"/>
      <c r="D747" s="70"/>
      <c r="E747" s="70"/>
      <c r="F747" s="70"/>
      <c r="G747" s="70"/>
      <c r="H747" s="70"/>
      <c r="I747" s="70"/>
      <c r="J747" s="70"/>
    </row>
    <row r="748" spans="1:10" ht="16" x14ac:dyDescent="0.2">
      <c r="A748" s="70"/>
      <c r="B748" s="70"/>
      <c r="C748" s="70"/>
      <c r="D748" s="70"/>
      <c r="E748" s="70"/>
      <c r="F748" s="70"/>
      <c r="G748" s="70"/>
      <c r="H748" s="70"/>
      <c r="I748" s="70"/>
      <c r="J748" s="70"/>
    </row>
    <row r="749" spans="1:10" ht="16" x14ac:dyDescent="0.2">
      <c r="A749" s="70"/>
      <c r="B749" s="70"/>
      <c r="C749" s="70"/>
      <c r="D749" s="70"/>
      <c r="E749" s="70"/>
      <c r="F749" s="70"/>
      <c r="G749" s="70"/>
      <c r="H749" s="70"/>
      <c r="I749" s="70"/>
      <c r="J749" s="70"/>
    </row>
    <row r="750" spans="1:10" ht="16" x14ac:dyDescent="0.2">
      <c r="A750" s="70"/>
      <c r="B750" s="70"/>
      <c r="C750" s="70"/>
      <c r="D750" s="70"/>
      <c r="E750" s="70"/>
      <c r="F750" s="70"/>
      <c r="G750" s="70"/>
      <c r="H750" s="70"/>
      <c r="I750" s="70"/>
      <c r="J750" s="70"/>
    </row>
    <row r="751" spans="1:10" ht="16" x14ac:dyDescent="0.2">
      <c r="A751" s="70"/>
      <c r="B751" s="70"/>
      <c r="C751" s="70"/>
      <c r="D751" s="70"/>
      <c r="E751" s="70"/>
      <c r="F751" s="70"/>
      <c r="G751" s="70"/>
      <c r="H751" s="70"/>
      <c r="I751" s="70"/>
      <c r="J751" s="70"/>
    </row>
    <row r="752" spans="1:10" ht="16" x14ac:dyDescent="0.2">
      <c r="A752" s="70"/>
      <c r="B752" s="70"/>
      <c r="C752" s="70"/>
      <c r="D752" s="70"/>
      <c r="E752" s="70"/>
      <c r="F752" s="70"/>
      <c r="G752" s="70"/>
      <c r="H752" s="70"/>
      <c r="I752" s="70"/>
      <c r="J752" s="70"/>
    </row>
    <row r="753" spans="1:10" ht="16" x14ac:dyDescent="0.2">
      <c r="A753" s="70"/>
      <c r="B753" s="70"/>
      <c r="C753" s="70"/>
      <c r="D753" s="70"/>
      <c r="E753" s="70"/>
      <c r="F753" s="70"/>
      <c r="G753" s="70"/>
      <c r="H753" s="70"/>
      <c r="I753" s="70"/>
      <c r="J753" s="70"/>
    </row>
    <row r="754" spans="1:10" ht="16" x14ac:dyDescent="0.2">
      <c r="A754" s="70"/>
      <c r="B754" s="70"/>
      <c r="C754" s="70"/>
      <c r="D754" s="70"/>
      <c r="E754" s="70"/>
      <c r="F754" s="70"/>
      <c r="G754" s="70"/>
      <c r="H754" s="70"/>
      <c r="I754" s="70"/>
      <c r="J754" s="70"/>
    </row>
    <row r="755" spans="1:10" ht="16" x14ac:dyDescent="0.2">
      <c r="A755" s="70"/>
      <c r="B755" s="70"/>
      <c r="C755" s="70"/>
      <c r="D755" s="70"/>
      <c r="E755" s="70"/>
      <c r="F755" s="70"/>
      <c r="G755" s="70"/>
      <c r="H755" s="70"/>
      <c r="I755" s="70"/>
      <c r="J755" s="70"/>
    </row>
    <row r="756" spans="1:10" ht="16" x14ac:dyDescent="0.2">
      <c r="A756" s="70"/>
      <c r="B756" s="70"/>
      <c r="C756" s="70"/>
      <c r="D756" s="70"/>
      <c r="E756" s="70"/>
      <c r="F756" s="70"/>
      <c r="G756" s="70"/>
      <c r="H756" s="70"/>
      <c r="I756" s="70"/>
      <c r="J756" s="70"/>
    </row>
    <row r="757" spans="1:10" ht="16" x14ac:dyDescent="0.2">
      <c r="A757" s="70"/>
      <c r="B757" s="70"/>
      <c r="C757" s="70"/>
      <c r="D757" s="70"/>
      <c r="E757" s="70"/>
      <c r="F757" s="70"/>
      <c r="G757" s="70"/>
      <c r="H757" s="70"/>
      <c r="I757" s="70"/>
      <c r="J757" s="70"/>
    </row>
    <row r="758" spans="1:10" ht="16" x14ac:dyDescent="0.2">
      <c r="A758" s="70"/>
      <c r="B758" s="70"/>
      <c r="C758" s="70"/>
      <c r="D758" s="70"/>
      <c r="E758" s="70"/>
      <c r="F758" s="70"/>
      <c r="G758" s="70"/>
      <c r="H758" s="70"/>
      <c r="I758" s="70"/>
      <c r="J758" s="70"/>
    </row>
    <row r="759" spans="1:10" ht="16" x14ac:dyDescent="0.2">
      <c r="A759" s="70"/>
      <c r="B759" s="70"/>
      <c r="C759" s="70"/>
      <c r="D759" s="70"/>
      <c r="E759" s="70"/>
      <c r="F759" s="70"/>
      <c r="G759" s="70"/>
      <c r="H759" s="70"/>
      <c r="I759" s="70"/>
      <c r="J759" s="70"/>
    </row>
    <row r="760" spans="1:10" ht="16" x14ac:dyDescent="0.2">
      <c r="A760" s="70"/>
      <c r="B760" s="70"/>
      <c r="C760" s="70"/>
      <c r="D760" s="70"/>
      <c r="E760" s="70"/>
      <c r="F760" s="70"/>
      <c r="G760" s="70"/>
      <c r="H760" s="70"/>
      <c r="I760" s="70"/>
      <c r="J760" s="70"/>
    </row>
    <row r="761" spans="1:10" ht="16" x14ac:dyDescent="0.2">
      <c r="A761" s="70"/>
      <c r="B761" s="70"/>
      <c r="C761" s="70"/>
      <c r="D761" s="70"/>
      <c r="E761" s="70"/>
      <c r="F761" s="70"/>
      <c r="G761" s="70"/>
      <c r="H761" s="70"/>
      <c r="I761" s="70"/>
      <c r="J761" s="70"/>
    </row>
    <row r="762" spans="1:10" ht="16" x14ac:dyDescent="0.2">
      <c r="A762" s="70"/>
      <c r="B762" s="70"/>
      <c r="C762" s="70"/>
      <c r="D762" s="70"/>
      <c r="E762" s="70"/>
      <c r="F762" s="70"/>
      <c r="G762" s="70"/>
      <c r="H762" s="70"/>
      <c r="I762" s="70"/>
      <c r="J762" s="70"/>
    </row>
    <row r="763" spans="1:10" ht="16" x14ac:dyDescent="0.2">
      <c r="A763" s="70"/>
      <c r="B763" s="70"/>
      <c r="C763" s="70"/>
      <c r="D763" s="70"/>
      <c r="E763" s="70"/>
      <c r="F763" s="70"/>
      <c r="G763" s="70"/>
      <c r="H763" s="70"/>
      <c r="I763" s="70"/>
      <c r="J763" s="70"/>
    </row>
    <row r="764" spans="1:10" ht="16" x14ac:dyDescent="0.2">
      <c r="A764" s="70"/>
      <c r="B764" s="70"/>
      <c r="C764" s="70"/>
      <c r="D764" s="70"/>
      <c r="E764" s="70"/>
      <c r="F764" s="70"/>
      <c r="G764" s="70"/>
      <c r="H764" s="70"/>
      <c r="I764" s="70"/>
      <c r="J764" s="70"/>
    </row>
    <row r="765" spans="1:10" ht="16" x14ac:dyDescent="0.2">
      <c r="A765" s="70"/>
      <c r="B765" s="70"/>
      <c r="C765" s="70"/>
      <c r="D765" s="70"/>
      <c r="E765" s="70"/>
      <c r="F765" s="70"/>
      <c r="G765" s="70"/>
      <c r="H765" s="70"/>
      <c r="I765" s="70"/>
      <c r="J765" s="70"/>
    </row>
    <row r="766" spans="1:10" ht="16" x14ac:dyDescent="0.2">
      <c r="A766" s="70"/>
      <c r="B766" s="70"/>
      <c r="C766" s="70"/>
      <c r="D766" s="70"/>
      <c r="E766" s="70"/>
      <c r="F766" s="70"/>
      <c r="G766" s="70"/>
      <c r="H766" s="70"/>
      <c r="I766" s="70"/>
      <c r="J766" s="70"/>
    </row>
    <row r="767" spans="1:10" ht="16" x14ac:dyDescent="0.2">
      <c r="A767" s="70"/>
      <c r="B767" s="70"/>
      <c r="C767" s="70"/>
      <c r="D767" s="70"/>
      <c r="E767" s="70"/>
      <c r="F767" s="70"/>
      <c r="G767" s="70"/>
      <c r="H767" s="70"/>
      <c r="I767" s="70"/>
      <c r="J767" s="70"/>
    </row>
    <row r="768" spans="1:10" ht="16" x14ac:dyDescent="0.2">
      <c r="A768" s="70"/>
      <c r="B768" s="70"/>
      <c r="C768" s="70"/>
      <c r="D768" s="70"/>
      <c r="E768" s="70"/>
      <c r="F768" s="70"/>
      <c r="G768" s="70"/>
      <c r="H768" s="70"/>
      <c r="I768" s="70"/>
      <c r="J768" s="70"/>
    </row>
    <row r="769" spans="1:10" ht="16" x14ac:dyDescent="0.2">
      <c r="A769" s="70"/>
      <c r="B769" s="70"/>
      <c r="C769" s="70"/>
      <c r="D769" s="70"/>
      <c r="E769" s="70"/>
      <c r="F769" s="70"/>
      <c r="G769" s="70"/>
      <c r="H769" s="70"/>
      <c r="I769" s="70"/>
      <c r="J769" s="70"/>
    </row>
    <row r="770" spans="1:10" ht="16" x14ac:dyDescent="0.2">
      <c r="A770" s="70"/>
      <c r="B770" s="70"/>
      <c r="C770" s="70"/>
      <c r="D770" s="70"/>
      <c r="E770" s="70"/>
      <c r="F770" s="70"/>
      <c r="G770" s="70"/>
      <c r="H770" s="70"/>
      <c r="I770" s="70"/>
      <c r="J770" s="70"/>
    </row>
    <row r="771" spans="1:10" ht="16" x14ac:dyDescent="0.2">
      <c r="A771" s="70"/>
      <c r="B771" s="70"/>
      <c r="C771" s="70"/>
      <c r="D771" s="70"/>
      <c r="E771" s="70"/>
      <c r="F771" s="70"/>
      <c r="G771" s="70"/>
      <c r="H771" s="70"/>
      <c r="I771" s="70"/>
      <c r="J771" s="70"/>
    </row>
    <row r="772" spans="1:10" ht="16" x14ac:dyDescent="0.2">
      <c r="A772" s="70"/>
      <c r="B772" s="70"/>
      <c r="C772" s="70"/>
      <c r="D772" s="70"/>
      <c r="E772" s="70"/>
      <c r="F772" s="70"/>
      <c r="G772" s="70"/>
      <c r="H772" s="70"/>
      <c r="I772" s="70"/>
      <c r="J772" s="70"/>
    </row>
    <row r="773" spans="1:10" ht="16" x14ac:dyDescent="0.2">
      <c r="A773" s="70"/>
      <c r="B773" s="70"/>
      <c r="C773" s="70"/>
      <c r="D773" s="70"/>
      <c r="E773" s="70"/>
      <c r="F773" s="70"/>
      <c r="G773" s="70"/>
      <c r="H773" s="70"/>
      <c r="I773" s="70"/>
      <c r="J773" s="70"/>
    </row>
    <row r="774" spans="1:10" ht="16" x14ac:dyDescent="0.2">
      <c r="A774" s="70"/>
      <c r="B774" s="70"/>
      <c r="C774" s="70"/>
      <c r="D774" s="70"/>
      <c r="E774" s="70"/>
      <c r="F774" s="70"/>
      <c r="G774" s="70"/>
      <c r="H774" s="70"/>
      <c r="I774" s="70"/>
      <c r="J774" s="70"/>
    </row>
    <row r="775" spans="1:10" ht="16" x14ac:dyDescent="0.2">
      <c r="A775" s="70"/>
      <c r="B775" s="70"/>
      <c r="C775" s="70"/>
      <c r="D775" s="70"/>
      <c r="E775" s="70"/>
      <c r="F775" s="70"/>
      <c r="G775" s="70"/>
      <c r="H775" s="70"/>
      <c r="I775" s="70"/>
      <c r="J775" s="70"/>
    </row>
    <row r="776" spans="1:10" ht="16" x14ac:dyDescent="0.2">
      <c r="A776" s="70"/>
      <c r="B776" s="70"/>
      <c r="C776" s="70"/>
      <c r="D776" s="70"/>
      <c r="E776" s="70"/>
      <c r="F776" s="70"/>
      <c r="G776" s="70"/>
      <c r="H776" s="70"/>
      <c r="I776" s="70"/>
      <c r="J776" s="70"/>
    </row>
    <row r="777" spans="1:10" ht="16" x14ac:dyDescent="0.2">
      <c r="A777" s="70"/>
      <c r="B777" s="70"/>
      <c r="C777" s="70"/>
      <c r="D777" s="70"/>
      <c r="E777" s="70"/>
      <c r="F777" s="70"/>
      <c r="G777" s="70"/>
      <c r="H777" s="70"/>
      <c r="I777" s="70"/>
      <c r="J777" s="70"/>
    </row>
    <row r="778" spans="1:10" ht="16" x14ac:dyDescent="0.2">
      <c r="A778" s="70"/>
      <c r="B778" s="70"/>
      <c r="C778" s="70"/>
      <c r="D778" s="70"/>
      <c r="E778" s="70"/>
      <c r="F778" s="70"/>
      <c r="G778" s="70"/>
      <c r="H778" s="70"/>
      <c r="I778" s="70"/>
      <c r="J778" s="70"/>
    </row>
    <row r="779" spans="1:10" ht="16" x14ac:dyDescent="0.2">
      <c r="A779" s="70"/>
      <c r="B779" s="70"/>
      <c r="C779" s="70"/>
      <c r="D779" s="70"/>
      <c r="E779" s="70"/>
      <c r="F779" s="70"/>
      <c r="G779" s="70"/>
      <c r="H779" s="70"/>
      <c r="I779" s="70"/>
      <c r="J779" s="70"/>
    </row>
    <row r="780" spans="1:10" ht="16" x14ac:dyDescent="0.2">
      <c r="A780" s="70"/>
      <c r="B780" s="70"/>
      <c r="C780" s="70"/>
      <c r="D780" s="70"/>
      <c r="E780" s="70"/>
      <c r="F780" s="70"/>
      <c r="G780" s="70"/>
      <c r="H780" s="70"/>
      <c r="I780" s="70"/>
      <c r="J780" s="70"/>
    </row>
    <row r="781" spans="1:10" ht="16" x14ac:dyDescent="0.2">
      <c r="A781" s="70"/>
      <c r="B781" s="70"/>
      <c r="C781" s="70"/>
      <c r="D781" s="70"/>
      <c r="E781" s="70"/>
      <c r="F781" s="70"/>
      <c r="G781" s="70"/>
      <c r="H781" s="70"/>
      <c r="I781" s="70"/>
      <c r="J781" s="70"/>
    </row>
    <row r="782" spans="1:10" ht="16" x14ac:dyDescent="0.2">
      <c r="A782" s="70"/>
      <c r="B782" s="70"/>
      <c r="C782" s="70"/>
      <c r="D782" s="70"/>
      <c r="E782" s="70"/>
      <c r="F782" s="70"/>
      <c r="G782" s="70"/>
      <c r="H782" s="70"/>
      <c r="I782" s="70"/>
      <c r="J782" s="70"/>
    </row>
    <row r="783" spans="1:10" ht="16" x14ac:dyDescent="0.2">
      <c r="A783" s="70"/>
      <c r="B783" s="70"/>
      <c r="C783" s="70"/>
      <c r="D783" s="70"/>
      <c r="E783" s="70"/>
      <c r="F783" s="70"/>
      <c r="G783" s="70"/>
      <c r="H783" s="70"/>
      <c r="I783" s="70"/>
      <c r="J783" s="70"/>
    </row>
    <row r="784" spans="1:10" ht="16" x14ac:dyDescent="0.2">
      <c r="A784" s="70"/>
      <c r="B784" s="70"/>
      <c r="C784" s="70"/>
      <c r="D784" s="70"/>
      <c r="E784" s="70"/>
      <c r="F784" s="70"/>
      <c r="G784" s="70"/>
      <c r="H784" s="70"/>
      <c r="I784" s="70"/>
      <c r="J784" s="70"/>
    </row>
    <row r="785" spans="1:10" ht="16" x14ac:dyDescent="0.2">
      <c r="A785" s="70"/>
      <c r="B785" s="70"/>
      <c r="C785" s="70"/>
      <c r="D785" s="70"/>
      <c r="E785" s="70"/>
      <c r="F785" s="70"/>
      <c r="G785" s="70"/>
      <c r="H785" s="70"/>
      <c r="I785" s="70"/>
      <c r="J785" s="70"/>
    </row>
    <row r="786" spans="1:10" ht="16" x14ac:dyDescent="0.2">
      <c r="A786" s="70"/>
      <c r="B786" s="70"/>
      <c r="C786" s="70"/>
      <c r="D786" s="70"/>
      <c r="E786" s="70"/>
      <c r="F786" s="70"/>
      <c r="G786" s="70"/>
      <c r="H786" s="70"/>
      <c r="I786" s="70"/>
      <c r="J786" s="70"/>
    </row>
    <row r="787" spans="1:10" ht="16" x14ac:dyDescent="0.2">
      <c r="A787" s="70"/>
      <c r="B787" s="70"/>
      <c r="C787" s="70"/>
      <c r="D787" s="70"/>
      <c r="E787" s="70"/>
      <c r="F787" s="70"/>
      <c r="G787" s="70"/>
      <c r="H787" s="70"/>
      <c r="I787" s="70"/>
      <c r="J787" s="70"/>
    </row>
    <row r="788" spans="1:10" ht="16" x14ac:dyDescent="0.2">
      <c r="A788" s="70"/>
      <c r="B788" s="70"/>
      <c r="C788" s="70"/>
      <c r="D788" s="70"/>
      <c r="E788" s="70"/>
      <c r="F788" s="70"/>
      <c r="G788" s="70"/>
      <c r="H788" s="70"/>
      <c r="I788" s="70"/>
      <c r="J788" s="70"/>
    </row>
    <row r="789" spans="1:10" ht="16" x14ac:dyDescent="0.2">
      <c r="A789" s="70"/>
      <c r="B789" s="70"/>
      <c r="C789" s="70"/>
      <c r="D789" s="70"/>
      <c r="E789" s="70"/>
      <c r="F789" s="70"/>
      <c r="G789" s="70"/>
      <c r="H789" s="70"/>
      <c r="I789" s="70"/>
      <c r="J789" s="70"/>
    </row>
    <row r="790" spans="1:10" ht="16" x14ac:dyDescent="0.2">
      <c r="A790" s="70"/>
      <c r="B790" s="70"/>
      <c r="C790" s="70"/>
      <c r="D790" s="70"/>
      <c r="E790" s="70"/>
      <c r="F790" s="70"/>
      <c r="G790" s="70"/>
      <c r="H790" s="70"/>
      <c r="I790" s="70"/>
      <c r="J790" s="70"/>
    </row>
    <row r="791" spans="1:10" ht="16" x14ac:dyDescent="0.2">
      <c r="A791" s="70"/>
      <c r="B791" s="70"/>
      <c r="C791" s="70"/>
      <c r="D791" s="70"/>
      <c r="E791" s="70"/>
      <c r="F791" s="70"/>
      <c r="G791" s="70"/>
      <c r="H791" s="70"/>
      <c r="I791" s="70"/>
      <c r="J791" s="70"/>
    </row>
    <row r="792" spans="1:10" ht="16" x14ac:dyDescent="0.2">
      <c r="A792" s="70"/>
      <c r="B792" s="70"/>
      <c r="C792" s="70"/>
      <c r="D792" s="70"/>
      <c r="E792" s="70"/>
      <c r="F792" s="70"/>
      <c r="G792" s="70"/>
      <c r="H792" s="70"/>
      <c r="I792" s="70"/>
      <c r="J792" s="70"/>
    </row>
    <row r="793" spans="1:10" ht="16" x14ac:dyDescent="0.2">
      <c r="A793" s="70"/>
      <c r="B793" s="70"/>
      <c r="C793" s="70"/>
      <c r="D793" s="70"/>
      <c r="E793" s="70"/>
      <c r="F793" s="70"/>
      <c r="G793" s="70"/>
      <c r="H793" s="70"/>
      <c r="I793" s="70"/>
      <c r="J793" s="70"/>
    </row>
    <row r="794" spans="1:10" ht="16" x14ac:dyDescent="0.2">
      <c r="A794" s="70"/>
      <c r="B794" s="70"/>
      <c r="C794" s="70"/>
      <c r="D794" s="70"/>
      <c r="E794" s="70"/>
      <c r="F794" s="70"/>
      <c r="G794" s="70"/>
      <c r="H794" s="70"/>
      <c r="I794" s="70"/>
      <c r="J794" s="70"/>
    </row>
    <row r="795" spans="1:10" ht="16" x14ac:dyDescent="0.2">
      <c r="A795" s="70"/>
      <c r="B795" s="70"/>
      <c r="C795" s="70"/>
      <c r="D795" s="70"/>
      <c r="E795" s="70"/>
      <c r="F795" s="70"/>
      <c r="G795" s="70"/>
      <c r="H795" s="70"/>
      <c r="I795" s="70"/>
      <c r="J795" s="70"/>
    </row>
    <row r="796" spans="1:10" ht="16" x14ac:dyDescent="0.2">
      <c r="A796" s="70"/>
      <c r="B796" s="70"/>
      <c r="C796" s="70"/>
      <c r="D796" s="70"/>
      <c r="E796" s="70"/>
      <c r="F796" s="70"/>
      <c r="G796" s="70"/>
      <c r="H796" s="70"/>
      <c r="I796" s="70"/>
      <c r="J796" s="70"/>
    </row>
    <row r="797" spans="1:10" ht="16" x14ac:dyDescent="0.2">
      <c r="A797" s="70"/>
      <c r="B797" s="70"/>
      <c r="C797" s="70"/>
      <c r="D797" s="70"/>
      <c r="E797" s="70"/>
      <c r="F797" s="70"/>
      <c r="G797" s="70"/>
      <c r="H797" s="70"/>
      <c r="I797" s="70"/>
      <c r="J797" s="70"/>
    </row>
    <row r="798" spans="1:10" ht="16" x14ac:dyDescent="0.2">
      <c r="A798" s="70"/>
      <c r="B798" s="70"/>
      <c r="C798" s="70"/>
      <c r="D798" s="70"/>
      <c r="E798" s="70"/>
      <c r="F798" s="70"/>
      <c r="G798" s="70"/>
      <c r="H798" s="70"/>
      <c r="I798" s="70"/>
      <c r="J798" s="70"/>
    </row>
    <row r="799" spans="1:10" ht="16" x14ac:dyDescent="0.2">
      <c r="A799" s="70"/>
      <c r="B799" s="70"/>
      <c r="C799" s="70"/>
      <c r="D799" s="70"/>
      <c r="E799" s="70"/>
      <c r="F799" s="70"/>
      <c r="G799" s="70"/>
      <c r="H799" s="70"/>
      <c r="I799" s="70"/>
      <c r="J799" s="70"/>
    </row>
    <row r="800" spans="1:10" ht="16" x14ac:dyDescent="0.2">
      <c r="A800" s="70"/>
      <c r="B800" s="70"/>
      <c r="C800" s="70"/>
      <c r="D800" s="70"/>
      <c r="E800" s="70"/>
      <c r="F800" s="70"/>
      <c r="G800" s="70"/>
      <c r="H800" s="70"/>
      <c r="I800" s="70"/>
      <c r="J800" s="70"/>
    </row>
    <row r="801" spans="1:10" ht="16" x14ac:dyDescent="0.2">
      <c r="A801" s="70"/>
      <c r="B801" s="70"/>
      <c r="C801" s="70"/>
      <c r="D801" s="70"/>
      <c r="E801" s="70"/>
      <c r="F801" s="70"/>
      <c r="G801" s="70"/>
      <c r="H801" s="70"/>
      <c r="I801" s="70"/>
      <c r="J801" s="70"/>
    </row>
    <row r="802" spans="1:10" ht="16" x14ac:dyDescent="0.2">
      <c r="A802" s="70"/>
      <c r="B802" s="70"/>
      <c r="C802" s="70"/>
      <c r="D802" s="70"/>
      <c r="E802" s="70"/>
      <c r="F802" s="70"/>
      <c r="G802" s="70"/>
      <c r="H802" s="70"/>
      <c r="I802" s="70"/>
      <c r="J802" s="70"/>
    </row>
    <row r="803" spans="1:10" ht="16" x14ac:dyDescent="0.2">
      <c r="A803" s="70"/>
      <c r="B803" s="70"/>
      <c r="C803" s="70"/>
      <c r="D803" s="70"/>
      <c r="E803" s="70"/>
      <c r="F803" s="70"/>
      <c r="G803" s="70"/>
      <c r="H803" s="70"/>
      <c r="I803" s="70"/>
      <c r="J803" s="70"/>
    </row>
    <row r="804" spans="1:10" ht="16" x14ac:dyDescent="0.2">
      <c r="A804" s="70"/>
      <c r="B804" s="70"/>
      <c r="C804" s="70"/>
      <c r="D804" s="70"/>
      <c r="E804" s="70"/>
      <c r="F804" s="70"/>
      <c r="G804" s="70"/>
      <c r="H804" s="70"/>
      <c r="I804" s="70"/>
      <c r="J804" s="70"/>
    </row>
    <row r="805" spans="1:10" ht="16" x14ac:dyDescent="0.2">
      <c r="A805" s="70"/>
      <c r="B805" s="70"/>
      <c r="C805" s="70"/>
      <c r="D805" s="70"/>
      <c r="E805" s="70"/>
      <c r="F805" s="70"/>
      <c r="G805" s="70"/>
      <c r="H805" s="70"/>
      <c r="I805" s="70"/>
      <c r="J805" s="70"/>
    </row>
    <row r="806" spans="1:10" ht="16" x14ac:dyDescent="0.2">
      <c r="A806" s="70"/>
      <c r="B806" s="70"/>
      <c r="C806" s="70"/>
      <c r="D806" s="70"/>
      <c r="E806" s="70"/>
      <c r="F806" s="70"/>
      <c r="G806" s="70"/>
      <c r="H806" s="70"/>
      <c r="I806" s="70"/>
      <c r="J806" s="70"/>
    </row>
    <row r="807" spans="1:10" ht="16" x14ac:dyDescent="0.2">
      <c r="A807" s="70"/>
      <c r="B807" s="70"/>
      <c r="C807" s="70"/>
      <c r="D807" s="70"/>
      <c r="E807" s="70"/>
      <c r="F807" s="70"/>
      <c r="G807" s="70"/>
      <c r="H807" s="70"/>
      <c r="I807" s="70"/>
      <c r="J807" s="70"/>
    </row>
    <row r="808" spans="1:10" ht="16" x14ac:dyDescent="0.2">
      <c r="A808" s="70"/>
      <c r="B808" s="70"/>
      <c r="C808" s="70"/>
      <c r="D808" s="70"/>
      <c r="E808" s="70"/>
      <c r="F808" s="70"/>
      <c r="G808" s="70"/>
      <c r="H808" s="70"/>
      <c r="I808" s="70"/>
      <c r="J808" s="70"/>
    </row>
    <row r="809" spans="1:10" ht="16" x14ac:dyDescent="0.2">
      <c r="A809" s="70"/>
      <c r="B809" s="70"/>
      <c r="C809" s="70"/>
      <c r="D809" s="70"/>
      <c r="E809" s="70"/>
      <c r="F809" s="70"/>
      <c r="G809" s="70"/>
      <c r="H809" s="70"/>
      <c r="I809" s="70"/>
      <c r="J809" s="70"/>
    </row>
    <row r="810" spans="1:10" ht="16" x14ac:dyDescent="0.2">
      <c r="A810" s="70"/>
      <c r="B810" s="70"/>
      <c r="C810" s="70"/>
      <c r="D810" s="70"/>
      <c r="E810" s="70"/>
      <c r="F810" s="70"/>
      <c r="G810" s="70"/>
      <c r="H810" s="70"/>
      <c r="I810" s="70"/>
      <c r="J810" s="70"/>
    </row>
    <row r="811" spans="1:10" ht="16" x14ac:dyDescent="0.2">
      <c r="A811" s="70"/>
      <c r="B811" s="70"/>
      <c r="C811" s="70"/>
      <c r="D811" s="70"/>
      <c r="E811" s="70"/>
      <c r="F811" s="70"/>
      <c r="G811" s="70"/>
      <c r="H811" s="70"/>
      <c r="I811" s="70"/>
      <c r="J811" s="70"/>
    </row>
    <row r="812" spans="1:10" ht="16" x14ac:dyDescent="0.2">
      <c r="A812" s="70"/>
      <c r="B812" s="70"/>
      <c r="C812" s="70"/>
      <c r="D812" s="70"/>
      <c r="E812" s="70"/>
      <c r="F812" s="70"/>
      <c r="G812" s="70"/>
      <c r="H812" s="70"/>
      <c r="I812" s="70"/>
      <c r="J812" s="70"/>
    </row>
    <row r="813" spans="1:10" ht="16" x14ac:dyDescent="0.2">
      <c r="A813" s="70"/>
      <c r="B813" s="70"/>
      <c r="C813" s="70"/>
      <c r="D813" s="70"/>
      <c r="E813" s="70"/>
      <c r="F813" s="70"/>
      <c r="G813" s="70"/>
      <c r="H813" s="70"/>
      <c r="I813" s="70"/>
      <c r="J813" s="70"/>
    </row>
    <row r="814" spans="1:10" ht="16" x14ac:dyDescent="0.2">
      <c r="A814" s="70"/>
      <c r="B814" s="70"/>
      <c r="C814" s="70"/>
      <c r="D814" s="70"/>
      <c r="E814" s="70"/>
      <c r="F814" s="70"/>
      <c r="G814" s="70"/>
      <c r="H814" s="70"/>
      <c r="I814" s="70"/>
      <c r="J814" s="70"/>
    </row>
    <row r="815" spans="1:10" ht="16" x14ac:dyDescent="0.2">
      <c r="A815" s="70"/>
      <c r="B815" s="70"/>
      <c r="C815" s="70"/>
      <c r="D815" s="70"/>
      <c r="E815" s="70"/>
      <c r="F815" s="70"/>
      <c r="G815" s="70"/>
      <c r="H815" s="70"/>
      <c r="I815" s="70"/>
      <c r="J815" s="70"/>
    </row>
    <row r="816" spans="1:10" ht="16" x14ac:dyDescent="0.2">
      <c r="A816" s="70"/>
      <c r="B816" s="70"/>
      <c r="C816" s="70"/>
      <c r="D816" s="70"/>
      <c r="E816" s="70"/>
      <c r="F816" s="70"/>
      <c r="G816" s="70"/>
      <c r="H816" s="70"/>
      <c r="I816" s="70"/>
      <c r="J816" s="70"/>
    </row>
    <row r="817" spans="1:10" ht="16" x14ac:dyDescent="0.2">
      <c r="A817" s="70"/>
      <c r="B817" s="70"/>
      <c r="C817" s="70"/>
      <c r="D817" s="70"/>
      <c r="E817" s="70"/>
      <c r="F817" s="70"/>
      <c r="G817" s="70"/>
      <c r="H817" s="70"/>
      <c r="I817" s="70"/>
      <c r="J817" s="70"/>
    </row>
    <row r="818" spans="1:10" ht="16" x14ac:dyDescent="0.2">
      <c r="A818" s="70"/>
      <c r="B818" s="70"/>
      <c r="C818" s="70"/>
      <c r="D818" s="70"/>
      <c r="E818" s="70"/>
      <c r="F818" s="70"/>
      <c r="G818" s="70"/>
      <c r="H818" s="70"/>
      <c r="I818" s="70"/>
      <c r="J818" s="70"/>
    </row>
    <row r="819" spans="1:10" ht="16" x14ac:dyDescent="0.2">
      <c r="A819" s="70"/>
      <c r="B819" s="70"/>
      <c r="C819" s="70"/>
      <c r="D819" s="70"/>
      <c r="E819" s="70"/>
      <c r="F819" s="70"/>
      <c r="G819" s="70"/>
      <c r="H819" s="70"/>
      <c r="I819" s="70"/>
      <c r="J819" s="70"/>
    </row>
    <row r="820" spans="1:10" ht="16" x14ac:dyDescent="0.2">
      <c r="A820" s="70"/>
      <c r="B820" s="70"/>
      <c r="C820" s="70"/>
      <c r="D820" s="70"/>
      <c r="E820" s="70"/>
      <c r="F820" s="70"/>
      <c r="G820" s="70"/>
      <c r="H820" s="70"/>
      <c r="I820" s="70"/>
      <c r="J820" s="70"/>
    </row>
    <row r="821" spans="1:10" ht="16" x14ac:dyDescent="0.2">
      <c r="A821" s="70"/>
      <c r="B821" s="70"/>
      <c r="C821" s="70"/>
      <c r="D821" s="70"/>
      <c r="E821" s="70"/>
      <c r="F821" s="70"/>
      <c r="G821" s="70"/>
      <c r="H821" s="70"/>
      <c r="I821" s="70"/>
      <c r="J821" s="70"/>
    </row>
    <row r="822" spans="1:10" ht="16" x14ac:dyDescent="0.2">
      <c r="A822" s="70"/>
      <c r="B822" s="70"/>
      <c r="C822" s="70"/>
      <c r="D822" s="70"/>
      <c r="E822" s="70"/>
      <c r="F822" s="70"/>
      <c r="G822" s="70"/>
      <c r="H822" s="70"/>
      <c r="I822" s="70"/>
      <c r="J822" s="70"/>
    </row>
    <row r="823" spans="1:10" ht="16" x14ac:dyDescent="0.2">
      <c r="A823" s="70"/>
      <c r="B823" s="70"/>
      <c r="C823" s="70"/>
      <c r="D823" s="70"/>
      <c r="E823" s="70"/>
      <c r="F823" s="70"/>
      <c r="G823" s="70"/>
      <c r="H823" s="70"/>
      <c r="I823" s="70"/>
      <c r="J823" s="70"/>
    </row>
    <row r="824" spans="1:10" ht="16" x14ac:dyDescent="0.2">
      <c r="A824" s="70"/>
      <c r="B824" s="70"/>
      <c r="C824" s="70"/>
      <c r="D824" s="70"/>
      <c r="E824" s="70"/>
      <c r="F824" s="70"/>
      <c r="G824" s="70"/>
      <c r="H824" s="70"/>
      <c r="I824" s="70"/>
      <c r="J824" s="70"/>
    </row>
    <row r="825" spans="1:10" ht="16" x14ac:dyDescent="0.2">
      <c r="A825" s="70"/>
      <c r="B825" s="70"/>
      <c r="C825" s="70"/>
      <c r="D825" s="70"/>
      <c r="E825" s="70"/>
      <c r="F825" s="70"/>
      <c r="G825" s="70"/>
      <c r="H825" s="70"/>
      <c r="I825" s="70"/>
      <c r="J825" s="70"/>
    </row>
    <row r="826" spans="1:10" ht="16" x14ac:dyDescent="0.2">
      <c r="A826" s="70"/>
      <c r="B826" s="70"/>
      <c r="C826" s="70"/>
      <c r="D826" s="70"/>
      <c r="E826" s="70"/>
      <c r="F826" s="70"/>
      <c r="G826" s="70"/>
      <c r="H826" s="70"/>
      <c r="I826" s="70"/>
      <c r="J826" s="70"/>
    </row>
    <row r="827" spans="1:10" ht="16" x14ac:dyDescent="0.2">
      <c r="A827" s="70"/>
      <c r="B827" s="70"/>
      <c r="C827" s="70"/>
      <c r="D827" s="70"/>
      <c r="E827" s="70"/>
      <c r="F827" s="70"/>
      <c r="G827" s="70"/>
      <c r="H827" s="70"/>
      <c r="I827" s="70"/>
      <c r="J827" s="70"/>
    </row>
    <row r="828" spans="1:10" ht="16" x14ac:dyDescent="0.2">
      <c r="A828" s="70"/>
      <c r="B828" s="70"/>
      <c r="C828" s="70"/>
      <c r="D828" s="70"/>
      <c r="E828" s="70"/>
      <c r="F828" s="70"/>
      <c r="G828" s="70"/>
      <c r="H828" s="70"/>
      <c r="I828" s="70"/>
      <c r="J828" s="70"/>
    </row>
    <row r="829" spans="1:10" ht="16" x14ac:dyDescent="0.2">
      <c r="A829" s="70"/>
      <c r="B829" s="70"/>
      <c r="C829" s="70"/>
      <c r="D829" s="70"/>
      <c r="E829" s="70"/>
      <c r="F829" s="70"/>
      <c r="G829" s="70"/>
      <c r="H829" s="70"/>
      <c r="I829" s="70"/>
      <c r="J829" s="70"/>
    </row>
    <row r="830" spans="1:10" ht="16" x14ac:dyDescent="0.2">
      <c r="A830" s="70"/>
      <c r="B830" s="70"/>
      <c r="C830" s="70"/>
      <c r="D830" s="70"/>
      <c r="E830" s="70"/>
      <c r="F830" s="70"/>
      <c r="G830" s="70"/>
      <c r="H830" s="70"/>
      <c r="I830" s="70"/>
      <c r="J830" s="70"/>
    </row>
    <row r="831" spans="1:10" ht="16" x14ac:dyDescent="0.2">
      <c r="A831" s="70"/>
      <c r="B831" s="70"/>
      <c r="C831" s="70"/>
      <c r="D831" s="70"/>
      <c r="E831" s="70"/>
      <c r="F831" s="70"/>
      <c r="G831" s="70"/>
      <c r="H831" s="70"/>
      <c r="I831" s="70"/>
      <c r="J831" s="70"/>
    </row>
    <row r="832" spans="1:10" ht="16" x14ac:dyDescent="0.2">
      <c r="A832" s="70"/>
      <c r="B832" s="70"/>
      <c r="C832" s="70"/>
      <c r="D832" s="70"/>
      <c r="E832" s="70"/>
      <c r="F832" s="70"/>
      <c r="G832" s="70"/>
      <c r="H832" s="70"/>
      <c r="I832" s="70"/>
      <c r="J832" s="70"/>
    </row>
    <row r="833" spans="1:10" ht="16" x14ac:dyDescent="0.2">
      <c r="A833" s="70"/>
      <c r="B833" s="70"/>
      <c r="C833" s="70"/>
      <c r="D833" s="70"/>
      <c r="E833" s="70"/>
      <c r="F833" s="70"/>
      <c r="G833" s="70"/>
      <c r="H833" s="70"/>
      <c r="I833" s="70"/>
      <c r="J833" s="70"/>
    </row>
    <row r="834" spans="1:10" ht="16" x14ac:dyDescent="0.2">
      <c r="A834" s="70"/>
      <c r="B834" s="70"/>
      <c r="C834" s="70"/>
      <c r="D834" s="70"/>
      <c r="E834" s="70"/>
      <c r="F834" s="70"/>
      <c r="G834" s="70"/>
      <c r="H834" s="70"/>
      <c r="I834" s="70"/>
      <c r="J834" s="70"/>
    </row>
    <row r="835" spans="1:10" ht="16" x14ac:dyDescent="0.2">
      <c r="A835" s="70"/>
      <c r="B835" s="70"/>
      <c r="C835" s="70"/>
      <c r="D835" s="70"/>
      <c r="E835" s="70"/>
      <c r="F835" s="70"/>
      <c r="G835" s="70"/>
      <c r="H835" s="70"/>
      <c r="I835" s="70"/>
      <c r="J835" s="70"/>
    </row>
    <row r="836" spans="1:10" ht="16" x14ac:dyDescent="0.2">
      <c r="A836" s="70"/>
      <c r="B836" s="70"/>
      <c r="C836" s="70"/>
      <c r="D836" s="70"/>
      <c r="E836" s="70"/>
      <c r="F836" s="70"/>
      <c r="G836" s="70"/>
      <c r="H836" s="70"/>
      <c r="I836" s="70"/>
      <c r="J836" s="70"/>
    </row>
    <row r="837" spans="1:10" ht="16" x14ac:dyDescent="0.2">
      <c r="A837" s="70"/>
      <c r="B837" s="70"/>
      <c r="C837" s="70"/>
      <c r="D837" s="70"/>
      <c r="E837" s="70"/>
      <c r="F837" s="70"/>
      <c r="G837" s="70"/>
      <c r="H837" s="70"/>
      <c r="I837" s="70"/>
      <c r="J837" s="70"/>
    </row>
    <row r="838" spans="1:10" ht="16" x14ac:dyDescent="0.2">
      <c r="A838" s="70"/>
      <c r="B838" s="70"/>
      <c r="C838" s="70"/>
      <c r="D838" s="70"/>
      <c r="E838" s="70"/>
      <c r="F838" s="70"/>
      <c r="G838" s="70"/>
      <c r="H838" s="70"/>
      <c r="I838" s="70"/>
      <c r="J838" s="70"/>
    </row>
    <row r="839" spans="1:10" ht="16" x14ac:dyDescent="0.2">
      <c r="A839" s="70"/>
      <c r="B839" s="70"/>
      <c r="C839" s="70"/>
      <c r="D839" s="70"/>
      <c r="E839" s="70"/>
      <c r="F839" s="70"/>
      <c r="G839" s="70"/>
      <c r="H839" s="70"/>
      <c r="I839" s="70"/>
      <c r="J839" s="70"/>
    </row>
    <row r="840" spans="1:10" ht="16" x14ac:dyDescent="0.2">
      <c r="A840" s="70"/>
      <c r="B840" s="70"/>
      <c r="C840" s="70"/>
      <c r="D840" s="70"/>
      <c r="E840" s="70"/>
      <c r="F840" s="70"/>
      <c r="G840" s="70"/>
      <c r="H840" s="70"/>
      <c r="I840" s="70"/>
      <c r="J840" s="70"/>
    </row>
    <row r="841" spans="1:10" ht="16" x14ac:dyDescent="0.2">
      <c r="A841" s="70"/>
      <c r="B841" s="70"/>
      <c r="C841" s="70"/>
      <c r="D841" s="70"/>
      <c r="E841" s="70"/>
      <c r="F841" s="70"/>
      <c r="G841" s="70"/>
      <c r="H841" s="70"/>
      <c r="I841" s="70"/>
      <c r="J841" s="70"/>
    </row>
    <row r="842" spans="1:10" ht="16" x14ac:dyDescent="0.2">
      <c r="A842" s="70"/>
      <c r="B842" s="70"/>
      <c r="C842" s="70"/>
      <c r="D842" s="70"/>
      <c r="E842" s="70"/>
      <c r="F842" s="70"/>
      <c r="G842" s="70"/>
      <c r="H842" s="70"/>
      <c r="I842" s="70"/>
      <c r="J842" s="70"/>
    </row>
    <row r="843" spans="1:10" ht="16" x14ac:dyDescent="0.2">
      <c r="A843" s="70"/>
      <c r="B843" s="70"/>
      <c r="C843" s="70"/>
      <c r="D843" s="70"/>
      <c r="E843" s="70"/>
      <c r="F843" s="70"/>
      <c r="G843" s="70"/>
      <c r="H843" s="70"/>
      <c r="I843" s="70"/>
      <c r="J843" s="70"/>
    </row>
    <row r="844" spans="1:10" ht="16" x14ac:dyDescent="0.2">
      <c r="A844" s="70"/>
      <c r="B844" s="70"/>
      <c r="C844" s="70"/>
      <c r="D844" s="70"/>
      <c r="E844" s="70"/>
      <c r="F844" s="70"/>
      <c r="G844" s="70"/>
      <c r="H844" s="70"/>
      <c r="I844" s="70"/>
      <c r="J844" s="70"/>
    </row>
    <row r="845" spans="1:10" ht="16" x14ac:dyDescent="0.2">
      <c r="A845" s="70"/>
      <c r="B845" s="70"/>
      <c r="C845" s="70"/>
      <c r="D845" s="70"/>
      <c r="E845" s="70"/>
      <c r="F845" s="70"/>
      <c r="G845" s="70"/>
      <c r="H845" s="70"/>
      <c r="I845" s="70"/>
      <c r="J845" s="70"/>
    </row>
    <row r="846" spans="1:10" ht="16" x14ac:dyDescent="0.2">
      <c r="A846" s="70"/>
      <c r="B846" s="70"/>
      <c r="C846" s="70"/>
      <c r="D846" s="70"/>
      <c r="E846" s="70"/>
      <c r="F846" s="70"/>
      <c r="G846" s="70"/>
      <c r="H846" s="70"/>
      <c r="I846" s="70"/>
      <c r="J846" s="70"/>
    </row>
    <row r="847" spans="1:10" ht="16" x14ac:dyDescent="0.2">
      <c r="A847" s="70"/>
      <c r="B847" s="70"/>
      <c r="C847" s="70"/>
      <c r="D847" s="70"/>
      <c r="E847" s="70"/>
      <c r="F847" s="70"/>
      <c r="G847" s="70"/>
      <c r="H847" s="70"/>
      <c r="I847" s="70"/>
      <c r="J847" s="70"/>
    </row>
    <row r="848" spans="1:10" ht="16" x14ac:dyDescent="0.2">
      <c r="A848" s="70"/>
      <c r="B848" s="70"/>
      <c r="C848" s="70"/>
      <c r="D848" s="70"/>
      <c r="E848" s="70"/>
      <c r="F848" s="70"/>
      <c r="G848" s="70"/>
      <c r="H848" s="70"/>
      <c r="I848" s="70"/>
      <c r="J848" s="70"/>
    </row>
    <row r="849" spans="1:10" ht="16" x14ac:dyDescent="0.2">
      <c r="A849" s="70"/>
      <c r="B849" s="70"/>
      <c r="C849" s="70"/>
      <c r="D849" s="70"/>
      <c r="E849" s="70"/>
      <c r="F849" s="70"/>
      <c r="G849" s="70"/>
      <c r="H849" s="70"/>
      <c r="I849" s="70"/>
      <c r="J849" s="70"/>
    </row>
    <row r="850" spans="1:10" ht="16" x14ac:dyDescent="0.2">
      <c r="A850" s="70"/>
      <c r="B850" s="70"/>
      <c r="C850" s="70"/>
      <c r="D850" s="70"/>
      <c r="E850" s="70"/>
      <c r="F850" s="70"/>
      <c r="G850" s="70"/>
      <c r="H850" s="70"/>
      <c r="I850" s="70"/>
      <c r="J850" s="70"/>
    </row>
    <row r="851" spans="1:10" ht="16" x14ac:dyDescent="0.2">
      <c r="A851" s="70"/>
      <c r="B851" s="70"/>
      <c r="C851" s="70"/>
      <c r="D851" s="70"/>
      <c r="E851" s="70"/>
      <c r="F851" s="70"/>
      <c r="G851" s="70"/>
      <c r="H851" s="70"/>
      <c r="I851" s="70"/>
      <c r="J851" s="70"/>
    </row>
    <row r="852" spans="1:10" ht="16" x14ac:dyDescent="0.2">
      <c r="A852" s="70"/>
      <c r="B852" s="70"/>
      <c r="C852" s="70"/>
      <c r="D852" s="70"/>
      <c r="E852" s="70"/>
      <c r="F852" s="70"/>
      <c r="G852" s="70"/>
      <c r="H852" s="70"/>
      <c r="I852" s="70"/>
      <c r="J852" s="70"/>
    </row>
    <row r="853" spans="1:10" ht="16" x14ac:dyDescent="0.2">
      <c r="A853" s="70"/>
      <c r="B853" s="70"/>
      <c r="C853" s="70"/>
      <c r="D853" s="70"/>
      <c r="E853" s="70"/>
      <c r="F853" s="70"/>
      <c r="G853" s="70"/>
      <c r="H853" s="70"/>
      <c r="I853" s="70"/>
      <c r="J853" s="70"/>
    </row>
    <row r="854" spans="1:10" ht="16" x14ac:dyDescent="0.2">
      <c r="A854" s="70"/>
      <c r="B854" s="70"/>
      <c r="C854" s="70"/>
      <c r="D854" s="70"/>
      <c r="E854" s="70"/>
      <c r="F854" s="70"/>
      <c r="G854" s="70"/>
      <c r="H854" s="70"/>
      <c r="I854" s="70"/>
      <c r="J854" s="70"/>
    </row>
    <row r="855" spans="1:10" ht="16" x14ac:dyDescent="0.2">
      <c r="A855" s="70"/>
      <c r="B855" s="70"/>
      <c r="C855" s="70"/>
      <c r="D855" s="70"/>
      <c r="E855" s="70"/>
      <c r="F855" s="70"/>
      <c r="G855" s="70"/>
      <c r="H855" s="70"/>
      <c r="I855" s="70"/>
      <c r="J855" s="70"/>
    </row>
    <row r="856" spans="1:10" ht="16" x14ac:dyDescent="0.2">
      <c r="A856" s="70"/>
      <c r="B856" s="70"/>
      <c r="C856" s="70"/>
      <c r="D856" s="70"/>
      <c r="E856" s="70"/>
      <c r="F856" s="70"/>
      <c r="G856" s="70"/>
      <c r="H856" s="70"/>
      <c r="I856" s="70"/>
      <c r="J856" s="70"/>
    </row>
    <row r="857" spans="1:10" ht="16" x14ac:dyDescent="0.2">
      <c r="A857" s="70"/>
      <c r="B857" s="70"/>
      <c r="C857" s="70"/>
      <c r="D857" s="70"/>
      <c r="E857" s="70"/>
      <c r="F857" s="70"/>
      <c r="G857" s="70"/>
      <c r="H857" s="70"/>
      <c r="I857" s="70"/>
      <c r="J857" s="70"/>
    </row>
    <row r="858" spans="1:10" ht="16" x14ac:dyDescent="0.2">
      <c r="A858" s="70"/>
      <c r="B858" s="70"/>
      <c r="C858" s="70"/>
      <c r="D858" s="70"/>
      <c r="E858" s="70"/>
      <c r="F858" s="70"/>
      <c r="G858" s="70"/>
      <c r="H858" s="70"/>
      <c r="I858" s="70"/>
      <c r="J858" s="70"/>
    </row>
    <row r="859" spans="1:10" ht="16" x14ac:dyDescent="0.2">
      <c r="A859" s="70"/>
      <c r="B859" s="70"/>
      <c r="C859" s="70"/>
      <c r="D859" s="70"/>
      <c r="E859" s="70"/>
      <c r="F859" s="70"/>
      <c r="G859" s="70"/>
      <c r="H859" s="70"/>
      <c r="I859" s="70"/>
      <c r="J859" s="70"/>
    </row>
    <row r="860" spans="1:10" ht="16" x14ac:dyDescent="0.2">
      <c r="A860" s="70"/>
      <c r="B860" s="70"/>
      <c r="C860" s="70"/>
      <c r="D860" s="70"/>
      <c r="E860" s="70"/>
      <c r="F860" s="70"/>
      <c r="G860" s="70"/>
      <c r="H860" s="70"/>
      <c r="I860" s="70"/>
      <c r="J860" s="70"/>
    </row>
    <row r="861" spans="1:10" ht="16" x14ac:dyDescent="0.2">
      <c r="A861" s="70"/>
      <c r="B861" s="70"/>
      <c r="C861" s="70"/>
      <c r="D861" s="70"/>
      <c r="E861" s="70"/>
      <c r="F861" s="70"/>
      <c r="G861" s="70"/>
      <c r="H861" s="70"/>
      <c r="I861" s="70"/>
      <c r="J861" s="70"/>
    </row>
    <row r="862" spans="1:10" ht="16" x14ac:dyDescent="0.2">
      <c r="A862" s="70"/>
      <c r="B862" s="70"/>
      <c r="C862" s="70"/>
      <c r="D862" s="70"/>
      <c r="E862" s="70"/>
      <c r="F862" s="70"/>
      <c r="G862" s="70"/>
      <c r="H862" s="70"/>
      <c r="I862" s="70"/>
      <c r="J862" s="70"/>
    </row>
    <row r="863" spans="1:10" ht="16" x14ac:dyDescent="0.2">
      <c r="A863" s="70"/>
      <c r="B863" s="70"/>
      <c r="C863" s="70"/>
      <c r="D863" s="70"/>
      <c r="E863" s="70"/>
      <c r="F863" s="70"/>
      <c r="G863" s="70"/>
      <c r="H863" s="70"/>
      <c r="I863" s="70"/>
      <c r="J863" s="70"/>
    </row>
    <row r="864" spans="1:10" ht="16" x14ac:dyDescent="0.2">
      <c r="A864" s="70"/>
      <c r="B864" s="70"/>
      <c r="C864" s="70"/>
      <c r="D864" s="70"/>
      <c r="E864" s="70"/>
      <c r="F864" s="70"/>
      <c r="G864" s="70"/>
      <c r="H864" s="70"/>
      <c r="I864" s="70"/>
      <c r="J864" s="70"/>
    </row>
    <row r="865" spans="1:10" ht="16" x14ac:dyDescent="0.2">
      <c r="A865" s="70"/>
      <c r="B865" s="70"/>
      <c r="C865" s="70"/>
      <c r="D865" s="70"/>
      <c r="E865" s="70"/>
      <c r="F865" s="70"/>
      <c r="G865" s="70"/>
      <c r="H865" s="70"/>
      <c r="I865" s="70"/>
      <c r="J865" s="70"/>
    </row>
    <row r="866" spans="1:10" ht="16" x14ac:dyDescent="0.2">
      <c r="A866" s="70"/>
      <c r="B866" s="70"/>
      <c r="C866" s="70"/>
      <c r="D866" s="70"/>
      <c r="E866" s="70"/>
      <c r="F866" s="70"/>
      <c r="G866" s="70"/>
      <c r="H866" s="70"/>
      <c r="I866" s="70"/>
      <c r="J866" s="70"/>
    </row>
    <row r="867" spans="1:10" ht="16" x14ac:dyDescent="0.2">
      <c r="A867" s="70"/>
      <c r="B867" s="70"/>
      <c r="C867" s="70"/>
      <c r="D867" s="70"/>
      <c r="E867" s="70"/>
      <c r="F867" s="70"/>
      <c r="G867" s="70"/>
      <c r="H867" s="70"/>
      <c r="I867" s="70"/>
      <c r="J867" s="70"/>
    </row>
    <row r="868" spans="1:10" ht="16" x14ac:dyDescent="0.2">
      <c r="A868" s="70"/>
      <c r="B868" s="70"/>
      <c r="C868" s="70"/>
      <c r="D868" s="70"/>
      <c r="E868" s="70"/>
      <c r="F868" s="70"/>
      <c r="G868" s="70"/>
      <c r="H868" s="70"/>
      <c r="I868" s="70"/>
      <c r="J868" s="70"/>
    </row>
    <row r="869" spans="1:10" ht="16" x14ac:dyDescent="0.2">
      <c r="A869" s="70"/>
      <c r="B869" s="70"/>
      <c r="C869" s="70"/>
      <c r="D869" s="70"/>
      <c r="E869" s="70"/>
      <c r="F869" s="70"/>
      <c r="G869" s="70"/>
      <c r="H869" s="70"/>
      <c r="I869" s="70"/>
      <c r="J869" s="70"/>
    </row>
    <row r="870" spans="1:10" ht="16" x14ac:dyDescent="0.2">
      <c r="A870" s="70"/>
      <c r="B870" s="70"/>
      <c r="C870" s="70"/>
      <c r="D870" s="70"/>
      <c r="E870" s="70"/>
      <c r="F870" s="70"/>
      <c r="G870" s="70"/>
      <c r="H870" s="70"/>
      <c r="I870" s="70"/>
      <c r="J870" s="70"/>
    </row>
    <row r="871" spans="1:10" ht="16" x14ac:dyDescent="0.2">
      <c r="A871" s="70"/>
      <c r="B871" s="70"/>
      <c r="C871" s="70"/>
      <c r="D871" s="70"/>
      <c r="E871" s="70"/>
      <c r="F871" s="70"/>
      <c r="G871" s="70"/>
      <c r="H871" s="70"/>
      <c r="I871" s="70"/>
      <c r="J871" s="70"/>
    </row>
    <row r="872" spans="1:10" ht="16" x14ac:dyDescent="0.2">
      <c r="A872" s="70"/>
      <c r="B872" s="70"/>
      <c r="C872" s="70"/>
      <c r="D872" s="70"/>
      <c r="E872" s="70"/>
      <c r="F872" s="70"/>
      <c r="G872" s="70"/>
      <c r="H872" s="70"/>
      <c r="I872" s="70"/>
      <c r="J872" s="70"/>
    </row>
    <row r="873" spans="1:10" ht="16" x14ac:dyDescent="0.2">
      <c r="A873" s="70"/>
      <c r="B873" s="70"/>
      <c r="C873" s="70"/>
      <c r="D873" s="70"/>
      <c r="E873" s="70"/>
      <c r="F873" s="70"/>
      <c r="G873" s="70"/>
      <c r="H873" s="70"/>
      <c r="I873" s="70"/>
      <c r="J873" s="70"/>
    </row>
    <row r="874" spans="1:10" ht="16" x14ac:dyDescent="0.2">
      <c r="A874" s="70"/>
      <c r="B874" s="70"/>
      <c r="C874" s="70"/>
      <c r="D874" s="70"/>
      <c r="E874" s="70"/>
      <c r="F874" s="70"/>
      <c r="G874" s="70"/>
      <c r="H874" s="70"/>
      <c r="I874" s="70"/>
      <c r="J874" s="70"/>
    </row>
    <row r="875" spans="1:10" ht="16" x14ac:dyDescent="0.2">
      <c r="A875" s="70"/>
      <c r="B875" s="70"/>
      <c r="C875" s="70"/>
      <c r="D875" s="70"/>
      <c r="E875" s="70"/>
      <c r="F875" s="70"/>
      <c r="G875" s="70"/>
      <c r="H875" s="70"/>
      <c r="I875" s="70"/>
      <c r="J875" s="70"/>
    </row>
    <row r="876" spans="1:10" ht="16" x14ac:dyDescent="0.2">
      <c r="A876" s="70"/>
      <c r="B876" s="70"/>
      <c r="C876" s="70"/>
      <c r="D876" s="70"/>
      <c r="E876" s="70"/>
      <c r="F876" s="70"/>
      <c r="G876" s="70"/>
      <c r="H876" s="70"/>
      <c r="I876" s="70"/>
      <c r="J876" s="70"/>
    </row>
    <row r="877" spans="1:10" ht="16" x14ac:dyDescent="0.2">
      <c r="A877" s="70"/>
      <c r="B877" s="70"/>
      <c r="C877" s="70"/>
      <c r="D877" s="70"/>
      <c r="E877" s="70"/>
      <c r="F877" s="70"/>
      <c r="G877" s="70"/>
      <c r="H877" s="70"/>
      <c r="I877" s="70"/>
      <c r="J877" s="70"/>
    </row>
    <row r="878" spans="1:10" ht="16" x14ac:dyDescent="0.2">
      <c r="A878" s="70"/>
      <c r="B878" s="70"/>
      <c r="C878" s="70"/>
      <c r="D878" s="70"/>
      <c r="E878" s="70"/>
      <c r="F878" s="70"/>
      <c r="G878" s="70"/>
      <c r="H878" s="70"/>
      <c r="I878" s="70"/>
      <c r="J878" s="70"/>
    </row>
    <row r="879" spans="1:10" ht="16" x14ac:dyDescent="0.2">
      <c r="A879" s="70"/>
      <c r="B879" s="70"/>
      <c r="C879" s="70"/>
      <c r="D879" s="70"/>
      <c r="E879" s="70"/>
      <c r="F879" s="70"/>
      <c r="G879" s="70"/>
      <c r="H879" s="70"/>
      <c r="I879" s="70"/>
      <c r="J879" s="70"/>
    </row>
    <row r="880" spans="1:10" ht="16" x14ac:dyDescent="0.2">
      <c r="A880" s="70"/>
      <c r="B880" s="70"/>
      <c r="C880" s="70"/>
      <c r="D880" s="70"/>
      <c r="E880" s="70"/>
      <c r="F880" s="70"/>
      <c r="G880" s="70"/>
      <c r="H880" s="70"/>
      <c r="I880" s="70"/>
      <c r="J880" s="70"/>
    </row>
    <row r="881" spans="1:10" ht="16" x14ac:dyDescent="0.2">
      <c r="A881" s="70"/>
      <c r="B881" s="70"/>
      <c r="C881" s="70"/>
      <c r="D881" s="70"/>
      <c r="E881" s="70"/>
      <c r="F881" s="70"/>
      <c r="G881" s="70"/>
      <c r="H881" s="70"/>
      <c r="I881" s="70"/>
      <c r="J881" s="70"/>
    </row>
    <row r="882" spans="1:10" ht="16" x14ac:dyDescent="0.2">
      <c r="A882" s="70"/>
      <c r="B882" s="70"/>
      <c r="C882" s="70"/>
      <c r="D882" s="70"/>
      <c r="E882" s="70"/>
      <c r="F882" s="70"/>
      <c r="G882" s="70"/>
      <c r="H882" s="70"/>
      <c r="I882" s="70"/>
      <c r="J882" s="70"/>
    </row>
    <row r="883" spans="1:10" ht="16" x14ac:dyDescent="0.2">
      <c r="A883" s="70"/>
      <c r="B883" s="70"/>
      <c r="C883" s="70"/>
      <c r="D883" s="70"/>
      <c r="E883" s="70"/>
      <c r="F883" s="70"/>
      <c r="G883" s="70"/>
      <c r="H883" s="70"/>
      <c r="I883" s="70"/>
      <c r="J883" s="70"/>
    </row>
    <row r="884" spans="1:10" ht="16" x14ac:dyDescent="0.2">
      <c r="A884" s="70"/>
      <c r="B884" s="70"/>
      <c r="C884" s="70"/>
      <c r="D884" s="70"/>
      <c r="E884" s="70"/>
      <c r="F884" s="70"/>
      <c r="G884" s="70"/>
      <c r="H884" s="70"/>
      <c r="I884" s="70"/>
      <c r="J884" s="70"/>
    </row>
    <row r="885" spans="1:10" ht="16" x14ac:dyDescent="0.2">
      <c r="A885" s="70"/>
      <c r="B885" s="70"/>
      <c r="C885" s="70"/>
      <c r="D885" s="70"/>
      <c r="E885" s="70"/>
      <c r="F885" s="70"/>
      <c r="G885" s="70"/>
      <c r="H885" s="70"/>
      <c r="I885" s="70"/>
      <c r="J885" s="70"/>
    </row>
    <row r="886" spans="1:10" ht="16" x14ac:dyDescent="0.2">
      <c r="A886" s="70"/>
      <c r="B886" s="70"/>
      <c r="C886" s="70"/>
      <c r="D886" s="70"/>
      <c r="E886" s="70"/>
      <c r="F886" s="70"/>
      <c r="G886" s="70"/>
      <c r="H886" s="70"/>
      <c r="I886" s="70"/>
      <c r="J886" s="70"/>
    </row>
    <row r="887" spans="1:10" ht="16" x14ac:dyDescent="0.2">
      <c r="A887" s="70"/>
      <c r="B887" s="70"/>
      <c r="C887" s="70"/>
      <c r="D887" s="70"/>
      <c r="E887" s="70"/>
      <c r="F887" s="70"/>
      <c r="G887" s="70"/>
      <c r="H887" s="70"/>
      <c r="I887" s="70"/>
      <c r="J887" s="70"/>
    </row>
    <row r="888" spans="1:10" ht="16" x14ac:dyDescent="0.2">
      <c r="A888" s="70"/>
      <c r="B888" s="70"/>
      <c r="C888" s="70"/>
      <c r="D888" s="70"/>
      <c r="E888" s="70"/>
      <c r="F888" s="70"/>
      <c r="G888" s="70"/>
      <c r="H888" s="70"/>
      <c r="I888" s="70"/>
      <c r="J888" s="70"/>
    </row>
    <row r="889" spans="1:10" ht="16" x14ac:dyDescent="0.2">
      <c r="A889" s="70"/>
      <c r="B889" s="70"/>
      <c r="C889" s="70"/>
      <c r="D889" s="70"/>
      <c r="E889" s="70"/>
      <c r="F889" s="70"/>
      <c r="G889" s="70"/>
      <c r="H889" s="70"/>
      <c r="I889" s="70"/>
      <c r="J889" s="70"/>
    </row>
    <row r="890" spans="1:10" ht="16" x14ac:dyDescent="0.2">
      <c r="A890" s="70"/>
      <c r="B890" s="70"/>
      <c r="C890" s="70"/>
      <c r="D890" s="70"/>
      <c r="E890" s="70"/>
      <c r="F890" s="70"/>
      <c r="G890" s="70"/>
      <c r="H890" s="70"/>
      <c r="I890" s="70"/>
      <c r="J890" s="70"/>
    </row>
    <row r="891" spans="1:10" ht="16" x14ac:dyDescent="0.2">
      <c r="A891" s="70"/>
      <c r="B891" s="70"/>
      <c r="C891" s="70"/>
      <c r="D891" s="70"/>
      <c r="E891" s="70"/>
      <c r="F891" s="70"/>
      <c r="G891" s="70"/>
      <c r="H891" s="70"/>
      <c r="I891" s="70"/>
      <c r="J891" s="70"/>
    </row>
    <row r="892" spans="1:10" ht="16" x14ac:dyDescent="0.2">
      <c r="A892" s="70"/>
      <c r="B892" s="70"/>
      <c r="C892" s="70"/>
      <c r="D892" s="70"/>
      <c r="E892" s="70"/>
      <c r="F892" s="70"/>
      <c r="G892" s="70"/>
      <c r="H892" s="70"/>
      <c r="I892" s="70"/>
      <c r="J892" s="70"/>
    </row>
    <row r="893" spans="1:10" ht="16" x14ac:dyDescent="0.2">
      <c r="A893" s="70"/>
      <c r="B893" s="70"/>
      <c r="C893" s="70"/>
      <c r="D893" s="70"/>
      <c r="E893" s="70"/>
      <c r="F893" s="70"/>
      <c r="G893" s="70"/>
      <c r="H893" s="70"/>
      <c r="I893" s="70"/>
      <c r="J893" s="70"/>
    </row>
    <row r="894" spans="1:10" ht="16" x14ac:dyDescent="0.2">
      <c r="A894" s="70"/>
      <c r="B894" s="70"/>
      <c r="C894" s="70"/>
      <c r="D894" s="70"/>
      <c r="E894" s="70"/>
      <c r="F894" s="70"/>
      <c r="G894" s="70"/>
      <c r="H894" s="70"/>
      <c r="I894" s="70"/>
      <c r="J894" s="70"/>
    </row>
    <row r="895" spans="1:10" ht="16" x14ac:dyDescent="0.2">
      <c r="A895" s="70"/>
      <c r="B895" s="70"/>
      <c r="C895" s="70"/>
      <c r="D895" s="70"/>
      <c r="E895" s="70"/>
      <c r="F895" s="70"/>
      <c r="G895" s="70"/>
      <c r="H895" s="70"/>
      <c r="I895" s="70"/>
      <c r="J895" s="70"/>
    </row>
    <row r="896" spans="1:10" ht="16" x14ac:dyDescent="0.2">
      <c r="A896" s="70"/>
      <c r="B896" s="70"/>
      <c r="C896" s="70"/>
      <c r="D896" s="70"/>
      <c r="E896" s="70"/>
      <c r="F896" s="70"/>
      <c r="G896" s="70"/>
      <c r="H896" s="70"/>
      <c r="I896" s="70"/>
      <c r="J896" s="70"/>
    </row>
    <row r="897" spans="1:10" ht="16" x14ac:dyDescent="0.2">
      <c r="A897" s="70"/>
      <c r="B897" s="70"/>
      <c r="C897" s="70"/>
      <c r="D897" s="70"/>
      <c r="E897" s="70"/>
      <c r="F897" s="70"/>
      <c r="G897" s="70"/>
      <c r="H897" s="70"/>
      <c r="I897" s="70"/>
      <c r="J897" s="70"/>
    </row>
    <row r="898" spans="1:10" ht="16" x14ac:dyDescent="0.2">
      <c r="A898" s="70"/>
      <c r="B898" s="70"/>
      <c r="C898" s="70"/>
      <c r="D898" s="70"/>
      <c r="E898" s="70"/>
      <c r="F898" s="70"/>
      <c r="G898" s="70"/>
      <c r="H898" s="70"/>
      <c r="I898" s="70"/>
      <c r="J898" s="70"/>
    </row>
    <row r="899" spans="1:10" ht="16" x14ac:dyDescent="0.2">
      <c r="A899" s="70"/>
      <c r="B899" s="70"/>
      <c r="C899" s="70"/>
      <c r="D899" s="70"/>
      <c r="E899" s="70"/>
      <c r="F899" s="70"/>
      <c r="G899" s="70"/>
      <c r="H899" s="70"/>
      <c r="I899" s="70"/>
      <c r="J899" s="70"/>
    </row>
    <row r="900" spans="1:10" ht="16" x14ac:dyDescent="0.2">
      <c r="A900" s="70"/>
      <c r="B900" s="70"/>
      <c r="C900" s="70"/>
      <c r="D900" s="70"/>
      <c r="E900" s="70"/>
      <c r="F900" s="70"/>
      <c r="G900" s="70"/>
      <c r="H900" s="70"/>
      <c r="I900" s="70"/>
      <c r="J900" s="70"/>
    </row>
    <row r="901" spans="1:10" ht="16" x14ac:dyDescent="0.2">
      <c r="A901" s="70"/>
      <c r="B901" s="70"/>
      <c r="C901" s="70"/>
      <c r="D901" s="70"/>
      <c r="E901" s="70"/>
      <c r="F901" s="70"/>
      <c r="G901" s="70"/>
      <c r="H901" s="70"/>
      <c r="I901" s="70"/>
      <c r="J901" s="70"/>
    </row>
    <row r="902" spans="1:10" ht="16" x14ac:dyDescent="0.2">
      <c r="A902" s="70"/>
      <c r="B902" s="70"/>
      <c r="C902" s="70"/>
      <c r="D902" s="70"/>
      <c r="E902" s="70"/>
      <c r="F902" s="70"/>
      <c r="G902" s="70"/>
      <c r="H902" s="70"/>
      <c r="I902" s="70"/>
      <c r="J902" s="70"/>
    </row>
    <row r="903" spans="1:10" ht="16" x14ac:dyDescent="0.2">
      <c r="A903" s="70"/>
      <c r="B903" s="70"/>
      <c r="C903" s="70"/>
      <c r="D903" s="70"/>
      <c r="E903" s="70"/>
      <c r="F903" s="70"/>
      <c r="G903" s="70"/>
      <c r="H903" s="70"/>
      <c r="I903" s="70"/>
      <c r="J903" s="70"/>
    </row>
    <row r="904" spans="1:10" ht="16" x14ac:dyDescent="0.2">
      <c r="A904" s="70"/>
      <c r="B904" s="70"/>
      <c r="C904" s="70"/>
      <c r="D904" s="70"/>
      <c r="E904" s="70"/>
      <c r="F904" s="70"/>
      <c r="G904" s="70"/>
      <c r="H904" s="70"/>
      <c r="I904" s="70"/>
      <c r="J904" s="70"/>
    </row>
    <row r="905" spans="1:10" ht="16" x14ac:dyDescent="0.2">
      <c r="A905" s="70"/>
      <c r="B905" s="70"/>
      <c r="C905" s="70"/>
      <c r="D905" s="70"/>
      <c r="E905" s="70"/>
      <c r="F905" s="70"/>
      <c r="G905" s="70"/>
      <c r="H905" s="70"/>
      <c r="I905" s="70"/>
      <c r="J905" s="70"/>
    </row>
    <row r="906" spans="1:10" ht="16" x14ac:dyDescent="0.2">
      <c r="A906" s="70"/>
      <c r="B906" s="70"/>
      <c r="C906" s="70"/>
      <c r="D906" s="70"/>
      <c r="E906" s="70"/>
      <c r="F906" s="70"/>
      <c r="G906" s="70"/>
      <c r="H906" s="70"/>
      <c r="I906" s="70"/>
      <c r="J906" s="70"/>
    </row>
    <row r="907" spans="1:10" ht="16" x14ac:dyDescent="0.2">
      <c r="A907" s="70"/>
      <c r="B907" s="70"/>
      <c r="C907" s="70"/>
      <c r="D907" s="70"/>
      <c r="E907" s="70"/>
      <c r="F907" s="70"/>
      <c r="G907" s="70"/>
      <c r="H907" s="70"/>
      <c r="I907" s="70"/>
      <c r="J907" s="70"/>
    </row>
    <row r="908" spans="1:10" ht="16" x14ac:dyDescent="0.2">
      <c r="A908" s="70"/>
      <c r="B908" s="70"/>
      <c r="C908" s="70"/>
      <c r="D908" s="70"/>
      <c r="E908" s="70"/>
      <c r="F908" s="70"/>
      <c r="G908" s="70"/>
      <c r="H908" s="70"/>
      <c r="I908" s="70"/>
      <c r="J908" s="70"/>
    </row>
    <row r="909" spans="1:10" ht="16" x14ac:dyDescent="0.2">
      <c r="A909" s="70"/>
      <c r="B909" s="70"/>
      <c r="C909" s="70"/>
      <c r="D909" s="70"/>
      <c r="E909" s="70"/>
      <c r="F909" s="70"/>
      <c r="G909" s="70"/>
      <c r="H909" s="70"/>
      <c r="I909" s="70"/>
      <c r="J909" s="70"/>
    </row>
    <row r="910" spans="1:10" ht="16" x14ac:dyDescent="0.2">
      <c r="A910" s="70"/>
      <c r="B910" s="70"/>
      <c r="C910" s="70"/>
      <c r="D910" s="70"/>
      <c r="E910" s="70"/>
      <c r="F910" s="70"/>
      <c r="G910" s="70"/>
      <c r="H910" s="70"/>
      <c r="I910" s="70"/>
      <c r="J910" s="70"/>
    </row>
    <row r="911" spans="1:10" ht="16" x14ac:dyDescent="0.2">
      <c r="A911" s="70"/>
      <c r="B911" s="70"/>
      <c r="C911" s="70"/>
      <c r="D911" s="70"/>
      <c r="E911" s="70"/>
      <c r="F911" s="70"/>
      <c r="G911" s="70"/>
      <c r="H911" s="70"/>
      <c r="I911" s="70"/>
      <c r="J911" s="70"/>
    </row>
    <row r="912" spans="1:10" ht="16" x14ac:dyDescent="0.2">
      <c r="A912" s="70"/>
      <c r="B912" s="70"/>
      <c r="C912" s="70"/>
      <c r="D912" s="70"/>
      <c r="E912" s="70"/>
      <c r="F912" s="70"/>
      <c r="G912" s="70"/>
      <c r="H912" s="70"/>
      <c r="I912" s="70"/>
      <c r="J912" s="70"/>
    </row>
    <row r="913" spans="1:10" ht="16" x14ac:dyDescent="0.2">
      <c r="A913" s="70"/>
      <c r="B913" s="70"/>
      <c r="C913" s="70"/>
      <c r="D913" s="70"/>
      <c r="E913" s="70"/>
      <c r="F913" s="70"/>
      <c r="G913" s="70"/>
      <c r="H913" s="70"/>
      <c r="I913" s="70"/>
      <c r="J913" s="70"/>
    </row>
    <row r="914" spans="1:10" ht="16" x14ac:dyDescent="0.2">
      <c r="A914" s="70"/>
      <c r="B914" s="70"/>
      <c r="C914" s="70"/>
      <c r="D914" s="70"/>
      <c r="E914" s="70"/>
      <c r="F914" s="70"/>
      <c r="G914" s="70"/>
      <c r="H914" s="70"/>
      <c r="I914" s="70"/>
      <c r="J914" s="70"/>
    </row>
    <row r="915" spans="1:10" ht="16" x14ac:dyDescent="0.2">
      <c r="A915" s="70"/>
      <c r="B915" s="70"/>
      <c r="C915" s="70"/>
      <c r="D915" s="70"/>
      <c r="E915" s="70"/>
      <c r="F915" s="70"/>
      <c r="G915" s="70"/>
      <c r="H915" s="70"/>
      <c r="I915" s="70"/>
      <c r="J915" s="70"/>
    </row>
    <row r="916" spans="1:10" ht="16" x14ac:dyDescent="0.2">
      <c r="A916" s="70"/>
      <c r="B916" s="70"/>
      <c r="C916" s="70"/>
      <c r="D916" s="70"/>
      <c r="E916" s="70"/>
      <c r="F916" s="70"/>
      <c r="G916" s="70"/>
      <c r="H916" s="70"/>
      <c r="I916" s="70"/>
      <c r="J916" s="70"/>
    </row>
    <row r="917" spans="1:10" ht="16" x14ac:dyDescent="0.2">
      <c r="A917" s="70"/>
      <c r="B917" s="70"/>
      <c r="C917" s="70"/>
      <c r="D917" s="70"/>
      <c r="E917" s="70"/>
      <c r="F917" s="70"/>
      <c r="G917" s="70"/>
      <c r="H917" s="70"/>
      <c r="I917" s="70"/>
      <c r="J917" s="70"/>
    </row>
    <row r="918" spans="1:10" ht="16" x14ac:dyDescent="0.2">
      <c r="A918" s="70"/>
      <c r="B918" s="70"/>
      <c r="C918" s="70"/>
      <c r="D918" s="70"/>
      <c r="E918" s="70"/>
      <c r="F918" s="70"/>
      <c r="G918" s="70"/>
      <c r="H918" s="70"/>
      <c r="I918" s="70"/>
      <c r="J918" s="70"/>
    </row>
    <row r="919" spans="1:10" ht="16" x14ac:dyDescent="0.2">
      <c r="A919" s="70"/>
      <c r="B919" s="70"/>
      <c r="C919" s="70"/>
      <c r="D919" s="70"/>
      <c r="E919" s="70"/>
      <c r="F919" s="70"/>
      <c r="G919" s="70"/>
      <c r="H919" s="70"/>
      <c r="I919" s="70"/>
      <c r="J919" s="70"/>
    </row>
    <row r="920" spans="1:10" ht="16" x14ac:dyDescent="0.2">
      <c r="A920" s="70"/>
      <c r="B920" s="70"/>
      <c r="C920" s="70"/>
      <c r="D920" s="70"/>
      <c r="E920" s="70"/>
      <c r="F920" s="70"/>
      <c r="G920" s="70"/>
      <c r="H920" s="70"/>
      <c r="I920" s="70"/>
      <c r="J920" s="70"/>
    </row>
    <row r="921" spans="1:10" ht="16" x14ac:dyDescent="0.2">
      <c r="A921" s="70"/>
      <c r="B921" s="70"/>
      <c r="C921" s="70"/>
      <c r="D921" s="70"/>
      <c r="E921" s="70"/>
      <c r="F921" s="70"/>
      <c r="G921" s="70"/>
      <c r="H921" s="70"/>
      <c r="I921" s="70"/>
      <c r="J921" s="70"/>
    </row>
    <row r="922" spans="1:10" ht="16" x14ac:dyDescent="0.2">
      <c r="A922" s="70"/>
      <c r="B922" s="70"/>
      <c r="C922" s="70"/>
      <c r="D922" s="70"/>
      <c r="E922" s="70"/>
      <c r="F922" s="70"/>
      <c r="G922" s="70"/>
      <c r="H922" s="70"/>
      <c r="I922" s="70"/>
      <c r="J922" s="70"/>
    </row>
    <row r="923" spans="1:10" ht="16" x14ac:dyDescent="0.2">
      <c r="A923" s="70"/>
      <c r="B923" s="70"/>
      <c r="C923" s="70"/>
      <c r="D923" s="70"/>
      <c r="E923" s="70"/>
      <c r="F923" s="70"/>
      <c r="G923" s="70"/>
      <c r="H923" s="70"/>
      <c r="I923" s="70"/>
      <c r="J923" s="70"/>
    </row>
    <row r="924" spans="1:10" ht="16" x14ac:dyDescent="0.2">
      <c r="A924" s="70"/>
      <c r="B924" s="70"/>
      <c r="C924" s="70"/>
      <c r="D924" s="70"/>
      <c r="E924" s="70"/>
      <c r="F924" s="70"/>
      <c r="G924" s="70"/>
      <c r="H924" s="70"/>
      <c r="I924" s="70"/>
      <c r="J924" s="70"/>
    </row>
    <row r="925" spans="1:10" ht="16" x14ac:dyDescent="0.2">
      <c r="A925" s="70"/>
      <c r="B925" s="70"/>
      <c r="C925" s="70"/>
      <c r="D925" s="70"/>
      <c r="E925" s="70"/>
      <c r="F925" s="70"/>
      <c r="G925" s="70"/>
      <c r="H925" s="70"/>
      <c r="I925" s="70"/>
      <c r="J925" s="70"/>
    </row>
    <row r="926" spans="1:10" ht="16" x14ac:dyDescent="0.2">
      <c r="A926" s="70"/>
      <c r="B926" s="70"/>
      <c r="C926" s="70"/>
      <c r="D926" s="70"/>
      <c r="E926" s="70"/>
      <c r="F926" s="70"/>
      <c r="G926" s="70"/>
      <c r="H926" s="70"/>
      <c r="I926" s="70"/>
      <c r="J926" s="70"/>
    </row>
    <row r="927" spans="1:10" ht="16" x14ac:dyDescent="0.2">
      <c r="A927" s="70"/>
      <c r="B927" s="70"/>
      <c r="C927" s="70"/>
      <c r="D927" s="70"/>
      <c r="E927" s="70"/>
      <c r="F927" s="70"/>
      <c r="G927" s="70"/>
      <c r="H927" s="70"/>
      <c r="I927" s="70"/>
      <c r="J927" s="70"/>
    </row>
    <row r="928" spans="1:10" ht="16" x14ac:dyDescent="0.2">
      <c r="A928" s="70"/>
      <c r="B928" s="70"/>
      <c r="C928" s="70"/>
      <c r="D928" s="70"/>
      <c r="E928" s="70"/>
      <c r="F928" s="70"/>
      <c r="G928" s="70"/>
      <c r="H928" s="70"/>
      <c r="I928" s="70"/>
      <c r="J928" s="70"/>
    </row>
    <row r="929" spans="1:10" ht="16" x14ac:dyDescent="0.2">
      <c r="A929" s="70"/>
      <c r="B929" s="70"/>
      <c r="C929" s="70"/>
      <c r="D929" s="70"/>
      <c r="E929" s="70"/>
      <c r="F929" s="70"/>
      <c r="G929" s="70"/>
      <c r="H929" s="70"/>
      <c r="I929" s="70"/>
      <c r="J929" s="70"/>
    </row>
    <row r="930" spans="1:10" ht="16" x14ac:dyDescent="0.2">
      <c r="A930" s="70"/>
      <c r="B930" s="70"/>
      <c r="C930" s="70"/>
      <c r="D930" s="70"/>
      <c r="E930" s="70"/>
      <c r="F930" s="70"/>
      <c r="G930" s="70"/>
      <c r="H930" s="70"/>
      <c r="I930" s="70"/>
      <c r="J930" s="70"/>
    </row>
    <row r="931" spans="1:10" ht="16" x14ac:dyDescent="0.2">
      <c r="A931" s="70"/>
      <c r="B931" s="70"/>
      <c r="C931" s="70"/>
      <c r="D931" s="70"/>
      <c r="E931" s="70"/>
      <c r="F931" s="70"/>
      <c r="G931" s="70"/>
      <c r="H931" s="70"/>
      <c r="I931" s="70"/>
      <c r="J931" s="70"/>
    </row>
    <row r="932" spans="1:10" ht="16" x14ac:dyDescent="0.2">
      <c r="A932" s="70"/>
      <c r="B932" s="70"/>
      <c r="C932" s="70"/>
      <c r="D932" s="70"/>
      <c r="E932" s="70"/>
      <c r="F932" s="70"/>
      <c r="G932" s="70"/>
      <c r="H932" s="70"/>
      <c r="I932" s="70"/>
      <c r="J932" s="70"/>
    </row>
    <row r="933" spans="1:10" ht="16" x14ac:dyDescent="0.2">
      <c r="A933" s="70"/>
      <c r="B933" s="70"/>
      <c r="C933" s="70"/>
      <c r="D933" s="70"/>
      <c r="E933" s="70"/>
      <c r="F933" s="70"/>
      <c r="G933" s="70"/>
      <c r="H933" s="70"/>
      <c r="I933" s="70"/>
      <c r="J933" s="70"/>
    </row>
    <row r="934" spans="1:10" ht="16" x14ac:dyDescent="0.2">
      <c r="A934" s="70"/>
      <c r="B934" s="70"/>
      <c r="C934" s="70"/>
      <c r="D934" s="70"/>
      <c r="E934" s="70"/>
      <c r="F934" s="70"/>
      <c r="G934" s="70"/>
      <c r="H934" s="70"/>
      <c r="I934" s="70"/>
      <c r="J934" s="70"/>
    </row>
    <row r="935" spans="1:10" ht="16" x14ac:dyDescent="0.2">
      <c r="A935" s="70"/>
      <c r="B935" s="70"/>
      <c r="C935" s="70"/>
      <c r="D935" s="70"/>
      <c r="E935" s="70"/>
      <c r="F935" s="70"/>
      <c r="G935" s="70"/>
      <c r="H935" s="70"/>
      <c r="I935" s="70"/>
      <c r="J935" s="70"/>
    </row>
    <row r="936" spans="1:10" ht="16" x14ac:dyDescent="0.2">
      <c r="A936" s="70"/>
      <c r="B936" s="70"/>
      <c r="C936" s="70"/>
      <c r="D936" s="70"/>
      <c r="E936" s="70"/>
      <c r="F936" s="70"/>
      <c r="G936" s="70"/>
      <c r="H936" s="70"/>
      <c r="I936" s="70"/>
      <c r="J936" s="70"/>
    </row>
    <row r="937" spans="1:10" ht="16" x14ac:dyDescent="0.2">
      <c r="A937" s="70"/>
      <c r="B937" s="70"/>
      <c r="C937" s="70"/>
      <c r="D937" s="70"/>
      <c r="E937" s="70"/>
      <c r="F937" s="70"/>
      <c r="G937" s="70"/>
      <c r="H937" s="70"/>
      <c r="I937" s="70"/>
      <c r="J937" s="70"/>
    </row>
    <row r="938" spans="1:10" ht="16" x14ac:dyDescent="0.2">
      <c r="A938" s="70"/>
      <c r="B938" s="70"/>
      <c r="C938" s="70"/>
      <c r="D938" s="70"/>
      <c r="E938" s="70"/>
      <c r="F938" s="70"/>
      <c r="G938" s="70"/>
      <c r="H938" s="70"/>
      <c r="I938" s="70"/>
      <c r="J938" s="70"/>
    </row>
    <row r="939" spans="1:10" ht="16" x14ac:dyDescent="0.2">
      <c r="A939" s="70"/>
      <c r="B939" s="70"/>
      <c r="C939" s="70"/>
      <c r="D939" s="70"/>
      <c r="E939" s="70"/>
      <c r="F939" s="70"/>
      <c r="G939" s="70"/>
      <c r="H939" s="70"/>
      <c r="I939" s="70"/>
      <c r="J939" s="70"/>
    </row>
    <row r="940" spans="1:10" ht="16" x14ac:dyDescent="0.2">
      <c r="A940" s="70"/>
      <c r="B940" s="70"/>
      <c r="C940" s="70"/>
      <c r="D940" s="70"/>
      <c r="E940" s="70"/>
      <c r="F940" s="70"/>
      <c r="G940" s="70"/>
      <c r="H940" s="70"/>
      <c r="I940" s="70"/>
      <c r="J940" s="70"/>
    </row>
    <row r="941" spans="1:10" ht="16" x14ac:dyDescent="0.2">
      <c r="A941" s="70"/>
      <c r="B941" s="70"/>
      <c r="C941" s="70"/>
      <c r="D941" s="70"/>
      <c r="E941" s="70"/>
      <c r="F941" s="70"/>
      <c r="G941" s="70"/>
      <c r="H941" s="70"/>
      <c r="I941" s="70"/>
      <c r="J941" s="70"/>
    </row>
    <row r="942" spans="1:10" ht="16" x14ac:dyDescent="0.2">
      <c r="A942" s="70"/>
      <c r="B942" s="70"/>
      <c r="C942" s="70"/>
      <c r="D942" s="70"/>
      <c r="E942" s="70"/>
      <c r="F942" s="70"/>
      <c r="G942" s="70"/>
      <c r="H942" s="70"/>
      <c r="I942" s="70"/>
      <c r="J942" s="70"/>
    </row>
    <row r="943" spans="1:10" ht="16" x14ac:dyDescent="0.2">
      <c r="A943" s="70"/>
      <c r="B943" s="70"/>
      <c r="C943" s="70"/>
      <c r="D943" s="70"/>
      <c r="E943" s="70"/>
      <c r="F943" s="70"/>
      <c r="G943" s="70"/>
      <c r="H943" s="70"/>
      <c r="I943" s="70"/>
      <c r="J943" s="70"/>
    </row>
    <row r="944" spans="1:10" ht="16" x14ac:dyDescent="0.2">
      <c r="A944" s="70"/>
      <c r="B944" s="70"/>
      <c r="C944" s="70"/>
      <c r="D944" s="70"/>
      <c r="E944" s="70"/>
      <c r="F944" s="70"/>
      <c r="G944" s="70"/>
      <c r="H944" s="70"/>
      <c r="I944" s="70"/>
      <c r="J944" s="70"/>
    </row>
    <row r="945" spans="1:10" ht="16" x14ac:dyDescent="0.2">
      <c r="A945" s="70"/>
      <c r="B945" s="70"/>
      <c r="C945" s="70"/>
      <c r="D945" s="70"/>
      <c r="E945" s="70"/>
      <c r="F945" s="70"/>
      <c r="G945" s="70"/>
      <c r="H945" s="70"/>
      <c r="I945" s="70"/>
      <c r="J945" s="70"/>
    </row>
    <row r="946" spans="1:10" ht="16" x14ac:dyDescent="0.2">
      <c r="A946" s="70"/>
      <c r="B946" s="70"/>
      <c r="C946" s="70"/>
      <c r="D946" s="70"/>
      <c r="E946" s="70"/>
      <c r="F946" s="70"/>
      <c r="G946" s="70"/>
      <c r="H946" s="70"/>
      <c r="I946" s="70"/>
      <c r="J946" s="70"/>
    </row>
    <row r="947" spans="1:10" ht="16" x14ac:dyDescent="0.2">
      <c r="A947" s="70"/>
      <c r="B947" s="70"/>
      <c r="C947" s="70"/>
      <c r="D947" s="70"/>
      <c r="E947" s="70"/>
      <c r="F947" s="70"/>
      <c r="G947" s="70"/>
      <c r="H947" s="70"/>
      <c r="I947" s="70"/>
      <c r="J947" s="70"/>
    </row>
    <row r="948" spans="1:10" ht="16" x14ac:dyDescent="0.2">
      <c r="A948" s="70"/>
      <c r="B948" s="70"/>
      <c r="C948" s="70"/>
      <c r="D948" s="70"/>
      <c r="E948" s="70"/>
      <c r="F948" s="70"/>
      <c r="G948" s="70"/>
      <c r="H948" s="70"/>
      <c r="I948" s="70"/>
      <c r="J948" s="70"/>
    </row>
    <row r="949" spans="1:10" ht="16" x14ac:dyDescent="0.2">
      <c r="A949" s="70"/>
      <c r="B949" s="70"/>
      <c r="C949" s="70"/>
      <c r="D949" s="70"/>
      <c r="E949" s="70"/>
      <c r="F949" s="70"/>
      <c r="G949" s="70"/>
      <c r="H949" s="70"/>
      <c r="I949" s="70"/>
      <c r="J949" s="70"/>
    </row>
    <row r="950" spans="1:10" ht="16" x14ac:dyDescent="0.2">
      <c r="A950" s="70"/>
      <c r="B950" s="70"/>
      <c r="C950" s="70"/>
      <c r="D950" s="70"/>
      <c r="E950" s="70"/>
      <c r="F950" s="70"/>
      <c r="G950" s="70"/>
      <c r="H950" s="70"/>
      <c r="I950" s="70"/>
      <c r="J950" s="70"/>
    </row>
    <row r="951" spans="1:10" ht="16" x14ac:dyDescent="0.2">
      <c r="A951" s="70"/>
      <c r="B951" s="70"/>
      <c r="C951" s="70"/>
      <c r="D951" s="70"/>
      <c r="E951" s="70"/>
      <c r="F951" s="70"/>
      <c r="G951" s="70"/>
      <c r="H951" s="70"/>
      <c r="I951" s="70"/>
      <c r="J951" s="70"/>
    </row>
    <row r="952" spans="1:10" ht="16" x14ac:dyDescent="0.2">
      <c r="A952" s="70"/>
      <c r="B952" s="70"/>
      <c r="C952" s="70"/>
      <c r="D952" s="70"/>
      <c r="E952" s="70"/>
      <c r="F952" s="70"/>
      <c r="G952" s="70"/>
      <c r="H952" s="70"/>
      <c r="I952" s="70"/>
      <c r="J952" s="70"/>
    </row>
    <row r="953" spans="1:10" ht="16" x14ac:dyDescent="0.2">
      <c r="A953" s="70"/>
      <c r="B953" s="70"/>
      <c r="C953" s="70"/>
      <c r="D953" s="70"/>
      <c r="E953" s="70"/>
      <c r="F953" s="70"/>
      <c r="G953" s="70"/>
      <c r="H953" s="70"/>
      <c r="I953" s="70"/>
      <c r="J953" s="70"/>
    </row>
    <row r="954" spans="1:10" ht="16" x14ac:dyDescent="0.2">
      <c r="A954" s="70"/>
      <c r="B954" s="70"/>
      <c r="C954" s="70"/>
      <c r="D954" s="70"/>
      <c r="E954" s="70"/>
      <c r="F954" s="70"/>
      <c r="G954" s="70"/>
      <c r="H954" s="70"/>
      <c r="I954" s="70"/>
      <c r="J954" s="70"/>
    </row>
    <row r="955" spans="1:10" ht="16" x14ac:dyDescent="0.2">
      <c r="A955" s="70"/>
      <c r="B955" s="70"/>
      <c r="C955" s="70"/>
      <c r="D955" s="70"/>
      <c r="E955" s="70"/>
      <c r="F955" s="70"/>
      <c r="G955" s="70"/>
      <c r="H955" s="70"/>
      <c r="I955" s="70"/>
      <c r="J955" s="70"/>
    </row>
    <row r="956" spans="1:10" ht="16" x14ac:dyDescent="0.2">
      <c r="A956" s="70"/>
      <c r="B956" s="70"/>
      <c r="C956" s="70"/>
      <c r="D956" s="70"/>
      <c r="E956" s="70"/>
      <c r="F956" s="70"/>
      <c r="G956" s="70"/>
      <c r="H956" s="70"/>
      <c r="I956" s="70"/>
      <c r="J956" s="70"/>
    </row>
    <row r="957" spans="1:10" ht="16" x14ac:dyDescent="0.2">
      <c r="A957" s="70"/>
      <c r="B957" s="70"/>
      <c r="C957" s="70"/>
      <c r="D957" s="70"/>
      <c r="E957" s="70"/>
      <c r="F957" s="70"/>
      <c r="G957" s="70"/>
      <c r="H957" s="70"/>
      <c r="I957" s="70"/>
      <c r="J957" s="70"/>
    </row>
    <row r="958" spans="1:10" ht="16" x14ac:dyDescent="0.2">
      <c r="A958" s="70"/>
      <c r="B958" s="70"/>
      <c r="C958" s="70"/>
      <c r="D958" s="70"/>
      <c r="E958" s="70"/>
      <c r="F958" s="70"/>
      <c r="G958" s="70"/>
      <c r="H958" s="70"/>
      <c r="I958" s="70"/>
      <c r="J958" s="70"/>
    </row>
    <row r="959" spans="1:10" ht="16" x14ac:dyDescent="0.2">
      <c r="A959" s="70"/>
      <c r="B959" s="70"/>
      <c r="C959" s="70"/>
      <c r="D959" s="70"/>
      <c r="E959" s="70"/>
      <c r="F959" s="70"/>
      <c r="G959" s="70"/>
      <c r="H959" s="70"/>
      <c r="I959" s="70"/>
      <c r="J959" s="70"/>
    </row>
    <row r="960" spans="1:10" ht="16" x14ac:dyDescent="0.2">
      <c r="A960" s="70"/>
      <c r="B960" s="70"/>
      <c r="C960" s="70"/>
      <c r="D960" s="70"/>
      <c r="E960" s="70"/>
      <c r="F960" s="70"/>
      <c r="G960" s="70"/>
      <c r="H960" s="70"/>
      <c r="I960" s="70"/>
      <c r="J960" s="70"/>
    </row>
    <row r="961" spans="1:10" ht="16" x14ac:dyDescent="0.2">
      <c r="A961" s="70"/>
      <c r="B961" s="70"/>
      <c r="C961" s="70"/>
      <c r="D961" s="70"/>
      <c r="E961" s="70"/>
      <c r="F961" s="70"/>
      <c r="G961" s="70"/>
      <c r="H961" s="70"/>
      <c r="I961" s="70"/>
      <c r="J961" s="70"/>
    </row>
    <row r="962" spans="1:10" ht="16" x14ac:dyDescent="0.2">
      <c r="A962" s="70"/>
      <c r="B962" s="70"/>
      <c r="C962" s="70"/>
      <c r="D962" s="70"/>
      <c r="E962" s="70"/>
      <c r="F962" s="70"/>
      <c r="G962" s="70"/>
      <c r="H962" s="70"/>
      <c r="I962" s="70"/>
      <c r="J962" s="70"/>
    </row>
    <row r="963" spans="1:10" ht="16" x14ac:dyDescent="0.2">
      <c r="A963" s="70"/>
      <c r="B963" s="70"/>
      <c r="C963" s="70"/>
      <c r="D963" s="70"/>
      <c r="E963" s="70"/>
      <c r="F963" s="70"/>
      <c r="G963" s="70"/>
      <c r="H963" s="70"/>
      <c r="I963" s="70"/>
      <c r="J963" s="70"/>
    </row>
    <row r="964" spans="1:10" ht="16" x14ac:dyDescent="0.2">
      <c r="A964" s="70"/>
      <c r="B964" s="70"/>
      <c r="C964" s="70"/>
      <c r="D964" s="70"/>
      <c r="E964" s="70"/>
      <c r="F964" s="70"/>
      <c r="G964" s="70"/>
      <c r="H964" s="70"/>
      <c r="I964" s="70"/>
      <c r="J964" s="70"/>
    </row>
    <row r="965" spans="1:10" ht="16" x14ac:dyDescent="0.2">
      <c r="A965" s="70"/>
      <c r="B965" s="70"/>
      <c r="C965" s="70"/>
      <c r="D965" s="70"/>
      <c r="E965" s="70"/>
      <c r="F965" s="70"/>
      <c r="G965" s="70"/>
      <c r="H965" s="70"/>
      <c r="I965" s="70"/>
      <c r="J965" s="70"/>
    </row>
    <row r="966" spans="1:10" ht="16" x14ac:dyDescent="0.2">
      <c r="A966" s="70"/>
      <c r="B966" s="70"/>
      <c r="C966" s="70"/>
      <c r="D966" s="70"/>
      <c r="E966" s="70"/>
      <c r="F966" s="70"/>
      <c r="G966" s="70"/>
      <c r="H966" s="70"/>
      <c r="I966" s="70"/>
      <c r="J966" s="70"/>
    </row>
    <row r="967" spans="1:10" ht="16" x14ac:dyDescent="0.2">
      <c r="A967" s="70"/>
      <c r="B967" s="70"/>
      <c r="C967" s="70"/>
      <c r="D967" s="70"/>
      <c r="E967" s="70"/>
      <c r="F967" s="70"/>
      <c r="G967" s="70"/>
      <c r="H967" s="70"/>
      <c r="I967" s="70"/>
      <c r="J967" s="70"/>
    </row>
    <row r="968" spans="1:10" ht="16" x14ac:dyDescent="0.2">
      <c r="A968" s="70"/>
      <c r="B968" s="70"/>
      <c r="C968" s="70"/>
      <c r="D968" s="70"/>
      <c r="E968" s="70"/>
      <c r="F968" s="70"/>
      <c r="G968" s="70"/>
      <c r="H968" s="70"/>
      <c r="I968" s="70"/>
      <c r="J968" s="70"/>
    </row>
    <row r="969" spans="1:10" ht="16" x14ac:dyDescent="0.2">
      <c r="A969" s="70"/>
      <c r="B969" s="70"/>
      <c r="C969" s="70"/>
      <c r="D969" s="70"/>
      <c r="E969" s="70"/>
      <c r="F969" s="70"/>
      <c r="G969" s="70"/>
      <c r="H969" s="70"/>
      <c r="I969" s="70"/>
      <c r="J969" s="70"/>
    </row>
    <row r="970" spans="1:10" ht="16" x14ac:dyDescent="0.2">
      <c r="A970" s="70"/>
      <c r="B970" s="70"/>
      <c r="C970" s="70"/>
      <c r="D970" s="70"/>
      <c r="E970" s="70"/>
      <c r="F970" s="70"/>
      <c r="G970" s="70"/>
      <c r="H970" s="70"/>
      <c r="I970" s="70"/>
      <c r="J970" s="70"/>
    </row>
    <row r="971" spans="1:10" ht="16" x14ac:dyDescent="0.2">
      <c r="A971" s="70"/>
      <c r="B971" s="70"/>
      <c r="C971" s="70"/>
      <c r="D971" s="70"/>
      <c r="E971" s="70"/>
      <c r="F971" s="70"/>
      <c r="G971" s="70"/>
      <c r="H971" s="70"/>
      <c r="I971" s="70"/>
      <c r="J971" s="70"/>
    </row>
    <row r="972" spans="1:10" ht="16" x14ac:dyDescent="0.2">
      <c r="A972" s="70"/>
      <c r="B972" s="70"/>
      <c r="C972" s="70"/>
      <c r="D972" s="70"/>
      <c r="E972" s="70"/>
      <c r="F972" s="70"/>
      <c r="G972" s="70"/>
      <c r="H972" s="70"/>
      <c r="I972" s="70"/>
      <c r="J972" s="70"/>
    </row>
    <row r="973" spans="1:10" ht="16" x14ac:dyDescent="0.2">
      <c r="A973" s="70"/>
      <c r="B973" s="70"/>
      <c r="C973" s="70"/>
      <c r="D973" s="70"/>
      <c r="E973" s="70"/>
      <c r="F973" s="70"/>
      <c r="G973" s="70"/>
      <c r="H973" s="70"/>
      <c r="I973" s="70"/>
      <c r="J973" s="70"/>
    </row>
    <row r="974" spans="1:10" ht="16" x14ac:dyDescent="0.2">
      <c r="A974" s="70"/>
      <c r="B974" s="70"/>
      <c r="C974" s="70"/>
      <c r="D974" s="70"/>
      <c r="E974" s="70"/>
      <c r="F974" s="70"/>
      <c r="G974" s="70"/>
      <c r="H974" s="70"/>
      <c r="I974" s="70"/>
      <c r="J974" s="70"/>
    </row>
    <row r="975" spans="1:10" ht="16" x14ac:dyDescent="0.2">
      <c r="A975" s="70"/>
      <c r="B975" s="70"/>
      <c r="C975" s="70"/>
      <c r="D975" s="70"/>
      <c r="E975" s="70"/>
      <c r="F975" s="70"/>
      <c r="G975" s="70"/>
      <c r="H975" s="70"/>
      <c r="I975" s="70"/>
      <c r="J975" s="70"/>
    </row>
    <row r="976" spans="1:10" ht="16" x14ac:dyDescent="0.2">
      <c r="A976" s="70"/>
      <c r="B976" s="70"/>
      <c r="C976" s="70"/>
      <c r="D976" s="70"/>
      <c r="E976" s="70"/>
      <c r="F976" s="70"/>
      <c r="G976" s="70"/>
      <c r="H976" s="70"/>
      <c r="I976" s="70"/>
      <c r="J976" s="70"/>
    </row>
    <row r="977" spans="1:10" ht="16" x14ac:dyDescent="0.2">
      <c r="A977" s="70"/>
      <c r="B977" s="70"/>
      <c r="C977" s="70"/>
      <c r="D977" s="70"/>
      <c r="E977" s="70"/>
      <c r="F977" s="70"/>
      <c r="G977" s="70"/>
      <c r="H977" s="70"/>
      <c r="I977" s="70"/>
      <c r="J977" s="70"/>
    </row>
    <row r="978" spans="1:10" ht="16" x14ac:dyDescent="0.2">
      <c r="A978" s="70"/>
      <c r="B978" s="70"/>
      <c r="C978" s="70"/>
      <c r="D978" s="70"/>
      <c r="E978" s="70"/>
      <c r="F978" s="70"/>
      <c r="G978" s="70"/>
      <c r="H978" s="70"/>
      <c r="I978" s="70"/>
      <c r="J978" s="70"/>
    </row>
    <row r="979" spans="1:10" ht="16" x14ac:dyDescent="0.2">
      <c r="A979" s="70"/>
      <c r="B979" s="70"/>
      <c r="C979" s="70"/>
      <c r="D979" s="70"/>
      <c r="E979" s="70"/>
      <c r="F979" s="70"/>
      <c r="G979" s="70"/>
      <c r="H979" s="70"/>
      <c r="I979" s="70"/>
      <c r="J979" s="70"/>
    </row>
    <row r="980" spans="1:10" ht="16" x14ac:dyDescent="0.2">
      <c r="A980" s="70"/>
      <c r="B980" s="70"/>
      <c r="C980" s="70"/>
      <c r="D980" s="70"/>
      <c r="E980" s="70"/>
      <c r="F980" s="70"/>
      <c r="G980" s="70"/>
      <c r="H980" s="70"/>
      <c r="I980" s="70"/>
      <c r="J980" s="70"/>
    </row>
    <row r="981" spans="1:10" ht="16" x14ac:dyDescent="0.2">
      <c r="A981" s="70"/>
      <c r="B981" s="70"/>
      <c r="C981" s="70"/>
      <c r="D981" s="70"/>
      <c r="E981" s="70"/>
      <c r="F981" s="70"/>
      <c r="G981" s="70"/>
      <c r="H981" s="70"/>
      <c r="I981" s="70"/>
      <c r="J981" s="70"/>
    </row>
    <row r="982" spans="1:10" ht="16" x14ac:dyDescent="0.2">
      <c r="A982" s="70"/>
      <c r="B982" s="70"/>
      <c r="C982" s="70"/>
      <c r="D982" s="70"/>
      <c r="E982" s="70"/>
      <c r="F982" s="70"/>
      <c r="G982" s="70"/>
      <c r="H982" s="70"/>
      <c r="I982" s="70"/>
      <c r="J982" s="70"/>
    </row>
    <row r="983" spans="1:10" ht="16" x14ac:dyDescent="0.2">
      <c r="A983" s="70"/>
      <c r="B983" s="70"/>
      <c r="C983" s="70"/>
      <c r="D983" s="70"/>
      <c r="E983" s="70"/>
      <c r="F983" s="70"/>
      <c r="G983" s="70"/>
      <c r="H983" s="70"/>
      <c r="I983" s="70"/>
      <c r="J983" s="70"/>
    </row>
    <row r="984" spans="1:10" ht="16" x14ac:dyDescent="0.2">
      <c r="A984" s="70"/>
      <c r="B984" s="70"/>
      <c r="C984" s="70"/>
      <c r="D984" s="70"/>
      <c r="E984" s="70"/>
      <c r="F984" s="70"/>
      <c r="G984" s="70"/>
      <c r="H984" s="70"/>
      <c r="I984" s="70"/>
      <c r="J984" s="70"/>
    </row>
    <row r="985" spans="1:10" ht="16" x14ac:dyDescent="0.2">
      <c r="A985" s="70"/>
      <c r="B985" s="70"/>
      <c r="C985" s="70"/>
      <c r="D985" s="70"/>
      <c r="E985" s="70"/>
      <c r="F985" s="70"/>
      <c r="G985" s="70"/>
      <c r="H985" s="70"/>
      <c r="I985" s="70"/>
      <c r="J985" s="70"/>
    </row>
    <row r="986" spans="1:10" ht="16" x14ac:dyDescent="0.2">
      <c r="A986" s="70"/>
      <c r="B986" s="70"/>
      <c r="C986" s="70"/>
      <c r="D986" s="70"/>
      <c r="E986" s="70"/>
      <c r="F986" s="70"/>
      <c r="G986" s="70"/>
      <c r="H986" s="70"/>
      <c r="I986" s="70"/>
      <c r="J986" s="70"/>
    </row>
    <row r="987" spans="1:10" ht="16" x14ac:dyDescent="0.2">
      <c r="A987" s="70"/>
      <c r="B987" s="70"/>
      <c r="C987" s="70"/>
      <c r="D987" s="70"/>
      <c r="E987" s="70"/>
      <c r="F987" s="70"/>
      <c r="G987" s="70"/>
      <c r="H987" s="70"/>
      <c r="I987" s="70"/>
      <c r="J987" s="70"/>
    </row>
    <row r="988" spans="1:10" ht="16" x14ac:dyDescent="0.2">
      <c r="A988" s="70"/>
      <c r="B988" s="70"/>
      <c r="C988" s="70"/>
      <c r="D988" s="70"/>
      <c r="E988" s="70"/>
      <c r="F988" s="70"/>
      <c r="G988" s="70"/>
      <c r="H988" s="70"/>
      <c r="I988" s="70"/>
      <c r="J988" s="70"/>
    </row>
    <row r="989" spans="1:10" ht="16" x14ac:dyDescent="0.2">
      <c r="A989" s="70"/>
      <c r="B989" s="70"/>
      <c r="C989" s="70"/>
      <c r="D989" s="70"/>
      <c r="E989" s="70"/>
      <c r="F989" s="70"/>
      <c r="G989" s="70"/>
      <c r="H989" s="70"/>
      <c r="I989" s="70"/>
      <c r="J989" s="70"/>
    </row>
    <row r="990" spans="1:10" ht="16" x14ac:dyDescent="0.2">
      <c r="A990" s="70"/>
      <c r="B990" s="70"/>
      <c r="C990" s="70"/>
      <c r="D990" s="70"/>
      <c r="E990" s="70"/>
      <c r="F990" s="70"/>
      <c r="G990" s="70"/>
      <c r="H990" s="70"/>
      <c r="I990" s="70"/>
      <c r="J990" s="70"/>
    </row>
    <row r="991" spans="1:10" ht="16" x14ac:dyDescent="0.2">
      <c r="A991" s="70"/>
      <c r="B991" s="70"/>
      <c r="C991" s="70"/>
      <c r="D991" s="70"/>
      <c r="E991" s="70"/>
      <c r="F991" s="70"/>
      <c r="G991" s="70"/>
      <c r="H991" s="70"/>
      <c r="I991" s="70"/>
      <c r="J991" s="70"/>
    </row>
    <row r="992" spans="1:10" ht="16" x14ac:dyDescent="0.2">
      <c r="A992" s="70"/>
      <c r="B992" s="70"/>
      <c r="C992" s="70"/>
      <c r="D992" s="70"/>
      <c r="E992" s="70"/>
      <c r="F992" s="70"/>
      <c r="G992" s="70"/>
      <c r="H992" s="70"/>
      <c r="I992" s="70"/>
      <c r="J992" s="70"/>
    </row>
    <row r="993" spans="1:10" ht="16" x14ac:dyDescent="0.2">
      <c r="A993" s="70"/>
      <c r="B993" s="70"/>
      <c r="C993" s="70"/>
      <c r="D993" s="70"/>
      <c r="E993" s="70"/>
      <c r="F993" s="70"/>
      <c r="G993" s="70"/>
      <c r="H993" s="70"/>
      <c r="I993" s="70"/>
      <c r="J993" s="70"/>
    </row>
    <row r="994" spans="1:10" ht="16" x14ac:dyDescent="0.2">
      <c r="A994" s="70"/>
      <c r="B994" s="70"/>
      <c r="C994" s="70"/>
      <c r="D994" s="70"/>
      <c r="E994" s="70"/>
      <c r="F994" s="70"/>
      <c r="G994" s="70"/>
      <c r="H994" s="70"/>
      <c r="I994" s="70"/>
      <c r="J994" s="70"/>
    </row>
    <row r="995" spans="1:10" ht="16" x14ac:dyDescent="0.2">
      <c r="A995" s="70"/>
      <c r="B995" s="70"/>
      <c r="C995" s="70"/>
      <c r="D995" s="70"/>
      <c r="E995" s="70"/>
      <c r="F995" s="70"/>
      <c r="G995" s="70"/>
      <c r="H995" s="70"/>
      <c r="I995" s="70"/>
      <c r="J995" s="70"/>
    </row>
    <row r="996" spans="1:10" ht="16" x14ac:dyDescent="0.2">
      <c r="A996" s="70"/>
      <c r="B996" s="70"/>
      <c r="C996" s="70"/>
      <c r="D996" s="70"/>
      <c r="E996" s="70"/>
      <c r="F996" s="70"/>
      <c r="G996" s="70"/>
      <c r="H996" s="70"/>
      <c r="I996" s="70"/>
      <c r="J996" s="70"/>
    </row>
    <row r="997" spans="1:10" ht="16" x14ac:dyDescent="0.2">
      <c r="A997" s="70"/>
      <c r="B997" s="70"/>
      <c r="C997" s="70"/>
      <c r="D997" s="70"/>
      <c r="E997" s="70"/>
      <c r="F997" s="70"/>
      <c r="G997" s="70"/>
      <c r="H997" s="70"/>
      <c r="I997" s="70"/>
      <c r="J997" s="70"/>
    </row>
    <row r="998" spans="1:10" ht="16" x14ac:dyDescent="0.2">
      <c r="A998" s="70"/>
      <c r="B998" s="70"/>
      <c r="C998" s="70"/>
      <c r="D998" s="70"/>
      <c r="E998" s="70"/>
      <c r="F998" s="70"/>
      <c r="G998" s="70"/>
      <c r="H998" s="70"/>
      <c r="I998" s="70"/>
      <c r="J998" s="70"/>
    </row>
    <row r="999" spans="1:10" ht="16" x14ac:dyDescent="0.2">
      <c r="A999" s="70"/>
      <c r="B999" s="70"/>
      <c r="C999" s="70"/>
      <c r="D999" s="70"/>
      <c r="E999" s="70"/>
      <c r="F999" s="70"/>
      <c r="G999" s="70"/>
      <c r="H999" s="70"/>
      <c r="I999" s="70"/>
      <c r="J999" s="70"/>
    </row>
    <row r="1000" spans="1:10" ht="16" x14ac:dyDescent="0.2">
      <c r="A1000" s="70"/>
      <c r="B1000" s="70"/>
      <c r="C1000" s="70"/>
      <c r="D1000" s="70"/>
      <c r="E1000" s="70"/>
      <c r="F1000" s="70"/>
      <c r="G1000" s="70"/>
      <c r="H1000" s="70"/>
      <c r="I1000" s="70"/>
      <c r="J1000" s="70"/>
    </row>
    <row r="1001" spans="1:10" ht="16" x14ac:dyDescent="0.2">
      <c r="A1001" s="70"/>
      <c r="B1001" s="70"/>
      <c r="C1001" s="70"/>
      <c r="D1001" s="70"/>
      <c r="E1001" s="70"/>
      <c r="F1001" s="70"/>
      <c r="G1001" s="70"/>
      <c r="H1001" s="70"/>
      <c r="I1001" s="70"/>
      <c r="J1001" s="70"/>
    </row>
    <row r="1002" spans="1:10" ht="16" x14ac:dyDescent="0.2">
      <c r="A1002" s="70"/>
      <c r="B1002" s="70"/>
      <c r="C1002" s="70"/>
      <c r="D1002" s="70"/>
      <c r="E1002" s="70"/>
      <c r="F1002" s="70"/>
      <c r="G1002" s="70"/>
      <c r="H1002" s="70"/>
      <c r="I1002" s="70"/>
      <c r="J1002" s="70"/>
    </row>
    <row r="1003" spans="1:10" ht="16" x14ac:dyDescent="0.2">
      <c r="A1003" s="70"/>
      <c r="B1003" s="70"/>
      <c r="C1003" s="70"/>
      <c r="D1003" s="70"/>
      <c r="E1003" s="70"/>
      <c r="F1003" s="70"/>
      <c r="G1003" s="70"/>
      <c r="H1003" s="70"/>
      <c r="I1003" s="70"/>
      <c r="J1003" s="70"/>
    </row>
    <row r="1004" spans="1:10" ht="16" x14ac:dyDescent="0.2">
      <c r="A1004" s="70"/>
      <c r="B1004" s="70"/>
      <c r="C1004" s="70"/>
      <c r="D1004" s="70"/>
      <c r="E1004" s="70"/>
      <c r="F1004" s="70"/>
      <c r="G1004" s="70"/>
      <c r="H1004" s="70"/>
      <c r="I1004" s="70"/>
      <c r="J1004" s="70"/>
    </row>
    <row r="1005" spans="1:10" ht="16" x14ac:dyDescent="0.2">
      <c r="A1005" s="70"/>
      <c r="B1005" s="70"/>
      <c r="C1005" s="70"/>
      <c r="D1005" s="70"/>
      <c r="E1005" s="70"/>
      <c r="F1005" s="70"/>
      <c r="G1005" s="70"/>
      <c r="H1005" s="70"/>
      <c r="I1005" s="70"/>
      <c r="J1005" s="70"/>
    </row>
    <row r="1006" spans="1:10" ht="16" x14ac:dyDescent="0.2">
      <c r="A1006" s="70"/>
      <c r="B1006" s="70"/>
      <c r="C1006" s="70"/>
      <c r="D1006" s="70"/>
      <c r="E1006" s="70"/>
      <c r="F1006" s="70"/>
      <c r="G1006" s="70"/>
      <c r="H1006" s="70"/>
      <c r="I1006" s="70"/>
      <c r="J1006" s="70"/>
    </row>
    <row r="1007" spans="1:10" ht="16" x14ac:dyDescent="0.2">
      <c r="A1007" s="70"/>
      <c r="B1007" s="70"/>
      <c r="C1007" s="70"/>
      <c r="D1007" s="70"/>
      <c r="E1007" s="70"/>
      <c r="F1007" s="70"/>
      <c r="G1007" s="70"/>
      <c r="H1007" s="70"/>
      <c r="I1007" s="70"/>
      <c r="J1007" s="70"/>
    </row>
    <row r="1008" spans="1:10" ht="16" x14ac:dyDescent="0.2">
      <c r="A1008" s="70"/>
      <c r="B1008" s="70"/>
      <c r="C1008" s="70"/>
      <c r="D1008" s="70"/>
      <c r="E1008" s="70"/>
      <c r="F1008" s="70"/>
      <c r="G1008" s="70"/>
      <c r="H1008" s="70"/>
      <c r="I1008" s="70"/>
      <c r="J1008" s="70"/>
    </row>
    <row r="1009" spans="1:10" ht="16" x14ac:dyDescent="0.2">
      <c r="A1009" s="70"/>
      <c r="B1009" s="70"/>
      <c r="C1009" s="70"/>
      <c r="D1009" s="70"/>
      <c r="E1009" s="70"/>
      <c r="F1009" s="70"/>
      <c r="G1009" s="70"/>
      <c r="H1009" s="70"/>
      <c r="I1009" s="70"/>
      <c r="J1009" s="70"/>
    </row>
    <row r="1010" spans="1:10" ht="16" x14ac:dyDescent="0.2">
      <c r="A1010" s="70"/>
      <c r="B1010" s="70"/>
      <c r="C1010" s="70"/>
      <c r="D1010" s="70"/>
      <c r="E1010" s="70"/>
      <c r="F1010" s="70"/>
      <c r="G1010" s="70"/>
      <c r="H1010" s="70"/>
      <c r="I1010" s="70"/>
      <c r="J1010" s="70"/>
    </row>
    <row r="1011" spans="1:10" ht="16" x14ac:dyDescent="0.2">
      <c r="A1011" s="70"/>
      <c r="B1011" s="70"/>
      <c r="C1011" s="70"/>
      <c r="D1011" s="70"/>
      <c r="E1011" s="70"/>
      <c r="F1011" s="70"/>
      <c r="G1011" s="70"/>
      <c r="H1011" s="70"/>
      <c r="I1011" s="70"/>
      <c r="J1011" s="70"/>
    </row>
    <row r="1012" spans="1:10" ht="16" x14ac:dyDescent="0.2">
      <c r="A1012" s="70"/>
      <c r="B1012" s="70"/>
      <c r="C1012" s="70"/>
      <c r="D1012" s="70"/>
      <c r="E1012" s="70"/>
      <c r="F1012" s="70"/>
      <c r="G1012" s="70"/>
      <c r="H1012" s="70"/>
      <c r="I1012" s="70"/>
      <c r="J1012" s="70"/>
    </row>
    <row r="1013" spans="1:10" ht="16" x14ac:dyDescent="0.2">
      <c r="A1013" s="70"/>
      <c r="B1013" s="70"/>
      <c r="C1013" s="70"/>
      <c r="D1013" s="70"/>
      <c r="E1013" s="70"/>
      <c r="F1013" s="70"/>
      <c r="G1013" s="70"/>
      <c r="H1013" s="70"/>
      <c r="I1013" s="70"/>
      <c r="J1013" s="70"/>
    </row>
    <row r="1014" spans="1:10" ht="16" x14ac:dyDescent="0.2">
      <c r="A1014" s="70"/>
      <c r="B1014" s="70"/>
      <c r="C1014" s="70"/>
      <c r="D1014" s="70"/>
      <c r="E1014" s="70"/>
      <c r="F1014" s="70"/>
      <c r="G1014" s="70"/>
      <c r="H1014" s="70"/>
      <c r="I1014" s="70"/>
      <c r="J1014" s="70"/>
    </row>
    <row r="1015" spans="1:10" ht="16" x14ac:dyDescent="0.2">
      <c r="A1015" s="70"/>
      <c r="B1015" s="70"/>
      <c r="C1015" s="70"/>
      <c r="D1015" s="70"/>
      <c r="E1015" s="70"/>
      <c r="F1015" s="70"/>
      <c r="G1015" s="70"/>
      <c r="H1015" s="70"/>
      <c r="I1015" s="70"/>
      <c r="J1015" s="70"/>
    </row>
    <row r="1016" spans="1:10" ht="16" x14ac:dyDescent="0.2">
      <c r="A1016" s="70"/>
      <c r="B1016" s="70"/>
      <c r="C1016" s="70"/>
      <c r="D1016" s="70"/>
      <c r="E1016" s="70"/>
      <c r="F1016" s="70"/>
      <c r="G1016" s="70"/>
      <c r="H1016" s="70"/>
      <c r="I1016" s="70"/>
      <c r="J1016" s="70"/>
    </row>
    <row r="1017" spans="1:10" ht="16" x14ac:dyDescent="0.2">
      <c r="A1017" s="70"/>
      <c r="B1017" s="70"/>
      <c r="C1017" s="70"/>
      <c r="D1017" s="70"/>
      <c r="E1017" s="70"/>
      <c r="F1017" s="70"/>
      <c r="G1017" s="70"/>
      <c r="H1017" s="70"/>
      <c r="I1017" s="70"/>
      <c r="J1017" s="70"/>
    </row>
    <row r="1018" spans="1:10" ht="16" x14ac:dyDescent="0.2">
      <c r="A1018" s="70"/>
      <c r="B1018" s="70"/>
      <c r="C1018" s="70"/>
      <c r="D1018" s="70"/>
      <c r="E1018" s="70"/>
      <c r="F1018" s="70"/>
      <c r="G1018" s="70"/>
      <c r="H1018" s="70"/>
      <c r="I1018" s="70"/>
      <c r="J1018" s="70"/>
    </row>
    <row r="1019" spans="1:10" ht="16" x14ac:dyDescent="0.2">
      <c r="A1019" s="70"/>
      <c r="B1019" s="70"/>
      <c r="C1019" s="70"/>
      <c r="D1019" s="70"/>
      <c r="E1019" s="70"/>
      <c r="F1019" s="70"/>
      <c r="G1019" s="70"/>
      <c r="H1019" s="70"/>
      <c r="I1019" s="70"/>
      <c r="J1019" s="70"/>
    </row>
    <row r="1020" spans="1:10" ht="16" x14ac:dyDescent="0.2">
      <c r="A1020" s="70"/>
      <c r="B1020" s="70"/>
      <c r="C1020" s="70"/>
      <c r="D1020" s="70"/>
      <c r="E1020" s="70"/>
      <c r="F1020" s="70"/>
      <c r="G1020" s="70"/>
      <c r="H1020" s="70"/>
      <c r="I1020" s="70"/>
      <c r="J1020" s="70"/>
    </row>
    <row r="1021" spans="1:10" ht="16" x14ac:dyDescent="0.2">
      <c r="A1021" s="70"/>
      <c r="B1021" s="70"/>
      <c r="C1021" s="70"/>
      <c r="D1021" s="70"/>
      <c r="E1021" s="70"/>
      <c r="F1021" s="70"/>
      <c r="G1021" s="70"/>
      <c r="H1021" s="70"/>
      <c r="I1021" s="70"/>
      <c r="J1021" s="70"/>
    </row>
    <row r="1022" spans="1:10" ht="16" x14ac:dyDescent="0.2">
      <c r="A1022" s="70"/>
      <c r="B1022" s="70"/>
      <c r="C1022" s="70"/>
      <c r="D1022" s="70"/>
      <c r="E1022" s="70"/>
      <c r="F1022" s="70"/>
      <c r="G1022" s="70"/>
      <c r="H1022" s="70"/>
      <c r="I1022" s="70"/>
      <c r="J1022" s="70"/>
    </row>
    <row r="1023" spans="1:10" ht="16" x14ac:dyDescent="0.2">
      <c r="A1023" s="70"/>
      <c r="B1023" s="70"/>
      <c r="C1023" s="70"/>
      <c r="D1023" s="70"/>
      <c r="E1023" s="70"/>
      <c r="F1023" s="70"/>
      <c r="G1023" s="70"/>
      <c r="H1023" s="70"/>
      <c r="I1023" s="70"/>
      <c r="J1023" s="70"/>
    </row>
    <row r="1024" spans="1:10" ht="16" x14ac:dyDescent="0.2">
      <c r="A1024" s="70"/>
      <c r="B1024" s="70"/>
      <c r="C1024" s="70"/>
      <c r="D1024" s="70"/>
      <c r="E1024" s="70"/>
      <c r="F1024" s="70"/>
      <c r="G1024" s="70"/>
      <c r="H1024" s="70"/>
      <c r="I1024" s="70"/>
      <c r="J1024" s="70"/>
    </row>
    <row r="1025" spans="1:10" ht="16" x14ac:dyDescent="0.2">
      <c r="A1025" s="70"/>
      <c r="B1025" s="70"/>
      <c r="C1025" s="70"/>
      <c r="D1025" s="70"/>
      <c r="E1025" s="70"/>
      <c r="F1025" s="70"/>
      <c r="G1025" s="70"/>
      <c r="H1025" s="70"/>
      <c r="I1025" s="70"/>
      <c r="J1025" s="70"/>
    </row>
    <row r="1026" spans="1:10" ht="16" x14ac:dyDescent="0.2">
      <c r="A1026" s="70"/>
      <c r="B1026" s="70"/>
      <c r="C1026" s="70"/>
      <c r="D1026" s="70"/>
      <c r="E1026" s="70"/>
      <c r="F1026" s="70"/>
      <c r="G1026" s="70"/>
      <c r="H1026" s="70"/>
      <c r="I1026" s="70"/>
      <c r="J1026" s="70"/>
    </row>
    <row r="1027" spans="1:10" ht="16" x14ac:dyDescent="0.2">
      <c r="A1027" s="70"/>
      <c r="B1027" s="70"/>
      <c r="C1027" s="70"/>
      <c r="D1027" s="70"/>
      <c r="E1027" s="70"/>
      <c r="F1027" s="70"/>
      <c r="G1027" s="70"/>
      <c r="H1027" s="70"/>
      <c r="I1027" s="70"/>
      <c r="J1027" s="70"/>
    </row>
    <row r="1028" spans="1:10" ht="16" x14ac:dyDescent="0.2">
      <c r="A1028" s="70"/>
      <c r="B1028" s="70"/>
      <c r="C1028" s="70"/>
      <c r="D1028" s="70"/>
      <c r="E1028" s="70"/>
      <c r="F1028" s="70"/>
      <c r="G1028" s="70"/>
      <c r="H1028" s="70"/>
      <c r="I1028" s="70"/>
      <c r="J1028" s="70"/>
    </row>
    <row r="1029" spans="1:10" ht="16" x14ac:dyDescent="0.2">
      <c r="A1029" s="70"/>
      <c r="B1029" s="70"/>
      <c r="C1029" s="70"/>
      <c r="D1029" s="70"/>
      <c r="E1029" s="70"/>
      <c r="F1029" s="70"/>
      <c r="G1029" s="70"/>
      <c r="H1029" s="70"/>
      <c r="I1029" s="70"/>
      <c r="J1029" s="70"/>
    </row>
    <row r="1030" spans="1:10" ht="16" x14ac:dyDescent="0.2">
      <c r="A1030" s="70"/>
      <c r="B1030" s="70"/>
      <c r="C1030" s="70"/>
      <c r="D1030" s="70"/>
      <c r="E1030" s="70"/>
      <c r="F1030" s="70"/>
      <c r="G1030" s="70"/>
      <c r="H1030" s="70"/>
      <c r="I1030" s="70"/>
      <c r="J1030" s="70"/>
    </row>
    <row r="1031" spans="1:10" ht="16" x14ac:dyDescent="0.2">
      <c r="A1031" s="70"/>
      <c r="B1031" s="70"/>
      <c r="C1031" s="70"/>
      <c r="D1031" s="70"/>
      <c r="E1031" s="70"/>
      <c r="F1031" s="70"/>
      <c r="G1031" s="70"/>
      <c r="H1031" s="70"/>
      <c r="I1031" s="70"/>
      <c r="J1031" s="70"/>
    </row>
    <row r="1032" spans="1:10" ht="16" x14ac:dyDescent="0.2">
      <c r="A1032" s="70"/>
      <c r="B1032" s="70"/>
      <c r="C1032" s="70"/>
      <c r="D1032" s="70"/>
      <c r="E1032" s="70"/>
      <c r="F1032" s="70"/>
      <c r="G1032" s="70"/>
      <c r="H1032" s="70"/>
      <c r="I1032" s="70"/>
      <c r="J1032" s="70"/>
    </row>
    <row r="1033" spans="1:10" ht="16" x14ac:dyDescent="0.2">
      <c r="A1033" s="70"/>
      <c r="B1033" s="70"/>
      <c r="C1033" s="70"/>
      <c r="D1033" s="70"/>
      <c r="E1033" s="70"/>
      <c r="F1033" s="70"/>
      <c r="G1033" s="70"/>
      <c r="H1033" s="70"/>
      <c r="I1033" s="70"/>
      <c r="J1033" s="70"/>
    </row>
    <row r="1034" spans="1:10" ht="16" x14ac:dyDescent="0.2">
      <c r="A1034" s="70"/>
      <c r="B1034" s="70"/>
      <c r="C1034" s="70"/>
      <c r="D1034" s="70"/>
      <c r="E1034" s="70"/>
      <c r="F1034" s="70"/>
      <c r="G1034" s="70"/>
      <c r="H1034" s="70"/>
      <c r="I1034" s="70"/>
      <c r="J1034" s="70"/>
    </row>
    <row r="1035" spans="1:10" ht="16" x14ac:dyDescent="0.2">
      <c r="A1035" s="70"/>
      <c r="B1035" s="70"/>
      <c r="C1035" s="70"/>
      <c r="D1035" s="70"/>
      <c r="E1035" s="70"/>
      <c r="F1035" s="70"/>
      <c r="G1035" s="70"/>
      <c r="H1035" s="70"/>
      <c r="I1035" s="70"/>
      <c r="J1035" s="70"/>
    </row>
    <row r="1036" spans="1:10" ht="16" x14ac:dyDescent="0.2">
      <c r="A1036" s="70"/>
      <c r="B1036" s="70"/>
      <c r="C1036" s="70"/>
      <c r="D1036" s="70"/>
      <c r="E1036" s="70"/>
      <c r="F1036" s="70"/>
      <c r="G1036" s="70"/>
      <c r="H1036" s="70"/>
      <c r="I1036" s="70"/>
      <c r="J1036" s="70"/>
    </row>
    <row r="1037" spans="1:10" ht="16" x14ac:dyDescent="0.2">
      <c r="A1037" s="70"/>
      <c r="B1037" s="70"/>
      <c r="C1037" s="70"/>
      <c r="D1037" s="70"/>
      <c r="E1037" s="70"/>
      <c r="F1037" s="70"/>
      <c r="G1037" s="70"/>
      <c r="H1037" s="70"/>
      <c r="I1037" s="70"/>
      <c r="J1037" s="70"/>
    </row>
    <row r="1038" spans="1:10" ht="16" x14ac:dyDescent="0.2">
      <c r="A1038" s="70"/>
      <c r="B1038" s="70"/>
      <c r="C1038" s="70"/>
      <c r="D1038" s="70"/>
      <c r="E1038" s="70"/>
      <c r="F1038" s="70"/>
      <c r="G1038" s="70"/>
      <c r="H1038" s="70"/>
      <c r="I1038" s="70"/>
      <c r="J1038" s="70"/>
    </row>
    <row r="1039" spans="1:10" ht="16" x14ac:dyDescent="0.2">
      <c r="A1039" s="70"/>
      <c r="B1039" s="70"/>
      <c r="C1039" s="70"/>
      <c r="D1039" s="70"/>
      <c r="E1039" s="70"/>
      <c r="F1039" s="70"/>
      <c r="G1039" s="70"/>
      <c r="H1039" s="70"/>
      <c r="I1039" s="70"/>
      <c r="J1039" s="70"/>
    </row>
    <row r="1040" spans="1:10" ht="16" x14ac:dyDescent="0.2">
      <c r="A1040" s="70"/>
      <c r="B1040" s="70"/>
      <c r="C1040" s="70"/>
      <c r="D1040" s="70"/>
      <c r="E1040" s="70"/>
      <c r="F1040" s="70"/>
      <c r="G1040" s="70"/>
      <c r="H1040" s="70"/>
      <c r="I1040" s="70"/>
      <c r="J1040" s="70"/>
    </row>
    <row r="1041" spans="1:10" ht="16" x14ac:dyDescent="0.2">
      <c r="A1041" s="70"/>
      <c r="B1041" s="70"/>
      <c r="C1041" s="70"/>
      <c r="D1041" s="70"/>
      <c r="E1041" s="70"/>
      <c r="F1041" s="70"/>
      <c r="G1041" s="70"/>
      <c r="H1041" s="70"/>
      <c r="I1041" s="70"/>
      <c r="J1041" s="70"/>
    </row>
    <row r="1042" spans="1:10" ht="16" x14ac:dyDescent="0.2">
      <c r="A1042" s="70"/>
      <c r="B1042" s="70"/>
      <c r="C1042" s="70"/>
      <c r="D1042" s="70"/>
      <c r="E1042" s="70"/>
      <c r="F1042" s="70"/>
      <c r="G1042" s="70"/>
      <c r="H1042" s="70"/>
      <c r="I1042" s="70"/>
      <c r="J1042" s="70"/>
    </row>
    <row r="1043" spans="1:10" ht="16" x14ac:dyDescent="0.2">
      <c r="A1043" s="70"/>
      <c r="B1043" s="70"/>
      <c r="C1043" s="70"/>
      <c r="D1043" s="70"/>
      <c r="E1043" s="70"/>
      <c r="F1043" s="70"/>
      <c r="G1043" s="70"/>
      <c r="H1043" s="70"/>
      <c r="I1043" s="70"/>
      <c r="J1043" s="70"/>
    </row>
    <row r="1044" spans="1:10" ht="16" x14ac:dyDescent="0.2">
      <c r="A1044" s="70"/>
      <c r="B1044" s="70"/>
      <c r="C1044" s="70"/>
      <c r="D1044" s="70"/>
      <c r="E1044" s="70"/>
      <c r="F1044" s="70"/>
      <c r="G1044" s="70"/>
      <c r="H1044" s="70"/>
      <c r="I1044" s="70"/>
      <c r="J1044" s="70"/>
    </row>
    <row r="1045" spans="1:10" ht="16" x14ac:dyDescent="0.2">
      <c r="A1045" s="70"/>
      <c r="B1045" s="70"/>
      <c r="C1045" s="70"/>
      <c r="D1045" s="70"/>
      <c r="E1045" s="70"/>
      <c r="F1045" s="70"/>
      <c r="G1045" s="70"/>
      <c r="H1045" s="70"/>
      <c r="I1045" s="70"/>
      <c r="J1045" s="70"/>
    </row>
    <row r="1046" spans="1:10" ht="16" x14ac:dyDescent="0.2">
      <c r="A1046" s="70"/>
      <c r="B1046" s="70"/>
      <c r="C1046" s="70"/>
      <c r="D1046" s="70"/>
      <c r="E1046" s="70"/>
      <c r="F1046" s="70"/>
      <c r="G1046" s="70"/>
      <c r="H1046" s="70"/>
      <c r="I1046" s="70"/>
      <c r="J1046" s="70"/>
    </row>
    <row r="1047" spans="1:10" ht="16" x14ac:dyDescent="0.2">
      <c r="A1047" s="70"/>
      <c r="B1047" s="70"/>
      <c r="C1047" s="70"/>
      <c r="D1047" s="70"/>
      <c r="E1047" s="70"/>
      <c r="F1047" s="70"/>
      <c r="G1047" s="70"/>
      <c r="H1047" s="70"/>
      <c r="I1047" s="70"/>
      <c r="J1047" s="70"/>
    </row>
    <row r="1048" spans="1:10" ht="16" x14ac:dyDescent="0.2">
      <c r="A1048" s="70"/>
      <c r="B1048" s="70"/>
      <c r="C1048" s="70"/>
      <c r="D1048" s="70"/>
      <c r="E1048" s="70"/>
      <c r="F1048" s="70"/>
      <c r="G1048" s="70"/>
      <c r="H1048" s="70"/>
      <c r="I1048" s="70"/>
      <c r="J1048" s="70"/>
    </row>
    <row r="1049" spans="1:10" ht="16" x14ac:dyDescent="0.2">
      <c r="A1049" s="70"/>
      <c r="B1049" s="70"/>
      <c r="C1049" s="70"/>
      <c r="D1049" s="70"/>
      <c r="E1049" s="70"/>
      <c r="F1049" s="70"/>
      <c r="G1049" s="70"/>
      <c r="H1049" s="70"/>
      <c r="I1049" s="70"/>
      <c r="J1049" s="70"/>
    </row>
    <row r="1050" spans="1:10" ht="16" x14ac:dyDescent="0.2">
      <c r="A1050" s="70"/>
      <c r="B1050" s="70"/>
      <c r="C1050" s="70"/>
      <c r="D1050" s="70"/>
      <c r="E1050" s="70"/>
      <c r="F1050" s="70"/>
      <c r="G1050" s="70"/>
      <c r="H1050" s="70"/>
      <c r="I1050" s="70"/>
      <c r="J1050" s="70"/>
    </row>
    <row r="1051" spans="1:10" ht="16" x14ac:dyDescent="0.2">
      <c r="A1051" s="70"/>
      <c r="B1051" s="70"/>
      <c r="C1051" s="70"/>
      <c r="D1051" s="70"/>
      <c r="E1051" s="70"/>
      <c r="F1051" s="70"/>
      <c r="G1051" s="70"/>
      <c r="H1051" s="70"/>
      <c r="I1051" s="70"/>
      <c r="J1051" s="70"/>
    </row>
    <row r="1052" spans="1:10" ht="16" x14ac:dyDescent="0.2">
      <c r="A1052" s="70"/>
      <c r="B1052" s="70"/>
      <c r="C1052" s="70"/>
      <c r="D1052" s="70"/>
      <c r="E1052" s="70"/>
      <c r="F1052" s="70"/>
      <c r="G1052" s="70"/>
      <c r="H1052" s="70"/>
      <c r="I1052" s="70"/>
      <c r="J1052" s="70"/>
    </row>
    <row r="1053" spans="1:10" ht="16" x14ac:dyDescent="0.2">
      <c r="A1053" s="70"/>
      <c r="B1053" s="70"/>
      <c r="C1053" s="70"/>
      <c r="D1053" s="70"/>
      <c r="E1053" s="70"/>
      <c r="F1053" s="70"/>
      <c r="G1053" s="70"/>
      <c r="H1053" s="70"/>
      <c r="I1053" s="70"/>
      <c r="J1053" s="70"/>
    </row>
    <row r="1054" spans="1:10" ht="16" x14ac:dyDescent="0.2">
      <c r="A1054" s="70"/>
      <c r="B1054" s="70"/>
      <c r="C1054" s="70"/>
      <c r="D1054" s="70"/>
      <c r="E1054" s="70"/>
      <c r="F1054" s="70"/>
      <c r="G1054" s="70"/>
      <c r="H1054" s="70"/>
      <c r="I1054" s="70"/>
      <c r="J1054" s="70"/>
    </row>
    <row r="1055" spans="1:10" ht="16" x14ac:dyDescent="0.2">
      <c r="A1055" s="70"/>
      <c r="B1055" s="70"/>
      <c r="C1055" s="70"/>
      <c r="D1055" s="70"/>
      <c r="E1055" s="70"/>
      <c r="F1055" s="70"/>
      <c r="G1055" s="70"/>
      <c r="H1055" s="70"/>
      <c r="I1055" s="70"/>
      <c r="J1055" s="70"/>
    </row>
    <row r="1056" spans="1:10" ht="16" x14ac:dyDescent="0.2">
      <c r="A1056" s="70"/>
      <c r="B1056" s="70"/>
      <c r="C1056" s="70"/>
      <c r="D1056" s="70"/>
      <c r="E1056" s="70"/>
      <c r="F1056" s="70"/>
      <c r="G1056" s="70"/>
      <c r="H1056" s="70"/>
      <c r="I1056" s="70"/>
      <c r="J1056" s="70"/>
    </row>
    <row r="1057" spans="1:10" ht="16" x14ac:dyDescent="0.2">
      <c r="A1057" s="70"/>
      <c r="B1057" s="70"/>
      <c r="C1057" s="70"/>
      <c r="D1057" s="70"/>
      <c r="E1057" s="70"/>
      <c r="F1057" s="70"/>
      <c r="G1057" s="70"/>
      <c r="H1057" s="70"/>
      <c r="I1057" s="70"/>
      <c r="J1057" s="70"/>
    </row>
    <row r="1058" spans="1:10" ht="16" x14ac:dyDescent="0.2">
      <c r="A1058" s="70"/>
      <c r="B1058" s="70"/>
      <c r="C1058" s="70"/>
      <c r="D1058" s="70"/>
      <c r="E1058" s="70"/>
      <c r="F1058" s="70"/>
      <c r="G1058" s="70"/>
      <c r="H1058" s="70"/>
      <c r="I1058" s="70"/>
      <c r="J1058" s="70"/>
    </row>
    <row r="1059" spans="1:10" ht="16" x14ac:dyDescent="0.2">
      <c r="A1059" s="70"/>
      <c r="B1059" s="70"/>
      <c r="C1059" s="70"/>
      <c r="D1059" s="70"/>
      <c r="E1059" s="70"/>
      <c r="F1059" s="70"/>
      <c r="G1059" s="70"/>
      <c r="H1059" s="70"/>
      <c r="I1059" s="70"/>
      <c r="J1059" s="70"/>
    </row>
    <row r="1060" spans="1:10" ht="16" x14ac:dyDescent="0.2">
      <c r="A1060" s="70"/>
      <c r="B1060" s="70"/>
      <c r="C1060" s="70"/>
      <c r="D1060" s="70"/>
      <c r="E1060" s="70"/>
      <c r="F1060" s="70"/>
      <c r="G1060" s="70"/>
      <c r="H1060" s="70"/>
      <c r="I1060" s="70"/>
      <c r="J1060" s="70"/>
    </row>
    <row r="1061" spans="1:10" ht="16" x14ac:dyDescent="0.2">
      <c r="A1061" s="70"/>
      <c r="B1061" s="70"/>
      <c r="C1061" s="70"/>
      <c r="D1061" s="70"/>
      <c r="E1061" s="70"/>
      <c r="F1061" s="70"/>
      <c r="G1061" s="70"/>
      <c r="H1061" s="70"/>
      <c r="I1061" s="70"/>
      <c r="J1061" s="70"/>
    </row>
    <row r="1062" spans="1:10" ht="16" x14ac:dyDescent="0.2">
      <c r="A1062" s="70"/>
      <c r="B1062" s="70"/>
      <c r="C1062" s="70"/>
      <c r="D1062" s="70"/>
      <c r="E1062" s="70"/>
      <c r="F1062" s="70"/>
      <c r="G1062" s="70"/>
      <c r="H1062" s="70"/>
      <c r="I1062" s="70"/>
      <c r="J1062" s="70"/>
    </row>
    <row r="1063" spans="1:10" ht="16" x14ac:dyDescent="0.2">
      <c r="A1063" s="70"/>
      <c r="B1063" s="70"/>
      <c r="C1063" s="70"/>
      <c r="D1063" s="70"/>
      <c r="E1063" s="70"/>
      <c r="F1063" s="70"/>
      <c r="G1063" s="70"/>
      <c r="H1063" s="70"/>
      <c r="I1063" s="70"/>
      <c r="J1063" s="70"/>
    </row>
    <row r="1064" spans="1:10" ht="16" x14ac:dyDescent="0.2">
      <c r="A1064" s="70"/>
      <c r="B1064" s="70"/>
      <c r="C1064" s="70"/>
      <c r="D1064" s="70"/>
      <c r="E1064" s="70"/>
      <c r="F1064" s="70"/>
      <c r="G1064" s="70"/>
      <c r="H1064" s="70"/>
      <c r="I1064" s="70"/>
      <c r="J1064" s="70"/>
    </row>
    <row r="1065" spans="1:10" ht="16" x14ac:dyDescent="0.2">
      <c r="A1065" s="70"/>
      <c r="B1065" s="70"/>
      <c r="C1065" s="70"/>
      <c r="D1065" s="70"/>
      <c r="E1065" s="70"/>
      <c r="F1065" s="70"/>
      <c r="G1065" s="70"/>
      <c r="H1065" s="70"/>
      <c r="I1065" s="70"/>
      <c r="J1065" s="70"/>
    </row>
    <row r="1066" spans="1:10" ht="16" x14ac:dyDescent="0.2">
      <c r="A1066" s="70"/>
      <c r="B1066" s="70"/>
      <c r="C1066" s="70"/>
      <c r="D1066" s="70"/>
      <c r="E1066" s="70"/>
      <c r="F1066" s="70"/>
      <c r="G1066" s="70"/>
      <c r="H1066" s="70"/>
      <c r="I1066" s="70"/>
      <c r="J1066" s="70"/>
    </row>
    <row r="1067" spans="1:10" ht="16" x14ac:dyDescent="0.2">
      <c r="A1067" s="70"/>
      <c r="B1067" s="70"/>
      <c r="C1067" s="70"/>
      <c r="D1067" s="70"/>
      <c r="E1067" s="70"/>
      <c r="F1067" s="70"/>
      <c r="G1067" s="70"/>
      <c r="H1067" s="70"/>
      <c r="I1067" s="70"/>
      <c r="J1067" s="70"/>
    </row>
    <row r="1068" spans="1:10" ht="16" x14ac:dyDescent="0.2">
      <c r="A1068" s="70"/>
      <c r="B1068" s="70"/>
      <c r="C1068" s="70"/>
      <c r="D1068" s="70"/>
      <c r="E1068" s="70"/>
      <c r="F1068" s="70"/>
      <c r="G1068" s="70"/>
      <c r="H1068" s="70"/>
      <c r="I1068" s="70"/>
      <c r="J1068" s="70"/>
    </row>
    <row r="1069" spans="1:10" ht="16" x14ac:dyDescent="0.2">
      <c r="A1069" s="70"/>
      <c r="B1069" s="70"/>
      <c r="C1069" s="70"/>
      <c r="D1069" s="70"/>
      <c r="E1069" s="70"/>
      <c r="F1069" s="70"/>
      <c r="G1069" s="70"/>
      <c r="H1069" s="70"/>
      <c r="I1069" s="70"/>
      <c r="J1069" s="70"/>
    </row>
    <row r="1070" spans="1:10" ht="16" x14ac:dyDescent="0.2">
      <c r="A1070" s="70"/>
      <c r="B1070" s="70"/>
      <c r="C1070" s="70"/>
      <c r="D1070" s="70"/>
      <c r="E1070" s="70"/>
      <c r="F1070" s="70"/>
      <c r="G1070" s="70"/>
      <c r="H1070" s="70"/>
      <c r="I1070" s="70"/>
      <c r="J1070" s="70"/>
    </row>
    <row r="1071" spans="1:10" ht="16" x14ac:dyDescent="0.2">
      <c r="A1071" s="70"/>
      <c r="B1071" s="70"/>
      <c r="C1071" s="70"/>
      <c r="D1071" s="70"/>
      <c r="E1071" s="70"/>
      <c r="F1071" s="70"/>
      <c r="G1071" s="70"/>
      <c r="H1071" s="70"/>
      <c r="I1071" s="70"/>
      <c r="J1071" s="70"/>
    </row>
    <row r="1072" spans="1:10" ht="16" x14ac:dyDescent="0.2">
      <c r="A1072" s="70"/>
      <c r="B1072" s="70"/>
      <c r="C1072" s="70"/>
      <c r="D1072" s="70"/>
      <c r="E1072" s="70"/>
      <c r="F1072" s="70"/>
      <c r="G1072" s="70"/>
      <c r="H1072" s="70"/>
      <c r="I1072" s="70"/>
      <c r="J1072" s="70"/>
    </row>
    <row r="1073" spans="1:10" ht="16" x14ac:dyDescent="0.2">
      <c r="A1073" s="70"/>
      <c r="B1073" s="70"/>
      <c r="C1073" s="70"/>
      <c r="D1073" s="70"/>
      <c r="E1073" s="70"/>
      <c r="F1073" s="70"/>
      <c r="G1073" s="70"/>
      <c r="H1073" s="70"/>
      <c r="I1073" s="70"/>
      <c r="J1073" s="70"/>
    </row>
    <row r="1074" spans="1:10" ht="16" x14ac:dyDescent="0.2">
      <c r="A1074" s="70"/>
      <c r="B1074" s="70"/>
      <c r="C1074" s="70"/>
      <c r="D1074" s="70"/>
      <c r="E1074" s="70"/>
      <c r="F1074" s="70"/>
      <c r="G1074" s="70"/>
      <c r="H1074" s="70"/>
      <c r="I1074" s="70"/>
      <c r="J1074" s="70"/>
    </row>
    <row r="1075" spans="1:10" ht="16" x14ac:dyDescent="0.2">
      <c r="A1075" s="70"/>
      <c r="B1075" s="70"/>
      <c r="C1075" s="70"/>
      <c r="D1075" s="70"/>
      <c r="E1075" s="70"/>
      <c r="F1075" s="70"/>
      <c r="G1075" s="70"/>
      <c r="H1075" s="70"/>
      <c r="I1075" s="70"/>
      <c r="J1075" s="70"/>
    </row>
    <row r="1076" spans="1:10" ht="16" x14ac:dyDescent="0.2">
      <c r="A1076" s="70"/>
      <c r="B1076" s="70"/>
      <c r="C1076" s="70"/>
      <c r="D1076" s="70"/>
      <c r="E1076" s="70"/>
      <c r="F1076" s="70"/>
      <c r="G1076" s="70"/>
      <c r="H1076" s="70"/>
      <c r="I1076" s="70"/>
      <c r="J1076" s="70"/>
    </row>
    <row r="1077" spans="1:10" ht="16" x14ac:dyDescent="0.2">
      <c r="A1077" s="70"/>
      <c r="B1077" s="70"/>
      <c r="C1077" s="70"/>
      <c r="D1077" s="70"/>
      <c r="E1077" s="70"/>
      <c r="F1077" s="70"/>
      <c r="G1077" s="70"/>
      <c r="H1077" s="70"/>
      <c r="I1077" s="70"/>
      <c r="J1077" s="70"/>
    </row>
    <row r="1078" spans="1:10" ht="16" x14ac:dyDescent="0.2">
      <c r="A1078" s="70"/>
      <c r="B1078" s="70"/>
      <c r="C1078" s="70"/>
      <c r="D1078" s="70"/>
      <c r="E1078" s="70"/>
      <c r="F1078" s="70"/>
      <c r="G1078" s="70"/>
      <c r="H1078" s="70"/>
      <c r="I1078" s="70"/>
      <c r="J1078" s="70"/>
    </row>
    <row r="1079" spans="1:10" ht="16" x14ac:dyDescent="0.2">
      <c r="A1079" s="70"/>
      <c r="B1079" s="70"/>
      <c r="C1079" s="70"/>
      <c r="D1079" s="70"/>
      <c r="E1079" s="70"/>
      <c r="F1079" s="70"/>
      <c r="G1079" s="70"/>
      <c r="H1079" s="70"/>
      <c r="I1079" s="70"/>
      <c r="J1079" s="70"/>
    </row>
    <row r="1080" spans="1:10" ht="16" x14ac:dyDescent="0.2">
      <c r="A1080" s="70"/>
      <c r="B1080" s="70"/>
      <c r="C1080" s="70"/>
      <c r="D1080" s="70"/>
      <c r="E1080" s="70"/>
      <c r="F1080" s="70"/>
      <c r="G1080" s="70"/>
      <c r="H1080" s="70"/>
      <c r="I1080" s="70"/>
      <c r="J1080" s="70"/>
    </row>
    <row r="1081" spans="1:10" ht="16" x14ac:dyDescent="0.2">
      <c r="A1081" s="70"/>
      <c r="B1081" s="70"/>
      <c r="C1081" s="70"/>
      <c r="D1081" s="70"/>
      <c r="E1081" s="70"/>
      <c r="F1081" s="70"/>
      <c r="G1081" s="70"/>
      <c r="H1081" s="70"/>
      <c r="I1081" s="70"/>
      <c r="J1081" s="70"/>
    </row>
    <row r="1082" spans="1:10" ht="16" x14ac:dyDescent="0.2">
      <c r="A1082" s="70"/>
      <c r="B1082" s="70"/>
      <c r="C1082" s="70"/>
      <c r="D1082" s="70"/>
      <c r="E1082" s="70"/>
      <c r="F1082" s="70"/>
      <c r="G1082" s="70"/>
      <c r="H1082" s="70"/>
      <c r="I1082" s="70"/>
      <c r="J1082" s="70"/>
    </row>
    <row r="1083" spans="1:10" ht="16" x14ac:dyDescent="0.2">
      <c r="A1083" s="70"/>
      <c r="B1083" s="70"/>
      <c r="C1083" s="70"/>
      <c r="D1083" s="70"/>
      <c r="E1083" s="70"/>
      <c r="F1083" s="70"/>
      <c r="G1083" s="70"/>
      <c r="H1083" s="70"/>
      <c r="I1083" s="70"/>
      <c r="J1083" s="70"/>
    </row>
    <row r="1084" spans="1:10" ht="16" x14ac:dyDescent="0.2">
      <c r="A1084" s="70"/>
      <c r="B1084" s="70"/>
      <c r="C1084" s="70"/>
      <c r="D1084" s="70"/>
      <c r="E1084" s="70"/>
      <c r="F1084" s="70"/>
      <c r="G1084" s="70"/>
      <c r="H1084" s="70"/>
      <c r="I1084" s="70"/>
      <c r="J1084" s="70"/>
    </row>
    <row r="1085" spans="1:10" ht="16" x14ac:dyDescent="0.2">
      <c r="A1085" s="70"/>
      <c r="B1085" s="70"/>
      <c r="C1085" s="70"/>
      <c r="D1085" s="70"/>
      <c r="E1085" s="70"/>
      <c r="F1085" s="70"/>
      <c r="G1085" s="70"/>
      <c r="H1085" s="70"/>
      <c r="I1085" s="70"/>
      <c r="J1085" s="70"/>
    </row>
    <row r="1086" spans="1:10" ht="16" x14ac:dyDescent="0.2">
      <c r="A1086" s="70"/>
      <c r="B1086" s="70"/>
      <c r="C1086" s="70"/>
      <c r="D1086" s="70"/>
      <c r="E1086" s="70"/>
      <c r="F1086" s="70"/>
      <c r="G1086" s="70"/>
      <c r="H1086" s="70"/>
      <c r="I1086" s="70"/>
      <c r="J1086" s="70"/>
    </row>
    <row r="1087" spans="1:10" ht="16" x14ac:dyDescent="0.2">
      <c r="A1087" s="70"/>
      <c r="B1087" s="70"/>
      <c r="C1087" s="70"/>
      <c r="D1087" s="70"/>
      <c r="E1087" s="70"/>
      <c r="F1087" s="70"/>
      <c r="G1087" s="70"/>
      <c r="H1087" s="70"/>
      <c r="I1087" s="70"/>
      <c r="J1087" s="70"/>
    </row>
    <row r="1088" spans="1:10" ht="16" x14ac:dyDescent="0.2">
      <c r="A1088" s="70"/>
      <c r="B1088" s="70"/>
      <c r="C1088" s="70"/>
      <c r="D1088" s="70"/>
      <c r="E1088" s="70"/>
      <c r="F1088" s="70"/>
      <c r="G1088" s="70"/>
      <c r="H1088" s="70"/>
      <c r="I1088" s="70"/>
      <c r="J1088" s="70"/>
    </row>
    <row r="1089" spans="1:10" ht="16" x14ac:dyDescent="0.2">
      <c r="A1089" s="70"/>
      <c r="B1089" s="70"/>
      <c r="C1089" s="70"/>
      <c r="D1089" s="70"/>
      <c r="E1089" s="70"/>
      <c r="F1089" s="70"/>
      <c r="G1089" s="70"/>
      <c r="H1089" s="70"/>
      <c r="I1089" s="70"/>
      <c r="J1089" s="70"/>
    </row>
    <row r="1090" spans="1:10" ht="16" x14ac:dyDescent="0.2">
      <c r="A1090" s="70"/>
      <c r="B1090" s="70"/>
      <c r="C1090" s="70"/>
      <c r="D1090" s="70"/>
      <c r="E1090" s="70"/>
      <c r="F1090" s="70"/>
      <c r="G1090" s="70"/>
      <c r="H1090" s="70"/>
      <c r="I1090" s="70"/>
      <c r="J1090" s="70"/>
    </row>
    <row r="1091" spans="1:10" ht="16" x14ac:dyDescent="0.2">
      <c r="A1091" s="70"/>
      <c r="B1091" s="70"/>
      <c r="C1091" s="70"/>
      <c r="D1091" s="70"/>
      <c r="E1091" s="70"/>
      <c r="F1091" s="70"/>
      <c r="G1091" s="70"/>
      <c r="H1091" s="70"/>
      <c r="I1091" s="70"/>
      <c r="J1091" s="70"/>
    </row>
    <row r="1092" spans="1:10" ht="16" x14ac:dyDescent="0.2">
      <c r="A1092" s="70"/>
      <c r="B1092" s="70"/>
      <c r="C1092" s="70"/>
      <c r="D1092" s="70"/>
      <c r="E1092" s="70"/>
      <c r="F1092" s="70"/>
      <c r="G1092" s="70"/>
      <c r="H1092" s="70"/>
      <c r="I1092" s="70"/>
      <c r="J1092" s="70"/>
    </row>
    <row r="1093" spans="1:10" ht="16" x14ac:dyDescent="0.2">
      <c r="A1093" s="70"/>
      <c r="B1093" s="70"/>
      <c r="C1093" s="70"/>
      <c r="D1093" s="70"/>
      <c r="E1093" s="70"/>
      <c r="F1093" s="70"/>
      <c r="G1093" s="70"/>
      <c r="H1093" s="70"/>
      <c r="I1093" s="70"/>
      <c r="J1093" s="70"/>
    </row>
    <row r="1094" spans="1:10" ht="16" x14ac:dyDescent="0.2">
      <c r="A1094" s="70"/>
      <c r="B1094" s="70"/>
      <c r="C1094" s="70"/>
      <c r="D1094" s="70"/>
      <c r="E1094" s="70"/>
      <c r="F1094" s="70"/>
      <c r="G1094" s="70"/>
      <c r="H1094" s="70"/>
      <c r="I1094" s="70"/>
      <c r="J1094" s="70"/>
    </row>
    <row r="1095" spans="1:10" ht="16" x14ac:dyDescent="0.2">
      <c r="A1095" s="70"/>
      <c r="B1095" s="70"/>
      <c r="C1095" s="70"/>
      <c r="D1095" s="70"/>
      <c r="E1095" s="70"/>
      <c r="F1095" s="70"/>
      <c r="G1095" s="70"/>
      <c r="H1095" s="70"/>
      <c r="I1095" s="70"/>
      <c r="J1095" s="70"/>
    </row>
    <row r="1096" spans="1:10" ht="16" x14ac:dyDescent="0.2">
      <c r="A1096" s="70"/>
      <c r="B1096" s="70"/>
      <c r="C1096" s="70"/>
      <c r="D1096" s="70"/>
      <c r="E1096" s="70"/>
      <c r="F1096" s="70"/>
      <c r="G1096" s="70"/>
      <c r="H1096" s="70"/>
      <c r="I1096" s="70"/>
      <c r="J1096" s="70"/>
    </row>
    <row r="1097" spans="1:10" ht="16" x14ac:dyDescent="0.2">
      <c r="A1097" s="70"/>
      <c r="B1097" s="70"/>
      <c r="C1097" s="70"/>
      <c r="D1097" s="70"/>
      <c r="E1097" s="70"/>
      <c r="F1097" s="70"/>
      <c r="G1097" s="70"/>
      <c r="H1097" s="70"/>
      <c r="I1097" s="70"/>
      <c r="J1097" s="70"/>
    </row>
    <row r="1098" spans="1:10" ht="16" x14ac:dyDescent="0.2">
      <c r="A1098" s="70"/>
      <c r="B1098" s="70"/>
      <c r="C1098" s="70"/>
      <c r="D1098" s="70"/>
      <c r="E1098" s="70"/>
      <c r="F1098" s="70"/>
      <c r="G1098" s="70"/>
      <c r="H1098" s="70"/>
      <c r="I1098" s="70"/>
      <c r="J1098" s="70"/>
    </row>
    <row r="1099" spans="1:10" ht="16" x14ac:dyDescent="0.2">
      <c r="A1099" s="70"/>
      <c r="B1099" s="70"/>
      <c r="C1099" s="70"/>
      <c r="D1099" s="70"/>
      <c r="E1099" s="70"/>
      <c r="F1099" s="70"/>
      <c r="G1099" s="70"/>
      <c r="H1099" s="70"/>
      <c r="I1099" s="70"/>
      <c r="J1099" s="70"/>
    </row>
    <row r="1100" spans="1:10" ht="16" x14ac:dyDescent="0.2">
      <c r="A1100" s="70"/>
      <c r="B1100" s="70"/>
      <c r="C1100" s="70"/>
      <c r="D1100" s="70"/>
      <c r="E1100" s="70"/>
      <c r="F1100" s="70"/>
      <c r="G1100" s="70"/>
      <c r="H1100" s="70"/>
      <c r="I1100" s="70"/>
      <c r="J1100" s="70"/>
    </row>
    <row r="1101" spans="1:10" ht="16" x14ac:dyDescent="0.2">
      <c r="A1101" s="70"/>
      <c r="B1101" s="70"/>
      <c r="C1101" s="70"/>
      <c r="D1101" s="70"/>
      <c r="E1101" s="70"/>
      <c r="F1101" s="70"/>
      <c r="G1101" s="70"/>
      <c r="H1101" s="70"/>
      <c r="I1101" s="70"/>
      <c r="J1101" s="70"/>
    </row>
    <row r="1102" spans="1:10" ht="16" x14ac:dyDescent="0.2">
      <c r="A1102" s="70"/>
      <c r="B1102" s="70"/>
      <c r="C1102" s="70"/>
      <c r="D1102" s="70"/>
      <c r="E1102" s="70"/>
      <c r="F1102" s="70"/>
      <c r="G1102" s="70"/>
      <c r="H1102" s="70"/>
      <c r="I1102" s="70"/>
      <c r="J1102" s="70"/>
    </row>
    <row r="1103" spans="1:10" ht="16" x14ac:dyDescent="0.2">
      <c r="A1103" s="70"/>
      <c r="B1103" s="70"/>
      <c r="C1103" s="70"/>
      <c r="D1103" s="70"/>
      <c r="E1103" s="70"/>
      <c r="F1103" s="70"/>
      <c r="G1103" s="70"/>
      <c r="H1103" s="70"/>
      <c r="I1103" s="70"/>
      <c r="J1103" s="70"/>
    </row>
    <row r="1104" spans="1:10" ht="16" x14ac:dyDescent="0.2">
      <c r="A1104" s="70"/>
      <c r="B1104" s="70"/>
      <c r="C1104" s="70"/>
      <c r="D1104" s="70"/>
      <c r="E1104" s="70"/>
      <c r="F1104" s="70"/>
      <c r="G1104" s="70"/>
      <c r="H1104" s="70"/>
      <c r="I1104" s="70"/>
      <c r="J1104" s="70"/>
    </row>
    <row r="1105" spans="1:10" ht="16" x14ac:dyDescent="0.2">
      <c r="A1105" s="70"/>
      <c r="B1105" s="70"/>
      <c r="C1105" s="70"/>
      <c r="D1105" s="70"/>
      <c r="E1105" s="70"/>
      <c r="F1105" s="70"/>
      <c r="G1105" s="70"/>
      <c r="H1105" s="70"/>
      <c r="I1105" s="70"/>
      <c r="J1105" s="70"/>
    </row>
    <row r="1106" spans="1:10" ht="16" x14ac:dyDescent="0.2">
      <c r="A1106" s="70"/>
      <c r="B1106" s="70"/>
      <c r="C1106" s="70"/>
      <c r="D1106" s="70"/>
      <c r="E1106" s="70"/>
      <c r="F1106" s="70"/>
      <c r="G1106" s="70"/>
      <c r="H1106" s="70"/>
      <c r="I1106" s="70"/>
      <c r="J1106" s="70"/>
    </row>
    <row r="1107" spans="1:10" ht="16" x14ac:dyDescent="0.2">
      <c r="A1107" s="70"/>
      <c r="B1107" s="70"/>
      <c r="C1107" s="70"/>
      <c r="D1107" s="70"/>
      <c r="E1107" s="70"/>
      <c r="F1107" s="70"/>
      <c r="G1107" s="70"/>
      <c r="H1107" s="70"/>
      <c r="I1107" s="70"/>
      <c r="J1107" s="70"/>
    </row>
    <row r="1108" spans="1:10" ht="16" x14ac:dyDescent="0.2">
      <c r="A1108" s="70"/>
      <c r="B1108" s="70"/>
      <c r="C1108" s="70"/>
      <c r="D1108" s="70"/>
      <c r="E1108" s="70"/>
      <c r="F1108" s="70"/>
      <c r="G1108" s="70"/>
      <c r="H1108" s="70"/>
      <c r="I1108" s="70"/>
      <c r="J1108" s="70"/>
    </row>
    <row r="1109" spans="1:10" ht="16" x14ac:dyDescent="0.2">
      <c r="A1109" s="70"/>
      <c r="B1109" s="70"/>
      <c r="C1109" s="70"/>
      <c r="D1109" s="70"/>
      <c r="E1109" s="70"/>
      <c r="F1109" s="70"/>
      <c r="G1109" s="70"/>
      <c r="H1109" s="70"/>
      <c r="I1109" s="70"/>
      <c r="J1109" s="70"/>
    </row>
    <row r="1110" spans="1:10" ht="16" x14ac:dyDescent="0.2">
      <c r="A1110" s="70"/>
      <c r="B1110" s="70"/>
      <c r="C1110" s="70"/>
      <c r="D1110" s="70"/>
      <c r="E1110" s="70"/>
      <c r="F1110" s="70"/>
      <c r="G1110" s="70"/>
      <c r="H1110" s="70"/>
      <c r="I1110" s="70"/>
      <c r="J1110" s="70"/>
    </row>
    <row r="1111" spans="1:10" ht="16" x14ac:dyDescent="0.2">
      <c r="A1111" s="70"/>
      <c r="B1111" s="70"/>
      <c r="C1111" s="70"/>
      <c r="D1111" s="70"/>
      <c r="E1111" s="70"/>
      <c r="F1111" s="70"/>
      <c r="G1111" s="70"/>
      <c r="H1111" s="70"/>
      <c r="I1111" s="70"/>
      <c r="J1111" s="70"/>
    </row>
    <row r="1112" spans="1:10" ht="16" x14ac:dyDescent="0.2">
      <c r="A1112" s="70"/>
      <c r="B1112" s="70"/>
      <c r="C1112" s="70"/>
      <c r="D1112" s="70"/>
      <c r="E1112" s="70"/>
      <c r="F1112" s="70"/>
      <c r="G1112" s="70"/>
      <c r="H1112" s="70"/>
      <c r="I1112" s="70"/>
      <c r="J1112" s="70"/>
    </row>
    <row r="1113" spans="1:10" ht="16" x14ac:dyDescent="0.2">
      <c r="A1113" s="70"/>
      <c r="B1113" s="70"/>
      <c r="C1113" s="70"/>
      <c r="D1113" s="70"/>
      <c r="E1113" s="70"/>
      <c r="F1113" s="70"/>
      <c r="G1113" s="70"/>
      <c r="H1113" s="70"/>
      <c r="I1113" s="70"/>
      <c r="J1113" s="70"/>
    </row>
    <row r="1114" spans="1:10" ht="16" x14ac:dyDescent="0.2">
      <c r="A1114" s="70"/>
      <c r="B1114" s="70"/>
      <c r="C1114" s="70"/>
      <c r="D1114" s="70"/>
      <c r="E1114" s="70"/>
      <c r="F1114" s="70"/>
      <c r="G1114" s="70"/>
      <c r="H1114" s="70"/>
      <c r="I1114" s="70"/>
      <c r="J1114" s="70"/>
    </row>
    <row r="1115" spans="1:10" ht="16" x14ac:dyDescent="0.2">
      <c r="A1115" s="70"/>
      <c r="B1115" s="70"/>
      <c r="C1115" s="70"/>
      <c r="D1115" s="70"/>
      <c r="E1115" s="70"/>
      <c r="F1115" s="70"/>
      <c r="G1115" s="70"/>
      <c r="H1115" s="70"/>
      <c r="I1115" s="70"/>
      <c r="J1115" s="70"/>
    </row>
    <row r="1116" spans="1:10" ht="16" x14ac:dyDescent="0.2">
      <c r="A1116" s="70"/>
      <c r="B1116" s="70"/>
      <c r="C1116" s="70"/>
      <c r="D1116" s="70"/>
      <c r="E1116" s="70"/>
      <c r="F1116" s="70"/>
      <c r="G1116" s="70"/>
      <c r="H1116" s="70"/>
      <c r="I1116" s="70"/>
      <c r="J1116" s="70"/>
    </row>
    <row r="1117" spans="1:10" ht="16" x14ac:dyDescent="0.2">
      <c r="A1117" s="70"/>
      <c r="B1117" s="70"/>
      <c r="C1117" s="70"/>
      <c r="D1117" s="70"/>
      <c r="E1117" s="70"/>
      <c r="F1117" s="70"/>
      <c r="G1117" s="70"/>
      <c r="H1117" s="70"/>
      <c r="I1117" s="70"/>
      <c r="J1117" s="70"/>
    </row>
    <row r="1118" spans="1:10" ht="16" x14ac:dyDescent="0.2">
      <c r="A1118" s="70"/>
      <c r="B1118" s="70"/>
      <c r="C1118" s="70"/>
      <c r="D1118" s="70"/>
      <c r="E1118" s="70"/>
      <c r="F1118" s="70"/>
      <c r="G1118" s="70"/>
      <c r="H1118" s="70"/>
      <c r="I1118" s="70"/>
      <c r="J1118" s="70"/>
    </row>
    <row r="1119" spans="1:10" ht="16" x14ac:dyDescent="0.2">
      <c r="A1119" s="70"/>
      <c r="B1119" s="70"/>
      <c r="C1119" s="70"/>
      <c r="D1119" s="70"/>
      <c r="E1119" s="70"/>
      <c r="F1119" s="70"/>
      <c r="G1119" s="70"/>
      <c r="H1119" s="70"/>
      <c r="I1119" s="70"/>
      <c r="J1119" s="70"/>
    </row>
    <row r="1120" spans="1:10" ht="16" x14ac:dyDescent="0.2">
      <c r="A1120" s="70"/>
      <c r="B1120" s="70"/>
      <c r="C1120" s="70"/>
      <c r="D1120" s="70"/>
      <c r="E1120" s="70"/>
      <c r="F1120" s="70"/>
      <c r="G1120" s="70"/>
      <c r="H1120" s="70"/>
      <c r="I1120" s="70"/>
      <c r="J1120" s="70"/>
    </row>
    <row r="1121" spans="1:10" ht="16" x14ac:dyDescent="0.2">
      <c r="A1121" s="70"/>
      <c r="B1121" s="70"/>
      <c r="C1121" s="70"/>
      <c r="D1121" s="70"/>
      <c r="E1121" s="70"/>
      <c r="F1121" s="70"/>
      <c r="G1121" s="70"/>
      <c r="H1121" s="70"/>
      <c r="I1121" s="70"/>
      <c r="J1121" s="70"/>
    </row>
    <row r="1122" spans="1:10" ht="16" x14ac:dyDescent="0.2">
      <c r="A1122" s="70"/>
      <c r="B1122" s="70"/>
      <c r="C1122" s="70"/>
      <c r="D1122" s="70"/>
      <c r="E1122" s="70"/>
      <c r="F1122" s="70"/>
      <c r="G1122" s="70"/>
      <c r="H1122" s="70"/>
      <c r="I1122" s="70"/>
      <c r="J1122" s="70"/>
    </row>
    <row r="1123" spans="1:10" ht="16" x14ac:dyDescent="0.2">
      <c r="A1123" s="70"/>
      <c r="B1123" s="70"/>
      <c r="C1123" s="70"/>
      <c r="D1123" s="70"/>
      <c r="E1123" s="70"/>
      <c r="F1123" s="70"/>
      <c r="G1123" s="70"/>
      <c r="H1123" s="70"/>
      <c r="I1123" s="70"/>
      <c r="J1123" s="70"/>
    </row>
    <row r="1124" spans="1:10" ht="16" x14ac:dyDescent="0.2">
      <c r="A1124" s="70"/>
      <c r="B1124" s="70"/>
      <c r="C1124" s="70"/>
      <c r="D1124" s="70"/>
      <c r="E1124" s="70"/>
      <c r="F1124" s="70"/>
      <c r="G1124" s="70"/>
      <c r="H1124" s="70"/>
      <c r="I1124" s="70"/>
      <c r="J1124" s="70"/>
    </row>
    <row r="1125" spans="1:10" ht="16" x14ac:dyDescent="0.2">
      <c r="A1125" s="70"/>
      <c r="B1125" s="70"/>
      <c r="C1125" s="70"/>
      <c r="D1125" s="70"/>
      <c r="E1125" s="70"/>
      <c r="F1125" s="70"/>
      <c r="G1125" s="70"/>
      <c r="H1125" s="70"/>
      <c r="I1125" s="70"/>
      <c r="J1125" s="70"/>
    </row>
    <row r="1126" spans="1:10" ht="16" x14ac:dyDescent="0.2">
      <c r="A1126" s="70"/>
      <c r="B1126" s="70"/>
      <c r="C1126" s="70"/>
      <c r="D1126" s="70"/>
      <c r="E1126" s="70"/>
      <c r="F1126" s="70"/>
      <c r="G1126" s="70"/>
      <c r="H1126" s="70"/>
      <c r="I1126" s="70"/>
      <c r="J1126" s="70"/>
    </row>
    <row r="1127" spans="1:10" ht="16" x14ac:dyDescent="0.2">
      <c r="A1127" s="70"/>
      <c r="B1127" s="70"/>
      <c r="C1127" s="70"/>
      <c r="D1127" s="70"/>
      <c r="E1127" s="70"/>
      <c r="F1127" s="70"/>
      <c r="G1127" s="70"/>
      <c r="H1127" s="70"/>
      <c r="I1127" s="70"/>
      <c r="J1127" s="70"/>
    </row>
    <row r="1128" spans="1:10" ht="16" x14ac:dyDescent="0.2">
      <c r="A1128" s="70"/>
      <c r="B1128" s="70"/>
      <c r="C1128" s="70"/>
      <c r="D1128" s="70"/>
      <c r="E1128" s="70"/>
      <c r="F1128" s="70"/>
      <c r="G1128" s="70"/>
      <c r="H1128" s="70"/>
      <c r="I1128" s="70"/>
      <c r="J1128" s="70"/>
    </row>
    <row r="1129" spans="1:10" ht="16" x14ac:dyDescent="0.2">
      <c r="A1129" s="70"/>
      <c r="B1129" s="70"/>
      <c r="C1129" s="70"/>
      <c r="D1129" s="70"/>
      <c r="E1129" s="70"/>
      <c r="F1129" s="70"/>
      <c r="G1129" s="70"/>
      <c r="H1129" s="70"/>
      <c r="I1129" s="70"/>
      <c r="J1129" s="70"/>
    </row>
    <row r="1130" spans="1:10" ht="16" x14ac:dyDescent="0.2">
      <c r="A1130" s="70"/>
      <c r="B1130" s="70"/>
      <c r="C1130" s="70"/>
      <c r="D1130" s="70"/>
      <c r="E1130" s="70"/>
      <c r="F1130" s="70"/>
      <c r="G1130" s="70"/>
      <c r="H1130" s="70"/>
      <c r="I1130" s="70"/>
      <c r="J1130" s="70"/>
    </row>
    <row r="1131" spans="1:10" ht="16" x14ac:dyDescent="0.2">
      <c r="A1131" s="70"/>
      <c r="B1131" s="70"/>
      <c r="C1131" s="70"/>
      <c r="D1131" s="70"/>
      <c r="E1131" s="70"/>
      <c r="F1131" s="70"/>
      <c r="G1131" s="70"/>
      <c r="H1131" s="70"/>
      <c r="I1131" s="70"/>
      <c r="J1131" s="70"/>
    </row>
    <row r="1132" spans="1:10" ht="16" x14ac:dyDescent="0.2">
      <c r="A1132" s="70"/>
      <c r="B1132" s="70"/>
      <c r="C1132" s="70"/>
      <c r="D1132" s="70"/>
      <c r="E1132" s="70"/>
      <c r="F1132" s="70"/>
      <c r="G1132" s="70"/>
      <c r="H1132" s="70"/>
      <c r="I1132" s="70"/>
      <c r="J1132" s="70"/>
    </row>
    <row r="1133" spans="1:10" ht="16" x14ac:dyDescent="0.2">
      <c r="A1133" s="70"/>
      <c r="B1133" s="70"/>
      <c r="C1133" s="70"/>
      <c r="D1133" s="70"/>
      <c r="E1133" s="70"/>
      <c r="F1133" s="70"/>
      <c r="G1133" s="70"/>
      <c r="H1133" s="70"/>
      <c r="I1133" s="70"/>
      <c r="J1133" s="70"/>
    </row>
    <row r="1134" spans="1:10" ht="16" x14ac:dyDescent="0.2">
      <c r="A1134" s="70"/>
      <c r="B1134" s="70"/>
      <c r="C1134" s="70"/>
      <c r="D1134" s="70"/>
      <c r="E1134" s="70"/>
      <c r="F1134" s="70"/>
      <c r="G1134" s="70"/>
      <c r="H1134" s="70"/>
      <c r="I1134" s="70"/>
      <c r="J1134" s="70"/>
    </row>
    <row r="1135" spans="1:10" ht="16" x14ac:dyDescent="0.2">
      <c r="A1135" s="70"/>
      <c r="B1135" s="70"/>
      <c r="C1135" s="70"/>
      <c r="D1135" s="70"/>
      <c r="E1135" s="70"/>
      <c r="F1135" s="70"/>
      <c r="G1135" s="70"/>
      <c r="H1135" s="70"/>
      <c r="I1135" s="70"/>
      <c r="J1135" s="70"/>
    </row>
    <row r="1136" spans="1:10" ht="16" x14ac:dyDescent="0.2">
      <c r="A1136" s="70"/>
      <c r="B1136" s="70"/>
      <c r="C1136" s="70"/>
      <c r="D1136" s="70"/>
      <c r="E1136" s="70"/>
      <c r="F1136" s="70"/>
      <c r="G1136" s="70"/>
      <c r="H1136" s="70"/>
      <c r="I1136" s="70"/>
      <c r="J1136" s="70"/>
    </row>
    <row r="1137" spans="1:10" ht="16" x14ac:dyDescent="0.2">
      <c r="A1137" s="70"/>
      <c r="B1137" s="70"/>
      <c r="C1137" s="70"/>
      <c r="D1137" s="70"/>
      <c r="E1137" s="70"/>
      <c r="F1137" s="70"/>
      <c r="G1137" s="70"/>
      <c r="H1137" s="70"/>
      <c r="I1137" s="70"/>
      <c r="J1137" s="70"/>
    </row>
    <row r="1138" spans="1:10" ht="16" x14ac:dyDescent="0.2">
      <c r="A1138" s="70"/>
      <c r="B1138" s="70"/>
      <c r="C1138" s="70"/>
      <c r="D1138" s="70"/>
      <c r="E1138" s="70"/>
      <c r="F1138" s="70"/>
      <c r="G1138" s="70"/>
      <c r="H1138" s="70"/>
      <c r="I1138" s="70"/>
      <c r="J1138" s="70"/>
    </row>
    <row r="1139" spans="1:10" ht="16" x14ac:dyDescent="0.2">
      <c r="A1139" s="70"/>
      <c r="B1139" s="70"/>
      <c r="C1139" s="70"/>
      <c r="D1139" s="70"/>
      <c r="E1139" s="70"/>
      <c r="F1139" s="70"/>
      <c r="G1139" s="70"/>
      <c r="H1139" s="70"/>
      <c r="I1139" s="70"/>
      <c r="J1139" s="70"/>
    </row>
    <row r="1140" spans="1:10" ht="16" x14ac:dyDescent="0.2">
      <c r="A1140" s="70"/>
      <c r="B1140" s="70"/>
      <c r="C1140" s="70"/>
      <c r="D1140" s="70"/>
      <c r="E1140" s="70"/>
      <c r="F1140" s="70"/>
      <c r="G1140" s="70"/>
      <c r="H1140" s="70"/>
      <c r="I1140" s="70"/>
      <c r="J1140" s="70"/>
    </row>
    <row r="1141" spans="1:10" ht="16" x14ac:dyDescent="0.2">
      <c r="A1141" s="70"/>
      <c r="B1141" s="70"/>
      <c r="C1141" s="70"/>
      <c r="D1141" s="70"/>
      <c r="E1141" s="70"/>
      <c r="F1141" s="70"/>
      <c r="G1141" s="70"/>
      <c r="H1141" s="70"/>
      <c r="I1141" s="70"/>
      <c r="J1141" s="70"/>
    </row>
    <row r="1142" spans="1:10" ht="16" x14ac:dyDescent="0.2">
      <c r="A1142" s="70"/>
      <c r="B1142" s="70"/>
      <c r="C1142" s="70"/>
      <c r="D1142" s="70"/>
      <c r="E1142" s="70"/>
      <c r="F1142" s="70"/>
      <c r="G1142" s="70"/>
      <c r="H1142" s="70"/>
      <c r="I1142" s="70"/>
      <c r="J1142" s="70"/>
    </row>
    <row r="1143" spans="1:10" ht="16" x14ac:dyDescent="0.2">
      <c r="A1143" s="70"/>
      <c r="B1143" s="70"/>
      <c r="C1143" s="70"/>
      <c r="D1143" s="70"/>
      <c r="E1143" s="70"/>
      <c r="F1143" s="70"/>
      <c r="G1143" s="70"/>
      <c r="H1143" s="70"/>
      <c r="I1143" s="70"/>
      <c r="J1143" s="70"/>
    </row>
    <row r="1144" spans="1:10" ht="16" x14ac:dyDescent="0.2">
      <c r="A1144" s="70"/>
      <c r="B1144" s="70"/>
      <c r="C1144" s="70"/>
      <c r="D1144" s="70"/>
      <c r="E1144" s="70"/>
      <c r="F1144" s="70"/>
      <c r="G1144" s="70"/>
      <c r="H1144" s="70"/>
      <c r="I1144" s="70"/>
      <c r="J1144" s="70"/>
    </row>
    <row r="1145" spans="1:10" ht="16" x14ac:dyDescent="0.2">
      <c r="A1145" s="70"/>
      <c r="B1145" s="70"/>
      <c r="C1145" s="70"/>
      <c r="D1145" s="70"/>
      <c r="E1145" s="70"/>
      <c r="F1145" s="70"/>
      <c r="G1145" s="70"/>
      <c r="H1145" s="70"/>
      <c r="I1145" s="70"/>
      <c r="J1145" s="70"/>
    </row>
    <row r="1146" spans="1:10" ht="16" x14ac:dyDescent="0.2">
      <c r="A1146" s="70"/>
      <c r="B1146" s="70"/>
      <c r="C1146" s="70"/>
      <c r="D1146" s="70"/>
      <c r="E1146" s="70"/>
      <c r="F1146" s="70"/>
      <c r="G1146" s="70"/>
      <c r="H1146" s="70"/>
      <c r="I1146" s="70"/>
      <c r="J1146" s="70"/>
    </row>
    <row r="1147" spans="1:10" ht="16" x14ac:dyDescent="0.2">
      <c r="A1147" s="70"/>
      <c r="B1147" s="70"/>
      <c r="C1147" s="70"/>
      <c r="D1147" s="70"/>
      <c r="E1147" s="70"/>
      <c r="F1147" s="70"/>
      <c r="G1147" s="70"/>
      <c r="H1147" s="70"/>
      <c r="I1147" s="70"/>
      <c r="J1147" s="70"/>
    </row>
    <row r="1148" spans="1:10" ht="16" x14ac:dyDescent="0.2">
      <c r="A1148" s="70"/>
      <c r="B1148" s="70"/>
      <c r="C1148" s="70"/>
      <c r="D1148" s="70"/>
      <c r="E1148" s="70"/>
      <c r="F1148" s="70"/>
      <c r="G1148" s="70"/>
      <c r="H1148" s="70"/>
      <c r="I1148" s="70"/>
      <c r="J1148" s="70"/>
    </row>
    <row r="1149" spans="1:10" ht="16" x14ac:dyDescent="0.2">
      <c r="A1149" s="70"/>
      <c r="B1149" s="70"/>
      <c r="C1149" s="70"/>
      <c r="D1149" s="70"/>
      <c r="E1149" s="70"/>
      <c r="F1149" s="70"/>
      <c r="G1149" s="70"/>
      <c r="H1149" s="70"/>
      <c r="I1149" s="70"/>
      <c r="J1149" s="70"/>
    </row>
    <row r="1150" spans="1:10" ht="16" x14ac:dyDescent="0.2">
      <c r="A1150" s="70"/>
      <c r="B1150" s="70"/>
      <c r="C1150" s="70"/>
      <c r="D1150" s="70"/>
      <c r="E1150" s="70"/>
      <c r="F1150" s="70"/>
      <c r="G1150" s="70"/>
      <c r="H1150" s="70"/>
      <c r="I1150" s="70"/>
      <c r="J1150" s="70"/>
    </row>
    <row r="1151" spans="1:10" ht="16" x14ac:dyDescent="0.2">
      <c r="A1151" s="70"/>
      <c r="B1151" s="70"/>
      <c r="C1151" s="70"/>
      <c r="D1151" s="70"/>
      <c r="E1151" s="70"/>
      <c r="F1151" s="70"/>
      <c r="G1151" s="70"/>
      <c r="H1151" s="70"/>
      <c r="I1151" s="70"/>
      <c r="J1151" s="70"/>
    </row>
    <row r="1152" spans="1:10" ht="16" x14ac:dyDescent="0.2">
      <c r="A1152" s="70"/>
      <c r="B1152" s="70"/>
      <c r="C1152" s="70"/>
      <c r="D1152" s="70"/>
      <c r="E1152" s="70"/>
      <c r="F1152" s="70"/>
      <c r="G1152" s="70"/>
      <c r="H1152" s="70"/>
      <c r="I1152" s="70"/>
      <c r="J1152" s="70"/>
    </row>
    <row r="1153" spans="1:10" ht="16" x14ac:dyDescent="0.2">
      <c r="A1153" s="70"/>
      <c r="B1153" s="70"/>
      <c r="C1153" s="70"/>
      <c r="D1153" s="70"/>
      <c r="E1153" s="70"/>
      <c r="F1153" s="70"/>
      <c r="G1153" s="70"/>
      <c r="H1153" s="70"/>
      <c r="I1153" s="70"/>
      <c r="J1153" s="70"/>
    </row>
    <row r="1154" spans="1:10" ht="16" x14ac:dyDescent="0.2">
      <c r="A1154" s="70"/>
      <c r="B1154" s="70"/>
      <c r="C1154" s="70"/>
      <c r="D1154" s="70"/>
      <c r="E1154" s="70"/>
      <c r="F1154" s="70"/>
      <c r="G1154" s="70"/>
      <c r="H1154" s="70"/>
      <c r="I1154" s="70"/>
      <c r="J1154" s="70"/>
    </row>
    <row r="1155" spans="1:10" ht="16" x14ac:dyDescent="0.2">
      <c r="A1155" s="70"/>
      <c r="B1155" s="70"/>
      <c r="C1155" s="70"/>
      <c r="D1155" s="70"/>
      <c r="E1155" s="70"/>
      <c r="F1155" s="70"/>
      <c r="G1155" s="70"/>
      <c r="H1155" s="70"/>
      <c r="I1155" s="70"/>
      <c r="J1155" s="70"/>
    </row>
    <row r="1156" spans="1:10" ht="16" x14ac:dyDescent="0.2">
      <c r="A1156" s="70"/>
      <c r="B1156" s="70"/>
      <c r="C1156" s="70"/>
      <c r="D1156" s="70"/>
      <c r="E1156" s="70"/>
      <c r="F1156" s="70"/>
      <c r="G1156" s="70"/>
      <c r="H1156" s="70"/>
      <c r="I1156" s="70"/>
      <c r="J1156" s="70"/>
    </row>
    <row r="1157" spans="1:10" ht="16" x14ac:dyDescent="0.2">
      <c r="A1157" s="70"/>
      <c r="B1157" s="70"/>
      <c r="C1157" s="70"/>
      <c r="D1157" s="70"/>
      <c r="E1157" s="70"/>
      <c r="F1157" s="70"/>
      <c r="G1157" s="70"/>
      <c r="H1157" s="70"/>
      <c r="I1157" s="70"/>
      <c r="J1157" s="70"/>
    </row>
    <row r="1158" spans="1:10" ht="16" x14ac:dyDescent="0.2">
      <c r="A1158" s="70"/>
      <c r="B1158" s="70"/>
      <c r="C1158" s="70"/>
      <c r="D1158" s="70"/>
      <c r="E1158" s="70"/>
      <c r="F1158" s="70"/>
      <c r="G1158" s="70"/>
      <c r="H1158" s="70"/>
      <c r="I1158" s="70"/>
      <c r="J1158" s="70"/>
    </row>
    <row r="1159" spans="1:10" ht="16" x14ac:dyDescent="0.2">
      <c r="A1159" s="70"/>
      <c r="B1159" s="70"/>
      <c r="C1159" s="70"/>
      <c r="D1159" s="70"/>
      <c r="E1159" s="70"/>
      <c r="F1159" s="70"/>
      <c r="G1159" s="70"/>
      <c r="H1159" s="70"/>
      <c r="I1159" s="70"/>
      <c r="J1159" s="70"/>
    </row>
    <row r="1160" spans="1:10" ht="16" x14ac:dyDescent="0.2">
      <c r="A1160" s="70"/>
      <c r="B1160" s="70"/>
      <c r="C1160" s="70"/>
      <c r="D1160" s="70"/>
      <c r="E1160" s="70"/>
      <c r="F1160" s="70"/>
      <c r="G1160" s="70"/>
      <c r="H1160" s="70"/>
      <c r="I1160" s="70"/>
      <c r="J1160" s="70"/>
    </row>
    <row r="1161" spans="1:10" ht="16" x14ac:dyDescent="0.2">
      <c r="A1161" s="70"/>
      <c r="B1161" s="70"/>
      <c r="C1161" s="70"/>
      <c r="D1161" s="70"/>
      <c r="E1161" s="70"/>
      <c r="F1161" s="70"/>
      <c r="G1161" s="70"/>
      <c r="H1161" s="70"/>
      <c r="I1161" s="70"/>
      <c r="J1161" s="70"/>
    </row>
    <row r="1162" spans="1:10" ht="16" x14ac:dyDescent="0.2">
      <c r="A1162" s="70"/>
      <c r="B1162" s="70"/>
      <c r="C1162" s="70"/>
      <c r="D1162" s="70"/>
      <c r="E1162" s="70"/>
      <c r="F1162" s="70"/>
      <c r="G1162" s="70"/>
      <c r="H1162" s="70"/>
      <c r="I1162" s="70"/>
      <c r="J1162" s="70"/>
    </row>
    <row r="1163" spans="1:10" ht="16" x14ac:dyDescent="0.2">
      <c r="A1163" s="70"/>
      <c r="B1163" s="70"/>
      <c r="C1163" s="70"/>
      <c r="D1163" s="70"/>
      <c r="E1163" s="70"/>
      <c r="F1163" s="70"/>
      <c r="G1163" s="70"/>
      <c r="H1163" s="70"/>
      <c r="I1163" s="70"/>
      <c r="J1163" s="70"/>
    </row>
    <row r="1164" spans="1:10" ht="16" x14ac:dyDescent="0.2">
      <c r="A1164" s="70"/>
      <c r="B1164" s="70"/>
      <c r="C1164" s="70"/>
      <c r="D1164" s="70"/>
      <c r="E1164" s="70"/>
      <c r="F1164" s="70"/>
      <c r="G1164" s="70"/>
      <c r="H1164" s="70"/>
      <c r="I1164" s="70"/>
      <c r="J1164" s="70"/>
    </row>
    <row r="1165" spans="1:10" ht="16" x14ac:dyDescent="0.2">
      <c r="A1165" s="70"/>
      <c r="B1165" s="70"/>
      <c r="C1165" s="70"/>
      <c r="D1165" s="70"/>
      <c r="E1165" s="70"/>
      <c r="F1165" s="70"/>
      <c r="G1165" s="70"/>
      <c r="H1165" s="70"/>
      <c r="I1165" s="70"/>
      <c r="J1165" s="70"/>
    </row>
    <row r="1166" spans="1:10" ht="16" x14ac:dyDescent="0.2">
      <c r="A1166" s="70"/>
      <c r="B1166" s="70"/>
      <c r="C1166" s="70"/>
      <c r="D1166" s="70"/>
      <c r="E1166" s="70"/>
      <c r="F1166" s="70"/>
      <c r="G1166" s="70"/>
      <c r="H1166" s="70"/>
      <c r="I1166" s="70"/>
      <c r="J1166" s="70"/>
    </row>
    <row r="1167" spans="1:10" ht="16" x14ac:dyDescent="0.2">
      <c r="A1167" s="70"/>
      <c r="B1167" s="70"/>
      <c r="C1167" s="70"/>
      <c r="D1167" s="70"/>
      <c r="E1167" s="70"/>
      <c r="F1167" s="70"/>
      <c r="G1167" s="70"/>
      <c r="H1167" s="70"/>
      <c r="I1167" s="70"/>
      <c r="J1167" s="70"/>
    </row>
    <row r="1168" spans="1:10" ht="16" x14ac:dyDescent="0.2">
      <c r="A1168" s="70"/>
      <c r="B1168" s="70"/>
      <c r="C1168" s="70"/>
      <c r="D1168" s="70"/>
      <c r="E1168" s="70"/>
      <c r="F1168" s="70"/>
      <c r="G1168" s="70"/>
      <c r="H1168" s="70"/>
      <c r="I1168" s="70"/>
      <c r="J1168" s="70"/>
    </row>
    <row r="1169" spans="1:10" ht="16" x14ac:dyDescent="0.2">
      <c r="A1169" s="70"/>
      <c r="B1169" s="70"/>
      <c r="C1169" s="70"/>
      <c r="D1169" s="70"/>
      <c r="E1169" s="70"/>
      <c r="F1169" s="70"/>
      <c r="G1169" s="70"/>
      <c r="H1169" s="70"/>
      <c r="I1169" s="70"/>
      <c r="J1169" s="70"/>
    </row>
    <row r="1170" spans="1:10" ht="16" x14ac:dyDescent="0.2">
      <c r="A1170" s="70"/>
      <c r="B1170" s="70"/>
      <c r="C1170" s="70"/>
      <c r="D1170" s="70"/>
      <c r="E1170" s="70"/>
      <c r="F1170" s="70"/>
      <c r="G1170" s="70"/>
      <c r="H1170" s="70"/>
      <c r="I1170" s="70"/>
      <c r="J1170" s="70"/>
    </row>
    <row r="1171" spans="1:10" ht="16" x14ac:dyDescent="0.2">
      <c r="A1171" s="70"/>
      <c r="B1171" s="70"/>
      <c r="C1171" s="70"/>
      <c r="D1171" s="70"/>
      <c r="E1171" s="70"/>
      <c r="F1171" s="70"/>
      <c r="G1171" s="70"/>
      <c r="H1171" s="70"/>
      <c r="I1171" s="70"/>
      <c r="J1171" s="70"/>
    </row>
    <row r="1172" spans="1:10" ht="16" x14ac:dyDescent="0.2">
      <c r="A1172" s="70"/>
      <c r="B1172" s="70"/>
      <c r="C1172" s="70"/>
      <c r="D1172" s="70"/>
      <c r="E1172" s="70"/>
      <c r="F1172" s="70"/>
      <c r="G1172" s="70"/>
      <c r="H1172" s="70"/>
      <c r="I1172" s="70"/>
      <c r="J1172" s="70"/>
    </row>
    <row r="1173" spans="1:10" ht="16" x14ac:dyDescent="0.2">
      <c r="A1173" s="70"/>
      <c r="B1173" s="70"/>
      <c r="C1173" s="70"/>
      <c r="D1173" s="70"/>
      <c r="E1173" s="70"/>
      <c r="F1173" s="70"/>
      <c r="G1173" s="70"/>
      <c r="H1173" s="70"/>
      <c r="I1173" s="70"/>
      <c r="J1173" s="70"/>
    </row>
    <row r="1174" spans="1:10" ht="16" x14ac:dyDescent="0.2">
      <c r="A1174" s="70"/>
      <c r="B1174" s="70"/>
      <c r="C1174" s="70"/>
      <c r="D1174" s="70"/>
      <c r="E1174" s="70"/>
      <c r="F1174" s="70"/>
      <c r="G1174" s="70"/>
      <c r="H1174" s="70"/>
      <c r="I1174" s="70"/>
      <c r="J1174" s="70"/>
    </row>
    <row r="1175" spans="1:10" ht="16" x14ac:dyDescent="0.2">
      <c r="A1175" s="70"/>
      <c r="B1175" s="70"/>
      <c r="C1175" s="70"/>
      <c r="D1175" s="70"/>
      <c r="E1175" s="70"/>
      <c r="F1175" s="70"/>
      <c r="G1175" s="70"/>
      <c r="H1175" s="70"/>
      <c r="I1175" s="70"/>
      <c r="J1175" s="70"/>
    </row>
    <row r="1176" spans="1:10" ht="16" x14ac:dyDescent="0.2">
      <c r="A1176" s="70"/>
      <c r="B1176" s="70"/>
      <c r="C1176" s="70"/>
      <c r="D1176" s="70"/>
      <c r="E1176" s="70"/>
      <c r="F1176" s="70"/>
      <c r="G1176" s="70"/>
      <c r="H1176" s="70"/>
      <c r="I1176" s="70"/>
      <c r="J1176" s="70"/>
    </row>
    <row r="1177" spans="1:10" ht="16" x14ac:dyDescent="0.2">
      <c r="A1177" s="70"/>
      <c r="B1177" s="70"/>
      <c r="C1177" s="70"/>
      <c r="D1177" s="70"/>
      <c r="E1177" s="70"/>
      <c r="F1177" s="70"/>
      <c r="G1177" s="70"/>
      <c r="H1177" s="70"/>
      <c r="I1177" s="70"/>
      <c r="J1177" s="70"/>
    </row>
    <row r="1178" spans="1:10" ht="16" x14ac:dyDescent="0.2">
      <c r="A1178" s="70"/>
      <c r="B1178" s="70"/>
      <c r="C1178" s="70"/>
      <c r="D1178" s="70"/>
      <c r="E1178" s="70"/>
      <c r="F1178" s="70"/>
      <c r="G1178" s="70"/>
      <c r="H1178" s="70"/>
      <c r="I1178" s="70"/>
      <c r="J1178" s="70"/>
    </row>
    <row r="1179" spans="1:10" ht="16" x14ac:dyDescent="0.2">
      <c r="A1179" s="70"/>
      <c r="B1179" s="70"/>
      <c r="C1179" s="70"/>
      <c r="D1179" s="70"/>
      <c r="E1179" s="70"/>
      <c r="F1179" s="70"/>
      <c r="G1179" s="70"/>
      <c r="H1179" s="70"/>
      <c r="I1179" s="70"/>
      <c r="J1179" s="70"/>
    </row>
    <row r="1180" spans="1:10" ht="16" x14ac:dyDescent="0.2">
      <c r="A1180" s="70"/>
      <c r="B1180" s="70"/>
      <c r="C1180" s="70"/>
      <c r="D1180" s="70"/>
      <c r="E1180" s="70"/>
      <c r="F1180" s="70"/>
      <c r="G1180" s="70"/>
      <c r="H1180" s="70"/>
      <c r="I1180" s="70"/>
      <c r="J1180" s="70"/>
    </row>
    <row r="1181" spans="1:10" ht="16" x14ac:dyDescent="0.2">
      <c r="A1181" s="70"/>
      <c r="B1181" s="70"/>
      <c r="C1181" s="70"/>
      <c r="D1181" s="70"/>
      <c r="E1181" s="70"/>
      <c r="F1181" s="70"/>
      <c r="G1181" s="70"/>
      <c r="H1181" s="70"/>
      <c r="I1181" s="70"/>
      <c r="J1181" s="70"/>
    </row>
    <row r="1182" spans="1:10" ht="16" x14ac:dyDescent="0.2">
      <c r="A1182" s="70"/>
      <c r="B1182" s="70"/>
      <c r="C1182" s="70"/>
      <c r="D1182" s="70"/>
      <c r="E1182" s="70"/>
      <c r="F1182" s="70"/>
      <c r="G1182" s="70"/>
      <c r="H1182" s="70"/>
      <c r="I1182" s="70"/>
      <c r="J1182" s="70"/>
    </row>
    <row r="1183" spans="1:10" ht="16" x14ac:dyDescent="0.2">
      <c r="A1183" s="70"/>
      <c r="B1183" s="70"/>
      <c r="C1183" s="70"/>
      <c r="D1183" s="70"/>
      <c r="E1183" s="70"/>
      <c r="F1183" s="70"/>
      <c r="G1183" s="70"/>
      <c r="H1183" s="70"/>
      <c r="I1183" s="70"/>
      <c r="J1183" s="70"/>
    </row>
    <row r="1184" spans="1:10" ht="16" x14ac:dyDescent="0.2">
      <c r="A1184" s="70"/>
      <c r="B1184" s="70"/>
      <c r="C1184" s="70"/>
      <c r="D1184" s="70"/>
      <c r="E1184" s="70"/>
      <c r="F1184" s="70"/>
      <c r="G1184" s="70"/>
      <c r="H1184" s="70"/>
      <c r="I1184" s="70"/>
      <c r="J1184" s="70"/>
    </row>
    <row r="1185" spans="1:10" ht="16" x14ac:dyDescent="0.2">
      <c r="A1185" s="70"/>
      <c r="B1185" s="70"/>
      <c r="C1185" s="70"/>
      <c r="D1185" s="70"/>
      <c r="E1185" s="70"/>
      <c r="F1185" s="70"/>
      <c r="G1185" s="70"/>
      <c r="H1185" s="70"/>
      <c r="I1185" s="70"/>
      <c r="J1185" s="70"/>
    </row>
    <row r="1186" spans="1:10" ht="16" x14ac:dyDescent="0.2">
      <c r="A1186" s="70"/>
      <c r="B1186" s="70"/>
      <c r="C1186" s="70"/>
      <c r="D1186" s="70"/>
      <c r="E1186" s="70"/>
      <c r="F1186" s="70"/>
      <c r="G1186" s="70"/>
      <c r="H1186" s="70"/>
      <c r="I1186" s="70"/>
      <c r="J1186" s="70"/>
    </row>
    <row r="1187" spans="1:10" ht="16" x14ac:dyDescent="0.2">
      <c r="A1187" s="70"/>
      <c r="B1187" s="70"/>
      <c r="C1187" s="70"/>
      <c r="D1187" s="70"/>
      <c r="E1187" s="70"/>
      <c r="F1187" s="70"/>
      <c r="G1187" s="70"/>
      <c r="H1187" s="70"/>
      <c r="I1187" s="70"/>
      <c r="J1187" s="70"/>
    </row>
    <row r="1188" spans="1:10" ht="16" x14ac:dyDescent="0.2">
      <c r="A1188" s="70"/>
      <c r="B1188" s="70"/>
      <c r="C1188" s="70"/>
      <c r="D1188" s="70"/>
      <c r="E1188" s="70"/>
      <c r="F1188" s="70"/>
      <c r="G1188" s="70"/>
      <c r="H1188" s="70"/>
      <c r="I1188" s="70"/>
      <c r="J1188" s="70"/>
    </row>
    <row r="1189" spans="1:10" ht="16" x14ac:dyDescent="0.2">
      <c r="A1189" s="70"/>
      <c r="B1189" s="70"/>
      <c r="C1189" s="70"/>
      <c r="D1189" s="70"/>
      <c r="E1189" s="70"/>
      <c r="F1189" s="70"/>
      <c r="G1189" s="70"/>
      <c r="H1189" s="70"/>
      <c r="I1189" s="70"/>
      <c r="J1189" s="70"/>
    </row>
    <row r="1190" spans="1:10" ht="16" x14ac:dyDescent="0.2">
      <c r="A1190" s="70"/>
      <c r="B1190" s="70"/>
      <c r="C1190" s="70"/>
      <c r="D1190" s="70"/>
      <c r="E1190" s="70"/>
      <c r="F1190" s="70"/>
      <c r="G1190" s="70"/>
      <c r="H1190" s="70"/>
      <c r="I1190" s="70"/>
      <c r="J1190" s="70"/>
    </row>
    <row r="1191" spans="1:10" ht="16" x14ac:dyDescent="0.2">
      <c r="A1191" s="70"/>
      <c r="B1191" s="70"/>
      <c r="C1191" s="70"/>
      <c r="D1191" s="70"/>
      <c r="E1191" s="70"/>
      <c r="F1191" s="70"/>
      <c r="G1191" s="70"/>
      <c r="H1191" s="70"/>
      <c r="I1191" s="70"/>
      <c r="J1191" s="70"/>
    </row>
    <row r="1192" spans="1:10" ht="16" x14ac:dyDescent="0.2">
      <c r="A1192" s="70"/>
      <c r="B1192" s="70"/>
      <c r="C1192" s="70"/>
      <c r="D1192" s="70"/>
      <c r="E1192" s="70"/>
      <c r="F1192" s="70"/>
      <c r="G1192" s="70"/>
      <c r="H1192" s="70"/>
      <c r="I1192" s="70"/>
      <c r="J1192" s="70"/>
    </row>
    <row r="1193" spans="1:10" ht="16" x14ac:dyDescent="0.2">
      <c r="A1193" s="70"/>
      <c r="B1193" s="70"/>
      <c r="C1193" s="70"/>
      <c r="D1193" s="70"/>
      <c r="E1193" s="70"/>
      <c r="F1193" s="70"/>
      <c r="G1193" s="70"/>
      <c r="H1193" s="70"/>
      <c r="I1193" s="70"/>
      <c r="J1193" s="70"/>
    </row>
    <row r="1194" spans="1:10" ht="16" x14ac:dyDescent="0.2">
      <c r="A1194" s="70"/>
      <c r="B1194" s="70"/>
      <c r="C1194" s="70"/>
      <c r="D1194" s="70"/>
      <c r="E1194" s="70"/>
      <c r="F1194" s="70"/>
      <c r="G1194" s="70"/>
      <c r="H1194" s="70"/>
      <c r="I1194" s="70"/>
      <c r="J1194" s="70"/>
    </row>
    <row r="1195" spans="1:10" ht="16" x14ac:dyDescent="0.2">
      <c r="A1195" s="70"/>
      <c r="B1195" s="70"/>
      <c r="C1195" s="70"/>
      <c r="D1195" s="70"/>
      <c r="E1195" s="70"/>
      <c r="F1195" s="70"/>
      <c r="G1195" s="70"/>
      <c r="H1195" s="70"/>
      <c r="I1195" s="70"/>
      <c r="J1195" s="70"/>
    </row>
    <row r="1196" spans="1:10" ht="16" x14ac:dyDescent="0.2">
      <c r="A1196" s="70"/>
      <c r="B1196" s="70"/>
      <c r="C1196" s="70"/>
      <c r="D1196" s="70"/>
      <c r="E1196" s="70"/>
      <c r="F1196" s="70"/>
      <c r="G1196" s="70"/>
      <c r="H1196" s="70"/>
      <c r="I1196" s="70"/>
      <c r="J1196" s="70"/>
    </row>
    <row r="1197" spans="1:10" ht="16" x14ac:dyDescent="0.2">
      <c r="A1197" s="70"/>
      <c r="B1197" s="70"/>
      <c r="C1197" s="70"/>
      <c r="D1197" s="70"/>
      <c r="E1197" s="70"/>
      <c r="F1197" s="70"/>
      <c r="G1197" s="70"/>
      <c r="H1197" s="70"/>
      <c r="I1197" s="70"/>
      <c r="J1197" s="70"/>
    </row>
    <row r="1198" spans="1:10" ht="16" x14ac:dyDescent="0.2">
      <c r="A1198" s="70"/>
      <c r="B1198" s="70"/>
      <c r="C1198" s="70"/>
      <c r="D1198" s="70"/>
      <c r="E1198" s="70"/>
      <c r="F1198" s="70"/>
      <c r="G1198" s="70"/>
      <c r="H1198" s="70"/>
      <c r="I1198" s="70"/>
      <c r="J1198" s="70"/>
    </row>
    <row r="1199" spans="1:10" ht="16" x14ac:dyDescent="0.2">
      <c r="A1199" s="70"/>
      <c r="B1199" s="70"/>
      <c r="C1199" s="70"/>
      <c r="D1199" s="70"/>
      <c r="E1199" s="70"/>
      <c r="F1199" s="70"/>
      <c r="G1199" s="70"/>
      <c r="H1199" s="70"/>
      <c r="I1199" s="70"/>
      <c r="J1199" s="70"/>
    </row>
    <row r="1200" spans="1:10" ht="16" x14ac:dyDescent="0.2">
      <c r="A1200" s="70"/>
      <c r="B1200" s="70"/>
      <c r="C1200" s="70"/>
      <c r="D1200" s="70"/>
      <c r="E1200" s="70"/>
      <c r="F1200" s="70"/>
      <c r="G1200" s="70"/>
      <c r="H1200" s="70"/>
      <c r="I1200" s="70"/>
      <c r="J1200" s="70"/>
    </row>
    <row r="1201" spans="1:10" ht="16" x14ac:dyDescent="0.2">
      <c r="A1201" s="70"/>
      <c r="B1201" s="70"/>
      <c r="C1201" s="70"/>
      <c r="D1201" s="70"/>
      <c r="E1201" s="70"/>
      <c r="F1201" s="70"/>
      <c r="G1201" s="70"/>
      <c r="H1201" s="70"/>
      <c r="I1201" s="70"/>
      <c r="J1201" s="70"/>
    </row>
    <row r="1202" spans="1:10" ht="16" x14ac:dyDescent="0.2">
      <c r="A1202" s="70"/>
      <c r="B1202" s="70"/>
      <c r="C1202" s="70"/>
      <c r="D1202" s="70"/>
      <c r="E1202" s="70"/>
      <c r="F1202" s="70"/>
      <c r="G1202" s="70"/>
      <c r="H1202" s="70"/>
      <c r="I1202" s="70"/>
      <c r="J1202" s="70"/>
    </row>
    <row r="1203" spans="1:10" ht="16" x14ac:dyDescent="0.2">
      <c r="A1203" s="70"/>
      <c r="B1203" s="70"/>
      <c r="C1203" s="70"/>
      <c r="D1203" s="70"/>
      <c r="E1203" s="70"/>
      <c r="F1203" s="70"/>
      <c r="G1203" s="70"/>
      <c r="H1203" s="70"/>
      <c r="I1203" s="70"/>
      <c r="J1203" s="70"/>
    </row>
    <row r="1204" spans="1:10" ht="16" x14ac:dyDescent="0.2">
      <c r="A1204" s="70"/>
      <c r="B1204" s="70"/>
      <c r="C1204" s="70"/>
      <c r="D1204" s="70"/>
      <c r="E1204" s="70"/>
      <c r="F1204" s="70"/>
      <c r="G1204" s="70"/>
      <c r="H1204" s="70"/>
      <c r="I1204" s="70"/>
      <c r="J1204" s="70"/>
    </row>
    <row r="1205" spans="1:10" ht="16" x14ac:dyDescent="0.2">
      <c r="A1205" s="70"/>
      <c r="B1205" s="70"/>
      <c r="C1205" s="70"/>
      <c r="D1205" s="70"/>
      <c r="E1205" s="70"/>
      <c r="F1205" s="70"/>
      <c r="G1205" s="70"/>
      <c r="H1205" s="70"/>
      <c r="I1205" s="70"/>
      <c r="J1205" s="70"/>
    </row>
    <row r="1206" spans="1:10" ht="16" x14ac:dyDescent="0.2">
      <c r="A1206" s="70"/>
      <c r="B1206" s="70"/>
      <c r="C1206" s="70"/>
      <c r="D1206" s="70"/>
      <c r="E1206" s="70"/>
      <c r="F1206" s="70"/>
      <c r="G1206" s="70"/>
      <c r="H1206" s="70"/>
      <c r="I1206" s="70"/>
      <c r="J1206" s="70"/>
    </row>
    <row r="1207" spans="1:10" ht="16" x14ac:dyDescent="0.2">
      <c r="A1207" s="70"/>
      <c r="B1207" s="70"/>
      <c r="C1207" s="70"/>
      <c r="D1207" s="70"/>
      <c r="E1207" s="70"/>
      <c r="F1207" s="70"/>
      <c r="G1207" s="70"/>
      <c r="H1207" s="70"/>
      <c r="I1207" s="70"/>
      <c r="J1207" s="70"/>
    </row>
    <row r="1208" spans="1:10" ht="16" x14ac:dyDescent="0.2">
      <c r="A1208" s="70"/>
      <c r="B1208" s="70"/>
      <c r="C1208" s="70"/>
      <c r="D1208" s="70"/>
      <c r="E1208" s="70"/>
      <c r="F1208" s="70"/>
      <c r="G1208" s="70"/>
      <c r="H1208" s="70"/>
      <c r="I1208" s="70"/>
      <c r="J1208" s="70"/>
    </row>
    <row r="1209" spans="1:10" ht="16" x14ac:dyDescent="0.2">
      <c r="A1209" s="70"/>
      <c r="B1209" s="70"/>
      <c r="C1209" s="70"/>
      <c r="D1209" s="70"/>
      <c r="E1209" s="70"/>
      <c r="F1209" s="70"/>
      <c r="G1209" s="70"/>
      <c r="H1209" s="70"/>
      <c r="I1209" s="70"/>
      <c r="J1209" s="70"/>
    </row>
    <row r="1210" spans="1:10" ht="16" x14ac:dyDescent="0.2">
      <c r="A1210" s="70"/>
      <c r="B1210" s="70"/>
      <c r="C1210" s="70"/>
      <c r="D1210" s="70"/>
      <c r="E1210" s="70"/>
      <c r="F1210" s="70"/>
      <c r="G1210" s="70"/>
      <c r="H1210" s="70"/>
      <c r="I1210" s="70"/>
      <c r="J1210" s="70"/>
    </row>
    <row r="1211" spans="1:10" ht="16" x14ac:dyDescent="0.2">
      <c r="A1211" s="70"/>
      <c r="B1211" s="70"/>
      <c r="C1211" s="70"/>
      <c r="D1211" s="70"/>
      <c r="E1211" s="70"/>
      <c r="F1211" s="70"/>
      <c r="G1211" s="70"/>
      <c r="H1211" s="70"/>
      <c r="I1211" s="70"/>
      <c r="J1211" s="70"/>
    </row>
    <row r="1212" spans="1:10" ht="16" x14ac:dyDescent="0.2">
      <c r="A1212" s="70"/>
      <c r="B1212" s="70"/>
      <c r="C1212" s="70"/>
      <c r="D1212" s="70"/>
      <c r="E1212" s="70"/>
      <c r="F1212" s="70"/>
      <c r="G1212" s="70"/>
      <c r="H1212" s="70"/>
      <c r="I1212" s="70"/>
      <c r="J1212" s="70"/>
    </row>
    <row r="1213" spans="1:10" ht="16" x14ac:dyDescent="0.2">
      <c r="A1213" s="70"/>
      <c r="B1213" s="70"/>
      <c r="C1213" s="70"/>
      <c r="D1213" s="70"/>
      <c r="E1213" s="70"/>
      <c r="F1213" s="70"/>
      <c r="G1213" s="70"/>
      <c r="H1213" s="70"/>
      <c r="I1213" s="70"/>
      <c r="J1213" s="70"/>
    </row>
    <row r="1214" spans="1:10" ht="16" x14ac:dyDescent="0.2">
      <c r="A1214" s="70"/>
      <c r="B1214" s="70"/>
      <c r="C1214" s="70"/>
      <c r="D1214" s="70"/>
      <c r="E1214" s="70"/>
      <c r="F1214" s="70"/>
      <c r="G1214" s="70"/>
      <c r="H1214" s="70"/>
      <c r="I1214" s="70"/>
      <c r="J1214" s="70"/>
    </row>
    <row r="1215" spans="1:10" ht="16" x14ac:dyDescent="0.2">
      <c r="A1215" s="70"/>
      <c r="B1215" s="70"/>
      <c r="C1215" s="70"/>
      <c r="D1215" s="70"/>
      <c r="E1215" s="70"/>
      <c r="F1215" s="70"/>
      <c r="G1215" s="70"/>
      <c r="H1215" s="70"/>
      <c r="I1215" s="70"/>
      <c r="J1215" s="70"/>
    </row>
    <row r="1216" spans="1:10" ht="16" x14ac:dyDescent="0.2">
      <c r="A1216" s="70"/>
      <c r="B1216" s="70"/>
      <c r="C1216" s="70"/>
      <c r="D1216" s="70"/>
      <c r="E1216" s="70"/>
      <c r="F1216" s="70"/>
      <c r="G1216" s="70"/>
      <c r="H1216" s="70"/>
      <c r="I1216" s="70"/>
      <c r="J1216" s="70"/>
    </row>
    <row r="1217" spans="1:10" ht="16" x14ac:dyDescent="0.2">
      <c r="A1217" s="70"/>
      <c r="B1217" s="70"/>
      <c r="C1217" s="70"/>
      <c r="D1217" s="70"/>
      <c r="E1217" s="70"/>
      <c r="F1217" s="70"/>
      <c r="G1217" s="70"/>
      <c r="H1217" s="70"/>
      <c r="I1217" s="70"/>
      <c r="J1217" s="70"/>
    </row>
    <row r="1218" spans="1:10" ht="16" x14ac:dyDescent="0.2">
      <c r="A1218" s="70"/>
      <c r="B1218" s="70"/>
      <c r="C1218" s="70"/>
      <c r="D1218" s="70"/>
      <c r="E1218" s="70"/>
      <c r="F1218" s="70"/>
      <c r="G1218" s="70"/>
      <c r="H1218" s="70"/>
      <c r="I1218" s="70"/>
      <c r="J1218" s="70"/>
    </row>
    <row r="1219" spans="1:10" ht="16" x14ac:dyDescent="0.2">
      <c r="A1219" s="70"/>
      <c r="B1219" s="70"/>
      <c r="C1219" s="70"/>
      <c r="D1219" s="70"/>
      <c r="E1219" s="70"/>
      <c r="F1219" s="70"/>
      <c r="G1219" s="70"/>
      <c r="H1219" s="70"/>
      <c r="I1219" s="70"/>
      <c r="J1219" s="70"/>
    </row>
    <row r="1220" spans="1:10" ht="16" x14ac:dyDescent="0.2">
      <c r="A1220" s="70"/>
      <c r="B1220" s="70"/>
      <c r="C1220" s="70"/>
      <c r="D1220" s="70"/>
      <c r="E1220" s="70"/>
      <c r="F1220" s="70"/>
      <c r="G1220" s="70"/>
      <c r="H1220" s="70"/>
      <c r="I1220" s="70"/>
      <c r="J1220" s="70"/>
    </row>
    <row r="1221" spans="1:10" ht="16" x14ac:dyDescent="0.2">
      <c r="A1221" s="70"/>
      <c r="B1221" s="70"/>
      <c r="C1221" s="70"/>
      <c r="D1221" s="70"/>
      <c r="E1221" s="70"/>
      <c r="F1221" s="70"/>
      <c r="G1221" s="70"/>
      <c r="H1221" s="70"/>
      <c r="I1221" s="70"/>
      <c r="J1221" s="70"/>
    </row>
    <row r="1222" spans="1:10" ht="16" x14ac:dyDescent="0.2">
      <c r="A1222" s="70"/>
      <c r="B1222" s="70"/>
      <c r="C1222" s="70"/>
      <c r="D1222" s="70"/>
      <c r="E1222" s="70"/>
      <c r="F1222" s="70"/>
      <c r="G1222" s="70"/>
      <c r="H1222" s="70"/>
      <c r="I1222" s="70"/>
      <c r="J1222" s="70"/>
    </row>
    <row r="1223" spans="1:10" ht="16" x14ac:dyDescent="0.2">
      <c r="A1223" s="70"/>
      <c r="B1223" s="70"/>
      <c r="C1223" s="70"/>
      <c r="D1223" s="70"/>
      <c r="E1223" s="70"/>
      <c r="F1223" s="70"/>
      <c r="G1223" s="70"/>
      <c r="H1223" s="70"/>
      <c r="I1223" s="70"/>
      <c r="J1223" s="70"/>
    </row>
    <row r="1224" spans="1:10" ht="16" x14ac:dyDescent="0.2">
      <c r="A1224" s="70"/>
      <c r="B1224" s="70"/>
      <c r="C1224" s="70"/>
      <c r="D1224" s="70"/>
      <c r="E1224" s="70"/>
      <c r="F1224" s="70"/>
      <c r="G1224" s="70"/>
      <c r="H1224" s="70"/>
      <c r="I1224" s="70"/>
      <c r="J1224" s="70"/>
    </row>
    <row r="1225" spans="1:10" ht="16" x14ac:dyDescent="0.2">
      <c r="A1225" s="70"/>
      <c r="B1225" s="70"/>
      <c r="C1225" s="70"/>
      <c r="D1225" s="70"/>
      <c r="E1225" s="70"/>
      <c r="F1225" s="70"/>
      <c r="G1225" s="70"/>
      <c r="H1225" s="70"/>
      <c r="I1225" s="70"/>
      <c r="J1225" s="70"/>
    </row>
    <row r="1226" spans="1:10" ht="16" x14ac:dyDescent="0.2">
      <c r="A1226" s="70"/>
      <c r="B1226" s="70"/>
      <c r="C1226" s="70"/>
      <c r="D1226" s="70"/>
      <c r="E1226" s="70"/>
      <c r="F1226" s="70"/>
      <c r="G1226" s="70"/>
      <c r="H1226" s="70"/>
      <c r="I1226" s="70"/>
      <c r="J1226" s="70"/>
    </row>
    <row r="1227" spans="1:10" ht="16" x14ac:dyDescent="0.2">
      <c r="A1227" s="70"/>
      <c r="B1227" s="70"/>
      <c r="C1227" s="70"/>
      <c r="D1227" s="70"/>
      <c r="E1227" s="70"/>
      <c r="F1227" s="70"/>
      <c r="G1227" s="70"/>
      <c r="H1227" s="70"/>
      <c r="I1227" s="70"/>
      <c r="J1227" s="70"/>
    </row>
    <row r="1228" spans="1:10" ht="16" x14ac:dyDescent="0.2">
      <c r="A1228" s="70"/>
      <c r="B1228" s="70"/>
      <c r="C1228" s="70"/>
      <c r="D1228" s="70"/>
      <c r="E1228" s="70"/>
      <c r="F1228" s="70"/>
      <c r="G1228" s="70"/>
      <c r="H1228" s="70"/>
      <c r="I1228" s="70"/>
      <c r="J1228" s="70"/>
    </row>
    <row r="1229" spans="1:10" ht="16" x14ac:dyDescent="0.2">
      <c r="A1229" s="70"/>
      <c r="B1229" s="70"/>
      <c r="C1229" s="70"/>
      <c r="D1229" s="70"/>
      <c r="E1229" s="70"/>
      <c r="F1229" s="70"/>
      <c r="G1229" s="70"/>
      <c r="H1229" s="70"/>
      <c r="I1229" s="70"/>
      <c r="J1229" s="70"/>
    </row>
    <row r="1230" spans="1:10" ht="16" x14ac:dyDescent="0.2">
      <c r="A1230" s="70"/>
      <c r="B1230" s="70"/>
      <c r="C1230" s="70"/>
      <c r="D1230" s="70"/>
      <c r="E1230" s="70"/>
      <c r="F1230" s="70"/>
      <c r="G1230" s="70"/>
      <c r="H1230" s="70"/>
      <c r="I1230" s="70"/>
      <c r="J1230" s="70"/>
    </row>
    <row r="1231" spans="1:10" ht="16" x14ac:dyDescent="0.2">
      <c r="A1231" s="70"/>
      <c r="B1231" s="70"/>
      <c r="C1231" s="70"/>
      <c r="D1231" s="70"/>
      <c r="E1231" s="70"/>
      <c r="F1231" s="70"/>
      <c r="G1231" s="70"/>
      <c r="H1231" s="70"/>
      <c r="I1231" s="70"/>
      <c r="J1231" s="70"/>
    </row>
    <row r="1232" spans="1:10" ht="16" x14ac:dyDescent="0.2">
      <c r="A1232" s="70"/>
      <c r="B1232" s="70"/>
      <c r="C1232" s="70"/>
      <c r="D1232" s="70"/>
      <c r="E1232" s="70"/>
      <c r="F1232" s="70"/>
      <c r="G1232" s="70"/>
      <c r="H1232" s="70"/>
      <c r="I1232" s="70"/>
      <c r="J1232" s="70"/>
    </row>
    <row r="1233" spans="1:10" ht="16" x14ac:dyDescent="0.2">
      <c r="A1233" s="70"/>
      <c r="B1233" s="70"/>
      <c r="C1233" s="70"/>
      <c r="D1233" s="70"/>
      <c r="E1233" s="70"/>
      <c r="F1233" s="70"/>
      <c r="G1233" s="70"/>
      <c r="H1233" s="70"/>
      <c r="I1233" s="70"/>
      <c r="J1233" s="70"/>
    </row>
    <row r="1234" spans="1:10" ht="16" x14ac:dyDescent="0.2">
      <c r="A1234" s="70"/>
      <c r="B1234" s="70"/>
      <c r="C1234" s="70"/>
      <c r="D1234" s="70"/>
      <c r="E1234" s="70"/>
      <c r="F1234" s="70"/>
      <c r="G1234" s="70"/>
      <c r="H1234" s="70"/>
      <c r="I1234" s="70"/>
      <c r="J1234" s="70"/>
    </row>
    <row r="1235" spans="1:10" ht="16" x14ac:dyDescent="0.2">
      <c r="A1235" s="70"/>
      <c r="B1235" s="70"/>
      <c r="C1235" s="70"/>
      <c r="D1235" s="70"/>
      <c r="E1235" s="70"/>
      <c r="F1235" s="70"/>
      <c r="G1235" s="70"/>
      <c r="H1235" s="70"/>
      <c r="I1235" s="70"/>
      <c r="J1235" s="70"/>
    </row>
    <row r="1236" spans="1:10" ht="16" x14ac:dyDescent="0.2">
      <c r="A1236" s="70"/>
      <c r="B1236" s="70"/>
      <c r="C1236" s="70"/>
      <c r="D1236" s="70"/>
      <c r="E1236" s="70"/>
      <c r="F1236" s="70"/>
      <c r="G1236" s="70"/>
      <c r="H1236" s="70"/>
      <c r="I1236" s="70"/>
      <c r="J1236" s="70"/>
    </row>
    <row r="1237" spans="1:10" ht="16" x14ac:dyDescent="0.2">
      <c r="A1237" s="70"/>
      <c r="B1237" s="70"/>
      <c r="C1237" s="70"/>
      <c r="D1237" s="70"/>
      <c r="E1237" s="70"/>
      <c r="F1237" s="70"/>
      <c r="G1237" s="70"/>
      <c r="H1237" s="70"/>
      <c r="I1237" s="70"/>
      <c r="J1237" s="70"/>
    </row>
    <row r="1238" spans="1:10" ht="16" x14ac:dyDescent="0.2">
      <c r="A1238" s="70"/>
      <c r="B1238" s="70"/>
      <c r="C1238" s="70"/>
      <c r="D1238" s="70"/>
      <c r="E1238" s="70"/>
      <c r="F1238" s="70"/>
      <c r="G1238" s="70"/>
      <c r="H1238" s="70"/>
      <c r="I1238" s="70"/>
      <c r="J1238" s="70"/>
    </row>
    <row r="1239" spans="1:10" ht="16" x14ac:dyDescent="0.2">
      <c r="A1239" s="70"/>
      <c r="B1239" s="70"/>
      <c r="C1239" s="70"/>
      <c r="D1239" s="70"/>
      <c r="E1239" s="70"/>
      <c r="F1239" s="70"/>
      <c r="G1239" s="70"/>
      <c r="H1239" s="70"/>
      <c r="I1239" s="70"/>
      <c r="J1239" s="70"/>
    </row>
    <row r="1240" spans="1:10" ht="16" x14ac:dyDescent="0.2">
      <c r="A1240" s="70"/>
      <c r="B1240" s="70"/>
      <c r="C1240" s="70"/>
      <c r="D1240" s="70"/>
      <c r="E1240" s="70"/>
      <c r="F1240" s="70"/>
      <c r="G1240" s="70"/>
      <c r="H1240" s="70"/>
      <c r="I1240" s="70"/>
      <c r="J1240" s="70"/>
    </row>
    <row r="1241" spans="1:10" ht="16" x14ac:dyDescent="0.2">
      <c r="A1241" s="70"/>
      <c r="B1241" s="70"/>
      <c r="C1241" s="70"/>
      <c r="D1241" s="70"/>
      <c r="E1241" s="70"/>
      <c r="F1241" s="70"/>
      <c r="G1241" s="70"/>
      <c r="H1241" s="70"/>
      <c r="I1241" s="70"/>
      <c r="J1241" s="70"/>
    </row>
    <row r="1242" spans="1:10" ht="16" x14ac:dyDescent="0.2">
      <c r="A1242" s="70"/>
      <c r="B1242" s="70"/>
      <c r="C1242" s="70"/>
      <c r="D1242" s="70"/>
      <c r="E1242" s="70"/>
      <c r="F1242" s="70"/>
      <c r="G1242" s="70"/>
      <c r="H1242" s="70"/>
      <c r="I1242" s="70"/>
      <c r="J1242" s="70"/>
    </row>
    <row r="1243" spans="1:10" ht="16" x14ac:dyDescent="0.2">
      <c r="A1243" s="70"/>
      <c r="B1243" s="70"/>
      <c r="C1243" s="70"/>
      <c r="D1243" s="70"/>
      <c r="E1243" s="70"/>
      <c r="F1243" s="70"/>
      <c r="G1243" s="70"/>
      <c r="H1243" s="70"/>
      <c r="I1243" s="70"/>
      <c r="J1243" s="70"/>
    </row>
    <row r="1244" spans="1:10" ht="16" x14ac:dyDescent="0.2">
      <c r="A1244" s="70"/>
      <c r="B1244" s="70"/>
      <c r="C1244" s="70"/>
      <c r="D1244" s="70"/>
      <c r="E1244" s="70"/>
      <c r="F1244" s="70"/>
      <c r="G1244" s="70"/>
      <c r="H1244" s="70"/>
      <c r="I1244" s="70"/>
      <c r="J1244" s="70"/>
    </row>
    <row r="1245" spans="1:10" ht="16" x14ac:dyDescent="0.2">
      <c r="A1245" s="70"/>
      <c r="B1245" s="70"/>
      <c r="C1245" s="70"/>
      <c r="D1245" s="70"/>
      <c r="E1245" s="70"/>
      <c r="F1245" s="70"/>
      <c r="G1245" s="70"/>
      <c r="H1245" s="70"/>
      <c r="I1245" s="70"/>
      <c r="J1245" s="70"/>
    </row>
    <row r="1246" spans="1:10" ht="16" x14ac:dyDescent="0.2">
      <c r="A1246" s="70"/>
      <c r="B1246" s="70"/>
      <c r="C1246" s="70"/>
      <c r="D1246" s="70"/>
      <c r="E1246" s="70"/>
      <c r="F1246" s="70"/>
      <c r="G1246" s="70"/>
      <c r="H1246" s="70"/>
      <c r="I1246" s="70"/>
      <c r="J1246" s="70"/>
    </row>
    <row r="1247" spans="1:10" ht="16" x14ac:dyDescent="0.2">
      <c r="A1247" s="70"/>
      <c r="B1247" s="70"/>
      <c r="C1247" s="70"/>
      <c r="D1247" s="70"/>
      <c r="E1247" s="70"/>
      <c r="F1247" s="70"/>
      <c r="G1247" s="70"/>
      <c r="H1247" s="70"/>
      <c r="I1247" s="70"/>
      <c r="J1247" s="70"/>
    </row>
    <row r="1248" spans="1:10" ht="16" x14ac:dyDescent="0.2">
      <c r="A1248" s="70"/>
      <c r="B1248" s="70"/>
      <c r="C1248" s="70"/>
      <c r="D1248" s="70"/>
      <c r="E1248" s="70"/>
      <c r="F1248" s="70"/>
      <c r="G1248" s="70"/>
      <c r="H1248" s="70"/>
      <c r="I1248" s="70"/>
      <c r="J1248" s="70"/>
    </row>
    <row r="1249" spans="1:10" ht="16" x14ac:dyDescent="0.2">
      <c r="A1249" s="70"/>
      <c r="B1249" s="70"/>
      <c r="C1249" s="70"/>
      <c r="D1249" s="70"/>
      <c r="E1249" s="70"/>
      <c r="F1249" s="70"/>
      <c r="G1249" s="70"/>
      <c r="H1249" s="70"/>
      <c r="I1249" s="70"/>
      <c r="J1249" s="70"/>
    </row>
    <row r="1250" spans="1:10" ht="16" x14ac:dyDescent="0.2">
      <c r="A1250" s="70"/>
      <c r="B1250" s="70"/>
      <c r="C1250" s="70"/>
      <c r="D1250" s="70"/>
      <c r="E1250" s="70"/>
      <c r="F1250" s="70"/>
      <c r="G1250" s="70"/>
      <c r="H1250" s="70"/>
      <c r="I1250" s="70"/>
      <c r="J1250" s="70"/>
    </row>
    <row r="1251" spans="1:10" ht="16" x14ac:dyDescent="0.2">
      <c r="A1251" s="70"/>
      <c r="B1251" s="70"/>
      <c r="C1251" s="70"/>
      <c r="D1251" s="70"/>
      <c r="E1251" s="70"/>
      <c r="F1251" s="70"/>
      <c r="G1251" s="70"/>
      <c r="H1251" s="70"/>
      <c r="I1251" s="70"/>
      <c r="J1251" s="70"/>
    </row>
    <row r="1252" spans="1:10" ht="16" x14ac:dyDescent="0.2">
      <c r="A1252" s="70"/>
      <c r="B1252" s="70"/>
      <c r="C1252" s="70"/>
      <c r="D1252" s="70"/>
      <c r="E1252" s="70"/>
      <c r="F1252" s="70"/>
      <c r="G1252" s="70"/>
      <c r="H1252" s="70"/>
      <c r="I1252" s="70"/>
      <c r="J1252" s="70"/>
    </row>
    <row r="1253" spans="1:10" ht="16" x14ac:dyDescent="0.2">
      <c r="A1253" s="70"/>
      <c r="B1253" s="70"/>
      <c r="C1253" s="70"/>
      <c r="D1253" s="70"/>
      <c r="E1253" s="70"/>
      <c r="F1253" s="70"/>
      <c r="G1253" s="70"/>
      <c r="H1253" s="70"/>
      <c r="I1253" s="70"/>
      <c r="J1253" s="70"/>
    </row>
    <row r="1254" spans="1:10" ht="16" x14ac:dyDescent="0.2">
      <c r="A1254" s="70"/>
      <c r="B1254" s="70"/>
      <c r="C1254" s="70"/>
      <c r="D1254" s="70"/>
      <c r="E1254" s="70"/>
      <c r="F1254" s="70"/>
      <c r="G1254" s="70"/>
      <c r="H1254" s="70"/>
      <c r="I1254" s="70"/>
      <c r="J1254" s="70"/>
    </row>
    <row r="1255" spans="1:10" ht="16" x14ac:dyDescent="0.2">
      <c r="A1255" s="70"/>
      <c r="B1255" s="70"/>
      <c r="C1255" s="70"/>
      <c r="D1255" s="70"/>
      <c r="E1255" s="70"/>
      <c r="F1255" s="70"/>
      <c r="G1255" s="70"/>
      <c r="H1255" s="70"/>
      <c r="I1255" s="70"/>
      <c r="J1255" s="70"/>
    </row>
    <row r="1256" spans="1:10" ht="16" x14ac:dyDescent="0.2">
      <c r="A1256" s="70"/>
      <c r="B1256" s="70"/>
      <c r="C1256" s="70"/>
      <c r="D1256" s="70"/>
      <c r="E1256" s="70"/>
      <c r="F1256" s="70"/>
      <c r="G1256" s="70"/>
      <c r="H1256" s="70"/>
      <c r="I1256" s="70"/>
      <c r="J1256" s="70"/>
    </row>
    <row r="1257" spans="1:10" ht="16" x14ac:dyDescent="0.2">
      <c r="A1257" s="70"/>
      <c r="B1257" s="70"/>
      <c r="C1257" s="70"/>
      <c r="D1257" s="70"/>
      <c r="E1257" s="70"/>
      <c r="F1257" s="70"/>
      <c r="G1257" s="70"/>
      <c r="H1257" s="70"/>
      <c r="I1257" s="70"/>
      <c r="J1257" s="70"/>
    </row>
    <row r="1258" spans="1:10" ht="16" x14ac:dyDescent="0.2">
      <c r="A1258" s="70"/>
      <c r="B1258" s="70"/>
      <c r="C1258" s="70"/>
      <c r="D1258" s="70"/>
      <c r="E1258" s="70"/>
      <c r="F1258" s="70"/>
      <c r="G1258" s="70"/>
      <c r="H1258" s="70"/>
      <c r="I1258" s="70"/>
      <c r="J1258" s="70"/>
    </row>
    <row r="1259" spans="1:10" ht="16" x14ac:dyDescent="0.2">
      <c r="A1259" s="70"/>
      <c r="B1259" s="70"/>
      <c r="C1259" s="70"/>
      <c r="D1259" s="70"/>
      <c r="E1259" s="70"/>
      <c r="F1259" s="70"/>
      <c r="G1259" s="70"/>
      <c r="H1259" s="70"/>
      <c r="I1259" s="70"/>
      <c r="J1259" s="70"/>
    </row>
    <row r="1260" spans="1:10" ht="16" x14ac:dyDescent="0.2">
      <c r="A1260" s="70"/>
      <c r="B1260" s="70"/>
      <c r="C1260" s="70"/>
      <c r="D1260" s="70"/>
      <c r="E1260" s="70"/>
      <c r="F1260" s="70"/>
      <c r="G1260" s="70"/>
      <c r="H1260" s="70"/>
      <c r="I1260" s="70"/>
      <c r="J1260" s="70"/>
    </row>
    <row r="1261" spans="1:10" ht="16" x14ac:dyDescent="0.2">
      <c r="A1261" s="70"/>
      <c r="B1261" s="70"/>
      <c r="C1261" s="70"/>
      <c r="D1261" s="70"/>
      <c r="E1261" s="70"/>
      <c r="F1261" s="70"/>
      <c r="G1261" s="70"/>
      <c r="H1261" s="70"/>
      <c r="I1261" s="70"/>
      <c r="J1261" s="70"/>
    </row>
    <row r="1262" spans="1:10" ht="16" x14ac:dyDescent="0.2">
      <c r="A1262" s="70"/>
      <c r="B1262" s="70"/>
      <c r="C1262" s="70"/>
      <c r="D1262" s="70"/>
      <c r="E1262" s="70"/>
      <c r="F1262" s="70"/>
      <c r="G1262" s="70"/>
      <c r="H1262" s="70"/>
      <c r="I1262" s="70"/>
      <c r="J1262" s="70"/>
    </row>
    <row r="1263" spans="1:10" ht="16" x14ac:dyDescent="0.2">
      <c r="A1263" s="70"/>
      <c r="B1263" s="70"/>
      <c r="C1263" s="70"/>
      <c r="D1263" s="70"/>
      <c r="E1263" s="70"/>
      <c r="F1263" s="70"/>
      <c r="G1263" s="70"/>
      <c r="H1263" s="70"/>
      <c r="I1263" s="70"/>
      <c r="J1263" s="70"/>
    </row>
    <row r="1264" spans="1:10" ht="16" x14ac:dyDescent="0.2">
      <c r="A1264" s="70"/>
      <c r="B1264" s="70"/>
      <c r="C1264" s="70"/>
      <c r="D1264" s="70"/>
      <c r="E1264" s="70"/>
      <c r="F1264" s="70"/>
      <c r="G1264" s="70"/>
      <c r="H1264" s="70"/>
      <c r="I1264" s="70"/>
      <c r="J1264" s="70"/>
    </row>
    <row r="1265" spans="1:10" ht="16" x14ac:dyDescent="0.2">
      <c r="A1265" s="70"/>
      <c r="B1265" s="70"/>
      <c r="C1265" s="70"/>
      <c r="D1265" s="70"/>
      <c r="E1265" s="70"/>
      <c r="F1265" s="70"/>
      <c r="G1265" s="70"/>
      <c r="H1265" s="70"/>
      <c r="I1265" s="70"/>
      <c r="J1265" s="70"/>
    </row>
    <row r="1266" spans="1:10" ht="16" x14ac:dyDescent="0.2">
      <c r="A1266" s="70"/>
      <c r="B1266" s="70"/>
      <c r="C1266" s="70"/>
      <c r="D1266" s="70"/>
      <c r="E1266" s="70"/>
      <c r="F1266" s="70"/>
      <c r="G1266" s="70"/>
      <c r="H1266" s="70"/>
      <c r="I1266" s="70"/>
      <c r="J1266" s="70"/>
    </row>
    <row r="1267" spans="1:10" ht="16" x14ac:dyDescent="0.2">
      <c r="A1267" s="70"/>
      <c r="B1267" s="70"/>
      <c r="C1267" s="70"/>
      <c r="D1267" s="70"/>
      <c r="E1267" s="70"/>
      <c r="F1267" s="70"/>
      <c r="G1267" s="70"/>
      <c r="H1267" s="70"/>
      <c r="I1267" s="70"/>
      <c r="J1267" s="70"/>
    </row>
    <row r="1268" spans="1:10" ht="16" x14ac:dyDescent="0.2">
      <c r="A1268" s="70"/>
      <c r="B1268" s="70"/>
      <c r="C1268" s="70"/>
      <c r="D1268" s="70"/>
      <c r="E1268" s="70"/>
      <c r="F1268" s="70"/>
      <c r="G1268" s="70"/>
      <c r="H1268" s="70"/>
      <c r="I1268" s="70"/>
      <c r="J1268" s="70"/>
    </row>
    <row r="1269" spans="1:10" ht="16" x14ac:dyDescent="0.2">
      <c r="A1269" s="70"/>
      <c r="B1269" s="70"/>
      <c r="C1269" s="70"/>
      <c r="D1269" s="70"/>
      <c r="E1269" s="70"/>
      <c r="F1269" s="70"/>
      <c r="G1269" s="70"/>
      <c r="H1269" s="70"/>
      <c r="I1269" s="70"/>
      <c r="J1269" s="70"/>
    </row>
    <row r="1270" spans="1:10" ht="16" x14ac:dyDescent="0.2">
      <c r="A1270" s="70"/>
      <c r="B1270" s="70"/>
      <c r="C1270" s="70"/>
      <c r="D1270" s="70"/>
      <c r="E1270" s="70"/>
      <c r="F1270" s="70"/>
      <c r="G1270" s="70"/>
      <c r="H1270" s="70"/>
      <c r="I1270" s="70"/>
      <c r="J1270" s="70"/>
    </row>
    <row r="1271" spans="1:10" ht="16" x14ac:dyDescent="0.2">
      <c r="A1271" s="70"/>
      <c r="B1271" s="70"/>
      <c r="C1271" s="70"/>
      <c r="D1271" s="70"/>
      <c r="E1271" s="70"/>
      <c r="F1271" s="70"/>
      <c r="G1271" s="70"/>
      <c r="H1271" s="70"/>
      <c r="I1271" s="70"/>
      <c r="J1271" s="70"/>
    </row>
    <row r="1272" spans="1:10" ht="16" x14ac:dyDescent="0.2">
      <c r="A1272" s="70"/>
      <c r="B1272" s="70"/>
      <c r="C1272" s="70"/>
      <c r="D1272" s="70"/>
      <c r="E1272" s="70"/>
      <c r="F1272" s="70"/>
      <c r="G1272" s="70"/>
      <c r="H1272" s="70"/>
      <c r="I1272" s="70"/>
      <c r="J1272" s="70"/>
    </row>
    <row r="1273" spans="1:10" ht="16" x14ac:dyDescent="0.2">
      <c r="A1273" s="70"/>
      <c r="B1273" s="70"/>
      <c r="C1273" s="70"/>
      <c r="D1273" s="70"/>
      <c r="E1273" s="70"/>
      <c r="F1273" s="70"/>
      <c r="G1273" s="70"/>
      <c r="H1273" s="70"/>
      <c r="I1273" s="70"/>
      <c r="J1273" s="70"/>
    </row>
    <row r="1274" spans="1:10" ht="16" x14ac:dyDescent="0.2">
      <c r="A1274" s="70"/>
      <c r="B1274" s="70"/>
      <c r="C1274" s="70"/>
      <c r="D1274" s="70"/>
      <c r="E1274" s="70"/>
      <c r="F1274" s="70"/>
      <c r="G1274" s="70"/>
      <c r="H1274" s="70"/>
      <c r="I1274" s="70"/>
      <c r="J1274" s="70"/>
    </row>
    <row r="1275" spans="1:10" ht="16" x14ac:dyDescent="0.2">
      <c r="A1275" s="70"/>
      <c r="B1275" s="70"/>
      <c r="C1275" s="70"/>
      <c r="D1275" s="70"/>
      <c r="E1275" s="70"/>
      <c r="F1275" s="70"/>
      <c r="G1275" s="70"/>
      <c r="H1275" s="70"/>
      <c r="I1275" s="70"/>
      <c r="J1275" s="70"/>
    </row>
    <row r="1276" spans="1:10" ht="16" x14ac:dyDescent="0.2">
      <c r="A1276" s="70"/>
      <c r="B1276" s="70"/>
      <c r="C1276" s="70"/>
      <c r="D1276" s="70"/>
      <c r="E1276" s="70"/>
      <c r="F1276" s="70"/>
      <c r="G1276" s="70"/>
      <c r="H1276" s="70"/>
      <c r="I1276" s="70"/>
      <c r="J1276" s="70"/>
    </row>
    <row r="1277" spans="1:10" ht="16" x14ac:dyDescent="0.2">
      <c r="A1277" s="70"/>
      <c r="B1277" s="70"/>
      <c r="C1277" s="70"/>
      <c r="D1277" s="70"/>
      <c r="E1277" s="70"/>
      <c r="F1277" s="70"/>
      <c r="G1277" s="70"/>
      <c r="H1277" s="70"/>
      <c r="I1277" s="70"/>
      <c r="J1277" s="70"/>
    </row>
    <row r="1278" spans="1:10" ht="16" x14ac:dyDescent="0.2">
      <c r="A1278" s="70"/>
      <c r="B1278" s="70"/>
      <c r="C1278" s="70"/>
      <c r="D1278" s="70"/>
      <c r="E1278" s="70"/>
      <c r="F1278" s="70"/>
      <c r="G1278" s="70"/>
      <c r="H1278" s="70"/>
      <c r="I1278" s="70"/>
      <c r="J1278" s="70"/>
    </row>
    <row r="1279" spans="1:10" ht="16" x14ac:dyDescent="0.2">
      <c r="A1279" s="70"/>
      <c r="B1279" s="70"/>
      <c r="C1279" s="70"/>
      <c r="D1279" s="70"/>
      <c r="E1279" s="70"/>
      <c r="F1279" s="70"/>
      <c r="G1279" s="70"/>
      <c r="H1279" s="70"/>
      <c r="I1279" s="70"/>
      <c r="J1279" s="70"/>
    </row>
    <row r="1280" spans="1:10" ht="16" x14ac:dyDescent="0.2">
      <c r="A1280" s="70"/>
      <c r="B1280" s="70"/>
      <c r="C1280" s="70"/>
      <c r="D1280" s="70"/>
      <c r="E1280" s="70"/>
      <c r="F1280" s="70"/>
      <c r="G1280" s="70"/>
      <c r="H1280" s="70"/>
      <c r="I1280" s="70"/>
      <c r="J1280" s="70"/>
    </row>
    <row r="1281" spans="1:10" ht="16" x14ac:dyDescent="0.2">
      <c r="A1281" s="70"/>
      <c r="B1281" s="70"/>
      <c r="C1281" s="70"/>
      <c r="D1281" s="70"/>
      <c r="E1281" s="70"/>
      <c r="F1281" s="70"/>
      <c r="G1281" s="70"/>
      <c r="H1281" s="70"/>
      <c r="I1281" s="70"/>
      <c r="J1281" s="70"/>
    </row>
    <row r="1282" spans="1:10" ht="16" x14ac:dyDescent="0.2">
      <c r="A1282" s="70"/>
      <c r="B1282" s="70"/>
      <c r="C1282" s="70"/>
      <c r="D1282" s="70"/>
      <c r="E1282" s="70"/>
      <c r="F1282" s="70"/>
      <c r="G1282" s="70"/>
      <c r="H1282" s="70"/>
      <c r="I1282" s="70"/>
      <c r="J1282" s="70"/>
    </row>
    <row r="1283" spans="1:10" ht="16" x14ac:dyDescent="0.2">
      <c r="A1283" s="70"/>
      <c r="B1283" s="70"/>
      <c r="C1283" s="70"/>
      <c r="D1283" s="70"/>
      <c r="E1283" s="70"/>
      <c r="F1283" s="70"/>
      <c r="G1283" s="70"/>
      <c r="H1283" s="70"/>
      <c r="I1283" s="70"/>
      <c r="J1283" s="70"/>
    </row>
    <row r="1284" spans="1:10" ht="16" x14ac:dyDescent="0.2">
      <c r="A1284" s="70"/>
      <c r="B1284" s="70"/>
      <c r="C1284" s="70"/>
      <c r="D1284" s="70"/>
      <c r="E1284" s="70"/>
      <c r="F1284" s="70"/>
      <c r="G1284" s="70"/>
      <c r="H1284" s="70"/>
      <c r="I1284" s="70"/>
      <c r="J1284" s="70"/>
    </row>
    <row r="1285" spans="1:10" ht="16" x14ac:dyDescent="0.2">
      <c r="A1285" s="70"/>
      <c r="B1285" s="70"/>
      <c r="C1285" s="70"/>
      <c r="D1285" s="70"/>
      <c r="E1285" s="70"/>
      <c r="F1285" s="70"/>
      <c r="G1285" s="70"/>
      <c r="H1285" s="70"/>
      <c r="I1285" s="70"/>
      <c r="J1285" s="70"/>
    </row>
    <row r="1286" spans="1:10" ht="16" x14ac:dyDescent="0.2">
      <c r="A1286" s="70"/>
      <c r="B1286" s="70"/>
      <c r="C1286" s="70"/>
      <c r="D1286" s="70"/>
      <c r="E1286" s="70"/>
      <c r="F1286" s="70"/>
      <c r="G1286" s="70"/>
      <c r="H1286" s="70"/>
      <c r="I1286" s="70"/>
      <c r="J1286" s="70"/>
    </row>
    <row r="1287" spans="1:10" ht="16" x14ac:dyDescent="0.2">
      <c r="A1287" s="70"/>
      <c r="B1287" s="70"/>
      <c r="C1287" s="70"/>
      <c r="D1287" s="70"/>
      <c r="E1287" s="70"/>
      <c r="F1287" s="70"/>
      <c r="G1287" s="70"/>
      <c r="H1287" s="70"/>
      <c r="I1287" s="70"/>
      <c r="J1287" s="70"/>
    </row>
    <row r="1288" spans="1:10" ht="16" x14ac:dyDescent="0.2">
      <c r="A1288" s="70"/>
      <c r="B1288" s="70"/>
      <c r="C1288" s="70"/>
      <c r="D1288" s="70"/>
      <c r="E1288" s="70"/>
      <c r="F1288" s="70"/>
      <c r="G1288" s="70"/>
      <c r="H1288" s="70"/>
      <c r="I1288" s="70"/>
      <c r="J1288" s="70"/>
    </row>
    <row r="1289" spans="1:10" ht="16" x14ac:dyDescent="0.2">
      <c r="A1289" s="70"/>
      <c r="B1289" s="70"/>
      <c r="C1289" s="70"/>
      <c r="D1289" s="70"/>
      <c r="E1289" s="70"/>
      <c r="F1289" s="70"/>
      <c r="G1289" s="70"/>
      <c r="H1289" s="70"/>
      <c r="I1289" s="70"/>
      <c r="J1289" s="70"/>
    </row>
    <row r="1290" spans="1:10" ht="16" x14ac:dyDescent="0.2">
      <c r="A1290" s="70"/>
      <c r="B1290" s="70"/>
      <c r="C1290" s="70"/>
      <c r="D1290" s="70"/>
      <c r="E1290" s="70"/>
      <c r="F1290" s="70"/>
      <c r="G1290" s="70"/>
      <c r="H1290" s="70"/>
      <c r="I1290" s="70"/>
      <c r="J1290" s="70"/>
    </row>
    <row r="1291" spans="1:10" ht="16" x14ac:dyDescent="0.2">
      <c r="A1291" s="70"/>
      <c r="B1291" s="70"/>
      <c r="C1291" s="70"/>
      <c r="D1291" s="70"/>
      <c r="E1291" s="70"/>
      <c r="F1291" s="70"/>
      <c r="G1291" s="70"/>
      <c r="H1291" s="70"/>
      <c r="I1291" s="70"/>
      <c r="J1291" s="70"/>
    </row>
    <row r="1292" spans="1:10" ht="16" x14ac:dyDescent="0.2">
      <c r="A1292" s="70"/>
      <c r="B1292" s="70"/>
      <c r="C1292" s="70"/>
      <c r="D1292" s="70"/>
      <c r="E1292" s="70"/>
      <c r="F1292" s="70"/>
      <c r="G1292" s="70"/>
      <c r="H1292" s="70"/>
      <c r="I1292" s="70"/>
      <c r="J1292" s="70"/>
    </row>
    <row r="1293" spans="1:10" ht="16" x14ac:dyDescent="0.2">
      <c r="A1293" s="70"/>
      <c r="B1293" s="70"/>
      <c r="C1293" s="70"/>
      <c r="D1293" s="70"/>
      <c r="E1293" s="70"/>
      <c r="F1293" s="70"/>
      <c r="G1293" s="70"/>
      <c r="H1293" s="70"/>
      <c r="I1293" s="70"/>
      <c r="J1293" s="70"/>
    </row>
    <row r="1294" spans="1:10" ht="16" x14ac:dyDescent="0.2">
      <c r="A1294" s="70"/>
      <c r="B1294" s="70"/>
      <c r="C1294" s="70"/>
      <c r="D1294" s="70"/>
      <c r="E1294" s="70"/>
      <c r="F1294" s="70"/>
      <c r="G1294" s="70"/>
      <c r="H1294" s="70"/>
      <c r="I1294" s="70"/>
      <c r="J1294" s="70"/>
    </row>
    <row r="1295" spans="1:10" ht="16" x14ac:dyDescent="0.2">
      <c r="A1295" s="70"/>
      <c r="B1295" s="70"/>
      <c r="C1295" s="70"/>
      <c r="D1295" s="70"/>
      <c r="E1295" s="70"/>
      <c r="F1295" s="70"/>
      <c r="G1295" s="70"/>
      <c r="H1295" s="70"/>
      <c r="I1295" s="70"/>
      <c r="J1295" s="70"/>
    </row>
    <row r="1296" spans="1:10" ht="16" x14ac:dyDescent="0.2">
      <c r="A1296" s="70"/>
      <c r="B1296" s="70"/>
      <c r="C1296" s="70"/>
      <c r="D1296" s="70"/>
      <c r="E1296" s="70"/>
      <c r="F1296" s="70"/>
      <c r="G1296" s="70"/>
      <c r="H1296" s="70"/>
      <c r="I1296" s="70"/>
      <c r="J1296" s="70"/>
    </row>
    <row r="1297" spans="1:10" ht="16" x14ac:dyDescent="0.2">
      <c r="A1297" s="70"/>
      <c r="B1297" s="70"/>
      <c r="C1297" s="70"/>
      <c r="D1297" s="70"/>
      <c r="E1297" s="70"/>
      <c r="F1297" s="70"/>
      <c r="G1297" s="70"/>
      <c r="H1297" s="70"/>
      <c r="I1297" s="70"/>
      <c r="J1297" s="70"/>
    </row>
    <row r="1298" spans="1:10" ht="16" x14ac:dyDescent="0.2">
      <c r="A1298" s="70"/>
      <c r="B1298" s="70"/>
      <c r="C1298" s="70"/>
      <c r="D1298" s="70"/>
      <c r="E1298" s="70"/>
      <c r="F1298" s="70"/>
      <c r="G1298" s="70"/>
      <c r="H1298" s="70"/>
      <c r="I1298" s="70"/>
      <c r="J1298" s="70"/>
    </row>
    <row r="1299" spans="1:10" ht="16" x14ac:dyDescent="0.2">
      <c r="A1299" s="70"/>
      <c r="B1299" s="70"/>
      <c r="C1299" s="70"/>
      <c r="D1299" s="70"/>
      <c r="E1299" s="70"/>
      <c r="F1299" s="70"/>
      <c r="G1299" s="70"/>
      <c r="H1299" s="70"/>
      <c r="I1299" s="70"/>
      <c r="J1299" s="70"/>
    </row>
    <row r="1300" spans="1:10" ht="16" x14ac:dyDescent="0.2">
      <c r="A1300" s="70"/>
      <c r="B1300" s="70"/>
      <c r="C1300" s="70"/>
      <c r="D1300" s="70"/>
      <c r="E1300" s="70"/>
      <c r="F1300" s="70"/>
      <c r="G1300" s="70"/>
      <c r="H1300" s="70"/>
      <c r="I1300" s="70"/>
      <c r="J1300" s="70"/>
    </row>
    <row r="1301" spans="1:10" ht="16" x14ac:dyDescent="0.2">
      <c r="A1301" s="70"/>
      <c r="B1301" s="70"/>
      <c r="C1301" s="70"/>
      <c r="D1301" s="70"/>
      <c r="E1301" s="70"/>
      <c r="F1301" s="70"/>
      <c r="G1301" s="70"/>
      <c r="H1301" s="70"/>
      <c r="I1301" s="70"/>
      <c r="J1301" s="70"/>
    </row>
    <row r="1302" spans="1:10" ht="16" x14ac:dyDescent="0.2">
      <c r="A1302" s="70"/>
      <c r="B1302" s="70"/>
      <c r="C1302" s="70"/>
      <c r="D1302" s="70"/>
      <c r="E1302" s="70"/>
      <c r="F1302" s="70"/>
      <c r="G1302" s="70"/>
      <c r="H1302" s="70"/>
      <c r="I1302" s="70"/>
      <c r="J1302" s="70"/>
    </row>
    <row r="1303" spans="1:10" ht="16" x14ac:dyDescent="0.2">
      <c r="A1303" s="70"/>
      <c r="B1303" s="70"/>
      <c r="C1303" s="70"/>
      <c r="D1303" s="70"/>
      <c r="E1303" s="70"/>
      <c r="F1303" s="70"/>
      <c r="G1303" s="70"/>
      <c r="H1303" s="70"/>
      <c r="I1303" s="70"/>
      <c r="J1303" s="70"/>
    </row>
    <row r="1304" spans="1:10" ht="16" x14ac:dyDescent="0.2">
      <c r="A1304" s="70"/>
      <c r="B1304" s="70"/>
      <c r="C1304" s="70"/>
      <c r="D1304" s="70"/>
      <c r="E1304" s="70"/>
      <c r="F1304" s="70"/>
      <c r="G1304" s="70"/>
      <c r="H1304" s="70"/>
      <c r="I1304" s="70"/>
      <c r="J1304" s="70"/>
    </row>
    <row r="1305" spans="1:10" ht="16" x14ac:dyDescent="0.2">
      <c r="A1305" s="70"/>
      <c r="B1305" s="70"/>
      <c r="C1305" s="70"/>
      <c r="D1305" s="70"/>
      <c r="E1305" s="70"/>
      <c r="F1305" s="70"/>
      <c r="G1305" s="70"/>
      <c r="H1305" s="70"/>
      <c r="I1305" s="70"/>
      <c r="J1305" s="70"/>
    </row>
    <row r="1306" spans="1:10" ht="16" x14ac:dyDescent="0.2">
      <c r="A1306" s="70"/>
      <c r="B1306" s="70"/>
      <c r="C1306" s="70"/>
      <c r="D1306" s="70"/>
      <c r="E1306" s="70"/>
      <c r="F1306" s="70"/>
      <c r="G1306" s="70"/>
      <c r="H1306" s="70"/>
      <c r="I1306" s="70"/>
      <c r="J1306" s="70"/>
    </row>
    <row r="1307" spans="1:10" ht="16" x14ac:dyDescent="0.2">
      <c r="A1307" s="70"/>
      <c r="B1307" s="70"/>
      <c r="C1307" s="70"/>
      <c r="D1307" s="70"/>
      <c r="E1307" s="70"/>
      <c r="F1307" s="70"/>
      <c r="G1307" s="70"/>
      <c r="H1307" s="70"/>
      <c r="I1307" s="70"/>
      <c r="J1307" s="70"/>
    </row>
    <row r="1308" spans="1:10" ht="16" x14ac:dyDescent="0.2">
      <c r="A1308" s="70"/>
      <c r="B1308" s="70"/>
      <c r="C1308" s="70"/>
      <c r="D1308" s="70"/>
      <c r="E1308" s="70"/>
      <c r="F1308" s="70"/>
      <c r="G1308" s="70"/>
      <c r="H1308" s="70"/>
      <c r="I1308" s="70"/>
      <c r="J1308" s="70"/>
    </row>
    <row r="1309" spans="1:10" ht="16" x14ac:dyDescent="0.2">
      <c r="A1309" s="70"/>
      <c r="B1309" s="70"/>
      <c r="C1309" s="70"/>
      <c r="D1309" s="70"/>
      <c r="E1309" s="70"/>
      <c r="F1309" s="70"/>
      <c r="G1309" s="70"/>
      <c r="H1309" s="70"/>
      <c r="I1309" s="70"/>
      <c r="J1309" s="70"/>
    </row>
    <row r="1310" spans="1:10" ht="16" x14ac:dyDescent="0.2">
      <c r="A1310" s="70"/>
      <c r="B1310" s="70"/>
      <c r="C1310" s="70"/>
      <c r="D1310" s="70"/>
      <c r="E1310" s="70"/>
      <c r="F1310" s="70"/>
      <c r="G1310" s="70"/>
      <c r="H1310" s="70"/>
      <c r="I1310" s="70"/>
      <c r="J1310" s="70"/>
    </row>
    <row r="1311" spans="1:10" ht="16" x14ac:dyDescent="0.2">
      <c r="A1311" s="70"/>
      <c r="B1311" s="70"/>
      <c r="C1311" s="70"/>
      <c r="D1311" s="70"/>
      <c r="E1311" s="70"/>
      <c r="F1311" s="70"/>
      <c r="G1311" s="70"/>
      <c r="H1311" s="70"/>
      <c r="I1311" s="70"/>
      <c r="J1311" s="70"/>
    </row>
    <row r="1312" spans="1:10" ht="16" x14ac:dyDescent="0.2">
      <c r="A1312" s="70"/>
      <c r="B1312" s="70"/>
      <c r="C1312" s="70"/>
      <c r="D1312" s="70"/>
      <c r="E1312" s="70"/>
      <c r="F1312" s="70"/>
      <c r="G1312" s="70"/>
      <c r="H1312" s="70"/>
      <c r="I1312" s="70"/>
      <c r="J1312" s="70"/>
    </row>
    <row r="1313" spans="1:10" ht="16" x14ac:dyDescent="0.2">
      <c r="A1313" s="70"/>
      <c r="B1313" s="70"/>
      <c r="C1313" s="70"/>
      <c r="D1313" s="70"/>
      <c r="E1313" s="70"/>
      <c r="F1313" s="70"/>
      <c r="G1313" s="70"/>
      <c r="H1313" s="70"/>
      <c r="I1313" s="70"/>
      <c r="J1313" s="70"/>
    </row>
    <row r="1314" spans="1:10" ht="16" x14ac:dyDescent="0.2">
      <c r="A1314" s="70"/>
      <c r="B1314" s="70"/>
      <c r="C1314" s="70"/>
      <c r="D1314" s="70"/>
      <c r="E1314" s="70"/>
      <c r="F1314" s="70"/>
      <c r="G1314" s="70"/>
      <c r="H1314" s="70"/>
      <c r="I1314" s="70"/>
      <c r="J1314" s="70"/>
    </row>
    <row r="1315" spans="1:10" ht="16" x14ac:dyDescent="0.2">
      <c r="A1315" s="70"/>
      <c r="B1315" s="70"/>
      <c r="C1315" s="70"/>
      <c r="D1315" s="70"/>
      <c r="E1315" s="70"/>
      <c r="F1315" s="70"/>
      <c r="G1315" s="70"/>
      <c r="H1315" s="70"/>
      <c r="I1315" s="70"/>
      <c r="J1315" s="70"/>
    </row>
    <row r="1316" spans="1:10" ht="16" x14ac:dyDescent="0.2">
      <c r="A1316" s="70"/>
      <c r="B1316" s="70"/>
      <c r="C1316" s="70"/>
      <c r="D1316" s="70"/>
      <c r="E1316" s="70"/>
      <c r="F1316" s="70"/>
      <c r="G1316" s="70"/>
      <c r="H1316" s="70"/>
      <c r="I1316" s="70"/>
      <c r="J1316" s="70"/>
    </row>
    <row r="1317" spans="1:10" ht="16" x14ac:dyDescent="0.2">
      <c r="A1317" s="70"/>
      <c r="B1317" s="70"/>
      <c r="C1317" s="70"/>
      <c r="D1317" s="70"/>
      <c r="E1317" s="70"/>
      <c r="F1317" s="70"/>
      <c r="G1317" s="70"/>
      <c r="H1317" s="70"/>
      <c r="I1317" s="70"/>
      <c r="J1317" s="70"/>
    </row>
    <row r="1318" spans="1:10" ht="16" x14ac:dyDescent="0.2">
      <c r="A1318" s="70"/>
      <c r="B1318" s="70"/>
      <c r="C1318" s="70"/>
      <c r="D1318" s="70"/>
      <c r="E1318" s="70"/>
      <c r="F1318" s="70"/>
      <c r="G1318" s="70"/>
      <c r="H1318" s="70"/>
      <c r="I1318" s="70"/>
      <c r="J1318" s="70"/>
    </row>
    <row r="1319" spans="1:10" ht="16" x14ac:dyDescent="0.2">
      <c r="A1319" s="70"/>
      <c r="B1319" s="70"/>
      <c r="C1319" s="70"/>
      <c r="D1319" s="70"/>
      <c r="E1319" s="70"/>
      <c r="F1319" s="70"/>
      <c r="G1319" s="70"/>
      <c r="H1319" s="70"/>
      <c r="I1319" s="70"/>
      <c r="J1319" s="70"/>
    </row>
    <row r="1320" spans="1:10" ht="16" x14ac:dyDescent="0.2">
      <c r="A1320" s="70"/>
      <c r="B1320" s="70"/>
      <c r="C1320" s="70"/>
      <c r="D1320" s="70"/>
      <c r="E1320" s="70"/>
      <c r="F1320" s="70"/>
      <c r="G1320" s="70"/>
      <c r="H1320" s="70"/>
      <c r="I1320" s="70"/>
      <c r="J1320" s="70"/>
    </row>
    <row r="1321" spans="1:10" ht="16" x14ac:dyDescent="0.2">
      <c r="A1321" s="70"/>
      <c r="B1321" s="70"/>
      <c r="C1321" s="70"/>
      <c r="D1321" s="70"/>
      <c r="E1321" s="70"/>
      <c r="F1321" s="70"/>
      <c r="G1321" s="70"/>
      <c r="H1321" s="70"/>
      <c r="I1321" s="70"/>
      <c r="J1321" s="70"/>
    </row>
    <row r="1322" spans="1:10" ht="16" x14ac:dyDescent="0.2">
      <c r="A1322" s="70"/>
      <c r="B1322" s="70"/>
      <c r="C1322" s="70"/>
      <c r="D1322" s="70"/>
      <c r="E1322" s="70"/>
      <c r="F1322" s="70"/>
      <c r="G1322" s="70"/>
      <c r="H1322" s="70"/>
      <c r="I1322" s="70"/>
      <c r="J1322" s="70"/>
    </row>
    <row r="1323" spans="1:10" ht="16" x14ac:dyDescent="0.2">
      <c r="A1323" s="70"/>
      <c r="B1323" s="70"/>
      <c r="C1323" s="70"/>
      <c r="D1323" s="70"/>
      <c r="E1323" s="70"/>
      <c r="F1323" s="70"/>
      <c r="G1323" s="70"/>
      <c r="H1323" s="70"/>
      <c r="I1323" s="70"/>
      <c r="J1323" s="70"/>
    </row>
    <row r="1324" spans="1:10" ht="16" x14ac:dyDescent="0.2">
      <c r="A1324" s="70"/>
      <c r="B1324" s="70"/>
      <c r="C1324" s="70"/>
      <c r="D1324" s="70"/>
      <c r="E1324" s="70"/>
      <c r="F1324" s="70"/>
      <c r="G1324" s="70"/>
      <c r="H1324" s="70"/>
      <c r="I1324" s="70"/>
      <c r="J1324" s="70"/>
    </row>
    <row r="1325" spans="1:10" ht="16" x14ac:dyDescent="0.2">
      <c r="A1325" s="70"/>
      <c r="B1325" s="70"/>
      <c r="C1325" s="70"/>
      <c r="D1325" s="70"/>
      <c r="E1325" s="70"/>
      <c r="F1325" s="70"/>
      <c r="G1325" s="70"/>
      <c r="H1325" s="70"/>
      <c r="I1325" s="70"/>
      <c r="J1325" s="70"/>
    </row>
    <row r="1326" spans="1:10" ht="16" x14ac:dyDescent="0.2">
      <c r="A1326" s="70"/>
      <c r="B1326" s="70"/>
      <c r="C1326" s="70"/>
      <c r="D1326" s="70"/>
      <c r="E1326" s="70"/>
      <c r="F1326" s="70"/>
      <c r="G1326" s="70"/>
      <c r="H1326" s="70"/>
      <c r="I1326" s="70"/>
      <c r="J1326" s="70"/>
    </row>
    <row r="1327" spans="1:10" ht="16" x14ac:dyDescent="0.2">
      <c r="A1327" s="70"/>
      <c r="B1327" s="70"/>
      <c r="C1327" s="70"/>
      <c r="D1327" s="70"/>
      <c r="E1327" s="70"/>
      <c r="F1327" s="70"/>
      <c r="G1327" s="70"/>
      <c r="H1327" s="70"/>
      <c r="I1327" s="70"/>
      <c r="J1327" s="70"/>
    </row>
    <row r="1328" spans="1:10" ht="16" x14ac:dyDescent="0.2">
      <c r="A1328" s="70"/>
      <c r="B1328" s="70"/>
      <c r="C1328" s="70"/>
      <c r="D1328" s="70"/>
      <c r="E1328" s="70"/>
      <c r="F1328" s="70"/>
      <c r="G1328" s="70"/>
      <c r="H1328" s="70"/>
      <c r="I1328" s="70"/>
      <c r="J1328" s="70"/>
    </row>
    <row r="1329" spans="1:10" ht="16" x14ac:dyDescent="0.2">
      <c r="A1329" s="70"/>
      <c r="B1329" s="70"/>
      <c r="C1329" s="70"/>
      <c r="D1329" s="70"/>
      <c r="E1329" s="70"/>
      <c r="F1329" s="70"/>
      <c r="G1329" s="70"/>
      <c r="H1329" s="70"/>
      <c r="I1329" s="70"/>
      <c r="J1329" s="70"/>
    </row>
    <row r="1330" spans="1:10" ht="16" x14ac:dyDescent="0.2">
      <c r="A1330" s="70"/>
      <c r="B1330" s="70"/>
      <c r="C1330" s="70"/>
      <c r="D1330" s="70"/>
      <c r="E1330" s="70"/>
      <c r="F1330" s="70"/>
      <c r="G1330" s="70"/>
      <c r="H1330" s="70"/>
      <c r="I1330" s="70"/>
      <c r="J1330" s="70"/>
    </row>
    <row r="1331" spans="1:10" ht="16" x14ac:dyDescent="0.2">
      <c r="A1331" s="70"/>
      <c r="B1331" s="70"/>
      <c r="C1331" s="70"/>
      <c r="D1331" s="70"/>
      <c r="E1331" s="70"/>
      <c r="F1331" s="70"/>
      <c r="G1331" s="70"/>
      <c r="H1331" s="70"/>
      <c r="I1331" s="70"/>
      <c r="J1331" s="70"/>
    </row>
    <row r="1332" spans="1:10" ht="16" x14ac:dyDescent="0.2">
      <c r="A1332" s="70"/>
      <c r="B1332" s="70"/>
      <c r="C1332" s="70"/>
      <c r="D1332" s="70"/>
      <c r="E1332" s="70"/>
      <c r="F1332" s="70"/>
      <c r="G1332" s="70"/>
      <c r="H1332" s="70"/>
      <c r="I1332" s="70"/>
      <c r="J1332" s="70"/>
    </row>
    <row r="1333" spans="1:10" ht="16" x14ac:dyDescent="0.2">
      <c r="A1333" s="70"/>
      <c r="B1333" s="70"/>
      <c r="C1333" s="70"/>
      <c r="D1333" s="70"/>
      <c r="E1333" s="70"/>
      <c r="F1333" s="70"/>
      <c r="G1333" s="70"/>
      <c r="H1333" s="70"/>
      <c r="I1333" s="70"/>
      <c r="J1333" s="70"/>
    </row>
    <row r="1334" spans="1:10" ht="16" x14ac:dyDescent="0.2">
      <c r="A1334" s="70"/>
      <c r="B1334" s="70"/>
      <c r="C1334" s="70"/>
      <c r="D1334" s="70"/>
      <c r="E1334" s="70"/>
      <c r="F1334" s="70"/>
      <c r="G1334" s="70"/>
      <c r="H1334" s="70"/>
      <c r="I1334" s="70"/>
      <c r="J1334" s="70"/>
    </row>
    <row r="1335" spans="1:10" ht="16" x14ac:dyDescent="0.2">
      <c r="A1335" s="70"/>
      <c r="B1335" s="70"/>
      <c r="C1335" s="70"/>
      <c r="D1335" s="70"/>
      <c r="E1335" s="70"/>
      <c r="F1335" s="70"/>
      <c r="G1335" s="70"/>
      <c r="H1335" s="70"/>
      <c r="I1335" s="70"/>
      <c r="J1335" s="70"/>
    </row>
    <row r="1336" spans="1:10" ht="16" x14ac:dyDescent="0.2">
      <c r="A1336" s="70"/>
      <c r="B1336" s="70"/>
      <c r="C1336" s="70"/>
      <c r="D1336" s="70"/>
      <c r="E1336" s="70"/>
      <c r="F1336" s="70"/>
      <c r="G1336" s="70"/>
      <c r="H1336" s="70"/>
      <c r="I1336" s="70"/>
      <c r="J1336" s="70"/>
    </row>
    <row r="1337" spans="1:10" ht="16" x14ac:dyDescent="0.2">
      <c r="A1337" s="70"/>
      <c r="B1337" s="70"/>
      <c r="C1337" s="70"/>
      <c r="D1337" s="70"/>
      <c r="E1337" s="70"/>
      <c r="F1337" s="70"/>
      <c r="G1337" s="70"/>
      <c r="H1337" s="70"/>
      <c r="I1337" s="70"/>
      <c r="J1337" s="70"/>
    </row>
    <row r="1338" spans="1:10" ht="16" x14ac:dyDescent="0.2">
      <c r="A1338" s="70"/>
      <c r="B1338" s="70"/>
      <c r="C1338" s="70"/>
      <c r="D1338" s="70"/>
      <c r="E1338" s="70"/>
      <c r="F1338" s="70"/>
      <c r="G1338" s="70"/>
      <c r="H1338" s="70"/>
      <c r="I1338" s="70"/>
      <c r="J1338" s="70"/>
    </row>
    <row r="1339" spans="1:10" ht="16" x14ac:dyDescent="0.2">
      <c r="A1339" s="70"/>
      <c r="B1339" s="70"/>
      <c r="C1339" s="70"/>
      <c r="D1339" s="70"/>
      <c r="E1339" s="70"/>
      <c r="F1339" s="70"/>
      <c r="G1339" s="70"/>
      <c r="H1339" s="70"/>
      <c r="I1339" s="70"/>
      <c r="J1339" s="70"/>
    </row>
    <row r="1340" spans="1:10" ht="16" x14ac:dyDescent="0.2">
      <c r="A1340" s="70"/>
      <c r="B1340" s="70"/>
      <c r="C1340" s="70"/>
      <c r="D1340" s="70"/>
      <c r="E1340" s="70"/>
      <c r="F1340" s="70"/>
      <c r="G1340" s="70"/>
      <c r="H1340" s="70"/>
      <c r="I1340" s="70"/>
      <c r="J1340" s="70"/>
    </row>
    <row r="1341" spans="1:10" ht="16" x14ac:dyDescent="0.2">
      <c r="A1341" s="70"/>
      <c r="B1341" s="70"/>
      <c r="C1341" s="70"/>
      <c r="D1341" s="70"/>
      <c r="E1341" s="70"/>
      <c r="F1341" s="70"/>
      <c r="G1341" s="70"/>
      <c r="H1341" s="70"/>
      <c r="I1341" s="70"/>
      <c r="J1341" s="70"/>
    </row>
    <row r="1342" spans="1:10" ht="16" x14ac:dyDescent="0.2">
      <c r="A1342" s="70"/>
      <c r="B1342" s="70"/>
      <c r="C1342" s="70"/>
      <c r="D1342" s="70"/>
      <c r="E1342" s="70"/>
      <c r="F1342" s="70"/>
      <c r="G1342" s="70"/>
      <c r="H1342" s="70"/>
      <c r="I1342" s="70"/>
      <c r="J1342" s="70"/>
    </row>
    <row r="1343" spans="1:10" ht="16" x14ac:dyDescent="0.2">
      <c r="A1343" s="70"/>
      <c r="B1343" s="70"/>
      <c r="C1343" s="70"/>
      <c r="D1343" s="70"/>
      <c r="E1343" s="70"/>
      <c r="F1343" s="70"/>
      <c r="G1343" s="70"/>
      <c r="H1343" s="70"/>
      <c r="I1343" s="70"/>
      <c r="J1343" s="70"/>
    </row>
    <row r="1344" spans="1:10" ht="16" x14ac:dyDescent="0.2">
      <c r="A1344" s="70"/>
      <c r="B1344" s="70"/>
      <c r="C1344" s="70"/>
      <c r="D1344" s="70"/>
      <c r="E1344" s="70"/>
      <c r="F1344" s="70"/>
      <c r="G1344" s="70"/>
      <c r="H1344" s="70"/>
      <c r="I1344" s="70"/>
      <c r="J1344" s="70"/>
    </row>
    <row r="1345" spans="1:10" ht="16" x14ac:dyDescent="0.2">
      <c r="A1345" s="70"/>
      <c r="B1345" s="70"/>
      <c r="C1345" s="70"/>
      <c r="D1345" s="70"/>
      <c r="E1345" s="70"/>
      <c r="F1345" s="70"/>
      <c r="G1345" s="70"/>
      <c r="H1345" s="70"/>
      <c r="I1345" s="70"/>
      <c r="J1345" s="70"/>
    </row>
    <row r="1346" spans="1:10" ht="16" x14ac:dyDescent="0.2">
      <c r="A1346" s="70"/>
      <c r="B1346" s="70"/>
      <c r="C1346" s="70"/>
      <c r="D1346" s="70"/>
      <c r="E1346" s="70"/>
      <c r="F1346" s="70"/>
      <c r="G1346" s="70"/>
      <c r="H1346" s="70"/>
      <c r="I1346" s="70"/>
      <c r="J1346" s="70"/>
    </row>
    <row r="1347" spans="1:10" ht="16" x14ac:dyDescent="0.2">
      <c r="A1347" s="70"/>
      <c r="B1347" s="70"/>
      <c r="C1347" s="70"/>
      <c r="D1347" s="70"/>
      <c r="E1347" s="70"/>
      <c r="F1347" s="70"/>
      <c r="G1347" s="70"/>
      <c r="H1347" s="70"/>
      <c r="I1347" s="70"/>
      <c r="J1347" s="70"/>
    </row>
    <row r="1348" spans="1:10" ht="16" x14ac:dyDescent="0.2">
      <c r="A1348" s="70"/>
      <c r="B1348" s="70"/>
      <c r="C1348" s="70"/>
      <c r="D1348" s="70"/>
      <c r="E1348" s="70"/>
      <c r="F1348" s="70"/>
      <c r="G1348" s="70"/>
      <c r="H1348" s="70"/>
      <c r="I1348" s="70"/>
      <c r="J1348" s="70"/>
    </row>
    <row r="1349" spans="1:10" ht="16" x14ac:dyDescent="0.2">
      <c r="A1349" s="70"/>
      <c r="B1349" s="70"/>
      <c r="C1349" s="70"/>
      <c r="D1349" s="70"/>
      <c r="E1349" s="70"/>
      <c r="F1349" s="70"/>
      <c r="G1349" s="70"/>
      <c r="H1349" s="70"/>
      <c r="I1349" s="70"/>
      <c r="J1349" s="70"/>
    </row>
    <row r="1350" spans="1:10" ht="16" x14ac:dyDescent="0.2">
      <c r="A1350" s="70"/>
      <c r="B1350" s="70"/>
      <c r="C1350" s="70"/>
      <c r="D1350" s="70"/>
      <c r="E1350" s="70"/>
      <c r="F1350" s="70"/>
      <c r="G1350" s="70"/>
      <c r="H1350" s="70"/>
      <c r="I1350" s="70"/>
      <c r="J1350" s="70"/>
    </row>
    <row r="1351" spans="1:10" ht="16" x14ac:dyDescent="0.2">
      <c r="A1351" s="70"/>
      <c r="B1351" s="70"/>
      <c r="C1351" s="70"/>
      <c r="D1351" s="70"/>
      <c r="E1351" s="70"/>
      <c r="F1351" s="70"/>
      <c r="G1351" s="70"/>
      <c r="H1351" s="70"/>
      <c r="I1351" s="70"/>
      <c r="J1351" s="70"/>
    </row>
    <row r="1352" spans="1:10" ht="16" x14ac:dyDescent="0.2">
      <c r="A1352" s="70"/>
      <c r="B1352" s="70"/>
      <c r="C1352" s="70"/>
      <c r="D1352" s="70"/>
      <c r="E1352" s="70"/>
      <c r="F1352" s="70"/>
      <c r="G1352" s="70"/>
      <c r="H1352" s="70"/>
      <c r="I1352" s="70"/>
      <c r="J1352" s="70"/>
    </row>
    <row r="1353" spans="1:10" ht="16" x14ac:dyDescent="0.2">
      <c r="A1353" s="70"/>
      <c r="B1353" s="70"/>
      <c r="C1353" s="70"/>
      <c r="D1353" s="70"/>
      <c r="E1353" s="70"/>
      <c r="F1353" s="70"/>
      <c r="G1353" s="70"/>
      <c r="H1353" s="70"/>
      <c r="I1353" s="70"/>
      <c r="J1353" s="70"/>
    </row>
    <row r="1354" spans="1:10" ht="16" x14ac:dyDescent="0.2">
      <c r="A1354" s="70"/>
      <c r="B1354" s="70"/>
      <c r="C1354" s="70"/>
      <c r="D1354" s="70"/>
      <c r="E1354" s="70"/>
      <c r="F1354" s="70"/>
      <c r="G1354" s="70"/>
      <c r="H1354" s="70"/>
      <c r="I1354" s="70"/>
      <c r="J1354" s="70"/>
    </row>
    <row r="1355" spans="1:10" ht="16" x14ac:dyDescent="0.2">
      <c r="A1355" s="70"/>
      <c r="B1355" s="70"/>
      <c r="C1355" s="70"/>
      <c r="D1355" s="70"/>
      <c r="E1355" s="70"/>
      <c r="F1355" s="70"/>
      <c r="G1355" s="70"/>
      <c r="H1355" s="70"/>
      <c r="I1355" s="70"/>
      <c r="J1355" s="70"/>
    </row>
    <row r="1356" spans="1:10" ht="16" x14ac:dyDescent="0.2">
      <c r="A1356" s="70"/>
      <c r="B1356" s="70"/>
      <c r="C1356" s="70"/>
      <c r="D1356" s="70"/>
      <c r="E1356" s="70"/>
      <c r="F1356" s="70"/>
      <c r="G1356" s="70"/>
      <c r="H1356" s="70"/>
      <c r="I1356" s="70"/>
      <c r="J1356" s="70"/>
    </row>
    <row r="1357" spans="1:10" ht="16" x14ac:dyDescent="0.2">
      <c r="A1357" s="70"/>
      <c r="B1357" s="70"/>
      <c r="C1357" s="70"/>
      <c r="D1357" s="70"/>
      <c r="E1357" s="70"/>
      <c r="F1357" s="70"/>
      <c r="G1357" s="70"/>
      <c r="H1357" s="70"/>
      <c r="I1357" s="70"/>
      <c r="J1357" s="70"/>
    </row>
    <row r="1358" spans="1:10" ht="16" x14ac:dyDescent="0.2">
      <c r="A1358" s="70"/>
      <c r="B1358" s="70"/>
      <c r="C1358" s="70"/>
      <c r="D1358" s="70"/>
      <c r="E1358" s="70"/>
      <c r="F1358" s="70"/>
      <c r="G1358" s="70"/>
      <c r="H1358" s="70"/>
      <c r="I1358" s="70"/>
      <c r="J1358" s="70"/>
    </row>
    <row r="1359" spans="1:10" ht="16" x14ac:dyDescent="0.2">
      <c r="A1359" s="70"/>
      <c r="B1359" s="70"/>
      <c r="C1359" s="70"/>
      <c r="D1359" s="70"/>
      <c r="E1359" s="70"/>
      <c r="F1359" s="70"/>
      <c r="G1359" s="70"/>
      <c r="H1359" s="70"/>
      <c r="I1359" s="70"/>
      <c r="J1359" s="70"/>
    </row>
    <row r="1360" spans="1:10" ht="16" x14ac:dyDescent="0.2">
      <c r="A1360" s="70"/>
      <c r="B1360" s="70"/>
      <c r="C1360" s="70"/>
      <c r="D1360" s="70"/>
      <c r="E1360" s="70"/>
      <c r="F1360" s="70"/>
      <c r="G1360" s="70"/>
      <c r="H1360" s="70"/>
      <c r="I1360" s="70"/>
      <c r="J1360" s="70"/>
    </row>
    <row r="1361" spans="1:10" ht="16" x14ac:dyDescent="0.2">
      <c r="A1361" s="70"/>
      <c r="B1361" s="70"/>
      <c r="C1361" s="70"/>
      <c r="D1361" s="70"/>
      <c r="E1361" s="70"/>
      <c r="F1361" s="70"/>
      <c r="G1361" s="70"/>
      <c r="H1361" s="70"/>
      <c r="I1361" s="70"/>
      <c r="J1361" s="70"/>
    </row>
    <row r="1362" spans="1:10" ht="16" x14ac:dyDescent="0.2">
      <c r="A1362" s="70"/>
      <c r="B1362" s="70"/>
      <c r="C1362" s="70"/>
      <c r="D1362" s="70"/>
      <c r="E1362" s="70"/>
      <c r="F1362" s="70"/>
      <c r="G1362" s="70"/>
      <c r="H1362" s="70"/>
      <c r="I1362" s="70"/>
      <c r="J1362" s="70"/>
    </row>
    <row r="1363" spans="1:10" ht="16" x14ac:dyDescent="0.2">
      <c r="A1363" s="70"/>
      <c r="B1363" s="70"/>
      <c r="C1363" s="70"/>
      <c r="D1363" s="70"/>
      <c r="E1363" s="70"/>
      <c r="F1363" s="70"/>
      <c r="G1363" s="70"/>
      <c r="H1363" s="70"/>
      <c r="I1363" s="70"/>
      <c r="J1363" s="70"/>
    </row>
    <row r="1364" spans="1:10" ht="16" x14ac:dyDescent="0.2">
      <c r="A1364" s="70"/>
      <c r="B1364" s="70"/>
      <c r="C1364" s="70"/>
      <c r="D1364" s="70"/>
      <c r="E1364" s="70"/>
      <c r="F1364" s="70"/>
      <c r="G1364" s="70"/>
      <c r="H1364" s="70"/>
      <c r="I1364" s="70"/>
      <c r="J1364" s="70"/>
    </row>
    <row r="1365" spans="1:10" ht="16" x14ac:dyDescent="0.2">
      <c r="A1365" s="70"/>
      <c r="B1365" s="70"/>
      <c r="C1365" s="70"/>
      <c r="D1365" s="70"/>
      <c r="E1365" s="70"/>
      <c r="F1365" s="70"/>
      <c r="G1365" s="70"/>
      <c r="H1365" s="70"/>
      <c r="I1365" s="70"/>
      <c r="J1365" s="70"/>
    </row>
    <row r="1366" spans="1:10" ht="16" x14ac:dyDescent="0.2">
      <c r="A1366" s="70"/>
      <c r="B1366" s="70"/>
      <c r="C1366" s="70"/>
      <c r="D1366" s="70"/>
      <c r="E1366" s="70"/>
      <c r="F1366" s="70"/>
      <c r="G1366" s="70"/>
      <c r="H1366" s="70"/>
      <c r="I1366" s="70"/>
      <c r="J1366" s="70"/>
    </row>
    <row r="1367" spans="1:10" ht="16" x14ac:dyDescent="0.2">
      <c r="A1367" s="70"/>
      <c r="B1367" s="70"/>
      <c r="C1367" s="70"/>
      <c r="D1367" s="70"/>
      <c r="E1367" s="70"/>
      <c r="F1367" s="70"/>
      <c r="G1367" s="70"/>
      <c r="H1367" s="70"/>
      <c r="I1367" s="70"/>
      <c r="J1367" s="70"/>
    </row>
    <row r="1368" spans="1:10" ht="16" x14ac:dyDescent="0.2">
      <c r="A1368" s="70"/>
      <c r="B1368" s="70"/>
      <c r="C1368" s="70"/>
      <c r="D1368" s="70"/>
      <c r="E1368" s="70"/>
      <c r="F1368" s="70"/>
      <c r="G1368" s="70"/>
      <c r="H1368" s="70"/>
      <c r="I1368" s="70"/>
      <c r="J1368" s="70"/>
    </row>
    <row r="1369" spans="1:10" ht="16" x14ac:dyDescent="0.2">
      <c r="A1369" s="70"/>
      <c r="B1369" s="70"/>
      <c r="C1369" s="70"/>
      <c r="D1369" s="70"/>
      <c r="E1369" s="70"/>
      <c r="F1369" s="70"/>
      <c r="G1369" s="70"/>
      <c r="H1369" s="70"/>
      <c r="I1369" s="70"/>
      <c r="J1369" s="70"/>
    </row>
    <row r="1370" spans="1:10" ht="16" x14ac:dyDescent="0.2">
      <c r="A1370" s="70"/>
      <c r="B1370" s="70"/>
      <c r="C1370" s="70"/>
      <c r="D1370" s="70"/>
      <c r="E1370" s="70"/>
      <c r="F1370" s="70"/>
      <c r="G1370" s="70"/>
      <c r="H1370" s="70"/>
      <c r="I1370" s="70"/>
      <c r="J1370" s="70"/>
    </row>
    <row r="1371" spans="1:10" ht="16" x14ac:dyDescent="0.2">
      <c r="A1371" s="70"/>
      <c r="B1371" s="70"/>
      <c r="C1371" s="70"/>
      <c r="D1371" s="70"/>
      <c r="E1371" s="70"/>
      <c r="F1371" s="70"/>
      <c r="G1371" s="70"/>
      <c r="H1371" s="70"/>
      <c r="I1371" s="70"/>
      <c r="J1371" s="70"/>
    </row>
    <row r="1372" spans="1:10" ht="16" x14ac:dyDescent="0.2">
      <c r="A1372" s="70"/>
      <c r="B1372" s="70"/>
      <c r="C1372" s="70"/>
      <c r="D1372" s="70"/>
      <c r="E1372" s="70"/>
      <c r="F1372" s="70"/>
      <c r="G1372" s="70"/>
      <c r="H1372" s="70"/>
      <c r="I1372" s="70"/>
      <c r="J1372" s="70"/>
    </row>
    <row r="1373" spans="1:10" ht="16" x14ac:dyDescent="0.2">
      <c r="A1373" s="70"/>
      <c r="B1373" s="70"/>
      <c r="C1373" s="70"/>
      <c r="D1373" s="70"/>
      <c r="E1373" s="70"/>
      <c r="F1373" s="70"/>
      <c r="G1373" s="70"/>
      <c r="H1373" s="70"/>
      <c r="I1373" s="70"/>
      <c r="J1373" s="70"/>
    </row>
    <row r="1374" spans="1:10" ht="16" x14ac:dyDescent="0.2">
      <c r="A1374" s="70"/>
      <c r="B1374" s="70"/>
      <c r="C1374" s="70"/>
      <c r="D1374" s="70"/>
      <c r="E1374" s="70"/>
      <c r="F1374" s="70"/>
      <c r="G1374" s="70"/>
      <c r="H1374" s="70"/>
      <c r="I1374" s="70"/>
      <c r="J1374" s="70"/>
    </row>
    <row r="1375" spans="1:10" ht="16" x14ac:dyDescent="0.2">
      <c r="A1375" s="70"/>
      <c r="B1375" s="70"/>
      <c r="C1375" s="70"/>
      <c r="D1375" s="70"/>
      <c r="E1375" s="70"/>
      <c r="F1375" s="70"/>
      <c r="G1375" s="70"/>
      <c r="H1375" s="70"/>
      <c r="I1375" s="70"/>
      <c r="J1375" s="70"/>
    </row>
    <row r="1376" spans="1:10" ht="16" x14ac:dyDescent="0.2">
      <c r="A1376" s="70"/>
      <c r="B1376" s="70"/>
      <c r="C1376" s="70"/>
      <c r="D1376" s="70"/>
      <c r="E1376" s="70"/>
      <c r="F1376" s="70"/>
      <c r="G1376" s="70"/>
      <c r="H1376" s="70"/>
      <c r="I1376" s="70"/>
      <c r="J1376" s="70"/>
    </row>
    <row r="1377" spans="1:10" ht="16" x14ac:dyDescent="0.2">
      <c r="A1377" s="70"/>
      <c r="B1377" s="70"/>
      <c r="C1377" s="70"/>
      <c r="D1377" s="70"/>
      <c r="E1377" s="70"/>
      <c r="F1377" s="70"/>
      <c r="G1377" s="70"/>
      <c r="H1377" s="70"/>
      <c r="I1377" s="70"/>
      <c r="J1377" s="70"/>
    </row>
    <row r="1378" spans="1:10" ht="16" x14ac:dyDescent="0.2">
      <c r="A1378" s="70"/>
      <c r="B1378" s="70"/>
      <c r="C1378" s="70"/>
      <c r="D1378" s="70"/>
      <c r="E1378" s="70"/>
      <c r="F1378" s="70"/>
      <c r="G1378" s="70"/>
      <c r="H1378" s="70"/>
      <c r="I1378" s="70"/>
      <c r="J1378" s="70"/>
    </row>
    <row r="1379" spans="1:10" ht="16" x14ac:dyDescent="0.2">
      <c r="A1379" s="70"/>
      <c r="B1379" s="70"/>
      <c r="C1379" s="70"/>
      <c r="D1379" s="70"/>
      <c r="E1379" s="70"/>
      <c r="F1379" s="70"/>
      <c r="G1379" s="70"/>
      <c r="H1379" s="70"/>
      <c r="I1379" s="70"/>
      <c r="J1379" s="70"/>
    </row>
    <row r="1380" spans="1:10" ht="16" x14ac:dyDescent="0.2">
      <c r="A1380" s="70"/>
      <c r="B1380" s="70"/>
      <c r="C1380" s="70"/>
      <c r="D1380" s="70"/>
      <c r="E1380" s="70"/>
      <c r="F1380" s="70"/>
      <c r="G1380" s="70"/>
      <c r="H1380" s="70"/>
      <c r="I1380" s="70"/>
      <c r="J1380" s="70"/>
    </row>
    <row r="1381" spans="1:10" ht="16" x14ac:dyDescent="0.2">
      <c r="A1381" s="70"/>
      <c r="B1381" s="70"/>
      <c r="C1381" s="70"/>
      <c r="D1381" s="70"/>
      <c r="E1381" s="70"/>
      <c r="F1381" s="70"/>
      <c r="G1381" s="70"/>
      <c r="H1381" s="70"/>
      <c r="I1381" s="70"/>
      <c r="J1381" s="70"/>
    </row>
    <row r="1382" spans="1:10" ht="16" x14ac:dyDescent="0.2">
      <c r="A1382" s="70"/>
      <c r="B1382" s="70"/>
      <c r="C1382" s="70"/>
      <c r="D1382" s="70"/>
      <c r="E1382" s="70"/>
      <c r="F1382" s="70"/>
      <c r="G1382" s="70"/>
      <c r="H1382" s="70"/>
      <c r="I1382" s="70"/>
      <c r="J1382" s="70"/>
    </row>
    <row r="1383" spans="1:10" ht="16" x14ac:dyDescent="0.2">
      <c r="A1383" s="70"/>
      <c r="B1383" s="70"/>
      <c r="C1383" s="70"/>
      <c r="D1383" s="70"/>
      <c r="E1383" s="70"/>
      <c r="F1383" s="70"/>
      <c r="G1383" s="70"/>
      <c r="H1383" s="70"/>
      <c r="I1383" s="70"/>
      <c r="J1383" s="70"/>
    </row>
    <row r="1384" spans="1:10" ht="16" x14ac:dyDescent="0.2">
      <c r="A1384" s="70"/>
      <c r="B1384" s="70"/>
      <c r="C1384" s="70"/>
      <c r="D1384" s="70"/>
      <c r="E1384" s="70"/>
      <c r="F1384" s="70"/>
      <c r="G1384" s="70"/>
      <c r="H1384" s="70"/>
      <c r="I1384" s="70"/>
      <c r="J1384" s="70"/>
    </row>
    <row r="1385" spans="1:10" ht="16" x14ac:dyDescent="0.2">
      <c r="A1385" s="70"/>
      <c r="B1385" s="70"/>
      <c r="C1385" s="70"/>
      <c r="D1385" s="70"/>
      <c r="E1385" s="70"/>
      <c r="F1385" s="70"/>
      <c r="G1385" s="70"/>
      <c r="H1385" s="70"/>
      <c r="I1385" s="70"/>
      <c r="J1385" s="70"/>
    </row>
    <row r="1386" spans="1:10" ht="16" x14ac:dyDescent="0.2">
      <c r="A1386" s="70"/>
      <c r="B1386" s="70"/>
      <c r="C1386" s="70"/>
      <c r="D1386" s="70"/>
      <c r="E1386" s="70"/>
      <c r="F1386" s="70"/>
      <c r="G1386" s="70"/>
      <c r="H1386" s="70"/>
      <c r="I1386" s="70"/>
      <c r="J1386" s="70"/>
    </row>
    <row r="1387" spans="1:10" ht="16" x14ac:dyDescent="0.2">
      <c r="A1387" s="70"/>
      <c r="B1387" s="70"/>
      <c r="C1387" s="70"/>
      <c r="D1387" s="70"/>
      <c r="E1387" s="70"/>
      <c r="F1387" s="70"/>
      <c r="G1387" s="70"/>
      <c r="H1387" s="70"/>
      <c r="I1387" s="70"/>
      <c r="J1387" s="70"/>
    </row>
    <row r="1388" spans="1:10" ht="16" x14ac:dyDescent="0.2">
      <c r="A1388" s="70"/>
      <c r="B1388" s="70"/>
      <c r="C1388" s="70"/>
      <c r="D1388" s="70"/>
      <c r="E1388" s="70"/>
      <c r="F1388" s="70"/>
      <c r="G1388" s="70"/>
      <c r="H1388" s="70"/>
      <c r="I1388" s="70"/>
      <c r="J1388" s="70"/>
    </row>
    <row r="1389" spans="1:10" ht="16" x14ac:dyDescent="0.2">
      <c r="A1389" s="70"/>
      <c r="B1389" s="70"/>
      <c r="C1389" s="70"/>
      <c r="D1389" s="70"/>
      <c r="E1389" s="70"/>
      <c r="F1389" s="70"/>
      <c r="G1389" s="70"/>
      <c r="H1389" s="70"/>
      <c r="I1389" s="70"/>
      <c r="J1389" s="70"/>
    </row>
    <row r="1390" spans="1:10" ht="16" x14ac:dyDescent="0.2">
      <c r="A1390" s="70"/>
      <c r="B1390" s="70"/>
      <c r="C1390" s="70"/>
      <c r="D1390" s="70"/>
      <c r="E1390" s="70"/>
      <c r="F1390" s="70"/>
      <c r="G1390" s="70"/>
      <c r="H1390" s="70"/>
      <c r="I1390" s="70"/>
      <c r="J1390" s="70"/>
    </row>
    <row r="1391" spans="1:10" ht="16" x14ac:dyDescent="0.2">
      <c r="A1391" s="70"/>
      <c r="B1391" s="70"/>
      <c r="C1391" s="70"/>
      <c r="D1391" s="70"/>
      <c r="E1391" s="70"/>
      <c r="F1391" s="70"/>
      <c r="G1391" s="70"/>
      <c r="H1391" s="70"/>
      <c r="I1391" s="70"/>
      <c r="J1391" s="70"/>
    </row>
    <row r="1392" spans="1:10" ht="16" x14ac:dyDescent="0.2">
      <c r="A1392" s="70"/>
      <c r="B1392" s="70"/>
      <c r="C1392" s="70"/>
      <c r="D1392" s="70"/>
      <c r="E1392" s="70"/>
      <c r="F1392" s="70"/>
      <c r="G1392" s="70"/>
      <c r="H1392" s="70"/>
      <c r="I1392" s="70"/>
      <c r="J1392" s="70"/>
    </row>
    <row r="1393" spans="1:10" ht="16" x14ac:dyDescent="0.2">
      <c r="A1393" s="70"/>
      <c r="B1393" s="70"/>
      <c r="C1393" s="70"/>
      <c r="D1393" s="70"/>
      <c r="E1393" s="70"/>
      <c r="F1393" s="70"/>
      <c r="G1393" s="70"/>
      <c r="H1393" s="70"/>
      <c r="I1393" s="70"/>
      <c r="J1393" s="70"/>
    </row>
    <row r="1394" spans="1:10" ht="16" x14ac:dyDescent="0.2">
      <c r="A1394" s="70"/>
      <c r="B1394" s="70"/>
      <c r="C1394" s="70"/>
      <c r="D1394" s="70"/>
      <c r="E1394" s="70"/>
      <c r="F1394" s="70"/>
      <c r="G1394" s="70"/>
      <c r="H1394" s="70"/>
      <c r="I1394" s="70"/>
      <c r="J1394" s="70"/>
    </row>
    <row r="1395" spans="1:10" ht="16" x14ac:dyDescent="0.2">
      <c r="A1395" s="70"/>
      <c r="B1395" s="70"/>
      <c r="C1395" s="70"/>
      <c r="D1395" s="70"/>
      <c r="E1395" s="70"/>
      <c r="F1395" s="70"/>
      <c r="G1395" s="70"/>
      <c r="H1395" s="70"/>
      <c r="I1395" s="70"/>
      <c r="J1395" s="70"/>
    </row>
    <row r="1396" spans="1:10" ht="16" x14ac:dyDescent="0.2">
      <c r="A1396" s="70"/>
      <c r="B1396" s="70"/>
      <c r="C1396" s="70"/>
      <c r="D1396" s="70"/>
      <c r="E1396" s="70"/>
      <c r="F1396" s="70"/>
      <c r="G1396" s="70"/>
      <c r="H1396" s="70"/>
      <c r="I1396" s="70"/>
      <c r="J1396" s="70"/>
    </row>
    <row r="1397" spans="1:10" ht="16" x14ac:dyDescent="0.2">
      <c r="A1397" s="70"/>
      <c r="B1397" s="70"/>
      <c r="C1397" s="70"/>
      <c r="D1397" s="70"/>
      <c r="E1397" s="70"/>
      <c r="F1397" s="70"/>
      <c r="G1397" s="70"/>
      <c r="H1397" s="70"/>
      <c r="I1397" s="70"/>
      <c r="J1397" s="70"/>
    </row>
    <row r="1398" spans="1:10" ht="16" x14ac:dyDescent="0.2">
      <c r="A1398" s="70"/>
      <c r="B1398" s="70"/>
      <c r="C1398" s="70"/>
      <c r="D1398" s="70"/>
      <c r="E1398" s="70"/>
      <c r="F1398" s="70"/>
      <c r="G1398" s="70"/>
      <c r="H1398" s="70"/>
      <c r="I1398" s="70"/>
      <c r="J1398" s="70"/>
    </row>
    <row r="1399" spans="1:10" ht="16" x14ac:dyDescent="0.2">
      <c r="A1399" s="70"/>
      <c r="B1399" s="70"/>
      <c r="C1399" s="70"/>
      <c r="D1399" s="70"/>
      <c r="E1399" s="70"/>
      <c r="F1399" s="70"/>
      <c r="G1399" s="70"/>
      <c r="H1399" s="70"/>
      <c r="I1399" s="70"/>
      <c r="J1399" s="70"/>
    </row>
    <row r="1400" spans="1:10" ht="16" x14ac:dyDescent="0.2">
      <c r="A1400" s="70"/>
      <c r="B1400" s="70"/>
      <c r="C1400" s="70"/>
      <c r="D1400" s="70"/>
      <c r="E1400" s="70"/>
      <c r="F1400" s="70"/>
      <c r="G1400" s="70"/>
      <c r="H1400" s="70"/>
      <c r="I1400" s="70"/>
      <c r="J1400" s="70"/>
    </row>
    <row r="1401" spans="1:10" ht="16" x14ac:dyDescent="0.2">
      <c r="A1401" s="70"/>
      <c r="B1401" s="70"/>
      <c r="C1401" s="70"/>
      <c r="D1401" s="70"/>
      <c r="E1401" s="70"/>
      <c r="F1401" s="70"/>
      <c r="G1401" s="70"/>
      <c r="H1401" s="70"/>
      <c r="I1401" s="70"/>
      <c r="J1401" s="70"/>
    </row>
    <row r="1402" spans="1:10" ht="16" x14ac:dyDescent="0.2">
      <c r="A1402" s="70"/>
      <c r="B1402" s="70"/>
      <c r="C1402" s="70"/>
      <c r="D1402" s="70"/>
      <c r="E1402" s="70"/>
      <c r="F1402" s="70"/>
      <c r="G1402" s="70"/>
      <c r="H1402" s="70"/>
      <c r="I1402" s="70"/>
      <c r="J1402" s="70"/>
    </row>
    <row r="1403" spans="1:10" ht="16" x14ac:dyDescent="0.2">
      <c r="A1403" s="70"/>
      <c r="B1403" s="70"/>
      <c r="C1403" s="70"/>
      <c r="D1403" s="70"/>
      <c r="E1403" s="70"/>
      <c r="F1403" s="70"/>
      <c r="G1403" s="70"/>
      <c r="H1403" s="70"/>
      <c r="I1403" s="70"/>
      <c r="J1403" s="70"/>
    </row>
    <row r="1404" spans="1:10" ht="16" x14ac:dyDescent="0.2">
      <c r="A1404" s="70"/>
      <c r="B1404" s="70"/>
      <c r="C1404" s="70"/>
      <c r="D1404" s="70"/>
      <c r="E1404" s="70"/>
      <c r="F1404" s="70"/>
      <c r="G1404" s="70"/>
      <c r="H1404" s="70"/>
      <c r="I1404" s="70"/>
      <c r="J1404" s="70"/>
    </row>
    <row r="1405" spans="1:10" ht="16" x14ac:dyDescent="0.2">
      <c r="A1405" s="70"/>
      <c r="B1405" s="70"/>
      <c r="C1405" s="70"/>
      <c r="D1405" s="70"/>
      <c r="E1405" s="70"/>
      <c r="F1405" s="70"/>
      <c r="G1405" s="70"/>
      <c r="H1405" s="70"/>
      <c r="I1405" s="70"/>
      <c r="J1405" s="70"/>
    </row>
    <row r="1406" spans="1:10" ht="16" x14ac:dyDescent="0.2">
      <c r="A1406" s="70"/>
      <c r="B1406" s="70"/>
      <c r="C1406" s="70"/>
      <c r="D1406" s="70"/>
      <c r="E1406" s="70"/>
      <c r="F1406" s="70"/>
      <c r="G1406" s="70"/>
      <c r="H1406" s="70"/>
      <c r="I1406" s="70"/>
      <c r="J1406" s="70"/>
    </row>
    <row r="1407" spans="1:10" ht="16" x14ac:dyDescent="0.2">
      <c r="A1407" s="70"/>
      <c r="B1407" s="70"/>
      <c r="C1407" s="70"/>
      <c r="D1407" s="70"/>
      <c r="E1407" s="70"/>
      <c r="F1407" s="70"/>
      <c r="G1407" s="70"/>
      <c r="H1407" s="70"/>
      <c r="I1407" s="70"/>
      <c r="J1407" s="70"/>
    </row>
    <row r="1408" spans="1:10" ht="16" x14ac:dyDescent="0.2">
      <c r="A1408" s="70"/>
      <c r="B1408" s="70"/>
      <c r="C1408" s="70"/>
      <c r="D1408" s="70"/>
      <c r="E1408" s="70"/>
      <c r="F1408" s="70"/>
      <c r="G1408" s="70"/>
      <c r="H1408" s="70"/>
      <c r="I1408" s="70"/>
      <c r="J1408" s="70"/>
    </row>
    <row r="1409" spans="1:10" ht="16" x14ac:dyDescent="0.2">
      <c r="A1409" s="70"/>
      <c r="B1409" s="70"/>
      <c r="C1409" s="70"/>
      <c r="D1409" s="70"/>
      <c r="E1409" s="70"/>
      <c r="F1409" s="70"/>
      <c r="G1409" s="70"/>
      <c r="H1409" s="70"/>
      <c r="I1409" s="70"/>
      <c r="J1409" s="70"/>
    </row>
    <row r="1410" spans="1:10" ht="16" x14ac:dyDescent="0.2">
      <c r="A1410" s="70"/>
      <c r="B1410" s="70"/>
      <c r="C1410" s="70"/>
      <c r="D1410" s="70"/>
      <c r="E1410" s="70"/>
      <c r="F1410" s="70"/>
      <c r="G1410" s="70"/>
      <c r="H1410" s="70"/>
      <c r="I1410" s="70"/>
      <c r="J1410" s="70"/>
    </row>
    <row r="1411" spans="1:10" ht="16" x14ac:dyDescent="0.2">
      <c r="A1411" s="70"/>
      <c r="B1411" s="70"/>
      <c r="C1411" s="70"/>
      <c r="D1411" s="70"/>
      <c r="E1411" s="70"/>
      <c r="F1411" s="70"/>
      <c r="G1411" s="70"/>
      <c r="H1411" s="70"/>
      <c r="I1411" s="70"/>
      <c r="J1411" s="70"/>
    </row>
    <row r="1412" spans="1:10" ht="16" x14ac:dyDescent="0.2">
      <c r="A1412" s="70"/>
      <c r="B1412" s="70"/>
      <c r="C1412" s="70"/>
      <c r="D1412" s="70"/>
      <c r="E1412" s="70"/>
      <c r="F1412" s="70"/>
      <c r="G1412" s="70"/>
      <c r="H1412" s="70"/>
      <c r="I1412" s="70"/>
      <c r="J1412" s="70"/>
    </row>
    <row r="1413" spans="1:10" ht="16" x14ac:dyDescent="0.2">
      <c r="A1413" s="70"/>
      <c r="B1413" s="70"/>
      <c r="C1413" s="70"/>
      <c r="D1413" s="70"/>
      <c r="E1413" s="70"/>
      <c r="F1413" s="70"/>
      <c r="G1413" s="70"/>
      <c r="H1413" s="70"/>
      <c r="I1413" s="70"/>
      <c r="J1413" s="70"/>
    </row>
    <row r="1414" spans="1:10" ht="16" x14ac:dyDescent="0.2">
      <c r="A1414" s="70"/>
      <c r="B1414" s="70"/>
      <c r="C1414" s="70"/>
      <c r="D1414" s="70"/>
      <c r="E1414" s="70"/>
      <c r="F1414" s="70"/>
      <c r="G1414" s="70"/>
      <c r="H1414" s="70"/>
      <c r="I1414" s="70"/>
      <c r="J1414" s="70"/>
    </row>
    <row r="1415" spans="1:10" ht="16" x14ac:dyDescent="0.2">
      <c r="A1415" s="70"/>
      <c r="B1415" s="70"/>
      <c r="C1415" s="70"/>
      <c r="D1415" s="70"/>
      <c r="E1415" s="70"/>
      <c r="F1415" s="70"/>
      <c r="G1415" s="70"/>
      <c r="H1415" s="70"/>
      <c r="I1415" s="70"/>
      <c r="J1415" s="70"/>
    </row>
    <row r="1416" spans="1:10" ht="16" x14ac:dyDescent="0.2">
      <c r="A1416" s="70"/>
      <c r="B1416" s="70"/>
      <c r="C1416" s="70"/>
      <c r="D1416" s="70"/>
      <c r="E1416" s="70"/>
      <c r="F1416" s="70"/>
      <c r="G1416" s="70"/>
      <c r="H1416" s="70"/>
      <c r="I1416" s="70"/>
      <c r="J1416" s="70"/>
    </row>
    <row r="1417" spans="1:10" ht="16" x14ac:dyDescent="0.2">
      <c r="A1417" s="70"/>
      <c r="B1417" s="70"/>
      <c r="C1417" s="70"/>
      <c r="D1417" s="70"/>
      <c r="E1417" s="70"/>
      <c r="F1417" s="70"/>
      <c r="G1417" s="70"/>
      <c r="H1417" s="70"/>
      <c r="I1417" s="70"/>
      <c r="J1417" s="70"/>
    </row>
    <row r="1418" spans="1:10" ht="16" x14ac:dyDescent="0.2">
      <c r="A1418" s="70"/>
      <c r="B1418" s="70"/>
      <c r="C1418" s="70"/>
      <c r="D1418" s="70"/>
      <c r="E1418" s="70"/>
      <c r="F1418" s="70"/>
      <c r="G1418" s="70"/>
      <c r="H1418" s="70"/>
      <c r="I1418" s="70"/>
      <c r="J1418" s="70"/>
    </row>
    <row r="1419" spans="1:10" ht="16" x14ac:dyDescent="0.2">
      <c r="A1419" s="70"/>
      <c r="B1419" s="70"/>
      <c r="C1419" s="70"/>
      <c r="D1419" s="70"/>
      <c r="E1419" s="70"/>
      <c r="F1419" s="70"/>
      <c r="G1419" s="70"/>
      <c r="H1419" s="70"/>
      <c r="I1419" s="70"/>
      <c r="J1419" s="70"/>
    </row>
    <row r="1420" spans="1:10" ht="16" x14ac:dyDescent="0.2">
      <c r="A1420" s="70"/>
      <c r="B1420" s="70"/>
      <c r="C1420" s="70"/>
      <c r="D1420" s="70"/>
      <c r="E1420" s="70"/>
      <c r="F1420" s="70"/>
      <c r="G1420" s="70"/>
      <c r="H1420" s="70"/>
      <c r="I1420" s="70"/>
      <c r="J1420" s="70"/>
    </row>
    <row r="1421" spans="1:10" ht="16" x14ac:dyDescent="0.2">
      <c r="A1421" s="70"/>
      <c r="B1421" s="70"/>
      <c r="C1421" s="70"/>
      <c r="D1421" s="70"/>
      <c r="E1421" s="70"/>
      <c r="F1421" s="70"/>
      <c r="G1421" s="70"/>
      <c r="H1421" s="70"/>
      <c r="I1421" s="70"/>
      <c r="J1421" s="70"/>
    </row>
    <row r="1422" spans="1:10" ht="16" x14ac:dyDescent="0.2">
      <c r="A1422" s="70"/>
      <c r="B1422" s="70"/>
      <c r="C1422" s="70"/>
      <c r="D1422" s="70"/>
      <c r="E1422" s="70"/>
      <c r="F1422" s="70"/>
      <c r="G1422" s="70"/>
      <c r="H1422" s="70"/>
      <c r="I1422" s="70"/>
      <c r="J1422" s="70"/>
    </row>
    <row r="1423" spans="1:10" ht="16" x14ac:dyDescent="0.2">
      <c r="A1423" s="70"/>
      <c r="B1423" s="70"/>
      <c r="C1423" s="70"/>
      <c r="D1423" s="70"/>
      <c r="E1423" s="70"/>
      <c r="F1423" s="70"/>
      <c r="G1423" s="70"/>
      <c r="H1423" s="70"/>
      <c r="I1423" s="70"/>
      <c r="J1423" s="70"/>
    </row>
    <row r="1424" spans="1:10" ht="16" x14ac:dyDescent="0.2">
      <c r="A1424" s="70"/>
      <c r="B1424" s="70"/>
      <c r="C1424" s="70"/>
      <c r="D1424" s="70"/>
      <c r="E1424" s="70"/>
      <c r="F1424" s="70"/>
      <c r="G1424" s="70"/>
      <c r="H1424" s="70"/>
      <c r="I1424" s="70"/>
      <c r="J1424" s="70"/>
    </row>
    <row r="1425" spans="1:10" ht="16" x14ac:dyDescent="0.2">
      <c r="A1425" s="70"/>
      <c r="B1425" s="70"/>
      <c r="C1425" s="70"/>
      <c r="D1425" s="70"/>
      <c r="E1425" s="70"/>
      <c r="F1425" s="70"/>
      <c r="G1425" s="70"/>
      <c r="H1425" s="70"/>
      <c r="I1425" s="70"/>
      <c r="J1425" s="70"/>
    </row>
    <row r="1426" spans="1:10" ht="16" x14ac:dyDescent="0.2">
      <c r="A1426" s="70"/>
      <c r="B1426" s="70"/>
      <c r="C1426" s="70"/>
      <c r="D1426" s="70"/>
      <c r="E1426" s="70"/>
      <c r="F1426" s="70"/>
      <c r="G1426" s="70"/>
      <c r="H1426" s="70"/>
      <c r="I1426" s="70"/>
      <c r="J1426" s="70"/>
    </row>
    <row r="1427" spans="1:10" ht="16" x14ac:dyDescent="0.2">
      <c r="A1427" s="70"/>
      <c r="B1427" s="70"/>
      <c r="C1427" s="70"/>
      <c r="D1427" s="70"/>
      <c r="E1427" s="70"/>
      <c r="F1427" s="70"/>
      <c r="G1427" s="70"/>
      <c r="H1427" s="70"/>
      <c r="I1427" s="70"/>
      <c r="J1427" s="70"/>
    </row>
    <row r="1428" spans="1:10" ht="16" x14ac:dyDescent="0.2">
      <c r="A1428" s="70"/>
      <c r="B1428" s="70"/>
      <c r="C1428" s="70"/>
      <c r="D1428" s="70"/>
      <c r="E1428" s="70"/>
      <c r="F1428" s="70"/>
      <c r="G1428" s="70"/>
      <c r="H1428" s="70"/>
      <c r="I1428" s="70"/>
      <c r="J1428" s="70"/>
    </row>
    <row r="1429" spans="1:10" ht="16" x14ac:dyDescent="0.2">
      <c r="A1429" s="70"/>
      <c r="B1429" s="70"/>
      <c r="C1429" s="70"/>
      <c r="D1429" s="70"/>
      <c r="E1429" s="70"/>
      <c r="F1429" s="70"/>
      <c r="G1429" s="70"/>
      <c r="H1429" s="70"/>
      <c r="I1429" s="70"/>
      <c r="J1429" s="70"/>
    </row>
    <row r="1430" spans="1:10" ht="16" x14ac:dyDescent="0.2">
      <c r="A1430" s="70"/>
      <c r="B1430" s="70"/>
      <c r="C1430" s="70"/>
      <c r="D1430" s="70"/>
      <c r="E1430" s="70"/>
      <c r="F1430" s="70"/>
      <c r="G1430" s="70"/>
      <c r="H1430" s="70"/>
      <c r="I1430" s="70"/>
      <c r="J1430" s="70"/>
    </row>
    <row r="1431" spans="1:10" ht="16" x14ac:dyDescent="0.2">
      <c r="A1431" s="70"/>
      <c r="B1431" s="70"/>
      <c r="C1431" s="70"/>
      <c r="D1431" s="70"/>
      <c r="E1431" s="70"/>
      <c r="F1431" s="70"/>
      <c r="G1431" s="70"/>
      <c r="H1431" s="70"/>
      <c r="I1431" s="70"/>
      <c r="J1431" s="70"/>
    </row>
    <row r="1432" spans="1:10" ht="16" x14ac:dyDescent="0.2">
      <c r="A1432" s="70"/>
      <c r="B1432" s="70"/>
      <c r="C1432" s="70"/>
      <c r="D1432" s="70"/>
      <c r="E1432" s="70"/>
      <c r="F1432" s="70"/>
      <c r="G1432" s="70"/>
      <c r="H1432" s="70"/>
      <c r="I1432" s="70"/>
      <c r="J1432" s="70"/>
    </row>
    <row r="1433" spans="1:10" ht="16" x14ac:dyDescent="0.2">
      <c r="A1433" s="70"/>
      <c r="B1433" s="70"/>
      <c r="C1433" s="70"/>
      <c r="D1433" s="70"/>
      <c r="E1433" s="70"/>
      <c r="F1433" s="70"/>
      <c r="G1433" s="70"/>
      <c r="H1433" s="70"/>
      <c r="I1433" s="70"/>
      <c r="J1433" s="70"/>
    </row>
    <row r="1434" spans="1:10" ht="16" x14ac:dyDescent="0.2">
      <c r="A1434" s="70"/>
      <c r="B1434" s="70"/>
      <c r="C1434" s="70"/>
      <c r="D1434" s="70"/>
      <c r="E1434" s="70"/>
      <c r="F1434" s="70"/>
      <c r="G1434" s="70"/>
      <c r="H1434" s="70"/>
      <c r="I1434" s="70"/>
      <c r="J1434" s="70"/>
    </row>
    <row r="1435" spans="1:10" ht="16" x14ac:dyDescent="0.2">
      <c r="A1435" s="70"/>
      <c r="B1435" s="70"/>
      <c r="C1435" s="70"/>
      <c r="D1435" s="70"/>
      <c r="E1435" s="70"/>
      <c r="F1435" s="70"/>
      <c r="G1435" s="70"/>
      <c r="H1435" s="70"/>
      <c r="I1435" s="70"/>
      <c r="J1435" s="70"/>
    </row>
    <row r="1436" spans="1:10" ht="16" x14ac:dyDescent="0.2">
      <c r="A1436" s="70"/>
      <c r="B1436" s="70"/>
      <c r="C1436" s="70"/>
      <c r="D1436" s="70"/>
      <c r="E1436" s="70"/>
      <c r="F1436" s="70"/>
      <c r="G1436" s="70"/>
      <c r="H1436" s="70"/>
      <c r="I1436" s="70"/>
      <c r="J1436" s="70"/>
    </row>
    <row r="1437" spans="1:10" ht="16" x14ac:dyDescent="0.2">
      <c r="A1437" s="70"/>
      <c r="B1437" s="70"/>
      <c r="C1437" s="70"/>
      <c r="D1437" s="70"/>
      <c r="E1437" s="70"/>
      <c r="F1437" s="70"/>
      <c r="G1437" s="70"/>
      <c r="H1437" s="70"/>
      <c r="I1437" s="70"/>
      <c r="J1437" s="70"/>
    </row>
    <row r="1438" spans="1:10" ht="16" x14ac:dyDescent="0.2">
      <c r="A1438" s="70"/>
      <c r="B1438" s="70"/>
      <c r="C1438" s="70"/>
      <c r="D1438" s="70"/>
      <c r="E1438" s="70"/>
      <c r="F1438" s="70"/>
      <c r="G1438" s="70"/>
      <c r="H1438" s="70"/>
      <c r="I1438" s="70"/>
      <c r="J1438" s="70"/>
    </row>
    <row r="1439" spans="1:10" ht="16" x14ac:dyDescent="0.2">
      <c r="A1439" s="70"/>
      <c r="B1439" s="70"/>
      <c r="C1439" s="70"/>
      <c r="D1439" s="70"/>
      <c r="E1439" s="70"/>
      <c r="F1439" s="70"/>
      <c r="G1439" s="70"/>
      <c r="H1439" s="70"/>
      <c r="I1439" s="70"/>
      <c r="J1439" s="70"/>
    </row>
    <row r="1440" spans="1:10" ht="16" x14ac:dyDescent="0.2">
      <c r="A1440" s="70"/>
      <c r="B1440" s="70"/>
      <c r="C1440" s="70"/>
      <c r="D1440" s="70"/>
      <c r="E1440" s="70"/>
      <c r="F1440" s="70"/>
      <c r="G1440" s="70"/>
      <c r="H1440" s="70"/>
      <c r="I1440" s="70"/>
      <c r="J1440" s="70"/>
    </row>
    <row r="1441" spans="1:10" ht="16" x14ac:dyDescent="0.2">
      <c r="A1441" s="70"/>
      <c r="B1441" s="70"/>
      <c r="C1441" s="70"/>
      <c r="D1441" s="70"/>
      <c r="E1441" s="70"/>
      <c r="F1441" s="70"/>
      <c r="G1441" s="70"/>
      <c r="H1441" s="70"/>
      <c r="I1441" s="70"/>
      <c r="J1441" s="70"/>
    </row>
    <row r="1442" spans="1:10" ht="16" x14ac:dyDescent="0.2">
      <c r="A1442" s="70"/>
      <c r="B1442" s="70"/>
      <c r="C1442" s="70"/>
      <c r="D1442" s="70"/>
      <c r="E1442" s="70"/>
      <c r="F1442" s="70"/>
      <c r="G1442" s="70"/>
      <c r="H1442" s="70"/>
      <c r="I1442" s="70"/>
      <c r="J1442" s="70"/>
    </row>
    <row r="1443" spans="1:10" ht="16" x14ac:dyDescent="0.2">
      <c r="A1443" s="70"/>
      <c r="B1443" s="70"/>
      <c r="C1443" s="70"/>
      <c r="D1443" s="70"/>
      <c r="E1443" s="70"/>
      <c r="F1443" s="70"/>
      <c r="G1443" s="70"/>
      <c r="H1443" s="70"/>
      <c r="I1443" s="70"/>
      <c r="J1443" s="70"/>
    </row>
    <row r="1444" spans="1:10" ht="16" x14ac:dyDescent="0.2">
      <c r="A1444" s="70"/>
      <c r="B1444" s="70"/>
      <c r="C1444" s="70"/>
      <c r="D1444" s="70"/>
      <c r="E1444" s="70"/>
      <c r="F1444" s="70"/>
      <c r="G1444" s="70"/>
      <c r="H1444" s="70"/>
      <c r="I1444" s="70"/>
      <c r="J1444" s="70"/>
    </row>
    <row r="1445" spans="1:10" ht="16" x14ac:dyDescent="0.2">
      <c r="A1445" s="70"/>
      <c r="B1445" s="70"/>
      <c r="C1445" s="70"/>
      <c r="D1445" s="70"/>
      <c r="E1445" s="70"/>
      <c r="F1445" s="70"/>
      <c r="G1445" s="70"/>
      <c r="H1445" s="70"/>
      <c r="I1445" s="70"/>
      <c r="J1445" s="70"/>
    </row>
    <row r="1446" spans="1:10" ht="16" x14ac:dyDescent="0.2">
      <c r="A1446" s="70"/>
      <c r="B1446" s="70"/>
      <c r="C1446" s="70"/>
      <c r="D1446" s="70"/>
      <c r="E1446" s="70"/>
      <c r="F1446" s="70"/>
      <c r="G1446" s="70"/>
      <c r="H1446" s="70"/>
      <c r="I1446" s="70"/>
      <c r="J1446" s="70"/>
    </row>
    <row r="1447" spans="1:10" ht="16" x14ac:dyDescent="0.2">
      <c r="A1447" s="70"/>
      <c r="B1447" s="70"/>
      <c r="C1447" s="70"/>
      <c r="D1447" s="70"/>
      <c r="E1447" s="70"/>
      <c r="F1447" s="70"/>
      <c r="G1447" s="70"/>
      <c r="H1447" s="70"/>
      <c r="I1447" s="70"/>
      <c r="J1447" s="70"/>
    </row>
    <row r="1448" spans="1:10" ht="16" x14ac:dyDescent="0.2">
      <c r="A1448" s="70"/>
      <c r="B1448" s="70"/>
      <c r="C1448" s="70"/>
      <c r="D1448" s="70"/>
      <c r="E1448" s="70"/>
      <c r="F1448" s="70"/>
      <c r="G1448" s="70"/>
      <c r="H1448" s="70"/>
      <c r="I1448" s="70"/>
      <c r="J1448" s="70"/>
    </row>
    <row r="1449" spans="1:10" ht="16" x14ac:dyDescent="0.2">
      <c r="A1449" s="70"/>
      <c r="B1449" s="70"/>
      <c r="C1449" s="70"/>
      <c r="D1449" s="70"/>
      <c r="E1449" s="70"/>
      <c r="F1449" s="70"/>
      <c r="G1449" s="70"/>
      <c r="H1449" s="70"/>
      <c r="I1449" s="70"/>
      <c r="J1449" s="70"/>
    </row>
    <row r="1450" spans="1:10" ht="16" x14ac:dyDescent="0.2">
      <c r="A1450" s="70"/>
      <c r="B1450" s="70"/>
      <c r="C1450" s="70"/>
      <c r="D1450" s="70"/>
      <c r="E1450" s="70"/>
      <c r="F1450" s="70"/>
      <c r="G1450" s="70"/>
      <c r="H1450" s="70"/>
      <c r="I1450" s="70"/>
      <c r="J1450" s="70"/>
    </row>
    <row r="1451" spans="1:10" ht="16" x14ac:dyDescent="0.2">
      <c r="A1451" s="70"/>
      <c r="B1451" s="70"/>
      <c r="C1451" s="70"/>
      <c r="D1451" s="70"/>
      <c r="E1451" s="70"/>
      <c r="F1451" s="70"/>
      <c r="G1451" s="70"/>
      <c r="H1451" s="70"/>
      <c r="I1451" s="70"/>
      <c r="J1451" s="70"/>
    </row>
    <row r="1452" spans="1:10" ht="16" x14ac:dyDescent="0.2">
      <c r="A1452" s="70"/>
      <c r="B1452" s="70"/>
      <c r="C1452" s="70"/>
      <c r="D1452" s="70"/>
      <c r="E1452" s="70"/>
      <c r="F1452" s="70"/>
      <c r="G1452" s="70"/>
      <c r="H1452" s="70"/>
      <c r="I1452" s="70"/>
      <c r="J1452" s="70"/>
    </row>
    <row r="1453" spans="1:10" ht="16" x14ac:dyDescent="0.2">
      <c r="A1453" s="70"/>
      <c r="B1453" s="70"/>
      <c r="C1453" s="70"/>
      <c r="D1453" s="70"/>
      <c r="E1453" s="70"/>
      <c r="F1453" s="70"/>
      <c r="G1453" s="70"/>
      <c r="H1453" s="70"/>
      <c r="I1453" s="70"/>
      <c r="J1453" s="70"/>
    </row>
    <row r="1454" spans="1:10" ht="16" x14ac:dyDescent="0.2">
      <c r="A1454" s="70"/>
      <c r="B1454" s="70"/>
      <c r="C1454" s="70"/>
      <c r="D1454" s="70"/>
      <c r="E1454" s="70"/>
      <c r="F1454" s="70"/>
      <c r="G1454" s="70"/>
      <c r="H1454" s="70"/>
      <c r="I1454" s="70"/>
      <c r="J1454" s="70"/>
    </row>
    <row r="1455" spans="1:10" ht="16" x14ac:dyDescent="0.2">
      <c r="A1455" s="70"/>
      <c r="B1455" s="70"/>
      <c r="C1455" s="70"/>
      <c r="D1455" s="70"/>
      <c r="E1455" s="70"/>
      <c r="F1455" s="70"/>
      <c r="G1455" s="70"/>
      <c r="H1455" s="70"/>
      <c r="I1455" s="70"/>
      <c r="J1455" s="70"/>
    </row>
    <row r="1456" spans="1:10" ht="16" x14ac:dyDescent="0.2">
      <c r="A1456" s="70"/>
      <c r="B1456" s="70"/>
      <c r="C1456" s="70"/>
      <c r="D1456" s="70"/>
      <c r="E1456" s="70"/>
      <c r="F1456" s="70"/>
      <c r="G1456" s="70"/>
      <c r="H1456" s="70"/>
      <c r="I1456" s="70"/>
      <c r="J1456" s="70"/>
    </row>
    <row r="1457" spans="1:10" ht="16" x14ac:dyDescent="0.2">
      <c r="A1457" s="70"/>
      <c r="B1457" s="70"/>
      <c r="C1457" s="70"/>
      <c r="D1457" s="70"/>
      <c r="E1457" s="70"/>
      <c r="F1457" s="70"/>
      <c r="G1457" s="70"/>
      <c r="H1457" s="70"/>
      <c r="I1457" s="70"/>
      <c r="J1457" s="70"/>
    </row>
    <row r="1458" spans="1:10" ht="16" x14ac:dyDescent="0.2">
      <c r="A1458" s="70"/>
      <c r="B1458" s="70"/>
      <c r="C1458" s="70"/>
      <c r="D1458" s="70"/>
      <c r="E1458" s="70"/>
      <c r="F1458" s="70"/>
      <c r="G1458" s="70"/>
      <c r="H1458" s="70"/>
      <c r="I1458" s="70"/>
      <c r="J1458" s="70"/>
    </row>
    <row r="1459" spans="1:10" ht="16" x14ac:dyDescent="0.2">
      <c r="A1459" s="70"/>
      <c r="B1459" s="70"/>
      <c r="C1459" s="70"/>
      <c r="D1459" s="70"/>
      <c r="E1459" s="70"/>
      <c r="F1459" s="70"/>
      <c r="G1459" s="70"/>
      <c r="H1459" s="70"/>
      <c r="I1459" s="70"/>
      <c r="J1459" s="70"/>
    </row>
    <row r="1460" spans="1:10" ht="16" x14ac:dyDescent="0.2">
      <c r="A1460" s="70"/>
      <c r="B1460" s="70"/>
      <c r="C1460" s="70"/>
      <c r="D1460" s="70"/>
      <c r="E1460" s="70"/>
      <c r="F1460" s="70"/>
      <c r="G1460" s="70"/>
      <c r="H1460" s="70"/>
      <c r="I1460" s="70"/>
      <c r="J1460" s="70"/>
    </row>
    <row r="1461" spans="1:10" ht="16" x14ac:dyDescent="0.2">
      <c r="A1461" s="70"/>
      <c r="B1461" s="70"/>
      <c r="C1461" s="70"/>
      <c r="D1461" s="70"/>
      <c r="E1461" s="70"/>
      <c r="F1461" s="70"/>
      <c r="G1461" s="70"/>
      <c r="H1461" s="70"/>
      <c r="I1461" s="70"/>
      <c r="J1461" s="70"/>
    </row>
    <row r="1462" spans="1:10" ht="16" x14ac:dyDescent="0.2">
      <c r="A1462" s="70"/>
      <c r="B1462" s="70"/>
      <c r="C1462" s="70"/>
      <c r="D1462" s="70"/>
      <c r="E1462" s="70"/>
      <c r="F1462" s="70"/>
      <c r="G1462" s="70"/>
      <c r="H1462" s="70"/>
      <c r="I1462" s="70"/>
      <c r="J1462" s="70"/>
    </row>
    <row r="1463" spans="1:10" ht="16" x14ac:dyDescent="0.2">
      <c r="A1463" s="70"/>
      <c r="B1463" s="70"/>
      <c r="C1463" s="70"/>
      <c r="D1463" s="70"/>
      <c r="E1463" s="70"/>
      <c r="F1463" s="70"/>
      <c r="G1463" s="70"/>
      <c r="H1463" s="70"/>
      <c r="I1463" s="70"/>
      <c r="J1463" s="70"/>
    </row>
    <row r="1464" spans="1:10" ht="16" x14ac:dyDescent="0.2">
      <c r="A1464" s="70"/>
      <c r="B1464" s="70"/>
      <c r="C1464" s="70"/>
      <c r="D1464" s="70"/>
      <c r="E1464" s="70"/>
      <c r="F1464" s="70"/>
      <c r="G1464" s="70"/>
      <c r="H1464" s="70"/>
      <c r="I1464" s="70"/>
      <c r="J1464" s="70"/>
    </row>
    <row r="1465" spans="1:10" ht="16" x14ac:dyDescent="0.2">
      <c r="A1465" s="70"/>
      <c r="B1465" s="70"/>
      <c r="C1465" s="70"/>
      <c r="D1465" s="70"/>
      <c r="E1465" s="70"/>
      <c r="F1465" s="70"/>
      <c r="G1465" s="70"/>
      <c r="H1465" s="70"/>
      <c r="I1465" s="70"/>
      <c r="J1465" s="70"/>
    </row>
    <row r="1466" spans="1:10" ht="16" x14ac:dyDescent="0.2">
      <c r="A1466" s="70"/>
      <c r="B1466" s="70"/>
      <c r="C1466" s="70"/>
      <c r="D1466" s="70"/>
      <c r="E1466" s="70"/>
      <c r="F1466" s="70"/>
      <c r="G1466" s="70"/>
      <c r="H1466" s="70"/>
      <c r="I1466" s="70"/>
      <c r="J1466" s="70"/>
    </row>
    <row r="1467" spans="1:10" ht="16" x14ac:dyDescent="0.2">
      <c r="A1467" s="70"/>
      <c r="B1467" s="70"/>
      <c r="C1467" s="70"/>
      <c r="D1467" s="70"/>
      <c r="E1467" s="70"/>
      <c r="F1467" s="70"/>
      <c r="G1467" s="70"/>
      <c r="H1467" s="70"/>
      <c r="I1467" s="70"/>
      <c r="J1467" s="70"/>
    </row>
    <row r="1468" spans="1:10" ht="16" x14ac:dyDescent="0.2">
      <c r="A1468" s="70"/>
      <c r="B1468" s="70"/>
      <c r="C1468" s="70"/>
      <c r="D1468" s="70"/>
      <c r="E1468" s="70"/>
      <c r="F1468" s="70"/>
      <c r="G1468" s="70"/>
      <c r="H1468" s="70"/>
      <c r="I1468" s="70"/>
      <c r="J1468" s="70"/>
    </row>
    <row r="1469" spans="1:10" ht="16" x14ac:dyDescent="0.2">
      <c r="A1469" s="70"/>
      <c r="B1469" s="70"/>
      <c r="C1469" s="70"/>
      <c r="D1469" s="70"/>
      <c r="E1469" s="70"/>
      <c r="F1469" s="70"/>
      <c r="G1469" s="70"/>
      <c r="H1469" s="70"/>
      <c r="I1469" s="70"/>
      <c r="J1469" s="70"/>
    </row>
    <row r="1470" spans="1:10" ht="16" x14ac:dyDescent="0.2">
      <c r="A1470" s="70"/>
      <c r="B1470" s="70"/>
      <c r="C1470" s="70"/>
      <c r="D1470" s="70"/>
      <c r="E1470" s="70"/>
      <c r="F1470" s="70"/>
      <c r="G1470" s="70"/>
      <c r="H1470" s="70"/>
      <c r="I1470" s="70"/>
      <c r="J1470" s="70"/>
    </row>
    <row r="1471" spans="1:10" ht="16" x14ac:dyDescent="0.2">
      <c r="A1471" s="70"/>
      <c r="B1471" s="70"/>
      <c r="C1471" s="70"/>
      <c r="D1471" s="70"/>
      <c r="E1471" s="70"/>
      <c r="F1471" s="70"/>
      <c r="G1471" s="70"/>
      <c r="H1471" s="70"/>
      <c r="I1471" s="70"/>
      <c r="J1471" s="70"/>
    </row>
    <row r="1472" spans="1:10" ht="16" x14ac:dyDescent="0.2">
      <c r="A1472" s="70"/>
      <c r="B1472" s="70"/>
      <c r="C1472" s="70"/>
      <c r="D1472" s="70"/>
      <c r="E1472" s="70"/>
      <c r="F1472" s="70"/>
      <c r="G1472" s="70"/>
      <c r="H1472" s="70"/>
      <c r="I1472" s="70"/>
      <c r="J1472" s="70"/>
    </row>
    <row r="1473" spans="1:10" ht="16" x14ac:dyDescent="0.2">
      <c r="A1473" s="70"/>
      <c r="B1473" s="70"/>
      <c r="C1473" s="70"/>
      <c r="D1473" s="70"/>
      <c r="E1473" s="70"/>
      <c r="F1473" s="70"/>
      <c r="G1473" s="70"/>
      <c r="H1473" s="70"/>
      <c r="I1473" s="70"/>
      <c r="J1473" s="70"/>
    </row>
    <row r="1474" spans="1:10" ht="16" x14ac:dyDescent="0.2">
      <c r="A1474" s="70"/>
      <c r="B1474" s="70"/>
      <c r="C1474" s="70"/>
      <c r="D1474" s="70"/>
      <c r="E1474" s="70"/>
      <c r="F1474" s="70"/>
      <c r="G1474" s="70"/>
      <c r="H1474" s="70"/>
      <c r="I1474" s="70"/>
      <c r="J1474" s="70"/>
    </row>
    <row r="1475" spans="1:10" ht="16" x14ac:dyDescent="0.2">
      <c r="A1475" s="70"/>
      <c r="B1475" s="70"/>
      <c r="C1475" s="70"/>
      <c r="D1475" s="70"/>
      <c r="E1475" s="70"/>
      <c r="F1475" s="70"/>
      <c r="G1475" s="70"/>
      <c r="H1475" s="70"/>
      <c r="I1475" s="70"/>
      <c r="J1475" s="70"/>
    </row>
    <row r="1476" spans="1:10" ht="16" x14ac:dyDescent="0.2">
      <c r="A1476" s="70"/>
      <c r="B1476" s="70"/>
      <c r="C1476" s="70"/>
      <c r="D1476" s="70"/>
      <c r="E1476" s="70"/>
      <c r="F1476" s="70"/>
      <c r="G1476" s="70"/>
      <c r="H1476" s="70"/>
      <c r="I1476" s="70"/>
      <c r="J1476" s="70"/>
    </row>
    <row r="1477" spans="1:10" ht="16" x14ac:dyDescent="0.2">
      <c r="A1477" s="70"/>
      <c r="B1477" s="70"/>
      <c r="C1477" s="70"/>
      <c r="D1477" s="70"/>
      <c r="E1477" s="70"/>
      <c r="F1477" s="70"/>
      <c r="G1477" s="70"/>
      <c r="H1477" s="70"/>
      <c r="I1477" s="70"/>
      <c r="J1477" s="70"/>
    </row>
    <row r="1478" spans="1:10" ht="16" x14ac:dyDescent="0.2">
      <c r="A1478" s="70"/>
      <c r="B1478" s="70"/>
      <c r="C1478" s="70"/>
      <c r="D1478" s="70"/>
      <c r="E1478" s="70"/>
      <c r="F1478" s="70"/>
      <c r="G1478" s="70"/>
      <c r="H1478" s="70"/>
      <c r="I1478" s="70"/>
      <c r="J1478" s="70"/>
    </row>
    <row r="1479" spans="1:10" ht="16" x14ac:dyDescent="0.2">
      <c r="A1479" s="70"/>
      <c r="B1479" s="70"/>
      <c r="C1479" s="70"/>
      <c r="D1479" s="70"/>
      <c r="E1479" s="70"/>
      <c r="F1479" s="70"/>
      <c r="G1479" s="70"/>
      <c r="H1479" s="70"/>
      <c r="I1479" s="70"/>
      <c r="J1479" s="70"/>
    </row>
    <row r="1480" spans="1:10" ht="16" x14ac:dyDescent="0.2">
      <c r="A1480" s="70"/>
      <c r="B1480" s="70"/>
      <c r="C1480" s="70"/>
      <c r="D1480" s="70"/>
      <c r="E1480" s="70"/>
      <c r="F1480" s="70"/>
      <c r="G1480" s="70"/>
      <c r="H1480" s="70"/>
      <c r="I1480" s="70"/>
      <c r="J1480" s="70"/>
    </row>
    <row r="1481" spans="1:10" ht="16" x14ac:dyDescent="0.2">
      <c r="A1481" s="70"/>
      <c r="B1481" s="70"/>
      <c r="C1481" s="70"/>
      <c r="D1481" s="70"/>
      <c r="E1481" s="70"/>
      <c r="F1481" s="70"/>
      <c r="G1481" s="70"/>
      <c r="H1481" s="70"/>
      <c r="I1481" s="70"/>
      <c r="J1481" s="70"/>
    </row>
    <row r="1482" spans="1:10" ht="16" x14ac:dyDescent="0.2">
      <c r="A1482" s="70"/>
      <c r="B1482" s="70"/>
      <c r="C1482" s="70"/>
      <c r="D1482" s="70"/>
      <c r="E1482" s="70"/>
      <c r="F1482" s="70"/>
      <c r="G1482" s="70"/>
      <c r="H1482" s="70"/>
      <c r="I1482" s="70"/>
      <c r="J1482" s="70"/>
    </row>
    <row r="1483" spans="1:10" ht="16" x14ac:dyDescent="0.2">
      <c r="A1483" s="70"/>
      <c r="B1483" s="70"/>
      <c r="C1483" s="70"/>
      <c r="D1483" s="70"/>
      <c r="E1483" s="70"/>
      <c r="F1483" s="70"/>
      <c r="G1483" s="70"/>
      <c r="H1483" s="70"/>
      <c r="I1483" s="70"/>
      <c r="J1483" s="70"/>
    </row>
    <row r="1484" spans="1:10" ht="16" x14ac:dyDescent="0.2">
      <c r="A1484" s="70"/>
      <c r="B1484" s="70"/>
      <c r="C1484" s="70"/>
      <c r="D1484" s="70"/>
      <c r="E1484" s="70"/>
      <c r="F1484" s="70"/>
      <c r="G1484" s="70"/>
      <c r="H1484" s="70"/>
      <c r="I1484" s="70"/>
      <c r="J1484" s="70"/>
    </row>
    <row r="1485" spans="1:10" ht="16" x14ac:dyDescent="0.2">
      <c r="A1485" s="70"/>
      <c r="B1485" s="70"/>
      <c r="C1485" s="70"/>
      <c r="D1485" s="70"/>
      <c r="E1485" s="70"/>
      <c r="F1485" s="70"/>
      <c r="G1485" s="70"/>
      <c r="H1485" s="70"/>
      <c r="I1485" s="70"/>
      <c r="J1485" s="70"/>
    </row>
    <row r="1486" spans="1:10" ht="16" x14ac:dyDescent="0.2">
      <c r="A1486" s="70"/>
      <c r="B1486" s="70"/>
      <c r="C1486" s="70"/>
      <c r="D1486" s="70"/>
      <c r="E1486" s="70"/>
      <c r="F1486" s="70"/>
      <c r="G1486" s="70"/>
      <c r="H1486" s="70"/>
      <c r="I1486" s="70"/>
      <c r="J1486" s="70"/>
    </row>
    <row r="1487" spans="1:10" ht="16" x14ac:dyDescent="0.2">
      <c r="A1487" s="70"/>
      <c r="B1487" s="70"/>
      <c r="C1487" s="70"/>
      <c r="D1487" s="70"/>
      <c r="E1487" s="70"/>
      <c r="F1487" s="70"/>
      <c r="G1487" s="70"/>
      <c r="H1487" s="70"/>
      <c r="I1487" s="70"/>
      <c r="J1487" s="70"/>
    </row>
    <row r="1488" spans="1:10" ht="16" x14ac:dyDescent="0.2">
      <c r="A1488" s="70"/>
      <c r="B1488" s="70"/>
      <c r="C1488" s="70"/>
      <c r="D1488" s="70"/>
      <c r="E1488" s="70"/>
      <c r="F1488" s="70"/>
      <c r="G1488" s="70"/>
      <c r="H1488" s="70"/>
      <c r="I1488" s="70"/>
      <c r="J1488" s="70"/>
    </row>
    <row r="1489" spans="1:10" ht="16" x14ac:dyDescent="0.2">
      <c r="A1489" s="70"/>
      <c r="B1489" s="70"/>
      <c r="C1489" s="70"/>
      <c r="D1489" s="70"/>
      <c r="E1489" s="70"/>
      <c r="F1489" s="70"/>
      <c r="G1489" s="70"/>
      <c r="H1489" s="70"/>
      <c r="I1489" s="70"/>
      <c r="J1489" s="70"/>
    </row>
    <row r="1490" spans="1:10" ht="16" x14ac:dyDescent="0.2">
      <c r="A1490" s="70"/>
      <c r="B1490" s="70"/>
      <c r="C1490" s="70"/>
      <c r="D1490" s="70"/>
      <c r="E1490" s="70"/>
      <c r="F1490" s="70"/>
      <c r="G1490" s="70"/>
      <c r="H1490" s="70"/>
      <c r="I1490" s="70"/>
      <c r="J1490" s="70"/>
    </row>
    <row r="1491" spans="1:10" ht="16" x14ac:dyDescent="0.2">
      <c r="A1491" s="70"/>
      <c r="B1491" s="70"/>
      <c r="C1491" s="70"/>
      <c r="D1491" s="70"/>
      <c r="E1491" s="70"/>
      <c r="F1491" s="70"/>
      <c r="G1491" s="70"/>
      <c r="H1491" s="70"/>
      <c r="I1491" s="70"/>
      <c r="J1491" s="70"/>
    </row>
    <row r="1492" spans="1:10" ht="16" x14ac:dyDescent="0.2">
      <c r="A1492" s="70"/>
      <c r="B1492" s="70"/>
      <c r="C1492" s="70"/>
      <c r="D1492" s="70"/>
      <c r="E1492" s="70"/>
      <c r="F1492" s="70"/>
      <c r="G1492" s="70"/>
      <c r="H1492" s="70"/>
      <c r="I1492" s="70"/>
      <c r="J1492" s="70"/>
    </row>
    <row r="1493" spans="1:10" ht="16" x14ac:dyDescent="0.2">
      <c r="A1493" s="70"/>
      <c r="B1493" s="70"/>
      <c r="C1493" s="70"/>
      <c r="D1493" s="70"/>
      <c r="E1493" s="70"/>
      <c r="F1493" s="70"/>
      <c r="G1493" s="70"/>
      <c r="H1493" s="70"/>
      <c r="I1493" s="70"/>
      <c r="J1493" s="70"/>
    </row>
    <row r="1494" spans="1:10" ht="16" x14ac:dyDescent="0.2">
      <c r="A1494" s="70"/>
      <c r="B1494" s="70"/>
      <c r="C1494" s="70"/>
      <c r="D1494" s="70"/>
      <c r="E1494" s="70"/>
      <c r="F1494" s="70"/>
      <c r="G1494" s="70"/>
      <c r="H1494" s="70"/>
      <c r="I1494" s="70"/>
      <c r="J1494" s="70"/>
    </row>
    <row r="1495" spans="1:10" ht="16" x14ac:dyDescent="0.2">
      <c r="A1495" s="70"/>
      <c r="B1495" s="70"/>
      <c r="C1495" s="70"/>
      <c r="D1495" s="70"/>
      <c r="E1495" s="70"/>
      <c r="F1495" s="70"/>
      <c r="G1495" s="70"/>
      <c r="H1495" s="70"/>
      <c r="I1495" s="70"/>
      <c r="J1495" s="70"/>
    </row>
    <row r="1496" spans="1:10" ht="16" x14ac:dyDescent="0.2">
      <c r="A1496" s="70"/>
      <c r="B1496" s="70"/>
      <c r="C1496" s="70"/>
      <c r="D1496" s="70"/>
      <c r="E1496" s="70"/>
      <c r="F1496" s="70"/>
      <c r="G1496" s="70"/>
      <c r="H1496" s="70"/>
      <c r="I1496" s="70"/>
      <c r="J1496" s="70"/>
    </row>
    <row r="1497" spans="1:10" ht="16" x14ac:dyDescent="0.2">
      <c r="A1497" s="70"/>
      <c r="B1497" s="70"/>
      <c r="C1497" s="70"/>
      <c r="D1497" s="70"/>
      <c r="E1497" s="70"/>
      <c r="F1497" s="70"/>
      <c r="G1497" s="70"/>
      <c r="H1497" s="70"/>
      <c r="I1497" s="70"/>
      <c r="J1497" s="70"/>
    </row>
    <row r="1498" spans="1:10" ht="16" x14ac:dyDescent="0.2">
      <c r="A1498" s="70"/>
      <c r="B1498" s="70"/>
      <c r="C1498" s="70"/>
      <c r="D1498" s="70"/>
      <c r="E1498" s="70"/>
      <c r="F1498" s="70"/>
      <c r="G1498" s="70"/>
      <c r="H1498" s="70"/>
      <c r="I1498" s="70"/>
      <c r="J1498" s="70"/>
    </row>
    <row r="1499" spans="1:10" ht="16" x14ac:dyDescent="0.2">
      <c r="A1499" s="70"/>
      <c r="B1499" s="70"/>
      <c r="C1499" s="70"/>
      <c r="D1499" s="70"/>
      <c r="E1499" s="70"/>
      <c r="F1499" s="70"/>
      <c r="G1499" s="70"/>
      <c r="H1499" s="70"/>
      <c r="I1499" s="70"/>
      <c r="J1499" s="70"/>
    </row>
    <row r="1500" spans="1:10" ht="16" x14ac:dyDescent="0.2">
      <c r="A1500" s="70"/>
      <c r="B1500" s="70"/>
      <c r="C1500" s="70"/>
      <c r="D1500" s="70"/>
      <c r="E1500" s="70"/>
      <c r="F1500" s="70"/>
      <c r="G1500" s="70"/>
      <c r="H1500" s="70"/>
      <c r="I1500" s="70"/>
      <c r="J1500" s="70"/>
    </row>
    <row r="1501" spans="1:10" ht="16" x14ac:dyDescent="0.2">
      <c r="A1501" s="70"/>
      <c r="B1501" s="70"/>
      <c r="C1501" s="70"/>
      <c r="D1501" s="70"/>
      <c r="E1501" s="70"/>
      <c r="F1501" s="70"/>
      <c r="G1501" s="70"/>
      <c r="H1501" s="70"/>
      <c r="I1501" s="70"/>
      <c r="J1501" s="70"/>
    </row>
    <row r="1502" spans="1:10" ht="16" x14ac:dyDescent="0.2">
      <c r="A1502" s="70"/>
      <c r="B1502" s="70"/>
      <c r="C1502" s="70"/>
      <c r="D1502" s="70"/>
      <c r="E1502" s="70"/>
      <c r="F1502" s="70"/>
      <c r="G1502" s="70"/>
      <c r="H1502" s="70"/>
      <c r="I1502" s="70"/>
      <c r="J1502" s="70"/>
    </row>
    <row r="1503" spans="1:10" ht="16" x14ac:dyDescent="0.2">
      <c r="A1503" s="70"/>
      <c r="B1503" s="70"/>
      <c r="C1503" s="70"/>
      <c r="D1503" s="70"/>
      <c r="E1503" s="70"/>
      <c r="F1503" s="70"/>
      <c r="G1503" s="70"/>
      <c r="H1503" s="70"/>
      <c r="I1503" s="70"/>
      <c r="J1503" s="70"/>
    </row>
    <row r="1504" spans="1:10" ht="16" x14ac:dyDescent="0.2">
      <c r="A1504" s="70"/>
      <c r="B1504" s="70"/>
      <c r="C1504" s="70"/>
      <c r="D1504" s="70"/>
      <c r="E1504" s="70"/>
      <c r="F1504" s="70"/>
      <c r="G1504" s="70"/>
      <c r="H1504" s="70"/>
      <c r="I1504" s="70"/>
      <c r="J1504" s="70"/>
    </row>
    <row r="1505" spans="1:10" ht="16" x14ac:dyDescent="0.2">
      <c r="A1505" s="70"/>
      <c r="B1505" s="70"/>
      <c r="C1505" s="70"/>
      <c r="D1505" s="70"/>
      <c r="E1505" s="70"/>
      <c r="F1505" s="70"/>
      <c r="G1505" s="70"/>
      <c r="H1505" s="70"/>
      <c r="I1505" s="70"/>
      <c r="J1505" s="70"/>
    </row>
    <row r="1506" spans="1:10" ht="16" x14ac:dyDescent="0.2">
      <c r="A1506" s="70"/>
      <c r="B1506" s="70"/>
      <c r="C1506" s="70"/>
      <c r="D1506" s="70"/>
      <c r="E1506" s="70"/>
      <c r="F1506" s="70"/>
      <c r="G1506" s="70"/>
      <c r="H1506" s="70"/>
      <c r="I1506" s="70"/>
      <c r="J1506" s="70"/>
    </row>
    <row r="1507" spans="1:10" ht="16" x14ac:dyDescent="0.2">
      <c r="A1507" s="70"/>
      <c r="B1507" s="70"/>
      <c r="C1507" s="70"/>
      <c r="D1507" s="70"/>
      <c r="E1507" s="70"/>
      <c r="F1507" s="70"/>
      <c r="G1507" s="70"/>
      <c r="H1507" s="70"/>
      <c r="I1507" s="70"/>
      <c r="J1507" s="70"/>
    </row>
    <row r="1508" spans="1:10" ht="16" x14ac:dyDescent="0.2">
      <c r="A1508" s="70"/>
      <c r="B1508" s="70"/>
      <c r="C1508" s="70"/>
      <c r="D1508" s="70"/>
      <c r="E1508" s="70"/>
      <c r="F1508" s="70"/>
      <c r="G1508" s="70"/>
      <c r="H1508" s="70"/>
      <c r="I1508" s="70"/>
      <c r="J1508" s="70"/>
    </row>
    <row r="1509" spans="1:10" ht="16" x14ac:dyDescent="0.2">
      <c r="A1509" s="70"/>
      <c r="B1509" s="70"/>
      <c r="C1509" s="70"/>
      <c r="D1509" s="70"/>
      <c r="E1509" s="70"/>
      <c r="F1509" s="70"/>
      <c r="G1509" s="70"/>
      <c r="H1509" s="70"/>
      <c r="I1509" s="70"/>
      <c r="J1509" s="70"/>
    </row>
    <row r="1510" spans="1:10" ht="16" x14ac:dyDescent="0.2">
      <c r="A1510" s="70"/>
      <c r="B1510" s="70"/>
      <c r="C1510" s="70"/>
      <c r="D1510" s="70"/>
      <c r="E1510" s="70"/>
      <c r="F1510" s="70"/>
      <c r="G1510" s="70"/>
      <c r="H1510" s="70"/>
      <c r="I1510" s="70"/>
      <c r="J1510" s="70"/>
    </row>
    <row r="1511" spans="1:10" ht="16" x14ac:dyDescent="0.2">
      <c r="A1511" s="70"/>
      <c r="B1511" s="70"/>
      <c r="C1511" s="70"/>
      <c r="D1511" s="70"/>
      <c r="E1511" s="70"/>
      <c r="F1511" s="70"/>
      <c r="G1511" s="70"/>
      <c r="H1511" s="70"/>
      <c r="I1511" s="70"/>
      <c r="J1511" s="70"/>
    </row>
    <row r="1512" spans="1:10" ht="16" x14ac:dyDescent="0.2">
      <c r="A1512" s="70"/>
      <c r="B1512" s="70"/>
      <c r="C1512" s="70"/>
      <c r="D1512" s="70"/>
      <c r="E1512" s="70"/>
      <c r="F1512" s="70"/>
      <c r="G1512" s="70"/>
      <c r="H1512" s="70"/>
      <c r="I1512" s="70"/>
      <c r="J1512" s="70"/>
    </row>
    <row r="1513" spans="1:10" ht="16" x14ac:dyDescent="0.2">
      <c r="A1513" s="70"/>
      <c r="B1513" s="70"/>
      <c r="C1513" s="70"/>
      <c r="D1513" s="70"/>
      <c r="E1513" s="70"/>
      <c r="F1513" s="70"/>
      <c r="G1513" s="70"/>
      <c r="H1513" s="70"/>
      <c r="I1513" s="70"/>
      <c r="J1513" s="70"/>
    </row>
    <row r="1514" spans="1:10" ht="16" x14ac:dyDescent="0.2">
      <c r="A1514" s="70"/>
      <c r="B1514" s="70"/>
      <c r="C1514" s="70"/>
      <c r="D1514" s="70"/>
      <c r="E1514" s="70"/>
      <c r="F1514" s="70"/>
      <c r="G1514" s="70"/>
      <c r="H1514" s="70"/>
      <c r="I1514" s="70"/>
      <c r="J1514" s="70"/>
    </row>
    <row r="1515" spans="1:10" ht="16" x14ac:dyDescent="0.2">
      <c r="A1515" s="70"/>
      <c r="B1515" s="70"/>
      <c r="C1515" s="70"/>
      <c r="D1515" s="70"/>
      <c r="E1515" s="70"/>
      <c r="F1515" s="70"/>
      <c r="G1515" s="70"/>
      <c r="H1515" s="70"/>
      <c r="I1515" s="70"/>
      <c r="J1515" s="70"/>
    </row>
    <row r="1516" spans="1:10" ht="16" x14ac:dyDescent="0.2">
      <c r="A1516" s="70"/>
      <c r="B1516" s="70"/>
      <c r="C1516" s="70"/>
      <c r="D1516" s="70"/>
      <c r="E1516" s="70"/>
      <c r="F1516" s="70"/>
      <c r="G1516" s="70"/>
      <c r="H1516" s="70"/>
      <c r="I1516" s="70"/>
      <c r="J1516" s="70"/>
    </row>
    <row r="1517" spans="1:10" ht="16" x14ac:dyDescent="0.2">
      <c r="A1517" s="70"/>
      <c r="B1517" s="70"/>
      <c r="C1517" s="70"/>
      <c r="D1517" s="70"/>
      <c r="E1517" s="70"/>
      <c r="F1517" s="70"/>
      <c r="G1517" s="70"/>
      <c r="H1517" s="70"/>
      <c r="I1517" s="70"/>
      <c r="J1517" s="70"/>
    </row>
    <row r="1518" spans="1:10" ht="16" x14ac:dyDescent="0.2">
      <c r="A1518" s="70"/>
      <c r="B1518" s="70"/>
      <c r="C1518" s="70"/>
      <c r="D1518" s="70"/>
      <c r="E1518" s="70"/>
      <c r="F1518" s="70"/>
      <c r="G1518" s="70"/>
      <c r="H1518" s="70"/>
      <c r="I1518" s="70"/>
      <c r="J1518" s="70"/>
    </row>
    <row r="1519" spans="1:10" ht="16" x14ac:dyDescent="0.2">
      <c r="A1519" s="70"/>
      <c r="B1519" s="70"/>
      <c r="C1519" s="70"/>
      <c r="D1519" s="70"/>
      <c r="E1519" s="70"/>
      <c r="F1519" s="70"/>
      <c r="G1519" s="70"/>
      <c r="H1519" s="70"/>
      <c r="I1519" s="70"/>
      <c r="J1519" s="70"/>
    </row>
    <row r="1520" spans="1:10" ht="16" x14ac:dyDescent="0.2">
      <c r="A1520" s="70"/>
      <c r="B1520" s="70"/>
      <c r="C1520" s="70"/>
      <c r="D1520" s="70"/>
      <c r="E1520" s="70"/>
      <c r="F1520" s="70"/>
      <c r="G1520" s="70"/>
      <c r="H1520" s="70"/>
      <c r="I1520" s="70"/>
      <c r="J1520" s="70"/>
    </row>
    <row r="1521" spans="1:10" ht="16" x14ac:dyDescent="0.2">
      <c r="A1521" s="70"/>
      <c r="B1521" s="70"/>
      <c r="C1521" s="70"/>
      <c r="D1521" s="70"/>
      <c r="E1521" s="70"/>
      <c r="F1521" s="70"/>
      <c r="G1521" s="70"/>
      <c r="H1521" s="70"/>
      <c r="I1521" s="70"/>
      <c r="J1521" s="70"/>
    </row>
    <row r="1522" spans="1:10" ht="16" x14ac:dyDescent="0.2">
      <c r="A1522" s="70"/>
      <c r="B1522" s="70"/>
      <c r="C1522" s="70"/>
      <c r="D1522" s="70"/>
      <c r="E1522" s="70"/>
      <c r="F1522" s="70"/>
      <c r="G1522" s="70"/>
      <c r="H1522" s="70"/>
      <c r="I1522" s="70"/>
      <c r="J1522" s="70"/>
    </row>
    <row r="1523" spans="1:10" ht="16" x14ac:dyDescent="0.2">
      <c r="A1523" s="70"/>
      <c r="B1523" s="70"/>
      <c r="C1523" s="70"/>
      <c r="D1523" s="70"/>
      <c r="E1523" s="70"/>
      <c r="F1523" s="70"/>
      <c r="G1523" s="70"/>
      <c r="H1523" s="70"/>
      <c r="I1523" s="70"/>
      <c r="J1523" s="70"/>
    </row>
    <row r="1524" spans="1:10" ht="16" x14ac:dyDescent="0.2">
      <c r="A1524" s="70"/>
      <c r="B1524" s="70"/>
      <c r="C1524" s="70"/>
      <c r="D1524" s="70"/>
      <c r="E1524" s="70"/>
      <c r="F1524" s="70"/>
      <c r="G1524" s="70"/>
      <c r="H1524" s="70"/>
      <c r="I1524" s="70"/>
      <c r="J1524" s="70"/>
    </row>
    <row r="1525" spans="1:10" ht="16" x14ac:dyDescent="0.2">
      <c r="A1525" s="70"/>
      <c r="B1525" s="70"/>
      <c r="C1525" s="70"/>
      <c r="D1525" s="70"/>
      <c r="E1525" s="70"/>
      <c r="F1525" s="70"/>
      <c r="G1525" s="70"/>
      <c r="H1525" s="70"/>
      <c r="I1525" s="70"/>
      <c r="J1525" s="70"/>
    </row>
    <row r="1526" spans="1:10" ht="16" x14ac:dyDescent="0.2">
      <c r="A1526" s="70"/>
      <c r="B1526" s="70"/>
      <c r="C1526" s="70"/>
      <c r="D1526" s="70"/>
      <c r="E1526" s="70"/>
      <c r="F1526" s="70"/>
      <c r="G1526" s="70"/>
      <c r="H1526" s="70"/>
      <c r="I1526" s="70"/>
      <c r="J1526" s="70"/>
    </row>
    <row r="1527" spans="1:10" ht="16" x14ac:dyDescent="0.2">
      <c r="A1527" s="70"/>
      <c r="B1527" s="70"/>
      <c r="C1527" s="70"/>
      <c r="D1527" s="70"/>
      <c r="E1527" s="70"/>
      <c r="F1527" s="70"/>
      <c r="G1527" s="70"/>
      <c r="H1527" s="70"/>
      <c r="I1527" s="70"/>
      <c r="J1527" s="70"/>
    </row>
    <row r="1528" spans="1:10" ht="16" x14ac:dyDescent="0.2">
      <c r="A1528" s="70"/>
      <c r="B1528" s="70"/>
      <c r="C1528" s="70"/>
      <c r="D1528" s="70"/>
      <c r="E1528" s="70"/>
      <c r="F1528" s="70"/>
      <c r="G1528" s="70"/>
      <c r="H1528" s="70"/>
      <c r="I1528" s="70"/>
      <c r="J1528" s="70"/>
    </row>
    <row r="1529" spans="1:10" ht="16" x14ac:dyDescent="0.2">
      <c r="A1529" s="70"/>
      <c r="B1529" s="70"/>
      <c r="C1529" s="70"/>
      <c r="D1529" s="70"/>
      <c r="E1529" s="70"/>
      <c r="F1529" s="70"/>
      <c r="G1529" s="70"/>
      <c r="H1529" s="70"/>
      <c r="I1529" s="70"/>
      <c r="J1529" s="70"/>
    </row>
    <row r="1530" spans="1:10" ht="16" x14ac:dyDescent="0.2">
      <c r="A1530" s="70"/>
      <c r="B1530" s="70"/>
      <c r="C1530" s="70"/>
      <c r="D1530" s="70"/>
      <c r="E1530" s="70"/>
      <c r="F1530" s="70"/>
      <c r="G1530" s="70"/>
      <c r="H1530" s="70"/>
      <c r="I1530" s="70"/>
      <c r="J1530" s="70"/>
    </row>
    <row r="1531" spans="1:10" ht="16" x14ac:dyDescent="0.2">
      <c r="A1531" s="70"/>
      <c r="B1531" s="70"/>
      <c r="C1531" s="70"/>
      <c r="D1531" s="70"/>
      <c r="E1531" s="70"/>
      <c r="F1531" s="70"/>
      <c r="G1531" s="70"/>
      <c r="H1531" s="70"/>
      <c r="I1531" s="70"/>
      <c r="J1531" s="70"/>
    </row>
    <row r="1532" spans="1:10" ht="16" x14ac:dyDescent="0.2">
      <c r="A1532" s="70"/>
      <c r="B1532" s="70"/>
      <c r="C1532" s="70"/>
      <c r="D1532" s="70"/>
      <c r="E1532" s="70"/>
      <c r="F1532" s="70"/>
      <c r="G1532" s="70"/>
      <c r="H1532" s="70"/>
      <c r="I1532" s="70"/>
      <c r="J1532" s="70"/>
    </row>
    <row r="1533" spans="1:10" ht="16" x14ac:dyDescent="0.2">
      <c r="A1533" s="70"/>
      <c r="B1533" s="70"/>
      <c r="C1533" s="70"/>
      <c r="D1533" s="70"/>
      <c r="E1533" s="70"/>
      <c r="F1533" s="70"/>
      <c r="G1533" s="70"/>
      <c r="H1533" s="70"/>
      <c r="I1533" s="70"/>
      <c r="J1533" s="70"/>
    </row>
    <row r="1534" spans="1:10" ht="16" x14ac:dyDescent="0.2">
      <c r="A1534" s="70"/>
      <c r="B1534" s="70"/>
      <c r="C1534" s="70"/>
      <c r="D1534" s="70"/>
      <c r="E1534" s="70"/>
      <c r="F1534" s="70"/>
      <c r="G1534" s="70"/>
      <c r="H1534" s="70"/>
      <c r="I1534" s="70"/>
      <c r="J1534" s="70"/>
    </row>
    <row r="1535" spans="1:10" ht="16" x14ac:dyDescent="0.2">
      <c r="A1535" s="70"/>
      <c r="B1535" s="70"/>
      <c r="C1535" s="70"/>
      <c r="D1535" s="70"/>
      <c r="E1535" s="70"/>
      <c r="F1535" s="70"/>
      <c r="G1535" s="70"/>
      <c r="H1535" s="70"/>
      <c r="I1535" s="70"/>
      <c r="J1535" s="70"/>
    </row>
    <row r="1536" spans="1:10" ht="16" x14ac:dyDescent="0.2">
      <c r="A1536" s="70"/>
      <c r="B1536" s="70"/>
      <c r="C1536" s="70"/>
      <c r="D1536" s="70"/>
      <c r="E1536" s="70"/>
      <c r="F1536" s="70"/>
      <c r="G1536" s="70"/>
      <c r="H1536" s="70"/>
      <c r="I1536" s="70"/>
      <c r="J1536" s="70"/>
    </row>
    <row r="1537" spans="1:10" ht="16" x14ac:dyDescent="0.2">
      <c r="A1537" s="70"/>
      <c r="B1537" s="70"/>
      <c r="C1537" s="70"/>
      <c r="D1537" s="70"/>
      <c r="E1537" s="70"/>
      <c r="F1537" s="70"/>
      <c r="G1537" s="70"/>
      <c r="H1537" s="70"/>
      <c r="I1537" s="70"/>
      <c r="J1537" s="70"/>
    </row>
    <row r="1538" spans="1:10" ht="16" x14ac:dyDescent="0.2">
      <c r="A1538" s="70"/>
      <c r="B1538" s="70"/>
      <c r="C1538" s="70"/>
      <c r="D1538" s="70"/>
      <c r="E1538" s="70"/>
      <c r="F1538" s="70"/>
      <c r="G1538" s="70"/>
      <c r="H1538" s="70"/>
      <c r="I1538" s="70"/>
      <c r="J1538" s="70"/>
    </row>
    <row r="1539" spans="1:10" ht="16" x14ac:dyDescent="0.2">
      <c r="A1539" s="70"/>
      <c r="B1539" s="70"/>
      <c r="C1539" s="70"/>
      <c r="D1539" s="70"/>
      <c r="E1539" s="70"/>
      <c r="F1539" s="70"/>
      <c r="G1539" s="70"/>
      <c r="H1539" s="70"/>
      <c r="I1539" s="70"/>
      <c r="J1539" s="70"/>
    </row>
    <row r="1540" spans="1:10" ht="16" x14ac:dyDescent="0.2">
      <c r="A1540" s="70"/>
      <c r="B1540" s="70"/>
      <c r="C1540" s="70"/>
      <c r="D1540" s="70"/>
      <c r="E1540" s="70"/>
      <c r="F1540" s="70"/>
      <c r="G1540" s="70"/>
      <c r="H1540" s="70"/>
      <c r="I1540" s="70"/>
      <c r="J1540" s="70"/>
    </row>
    <row r="1541" spans="1:10" ht="16" x14ac:dyDescent="0.2">
      <c r="A1541" s="70"/>
      <c r="B1541" s="70"/>
      <c r="C1541" s="70"/>
      <c r="D1541" s="70"/>
      <c r="E1541" s="70"/>
      <c r="F1541" s="70"/>
      <c r="G1541" s="70"/>
      <c r="H1541" s="70"/>
      <c r="I1541" s="70"/>
      <c r="J1541" s="70"/>
    </row>
    <row r="1542" spans="1:10" ht="16" x14ac:dyDescent="0.2">
      <c r="A1542" s="70"/>
      <c r="B1542" s="70"/>
      <c r="C1542" s="70"/>
      <c r="D1542" s="70"/>
      <c r="E1542" s="70"/>
      <c r="F1542" s="70"/>
      <c r="G1542" s="70"/>
      <c r="H1542" s="70"/>
      <c r="I1542" s="70"/>
      <c r="J1542" s="70"/>
    </row>
    <row r="1543" spans="1:10" ht="16" x14ac:dyDescent="0.2">
      <c r="A1543" s="70"/>
      <c r="B1543" s="70"/>
      <c r="C1543" s="70"/>
      <c r="D1543" s="70"/>
      <c r="E1543" s="70"/>
      <c r="F1543" s="70"/>
      <c r="G1543" s="70"/>
      <c r="H1543" s="70"/>
      <c r="I1543" s="70"/>
      <c r="J1543" s="70"/>
    </row>
    <row r="1544" spans="1:10" ht="16" x14ac:dyDescent="0.2">
      <c r="A1544" s="70"/>
      <c r="B1544" s="70"/>
      <c r="C1544" s="70"/>
      <c r="D1544" s="70"/>
      <c r="E1544" s="70"/>
      <c r="F1544" s="70"/>
      <c r="G1544" s="70"/>
      <c r="H1544" s="70"/>
      <c r="I1544" s="70"/>
      <c r="J1544" s="70"/>
    </row>
    <row r="1545" spans="1:10" ht="16" x14ac:dyDescent="0.2">
      <c r="A1545" s="70"/>
      <c r="B1545" s="70"/>
      <c r="C1545" s="70"/>
      <c r="D1545" s="70"/>
      <c r="E1545" s="70"/>
      <c r="F1545" s="70"/>
      <c r="G1545" s="70"/>
      <c r="H1545" s="70"/>
      <c r="I1545" s="70"/>
      <c r="J1545" s="70"/>
    </row>
    <row r="1546" spans="1:10" ht="16" x14ac:dyDescent="0.2">
      <c r="A1546" s="70"/>
      <c r="B1546" s="70"/>
      <c r="C1546" s="70"/>
      <c r="D1546" s="70"/>
      <c r="E1546" s="70"/>
      <c r="F1546" s="70"/>
      <c r="G1546" s="70"/>
      <c r="H1546" s="70"/>
      <c r="I1546" s="70"/>
      <c r="J1546" s="70"/>
    </row>
    <row r="1547" spans="1:10" ht="16" x14ac:dyDescent="0.2">
      <c r="A1547" s="70"/>
      <c r="B1547" s="70"/>
      <c r="C1547" s="70"/>
      <c r="D1547" s="70"/>
      <c r="E1547" s="70"/>
      <c r="F1547" s="70"/>
      <c r="G1547" s="70"/>
      <c r="H1547" s="70"/>
      <c r="I1547" s="70"/>
      <c r="J1547" s="70"/>
    </row>
    <row r="1548" spans="1:10" ht="16" x14ac:dyDescent="0.2">
      <c r="A1548" s="70"/>
      <c r="B1548" s="70"/>
      <c r="C1548" s="70"/>
      <c r="D1548" s="70"/>
      <c r="E1548" s="70"/>
      <c r="F1548" s="70"/>
      <c r="G1548" s="70"/>
      <c r="H1548" s="70"/>
      <c r="I1548" s="70"/>
      <c r="J1548" s="70"/>
    </row>
    <row r="1549" spans="1:10" ht="16" x14ac:dyDescent="0.2">
      <c r="A1549" s="70"/>
      <c r="B1549" s="70"/>
      <c r="C1549" s="70"/>
      <c r="D1549" s="70"/>
      <c r="E1549" s="70"/>
      <c r="F1549" s="70"/>
      <c r="G1549" s="70"/>
      <c r="H1549" s="70"/>
      <c r="I1549" s="70"/>
      <c r="J1549" s="70"/>
    </row>
    <row r="1550" spans="1:10" ht="16" x14ac:dyDescent="0.2">
      <c r="A1550" s="70"/>
      <c r="B1550" s="70"/>
      <c r="C1550" s="70"/>
      <c r="D1550" s="70"/>
      <c r="E1550" s="70"/>
      <c r="F1550" s="70"/>
      <c r="G1550" s="70"/>
      <c r="H1550" s="70"/>
      <c r="I1550" s="70"/>
      <c r="J1550" s="70"/>
    </row>
    <row r="1551" spans="1:10" ht="16" x14ac:dyDescent="0.2">
      <c r="A1551" s="70"/>
      <c r="B1551" s="70"/>
      <c r="C1551" s="70"/>
      <c r="D1551" s="70"/>
      <c r="E1551" s="70"/>
      <c r="F1551" s="70"/>
      <c r="G1551" s="70"/>
      <c r="H1551" s="70"/>
      <c r="I1551" s="70"/>
      <c r="J1551" s="70"/>
    </row>
    <row r="1552" spans="1:10" ht="16" x14ac:dyDescent="0.2">
      <c r="A1552" s="70"/>
      <c r="B1552" s="70"/>
      <c r="C1552" s="70"/>
      <c r="D1552" s="70"/>
      <c r="E1552" s="70"/>
      <c r="F1552" s="70"/>
      <c r="G1552" s="70"/>
      <c r="H1552" s="70"/>
      <c r="I1552" s="70"/>
      <c r="J1552" s="70"/>
    </row>
    <row r="1553" spans="1:10" ht="16" x14ac:dyDescent="0.2">
      <c r="A1553" s="70"/>
      <c r="B1553" s="70"/>
      <c r="C1553" s="70"/>
      <c r="D1553" s="70"/>
      <c r="E1553" s="70"/>
      <c r="F1553" s="70"/>
      <c r="G1553" s="70"/>
      <c r="H1553" s="70"/>
      <c r="I1553" s="70"/>
      <c r="J1553" s="70"/>
    </row>
    <row r="1554" spans="1:10" ht="16" x14ac:dyDescent="0.2">
      <c r="A1554" s="70"/>
      <c r="B1554" s="70"/>
      <c r="C1554" s="70"/>
      <c r="D1554" s="70"/>
      <c r="E1554" s="70"/>
      <c r="F1554" s="70"/>
      <c r="G1554" s="70"/>
      <c r="H1554" s="70"/>
      <c r="I1554" s="70"/>
      <c r="J1554" s="70"/>
    </row>
    <row r="1555" spans="1:10" ht="16" x14ac:dyDescent="0.2">
      <c r="A1555" s="70"/>
      <c r="B1555" s="70"/>
      <c r="C1555" s="70"/>
      <c r="D1555" s="70"/>
      <c r="E1555" s="70"/>
      <c r="F1555" s="70"/>
      <c r="G1555" s="70"/>
      <c r="H1555" s="70"/>
      <c r="I1555" s="70"/>
      <c r="J1555" s="70"/>
    </row>
    <row r="1556" spans="1:10" ht="16" x14ac:dyDescent="0.2">
      <c r="A1556" s="70"/>
      <c r="B1556" s="70"/>
      <c r="C1556" s="70"/>
      <c r="D1556" s="70"/>
      <c r="E1556" s="70"/>
      <c r="F1556" s="70"/>
      <c r="G1556" s="70"/>
      <c r="H1556" s="70"/>
      <c r="I1556" s="70"/>
      <c r="J1556" s="70"/>
    </row>
    <row r="1557" spans="1:10" ht="16" x14ac:dyDescent="0.2">
      <c r="A1557" s="70"/>
      <c r="B1557" s="70"/>
      <c r="C1557" s="70"/>
      <c r="D1557" s="70"/>
      <c r="E1557" s="70"/>
      <c r="F1557" s="70"/>
      <c r="G1557" s="70"/>
      <c r="H1557" s="70"/>
      <c r="I1557" s="70"/>
      <c r="J1557" s="70"/>
    </row>
    <row r="1558" spans="1:10" ht="16" x14ac:dyDescent="0.2">
      <c r="A1558" s="70"/>
      <c r="B1558" s="70"/>
      <c r="C1558" s="70"/>
      <c r="D1558" s="70"/>
      <c r="E1558" s="70"/>
      <c r="F1558" s="70"/>
      <c r="G1558" s="70"/>
      <c r="H1558" s="70"/>
      <c r="I1558" s="70"/>
      <c r="J1558" s="70"/>
    </row>
    <row r="1559" spans="1:10" ht="16" x14ac:dyDescent="0.2">
      <c r="A1559" s="70"/>
      <c r="B1559" s="70"/>
      <c r="C1559" s="70"/>
      <c r="D1559" s="70"/>
      <c r="E1559" s="70"/>
      <c r="F1559" s="70"/>
      <c r="G1559" s="70"/>
      <c r="H1559" s="70"/>
      <c r="I1559" s="70"/>
      <c r="J1559" s="70"/>
    </row>
    <row r="1560" spans="1:10" ht="16" x14ac:dyDescent="0.2">
      <c r="A1560" s="70"/>
      <c r="B1560" s="70"/>
      <c r="C1560" s="70"/>
      <c r="D1560" s="70"/>
      <c r="E1560" s="70"/>
      <c r="F1560" s="70"/>
      <c r="G1560" s="70"/>
      <c r="H1560" s="70"/>
      <c r="I1560" s="70"/>
      <c r="J1560" s="70"/>
    </row>
    <row r="1561" spans="1:10" ht="16" x14ac:dyDescent="0.2">
      <c r="A1561" s="70"/>
      <c r="B1561" s="70"/>
      <c r="C1561" s="70"/>
      <c r="D1561" s="70"/>
      <c r="E1561" s="70"/>
      <c r="F1561" s="70"/>
      <c r="G1561" s="70"/>
      <c r="H1561" s="70"/>
      <c r="I1561" s="70"/>
      <c r="J1561" s="70"/>
    </row>
    <row r="1562" spans="1:10" ht="16" x14ac:dyDescent="0.2">
      <c r="A1562" s="70"/>
      <c r="B1562" s="70"/>
      <c r="C1562" s="70"/>
      <c r="D1562" s="70"/>
      <c r="E1562" s="70"/>
      <c r="F1562" s="70"/>
      <c r="G1562" s="70"/>
      <c r="H1562" s="70"/>
      <c r="I1562" s="70"/>
      <c r="J1562" s="70"/>
    </row>
    <row r="1563" spans="1:10" ht="16" x14ac:dyDescent="0.2">
      <c r="A1563" s="70"/>
      <c r="B1563" s="70"/>
      <c r="C1563" s="70"/>
      <c r="D1563" s="70"/>
      <c r="E1563" s="70"/>
      <c r="F1563" s="70"/>
      <c r="G1563" s="70"/>
      <c r="H1563" s="70"/>
      <c r="I1563" s="70"/>
      <c r="J1563" s="70"/>
    </row>
    <row r="1564" spans="1:10" ht="16" x14ac:dyDescent="0.2">
      <c r="A1564" s="70"/>
      <c r="B1564" s="70"/>
      <c r="C1564" s="70"/>
      <c r="D1564" s="70"/>
      <c r="E1564" s="70"/>
      <c r="F1564" s="70"/>
      <c r="G1564" s="70"/>
      <c r="H1564" s="70"/>
      <c r="I1564" s="70"/>
      <c r="J1564" s="70"/>
    </row>
    <row r="1565" spans="1:10" ht="16" x14ac:dyDescent="0.2">
      <c r="A1565" s="70"/>
      <c r="B1565" s="70"/>
      <c r="C1565" s="70"/>
      <c r="D1565" s="70"/>
      <c r="E1565" s="70"/>
      <c r="F1565" s="70"/>
      <c r="G1565" s="70"/>
      <c r="H1565" s="70"/>
      <c r="I1565" s="70"/>
      <c r="J1565" s="70"/>
    </row>
    <row r="1566" spans="1:10" ht="16" x14ac:dyDescent="0.2">
      <c r="A1566" s="70"/>
      <c r="B1566" s="70"/>
      <c r="C1566" s="70"/>
      <c r="D1566" s="70"/>
      <c r="E1566" s="70"/>
      <c r="F1566" s="70"/>
      <c r="G1566" s="70"/>
      <c r="H1566" s="70"/>
      <c r="I1566" s="70"/>
      <c r="J1566" s="70"/>
    </row>
    <row r="1567" spans="1:10" ht="16" x14ac:dyDescent="0.2">
      <c r="A1567" s="70"/>
      <c r="B1567" s="70"/>
      <c r="C1567" s="70"/>
      <c r="D1567" s="70"/>
      <c r="E1567" s="70"/>
      <c r="F1567" s="70"/>
      <c r="G1567" s="70"/>
      <c r="H1567" s="70"/>
      <c r="I1567" s="70"/>
      <c r="J1567" s="70"/>
    </row>
    <row r="1568" spans="1:10" ht="16" x14ac:dyDescent="0.2">
      <c r="A1568" s="70"/>
      <c r="B1568" s="70"/>
      <c r="C1568" s="70"/>
      <c r="D1568" s="70"/>
      <c r="E1568" s="70"/>
      <c r="F1568" s="70"/>
      <c r="G1568" s="70"/>
      <c r="H1568" s="70"/>
      <c r="I1568" s="70"/>
      <c r="J1568" s="70"/>
    </row>
    <row r="1569" spans="1:10" ht="16" x14ac:dyDescent="0.2">
      <c r="A1569" s="70"/>
      <c r="B1569" s="70"/>
      <c r="C1569" s="70"/>
      <c r="D1569" s="70"/>
      <c r="E1569" s="70"/>
      <c r="F1569" s="70"/>
      <c r="G1569" s="70"/>
      <c r="H1569" s="70"/>
      <c r="I1569" s="70"/>
      <c r="J1569" s="70"/>
    </row>
    <row r="1570" spans="1:10" ht="16" x14ac:dyDescent="0.2">
      <c r="A1570" s="70"/>
      <c r="B1570" s="70"/>
      <c r="C1570" s="70"/>
      <c r="D1570" s="70"/>
      <c r="E1570" s="70"/>
      <c r="F1570" s="70"/>
      <c r="G1570" s="70"/>
      <c r="H1570" s="70"/>
      <c r="I1570" s="70"/>
      <c r="J1570" s="70"/>
    </row>
    <row r="1571" spans="1:10" ht="16" x14ac:dyDescent="0.2">
      <c r="A1571" s="70"/>
      <c r="B1571" s="70"/>
      <c r="C1571" s="70"/>
      <c r="D1571" s="70"/>
      <c r="E1571" s="70"/>
      <c r="F1571" s="70"/>
      <c r="G1571" s="70"/>
      <c r="H1571" s="70"/>
      <c r="I1571" s="70"/>
      <c r="J1571" s="70"/>
    </row>
    <row r="1572" spans="1:10" ht="16" x14ac:dyDescent="0.2">
      <c r="A1572" s="70"/>
      <c r="B1572" s="70"/>
      <c r="C1572" s="70"/>
      <c r="D1572" s="70"/>
      <c r="E1572" s="70"/>
      <c r="F1572" s="70"/>
      <c r="G1572" s="70"/>
      <c r="H1572" s="70"/>
      <c r="I1572" s="70"/>
      <c r="J1572" s="70"/>
    </row>
    <row r="1573" spans="1:10" ht="16" x14ac:dyDescent="0.2">
      <c r="A1573" s="70"/>
      <c r="B1573" s="70"/>
      <c r="C1573" s="70"/>
      <c r="D1573" s="70"/>
      <c r="E1573" s="70"/>
      <c r="F1573" s="70"/>
      <c r="G1573" s="70"/>
      <c r="H1573" s="70"/>
      <c r="I1573" s="70"/>
      <c r="J1573" s="70"/>
    </row>
    <row r="1574" spans="1:10" ht="16" x14ac:dyDescent="0.2">
      <c r="A1574" s="70"/>
      <c r="B1574" s="70"/>
      <c r="C1574" s="70"/>
      <c r="D1574" s="70"/>
      <c r="E1574" s="70"/>
      <c r="F1574" s="70"/>
      <c r="G1574" s="70"/>
      <c r="H1574" s="70"/>
      <c r="I1574" s="70"/>
      <c r="J1574" s="70"/>
    </row>
    <row r="1575" spans="1:10" ht="16" x14ac:dyDescent="0.2">
      <c r="A1575" s="70"/>
      <c r="B1575" s="70"/>
      <c r="C1575" s="70"/>
      <c r="D1575" s="70"/>
      <c r="E1575" s="70"/>
      <c r="F1575" s="70"/>
      <c r="G1575" s="70"/>
      <c r="H1575" s="70"/>
      <c r="I1575" s="70"/>
      <c r="J1575" s="70"/>
    </row>
    <row r="1576" spans="1:10" ht="16" x14ac:dyDescent="0.2">
      <c r="A1576" s="70"/>
      <c r="B1576" s="70"/>
      <c r="C1576" s="70"/>
      <c r="D1576" s="70"/>
      <c r="E1576" s="70"/>
      <c r="F1576" s="70"/>
      <c r="G1576" s="70"/>
      <c r="H1576" s="70"/>
      <c r="I1576" s="70"/>
      <c r="J1576" s="70"/>
    </row>
    <row r="1577" spans="1:10" ht="16" x14ac:dyDescent="0.2">
      <c r="A1577" s="70"/>
      <c r="B1577" s="70"/>
      <c r="C1577" s="70"/>
      <c r="D1577" s="70"/>
      <c r="E1577" s="70"/>
      <c r="F1577" s="70"/>
      <c r="G1577" s="70"/>
      <c r="H1577" s="70"/>
      <c r="I1577" s="70"/>
      <c r="J1577" s="70"/>
    </row>
    <row r="1578" spans="1:10" ht="16" x14ac:dyDescent="0.2">
      <c r="A1578" s="70"/>
      <c r="B1578" s="70"/>
      <c r="C1578" s="70"/>
      <c r="D1578" s="70"/>
      <c r="E1578" s="70"/>
      <c r="F1578" s="70"/>
      <c r="G1578" s="70"/>
      <c r="H1578" s="70"/>
      <c r="I1578" s="70"/>
      <c r="J1578" s="70"/>
    </row>
    <row r="1579" spans="1:10" ht="16" x14ac:dyDescent="0.2">
      <c r="A1579" s="70"/>
      <c r="B1579" s="70"/>
      <c r="C1579" s="70"/>
      <c r="D1579" s="70"/>
      <c r="E1579" s="70"/>
      <c r="F1579" s="70"/>
      <c r="G1579" s="70"/>
      <c r="H1579" s="70"/>
      <c r="I1579" s="70"/>
      <c r="J1579" s="70"/>
    </row>
    <row r="1580" spans="1:10" ht="16" x14ac:dyDescent="0.2">
      <c r="A1580" s="70"/>
      <c r="B1580" s="70"/>
      <c r="C1580" s="70"/>
      <c r="D1580" s="70"/>
      <c r="E1580" s="70"/>
      <c r="F1580" s="70"/>
      <c r="G1580" s="70"/>
      <c r="H1580" s="70"/>
      <c r="I1580" s="70"/>
      <c r="J1580" s="70"/>
    </row>
    <row r="1581" spans="1:10" ht="16" x14ac:dyDescent="0.2">
      <c r="A1581" s="70"/>
      <c r="B1581" s="70"/>
      <c r="C1581" s="70"/>
      <c r="D1581" s="70"/>
      <c r="E1581" s="70"/>
      <c r="F1581" s="70"/>
      <c r="G1581" s="70"/>
      <c r="H1581" s="70"/>
      <c r="I1581" s="70"/>
      <c r="J1581" s="70"/>
    </row>
    <row r="1582" spans="1:10" ht="16" x14ac:dyDescent="0.2">
      <c r="A1582" s="70"/>
      <c r="B1582" s="70"/>
      <c r="C1582" s="70"/>
      <c r="D1582" s="70"/>
      <c r="E1582" s="70"/>
      <c r="F1582" s="70"/>
      <c r="G1582" s="70"/>
      <c r="H1582" s="70"/>
      <c r="I1582" s="70"/>
      <c r="J1582" s="70"/>
    </row>
    <row r="1583" spans="1:10" ht="16" x14ac:dyDescent="0.2">
      <c r="A1583" s="70"/>
      <c r="B1583" s="70"/>
      <c r="C1583" s="70"/>
      <c r="D1583" s="70"/>
      <c r="E1583" s="70"/>
      <c r="F1583" s="70"/>
      <c r="G1583" s="70"/>
      <c r="H1583" s="70"/>
      <c r="I1583" s="70"/>
      <c r="J1583" s="70"/>
    </row>
    <row r="1584" spans="1:10" ht="16" x14ac:dyDescent="0.2">
      <c r="A1584" s="70"/>
      <c r="B1584" s="70"/>
      <c r="C1584" s="70"/>
      <c r="D1584" s="70"/>
      <c r="E1584" s="70"/>
      <c r="F1584" s="70"/>
      <c r="G1584" s="70"/>
      <c r="H1584" s="70"/>
      <c r="I1584" s="70"/>
      <c r="J1584" s="70"/>
    </row>
    <row r="1585" spans="1:10" ht="16" x14ac:dyDescent="0.2">
      <c r="A1585" s="70"/>
      <c r="B1585" s="70"/>
      <c r="C1585" s="70"/>
      <c r="D1585" s="70"/>
      <c r="E1585" s="70"/>
      <c r="F1585" s="70"/>
      <c r="G1585" s="70"/>
      <c r="H1585" s="70"/>
      <c r="I1585" s="70"/>
      <c r="J1585" s="70"/>
    </row>
    <row r="1586" spans="1:10" ht="16" x14ac:dyDescent="0.2">
      <c r="A1586" s="70"/>
      <c r="B1586" s="70"/>
      <c r="C1586" s="70"/>
      <c r="D1586" s="70"/>
      <c r="E1586" s="70"/>
      <c r="F1586" s="70"/>
      <c r="G1586" s="70"/>
      <c r="H1586" s="70"/>
      <c r="I1586" s="70"/>
      <c r="J1586" s="70"/>
    </row>
    <row r="1587" spans="1:10" ht="16" x14ac:dyDescent="0.2">
      <c r="A1587" s="70"/>
      <c r="B1587" s="70"/>
      <c r="C1587" s="70"/>
      <c r="D1587" s="70"/>
      <c r="E1587" s="70"/>
      <c r="F1587" s="70"/>
      <c r="G1587" s="70"/>
      <c r="H1587" s="70"/>
      <c r="I1587" s="70"/>
      <c r="J1587" s="70"/>
    </row>
    <row r="1588" spans="1:10" ht="16" x14ac:dyDescent="0.2">
      <c r="A1588" s="70"/>
      <c r="B1588" s="70"/>
      <c r="C1588" s="70"/>
      <c r="D1588" s="70"/>
      <c r="E1588" s="70"/>
      <c r="F1588" s="70"/>
      <c r="G1588" s="70"/>
      <c r="H1588" s="70"/>
      <c r="I1588" s="70"/>
      <c r="J1588" s="70"/>
    </row>
    <row r="1589" spans="1:10" ht="16" x14ac:dyDescent="0.2">
      <c r="A1589" s="70"/>
      <c r="B1589" s="70"/>
      <c r="C1589" s="70"/>
      <c r="D1589" s="70"/>
      <c r="E1589" s="70"/>
      <c r="F1589" s="70"/>
      <c r="G1589" s="70"/>
      <c r="H1589" s="70"/>
      <c r="I1589" s="70"/>
      <c r="J1589" s="70"/>
    </row>
    <row r="1590" spans="1:10" ht="16" x14ac:dyDescent="0.2">
      <c r="A1590" s="70"/>
      <c r="B1590" s="70"/>
      <c r="C1590" s="70"/>
      <c r="D1590" s="70"/>
      <c r="E1590" s="70"/>
      <c r="F1590" s="70"/>
      <c r="G1590" s="70"/>
      <c r="H1590" s="70"/>
      <c r="I1590" s="70"/>
      <c r="J1590" s="70"/>
    </row>
    <row r="1591" spans="1:10" ht="16" x14ac:dyDescent="0.2">
      <c r="A1591" s="70"/>
      <c r="B1591" s="70"/>
      <c r="C1591" s="70"/>
      <c r="D1591" s="70"/>
      <c r="E1591" s="70"/>
      <c r="F1591" s="70"/>
      <c r="G1591" s="70"/>
      <c r="H1591" s="70"/>
      <c r="I1591" s="70"/>
      <c r="J1591" s="70"/>
    </row>
    <row r="1592" spans="1:10" ht="16" x14ac:dyDescent="0.2">
      <c r="A1592" s="70"/>
      <c r="B1592" s="70"/>
      <c r="C1592" s="70"/>
      <c r="D1592" s="70"/>
      <c r="E1592" s="70"/>
      <c r="F1592" s="70"/>
      <c r="G1592" s="70"/>
      <c r="H1592" s="70"/>
      <c r="I1592" s="70"/>
      <c r="J1592" s="70"/>
    </row>
    <row r="1593" spans="1:10" ht="16" x14ac:dyDescent="0.2">
      <c r="A1593" s="70"/>
      <c r="B1593" s="70"/>
      <c r="C1593" s="70"/>
      <c r="D1593" s="70"/>
      <c r="E1593" s="70"/>
      <c r="F1593" s="70"/>
      <c r="G1593" s="70"/>
      <c r="H1593" s="70"/>
      <c r="I1593" s="70"/>
      <c r="J1593" s="70"/>
    </row>
    <row r="1594" spans="1:10" ht="16" x14ac:dyDescent="0.2">
      <c r="A1594" s="70"/>
      <c r="B1594" s="70"/>
      <c r="C1594" s="70"/>
      <c r="D1594" s="70"/>
      <c r="E1594" s="70"/>
      <c r="F1594" s="70"/>
      <c r="G1594" s="70"/>
      <c r="H1594" s="70"/>
      <c r="I1594" s="70"/>
      <c r="J1594" s="70"/>
    </row>
    <row r="1595" spans="1:10" ht="16" x14ac:dyDescent="0.2">
      <c r="A1595" s="70"/>
      <c r="B1595" s="70"/>
      <c r="C1595" s="70"/>
      <c r="D1595" s="70"/>
      <c r="E1595" s="70"/>
      <c r="F1595" s="70"/>
      <c r="G1595" s="70"/>
      <c r="H1595" s="70"/>
      <c r="I1595" s="70"/>
      <c r="J1595" s="70"/>
    </row>
    <row r="1596" spans="1:10" ht="16" x14ac:dyDescent="0.2">
      <c r="A1596" s="70"/>
      <c r="B1596" s="70"/>
      <c r="C1596" s="70"/>
      <c r="D1596" s="70"/>
      <c r="E1596" s="70"/>
      <c r="F1596" s="70"/>
      <c r="G1596" s="70"/>
      <c r="H1596" s="70"/>
      <c r="I1596" s="70"/>
      <c r="J1596" s="70"/>
    </row>
    <row r="1597" spans="1:10" ht="16" x14ac:dyDescent="0.2">
      <c r="A1597" s="70"/>
      <c r="B1597" s="70"/>
      <c r="C1597" s="70"/>
      <c r="D1597" s="70"/>
      <c r="E1597" s="70"/>
      <c r="F1597" s="70"/>
      <c r="G1597" s="70"/>
      <c r="H1597" s="70"/>
      <c r="I1597" s="70"/>
      <c r="J1597" s="70"/>
    </row>
    <row r="1598" spans="1:10" ht="16" x14ac:dyDescent="0.2">
      <c r="A1598" s="70"/>
      <c r="B1598" s="70"/>
      <c r="C1598" s="70"/>
      <c r="D1598" s="70"/>
      <c r="E1598" s="70"/>
      <c r="F1598" s="70"/>
      <c r="G1598" s="70"/>
      <c r="H1598" s="70"/>
      <c r="I1598" s="70"/>
      <c r="J1598" s="70"/>
    </row>
    <row r="1599" spans="1:10" ht="16" x14ac:dyDescent="0.2">
      <c r="A1599" s="70"/>
      <c r="B1599" s="70"/>
      <c r="C1599" s="70"/>
      <c r="D1599" s="70"/>
      <c r="E1599" s="70"/>
      <c r="F1599" s="70"/>
      <c r="G1599" s="70"/>
      <c r="H1599" s="70"/>
      <c r="I1599" s="70"/>
      <c r="J1599" s="70"/>
    </row>
    <row r="1600" spans="1:10" ht="16" x14ac:dyDescent="0.2">
      <c r="A1600" s="70"/>
      <c r="B1600" s="70"/>
      <c r="C1600" s="70"/>
      <c r="D1600" s="70"/>
      <c r="E1600" s="70"/>
      <c r="F1600" s="70"/>
      <c r="G1600" s="70"/>
      <c r="H1600" s="70"/>
      <c r="I1600" s="70"/>
      <c r="J1600" s="70"/>
    </row>
    <row r="1601" spans="1:10" ht="16" x14ac:dyDescent="0.2">
      <c r="A1601" s="70"/>
      <c r="B1601" s="70"/>
      <c r="C1601" s="70"/>
      <c r="D1601" s="70"/>
      <c r="E1601" s="70"/>
      <c r="F1601" s="70"/>
      <c r="G1601" s="70"/>
      <c r="H1601" s="70"/>
      <c r="I1601" s="70"/>
      <c r="J1601" s="70"/>
    </row>
    <row r="1602" spans="1:10" ht="16" x14ac:dyDescent="0.2">
      <c r="A1602" s="70"/>
      <c r="B1602" s="70"/>
      <c r="C1602" s="70"/>
      <c r="D1602" s="70"/>
      <c r="E1602" s="70"/>
      <c r="F1602" s="70"/>
      <c r="G1602" s="70"/>
      <c r="H1602" s="70"/>
      <c r="I1602" s="70"/>
      <c r="J1602" s="70"/>
    </row>
    <row r="1603" spans="1:10" ht="16" x14ac:dyDescent="0.2">
      <c r="A1603" s="70"/>
      <c r="B1603" s="70"/>
      <c r="C1603" s="70"/>
      <c r="D1603" s="70"/>
      <c r="E1603" s="70"/>
      <c r="F1603" s="70"/>
      <c r="G1603" s="70"/>
      <c r="H1603" s="70"/>
      <c r="I1603" s="70"/>
      <c r="J1603" s="70"/>
    </row>
    <row r="1604" spans="1:10" ht="16" x14ac:dyDescent="0.2">
      <c r="A1604" s="70"/>
      <c r="B1604" s="70"/>
      <c r="C1604" s="70"/>
      <c r="D1604" s="70"/>
      <c r="E1604" s="70"/>
      <c r="F1604" s="70"/>
      <c r="G1604" s="70"/>
      <c r="H1604" s="70"/>
      <c r="I1604" s="70"/>
      <c r="J1604" s="70"/>
    </row>
    <row r="1605" spans="1:10" ht="16" x14ac:dyDescent="0.2">
      <c r="A1605" s="70"/>
      <c r="B1605" s="70"/>
      <c r="C1605" s="70"/>
      <c r="D1605" s="70"/>
      <c r="E1605" s="70"/>
      <c r="F1605" s="70"/>
      <c r="G1605" s="70"/>
      <c r="H1605" s="70"/>
      <c r="I1605" s="70"/>
      <c r="J1605" s="70"/>
    </row>
    <row r="1606" spans="1:10" ht="16" x14ac:dyDescent="0.2">
      <c r="A1606" s="70"/>
      <c r="B1606" s="70"/>
      <c r="C1606" s="70"/>
      <c r="D1606" s="70"/>
      <c r="E1606" s="70"/>
      <c r="F1606" s="70"/>
      <c r="G1606" s="70"/>
      <c r="H1606" s="70"/>
      <c r="I1606" s="70"/>
      <c r="J1606" s="70"/>
    </row>
    <row r="1607" spans="1:10" ht="16" x14ac:dyDescent="0.2">
      <c r="A1607" s="70"/>
      <c r="B1607" s="70"/>
      <c r="C1607" s="70"/>
      <c r="D1607" s="70"/>
      <c r="E1607" s="70"/>
      <c r="F1607" s="70"/>
      <c r="G1607" s="70"/>
      <c r="H1607" s="70"/>
      <c r="I1607" s="70"/>
      <c r="J1607" s="70"/>
    </row>
    <row r="1608" spans="1:10" ht="16" x14ac:dyDescent="0.2">
      <c r="A1608" s="70"/>
      <c r="B1608" s="70"/>
      <c r="C1608" s="70"/>
      <c r="D1608" s="70"/>
      <c r="E1608" s="70"/>
      <c r="F1608" s="70"/>
      <c r="G1608" s="70"/>
      <c r="H1608" s="70"/>
      <c r="I1608" s="70"/>
      <c r="J1608" s="70"/>
    </row>
    <row r="1609" spans="1:10" ht="16" x14ac:dyDescent="0.2">
      <c r="A1609" s="70"/>
      <c r="B1609" s="70"/>
      <c r="C1609" s="70"/>
      <c r="D1609" s="70"/>
      <c r="E1609" s="70"/>
      <c r="F1609" s="70"/>
      <c r="G1609" s="70"/>
      <c r="H1609" s="70"/>
      <c r="I1609" s="70"/>
      <c r="J1609" s="70"/>
    </row>
    <row r="1610" spans="1:10" ht="16" x14ac:dyDescent="0.2">
      <c r="A1610" s="70"/>
      <c r="B1610" s="70"/>
      <c r="C1610" s="70"/>
      <c r="D1610" s="70"/>
      <c r="E1610" s="70"/>
      <c r="F1610" s="70"/>
      <c r="G1610" s="70"/>
      <c r="H1610" s="70"/>
      <c r="I1610" s="70"/>
      <c r="J1610" s="70"/>
    </row>
    <row r="1611" spans="1:10" ht="16" x14ac:dyDescent="0.2">
      <c r="A1611" s="70"/>
      <c r="B1611" s="70"/>
      <c r="C1611" s="70"/>
      <c r="D1611" s="70"/>
      <c r="E1611" s="70"/>
      <c r="F1611" s="70"/>
      <c r="G1611" s="70"/>
      <c r="H1611" s="70"/>
      <c r="I1611" s="70"/>
      <c r="J1611" s="70"/>
    </row>
    <row r="1612" spans="1:10" ht="16" x14ac:dyDescent="0.2">
      <c r="A1612" s="70"/>
      <c r="B1612" s="70"/>
      <c r="C1612" s="70"/>
      <c r="D1612" s="70"/>
      <c r="E1612" s="70"/>
      <c r="F1612" s="70"/>
      <c r="G1612" s="70"/>
      <c r="H1612" s="70"/>
      <c r="I1612" s="70"/>
      <c r="J1612" s="70"/>
    </row>
    <row r="1613" spans="1:10" ht="16" x14ac:dyDescent="0.2">
      <c r="A1613" s="70"/>
      <c r="B1613" s="70"/>
      <c r="C1613" s="70"/>
      <c r="D1613" s="70"/>
      <c r="E1613" s="70"/>
      <c r="F1613" s="70"/>
      <c r="G1613" s="70"/>
      <c r="H1613" s="70"/>
      <c r="I1613" s="70"/>
      <c r="J1613" s="70"/>
    </row>
    <row r="1614" spans="1:10" ht="16" x14ac:dyDescent="0.2">
      <c r="A1614" s="70"/>
      <c r="B1614" s="70"/>
      <c r="C1614" s="70"/>
      <c r="D1614" s="70"/>
      <c r="E1614" s="70"/>
      <c r="F1614" s="70"/>
      <c r="G1614" s="70"/>
      <c r="H1614" s="70"/>
      <c r="I1614" s="70"/>
      <c r="J1614" s="70"/>
    </row>
    <row r="1615" spans="1:10" ht="16" x14ac:dyDescent="0.2">
      <c r="A1615" s="70"/>
      <c r="B1615" s="70"/>
      <c r="C1615" s="70"/>
      <c r="D1615" s="70"/>
      <c r="E1615" s="70"/>
      <c r="F1615" s="70"/>
      <c r="G1615" s="70"/>
      <c r="H1615" s="70"/>
      <c r="I1615" s="70"/>
      <c r="J1615" s="70"/>
    </row>
    <row r="1616" spans="1:10" ht="16" x14ac:dyDescent="0.2">
      <c r="A1616" s="70"/>
      <c r="B1616" s="70"/>
      <c r="C1616" s="70"/>
      <c r="D1616" s="70"/>
      <c r="E1616" s="70"/>
      <c r="F1616" s="70"/>
      <c r="G1616" s="70"/>
      <c r="H1616" s="70"/>
      <c r="I1616" s="70"/>
      <c r="J1616" s="70"/>
    </row>
    <row r="1617" spans="1:10" ht="16" x14ac:dyDescent="0.2">
      <c r="A1617" s="70"/>
      <c r="B1617" s="70"/>
      <c r="C1617" s="70"/>
      <c r="D1617" s="70"/>
      <c r="E1617" s="70"/>
      <c r="F1617" s="70"/>
      <c r="G1617" s="70"/>
      <c r="H1617" s="70"/>
      <c r="I1617" s="70"/>
      <c r="J1617" s="70"/>
    </row>
    <row r="1618" spans="1:10" ht="16" x14ac:dyDescent="0.2">
      <c r="A1618" s="70"/>
      <c r="B1618" s="70"/>
      <c r="C1618" s="70"/>
      <c r="D1618" s="70"/>
      <c r="E1618" s="70"/>
      <c r="F1618" s="70"/>
      <c r="G1618" s="70"/>
      <c r="H1618" s="70"/>
      <c r="I1618" s="70"/>
      <c r="J1618" s="70"/>
    </row>
    <row r="1619" spans="1:10" ht="16" x14ac:dyDescent="0.2">
      <c r="A1619" s="70"/>
      <c r="B1619" s="70"/>
      <c r="C1619" s="70"/>
      <c r="D1619" s="70"/>
      <c r="E1619" s="70"/>
      <c r="F1619" s="70"/>
      <c r="G1619" s="70"/>
      <c r="H1619" s="70"/>
      <c r="I1619" s="70"/>
      <c r="J1619" s="70"/>
    </row>
    <row r="1620" spans="1:10" ht="16" x14ac:dyDescent="0.2">
      <c r="A1620" s="70"/>
      <c r="B1620" s="70"/>
      <c r="C1620" s="70"/>
      <c r="D1620" s="70"/>
      <c r="E1620" s="70"/>
      <c r="F1620" s="70"/>
      <c r="G1620" s="70"/>
      <c r="H1620" s="70"/>
      <c r="I1620" s="70"/>
      <c r="J1620" s="70"/>
    </row>
    <row r="1621" spans="1:10" ht="16" x14ac:dyDescent="0.2">
      <c r="A1621" s="70"/>
      <c r="B1621" s="70"/>
      <c r="C1621" s="70"/>
      <c r="D1621" s="70"/>
      <c r="E1621" s="70"/>
      <c r="F1621" s="70"/>
      <c r="G1621" s="70"/>
      <c r="H1621" s="70"/>
      <c r="I1621" s="70"/>
      <c r="J1621" s="70"/>
    </row>
    <row r="1622" spans="1:10" ht="16" x14ac:dyDescent="0.2">
      <c r="A1622" s="70"/>
      <c r="B1622" s="70"/>
      <c r="C1622" s="70"/>
      <c r="D1622" s="70"/>
      <c r="E1622" s="70"/>
      <c r="F1622" s="70"/>
      <c r="G1622" s="70"/>
      <c r="H1622" s="70"/>
      <c r="I1622" s="70"/>
      <c r="J1622" s="70"/>
    </row>
    <row r="1623" spans="1:10" ht="16" x14ac:dyDescent="0.2">
      <c r="A1623" s="70"/>
      <c r="B1623" s="70"/>
      <c r="C1623" s="70"/>
      <c r="D1623" s="70"/>
      <c r="E1623" s="70"/>
      <c r="F1623" s="70"/>
      <c r="G1623" s="70"/>
      <c r="H1623" s="70"/>
      <c r="I1623" s="70"/>
      <c r="J1623" s="70"/>
    </row>
    <row r="1624" spans="1:10" ht="16" x14ac:dyDescent="0.2">
      <c r="A1624" s="70"/>
      <c r="B1624" s="70"/>
      <c r="C1624" s="70"/>
      <c r="D1624" s="70"/>
      <c r="E1624" s="70"/>
      <c r="F1624" s="70"/>
      <c r="G1624" s="70"/>
      <c r="H1624" s="70"/>
      <c r="I1624" s="70"/>
      <c r="J1624" s="70"/>
    </row>
    <row r="1625" spans="1:10" ht="16" x14ac:dyDescent="0.2">
      <c r="A1625" s="70"/>
      <c r="B1625" s="70"/>
      <c r="C1625" s="70"/>
      <c r="D1625" s="70"/>
      <c r="E1625" s="70"/>
      <c r="F1625" s="70"/>
      <c r="G1625" s="70"/>
      <c r="H1625" s="70"/>
      <c r="I1625" s="70"/>
      <c r="J1625" s="70"/>
    </row>
    <row r="1626" spans="1:10" ht="16" x14ac:dyDescent="0.2">
      <c r="A1626" s="70"/>
      <c r="B1626" s="70"/>
      <c r="C1626" s="70"/>
      <c r="D1626" s="70"/>
      <c r="E1626" s="70"/>
      <c r="F1626" s="70"/>
      <c r="G1626" s="70"/>
      <c r="H1626" s="70"/>
      <c r="I1626" s="70"/>
      <c r="J1626" s="70"/>
    </row>
    <row r="1627" spans="1:10" ht="16" x14ac:dyDescent="0.2">
      <c r="A1627" s="70"/>
      <c r="B1627" s="70"/>
      <c r="C1627" s="70"/>
      <c r="D1627" s="70"/>
      <c r="E1627" s="70"/>
      <c r="F1627" s="70"/>
      <c r="G1627" s="70"/>
      <c r="H1627" s="70"/>
      <c r="I1627" s="70"/>
      <c r="J1627" s="70"/>
    </row>
    <row r="1628" spans="1:10" ht="16" x14ac:dyDescent="0.2">
      <c r="A1628" s="70"/>
      <c r="B1628" s="70"/>
      <c r="C1628" s="70"/>
      <c r="D1628" s="70"/>
      <c r="E1628" s="70"/>
      <c r="F1628" s="70"/>
      <c r="G1628" s="70"/>
      <c r="H1628" s="70"/>
      <c r="I1628" s="70"/>
      <c r="J1628" s="70"/>
    </row>
    <row r="1629" spans="1:10" ht="16" x14ac:dyDescent="0.2">
      <c r="A1629" s="70"/>
      <c r="B1629" s="70"/>
      <c r="C1629" s="70"/>
      <c r="D1629" s="70"/>
      <c r="E1629" s="70"/>
      <c r="F1629" s="70"/>
      <c r="G1629" s="70"/>
      <c r="H1629" s="70"/>
      <c r="I1629" s="70"/>
      <c r="J1629" s="70"/>
    </row>
    <row r="1630" spans="1:10" ht="16" x14ac:dyDescent="0.2">
      <c r="A1630" s="70"/>
      <c r="B1630" s="70"/>
      <c r="C1630" s="70"/>
      <c r="D1630" s="70"/>
      <c r="E1630" s="70"/>
      <c r="F1630" s="70"/>
      <c r="G1630" s="70"/>
      <c r="H1630" s="70"/>
      <c r="I1630" s="70"/>
      <c r="J1630" s="70"/>
    </row>
    <row r="1631" spans="1:10" ht="16" x14ac:dyDescent="0.2">
      <c r="A1631" s="70"/>
      <c r="B1631" s="70"/>
      <c r="C1631" s="70"/>
      <c r="D1631" s="70"/>
      <c r="E1631" s="70"/>
      <c r="F1631" s="70"/>
      <c r="G1631" s="70"/>
      <c r="H1631" s="70"/>
      <c r="I1631" s="70"/>
      <c r="J1631" s="70"/>
    </row>
    <row r="1632" spans="1:10" ht="16" x14ac:dyDescent="0.2">
      <c r="A1632" s="70"/>
      <c r="B1632" s="70"/>
      <c r="C1632" s="70"/>
      <c r="D1632" s="70"/>
      <c r="E1632" s="70"/>
      <c r="F1632" s="70"/>
      <c r="G1632" s="70"/>
      <c r="H1632" s="70"/>
      <c r="I1632" s="70"/>
      <c r="J1632" s="70"/>
    </row>
    <row r="1633" spans="1:10" ht="16" x14ac:dyDescent="0.2">
      <c r="A1633" s="70"/>
      <c r="B1633" s="70"/>
      <c r="C1633" s="70"/>
      <c r="D1633" s="70"/>
      <c r="E1633" s="70"/>
      <c r="F1633" s="70"/>
      <c r="G1633" s="70"/>
      <c r="H1633" s="70"/>
      <c r="I1633" s="70"/>
      <c r="J1633" s="70"/>
    </row>
    <row r="1634" spans="1:10" ht="16" x14ac:dyDescent="0.2">
      <c r="A1634" s="70"/>
      <c r="B1634" s="70"/>
      <c r="C1634" s="70"/>
      <c r="D1634" s="70"/>
      <c r="E1634" s="70"/>
      <c r="F1634" s="70"/>
      <c r="G1634" s="70"/>
      <c r="H1634" s="70"/>
      <c r="I1634" s="70"/>
      <c r="J1634" s="70"/>
    </row>
    <row r="1635" spans="1:10" ht="16" x14ac:dyDescent="0.2">
      <c r="A1635" s="70"/>
      <c r="B1635" s="70"/>
      <c r="C1635" s="70"/>
      <c r="D1635" s="70"/>
      <c r="E1635" s="70"/>
      <c r="F1635" s="70"/>
      <c r="G1635" s="70"/>
      <c r="H1635" s="70"/>
      <c r="I1635" s="70"/>
      <c r="J1635" s="70"/>
    </row>
    <row r="1636" spans="1:10" ht="16" x14ac:dyDescent="0.2">
      <c r="A1636" s="70"/>
      <c r="B1636" s="70"/>
      <c r="C1636" s="70"/>
      <c r="D1636" s="70"/>
      <c r="E1636" s="70"/>
      <c r="F1636" s="70"/>
      <c r="G1636" s="70"/>
      <c r="H1636" s="70"/>
      <c r="I1636" s="70"/>
      <c r="J1636" s="70"/>
    </row>
    <row r="1637" spans="1:10" ht="16" x14ac:dyDescent="0.2">
      <c r="A1637" s="70"/>
      <c r="B1637" s="70"/>
      <c r="C1637" s="70"/>
      <c r="D1637" s="70"/>
      <c r="E1637" s="70"/>
      <c r="F1637" s="70"/>
      <c r="G1637" s="70"/>
      <c r="H1637" s="70"/>
      <c r="I1637" s="70"/>
      <c r="J1637" s="70"/>
    </row>
    <row r="1638" spans="1:10" ht="16" x14ac:dyDescent="0.2">
      <c r="A1638" s="70"/>
      <c r="B1638" s="70"/>
      <c r="C1638" s="70"/>
      <c r="D1638" s="70"/>
      <c r="E1638" s="70"/>
      <c r="F1638" s="70"/>
      <c r="G1638" s="70"/>
      <c r="H1638" s="70"/>
      <c r="I1638" s="70"/>
      <c r="J1638" s="70"/>
    </row>
    <row r="1639" spans="1:10" ht="16" x14ac:dyDescent="0.2">
      <c r="A1639" s="70"/>
      <c r="B1639" s="70"/>
      <c r="C1639" s="70"/>
      <c r="D1639" s="70"/>
      <c r="E1639" s="70"/>
      <c r="F1639" s="70"/>
      <c r="G1639" s="70"/>
      <c r="H1639" s="70"/>
      <c r="I1639" s="70"/>
      <c r="J1639" s="70"/>
    </row>
    <row r="1640" spans="1:10" ht="16" x14ac:dyDescent="0.2">
      <c r="A1640" s="70"/>
      <c r="B1640" s="70"/>
      <c r="C1640" s="70"/>
      <c r="D1640" s="70"/>
      <c r="E1640" s="70"/>
      <c r="F1640" s="70"/>
      <c r="G1640" s="70"/>
      <c r="H1640" s="70"/>
      <c r="I1640" s="70"/>
      <c r="J1640" s="70"/>
    </row>
    <row r="1641" spans="1:10" ht="16" x14ac:dyDescent="0.2">
      <c r="A1641" s="70"/>
      <c r="B1641" s="70"/>
      <c r="C1641" s="70"/>
      <c r="D1641" s="70"/>
      <c r="E1641" s="70"/>
      <c r="F1641" s="70"/>
      <c r="G1641" s="70"/>
      <c r="H1641" s="70"/>
      <c r="I1641" s="70"/>
      <c r="J1641" s="70"/>
    </row>
    <row r="1642" spans="1:10" ht="16" x14ac:dyDescent="0.2">
      <c r="A1642" s="70"/>
      <c r="B1642" s="70"/>
      <c r="C1642" s="70"/>
      <c r="D1642" s="70"/>
      <c r="E1642" s="70"/>
      <c r="F1642" s="70"/>
      <c r="G1642" s="70"/>
      <c r="H1642" s="70"/>
      <c r="I1642" s="70"/>
      <c r="J1642" s="70"/>
    </row>
    <row r="1643" spans="1:10" ht="16" x14ac:dyDescent="0.2">
      <c r="A1643" s="70"/>
      <c r="B1643" s="70"/>
      <c r="C1643" s="70"/>
      <c r="D1643" s="70"/>
      <c r="E1643" s="70"/>
      <c r="F1643" s="70"/>
      <c r="G1643" s="70"/>
      <c r="H1643" s="70"/>
      <c r="I1643" s="70"/>
      <c r="J1643" s="70"/>
    </row>
    <row r="1644" spans="1:10" ht="16" x14ac:dyDescent="0.2">
      <c r="A1644" s="70"/>
      <c r="B1644" s="70"/>
      <c r="C1644" s="70"/>
      <c r="D1644" s="70"/>
      <c r="E1644" s="70"/>
      <c r="F1644" s="70"/>
      <c r="G1644" s="70"/>
      <c r="H1644" s="70"/>
      <c r="I1644" s="70"/>
      <c r="J1644" s="70"/>
    </row>
    <row r="1645" spans="1:10" ht="16" x14ac:dyDescent="0.2">
      <c r="A1645" s="70"/>
      <c r="B1645" s="70"/>
      <c r="C1645" s="70"/>
      <c r="D1645" s="70"/>
      <c r="E1645" s="70"/>
      <c r="F1645" s="70"/>
      <c r="G1645" s="70"/>
      <c r="H1645" s="70"/>
      <c r="I1645" s="70"/>
      <c r="J1645" s="70"/>
    </row>
    <row r="1646" spans="1:10" ht="16" x14ac:dyDescent="0.2">
      <c r="A1646" s="70"/>
      <c r="B1646" s="70"/>
      <c r="C1646" s="70"/>
      <c r="D1646" s="70"/>
      <c r="E1646" s="70"/>
      <c r="F1646" s="70"/>
      <c r="G1646" s="70"/>
      <c r="H1646" s="70"/>
      <c r="I1646" s="70"/>
      <c r="J1646" s="70"/>
    </row>
    <row r="1647" spans="1:10" ht="16" x14ac:dyDescent="0.2">
      <c r="A1647" s="70"/>
      <c r="B1647" s="70"/>
      <c r="C1647" s="70"/>
      <c r="D1647" s="70"/>
      <c r="E1647" s="70"/>
      <c r="F1647" s="70"/>
      <c r="G1647" s="70"/>
      <c r="H1647" s="70"/>
      <c r="I1647" s="70"/>
      <c r="J1647" s="70"/>
    </row>
    <row r="1648" spans="1:10" ht="16" x14ac:dyDescent="0.2">
      <c r="A1648" s="70"/>
      <c r="B1648" s="70"/>
      <c r="C1648" s="70"/>
      <c r="D1648" s="70"/>
      <c r="E1648" s="70"/>
      <c r="F1648" s="70"/>
      <c r="G1648" s="70"/>
      <c r="H1648" s="70"/>
      <c r="I1648" s="70"/>
      <c r="J1648" s="70"/>
    </row>
    <row r="1649" spans="1:10" ht="16" x14ac:dyDescent="0.2">
      <c r="A1649" s="70"/>
      <c r="B1649" s="70"/>
      <c r="C1649" s="70"/>
      <c r="D1649" s="70"/>
      <c r="E1649" s="70"/>
      <c r="F1649" s="70"/>
      <c r="G1649" s="70"/>
      <c r="H1649" s="70"/>
      <c r="I1649" s="70"/>
      <c r="J1649" s="70"/>
    </row>
    <row r="1650" spans="1:10" ht="16" x14ac:dyDescent="0.2">
      <c r="A1650" s="70"/>
      <c r="B1650" s="70"/>
      <c r="C1650" s="70"/>
      <c r="D1650" s="70"/>
      <c r="E1650" s="70"/>
      <c r="F1650" s="70"/>
      <c r="G1650" s="70"/>
      <c r="H1650" s="70"/>
      <c r="I1650" s="70"/>
      <c r="J1650" s="70"/>
    </row>
    <row r="1651" spans="1:10" ht="16" x14ac:dyDescent="0.2">
      <c r="A1651" s="70"/>
      <c r="B1651" s="70"/>
      <c r="C1651" s="70"/>
      <c r="D1651" s="70"/>
      <c r="E1651" s="70"/>
      <c r="F1651" s="70"/>
      <c r="G1651" s="70"/>
      <c r="H1651" s="70"/>
      <c r="I1651" s="70"/>
      <c r="J1651" s="70"/>
    </row>
    <row r="1652" spans="1:10" ht="16" x14ac:dyDescent="0.2">
      <c r="A1652" s="70"/>
      <c r="B1652" s="70"/>
      <c r="C1652" s="70"/>
      <c r="D1652" s="70"/>
      <c r="E1652" s="70"/>
      <c r="F1652" s="70"/>
      <c r="G1652" s="70"/>
      <c r="H1652" s="70"/>
      <c r="I1652" s="70"/>
      <c r="J1652" s="70"/>
    </row>
    <row r="1653" spans="1:10" ht="16" x14ac:dyDescent="0.2">
      <c r="A1653" s="70"/>
      <c r="B1653" s="70"/>
      <c r="C1653" s="70"/>
      <c r="D1653" s="70"/>
      <c r="E1653" s="70"/>
      <c r="F1653" s="70"/>
      <c r="G1653" s="70"/>
      <c r="H1653" s="70"/>
      <c r="I1653" s="70"/>
      <c r="J1653" s="70"/>
    </row>
    <row r="1654" spans="1:10" ht="16" x14ac:dyDescent="0.2">
      <c r="A1654" s="70"/>
      <c r="B1654" s="70"/>
      <c r="C1654" s="70"/>
      <c r="D1654" s="70"/>
      <c r="E1654" s="70"/>
      <c r="F1654" s="70"/>
      <c r="G1654" s="70"/>
      <c r="H1654" s="70"/>
      <c r="I1654" s="70"/>
      <c r="J1654" s="70"/>
    </row>
    <row r="1655" spans="1:10" ht="16" x14ac:dyDescent="0.2">
      <c r="A1655" s="70"/>
      <c r="B1655" s="70"/>
      <c r="C1655" s="70"/>
      <c r="D1655" s="70"/>
      <c r="E1655" s="70"/>
      <c r="F1655" s="70"/>
      <c r="G1655" s="70"/>
      <c r="H1655" s="70"/>
      <c r="I1655" s="70"/>
      <c r="J1655" s="70"/>
    </row>
    <row r="1656" spans="1:10" ht="16" x14ac:dyDescent="0.2">
      <c r="A1656" s="70"/>
      <c r="B1656" s="70"/>
      <c r="C1656" s="70"/>
      <c r="D1656" s="70"/>
      <c r="E1656" s="70"/>
      <c r="F1656" s="70"/>
      <c r="G1656" s="70"/>
      <c r="H1656" s="70"/>
      <c r="I1656" s="70"/>
      <c r="J1656" s="70"/>
    </row>
    <row r="1657" spans="1:10" ht="16" x14ac:dyDescent="0.2">
      <c r="A1657" s="70"/>
      <c r="B1657" s="70"/>
      <c r="C1657" s="70"/>
      <c r="D1657" s="70"/>
      <c r="E1657" s="70"/>
      <c r="F1657" s="70"/>
      <c r="G1657" s="70"/>
      <c r="H1657" s="70"/>
      <c r="I1657" s="70"/>
      <c r="J1657" s="70"/>
    </row>
    <row r="1658" spans="1:10" ht="16" x14ac:dyDescent="0.2">
      <c r="A1658" s="70"/>
      <c r="B1658" s="70"/>
      <c r="C1658" s="70"/>
      <c r="D1658" s="70"/>
      <c r="E1658" s="70"/>
      <c r="F1658" s="70"/>
      <c r="G1658" s="70"/>
      <c r="H1658" s="70"/>
      <c r="I1658" s="70"/>
      <c r="J1658" s="70"/>
    </row>
    <row r="1659" spans="1:10" ht="16" x14ac:dyDescent="0.2">
      <c r="A1659" s="70"/>
      <c r="B1659" s="70"/>
      <c r="C1659" s="70"/>
      <c r="D1659" s="70"/>
      <c r="E1659" s="70"/>
      <c r="F1659" s="70"/>
      <c r="G1659" s="70"/>
      <c r="H1659" s="70"/>
      <c r="I1659" s="70"/>
      <c r="J1659" s="70"/>
    </row>
    <row r="1660" spans="1:10" ht="16" x14ac:dyDescent="0.2">
      <c r="A1660" s="70"/>
      <c r="B1660" s="70"/>
      <c r="C1660" s="70"/>
      <c r="D1660" s="70"/>
      <c r="E1660" s="70"/>
      <c r="F1660" s="70"/>
      <c r="G1660" s="70"/>
      <c r="H1660" s="70"/>
      <c r="I1660" s="70"/>
      <c r="J1660" s="70"/>
    </row>
    <row r="1661" spans="1:10" ht="16" x14ac:dyDescent="0.2">
      <c r="A1661" s="70"/>
      <c r="B1661" s="70"/>
      <c r="C1661" s="70"/>
      <c r="D1661" s="70"/>
      <c r="E1661" s="70"/>
      <c r="F1661" s="70"/>
      <c r="G1661" s="70"/>
      <c r="H1661" s="70"/>
      <c r="I1661" s="70"/>
      <c r="J1661" s="70"/>
    </row>
    <row r="1662" spans="1:10" ht="16" x14ac:dyDescent="0.2">
      <c r="A1662" s="70"/>
      <c r="B1662" s="70"/>
      <c r="C1662" s="70"/>
      <c r="D1662" s="70"/>
      <c r="E1662" s="70"/>
      <c r="F1662" s="70"/>
      <c r="G1662" s="70"/>
      <c r="H1662" s="70"/>
      <c r="I1662" s="70"/>
      <c r="J1662" s="70"/>
    </row>
    <row r="1663" spans="1:10" ht="16" x14ac:dyDescent="0.2">
      <c r="A1663" s="70"/>
      <c r="B1663" s="70"/>
      <c r="C1663" s="70"/>
      <c r="D1663" s="70"/>
      <c r="E1663" s="70"/>
      <c r="F1663" s="70"/>
      <c r="G1663" s="70"/>
      <c r="H1663" s="70"/>
      <c r="I1663" s="70"/>
      <c r="J1663" s="70"/>
    </row>
    <row r="1664" spans="1:10" ht="16" x14ac:dyDescent="0.2">
      <c r="A1664" s="70"/>
      <c r="B1664" s="70"/>
      <c r="C1664" s="70"/>
      <c r="D1664" s="70"/>
      <c r="E1664" s="70"/>
      <c r="F1664" s="70"/>
      <c r="G1664" s="70"/>
      <c r="H1664" s="70"/>
      <c r="I1664" s="70"/>
      <c r="J1664" s="70"/>
    </row>
    <row r="1665" spans="1:10" ht="16" x14ac:dyDescent="0.2">
      <c r="A1665" s="70"/>
      <c r="B1665" s="70"/>
      <c r="C1665" s="70"/>
      <c r="D1665" s="70"/>
      <c r="E1665" s="70"/>
      <c r="F1665" s="70"/>
      <c r="G1665" s="70"/>
      <c r="H1665" s="70"/>
      <c r="I1665" s="70"/>
      <c r="J1665" s="70"/>
    </row>
    <row r="1666" spans="1:10" ht="16" x14ac:dyDescent="0.2">
      <c r="A1666" s="70"/>
      <c r="B1666" s="70"/>
      <c r="C1666" s="70"/>
      <c r="D1666" s="70"/>
      <c r="E1666" s="70"/>
      <c r="F1666" s="70"/>
      <c r="G1666" s="70"/>
      <c r="H1666" s="70"/>
      <c r="I1666" s="70"/>
      <c r="J1666" s="70"/>
    </row>
    <row r="1667" spans="1:10" ht="16" x14ac:dyDescent="0.2">
      <c r="A1667" s="70"/>
      <c r="B1667" s="70"/>
      <c r="C1667" s="70"/>
      <c r="D1667" s="70"/>
      <c r="E1667" s="70"/>
      <c r="F1667" s="70"/>
      <c r="G1667" s="70"/>
      <c r="H1667" s="70"/>
      <c r="I1667" s="70"/>
      <c r="J1667" s="70"/>
    </row>
    <row r="1668" spans="1:10" ht="16" x14ac:dyDescent="0.2">
      <c r="A1668" s="70"/>
      <c r="B1668" s="70"/>
      <c r="C1668" s="70"/>
      <c r="D1668" s="70"/>
      <c r="E1668" s="70"/>
      <c r="F1668" s="70"/>
      <c r="G1668" s="70"/>
      <c r="H1668" s="70"/>
      <c r="I1668" s="70"/>
      <c r="J1668" s="70"/>
    </row>
    <row r="1669" spans="1:10" ht="16" x14ac:dyDescent="0.2">
      <c r="A1669" s="70"/>
      <c r="B1669" s="70"/>
      <c r="C1669" s="70"/>
      <c r="D1669" s="70"/>
      <c r="E1669" s="70"/>
      <c r="F1669" s="70"/>
      <c r="G1669" s="70"/>
      <c r="H1669" s="70"/>
      <c r="I1669" s="70"/>
      <c r="J1669" s="70"/>
    </row>
    <row r="1670" spans="1:10" ht="16" x14ac:dyDescent="0.2">
      <c r="A1670" s="70"/>
      <c r="B1670" s="70"/>
      <c r="C1670" s="70"/>
      <c r="D1670" s="70"/>
      <c r="E1670" s="70"/>
      <c r="F1670" s="70"/>
      <c r="G1670" s="70"/>
      <c r="H1670" s="70"/>
      <c r="I1670" s="70"/>
      <c r="J1670" s="70"/>
    </row>
    <row r="1671" spans="1:10" ht="16" x14ac:dyDescent="0.2">
      <c r="A1671" s="70"/>
      <c r="B1671" s="70"/>
      <c r="C1671" s="70"/>
      <c r="D1671" s="70"/>
      <c r="E1671" s="70"/>
      <c r="F1671" s="70"/>
      <c r="G1671" s="70"/>
      <c r="H1671" s="70"/>
      <c r="I1671" s="70"/>
      <c r="J1671" s="70"/>
    </row>
    <row r="1672" spans="1:10" ht="16" x14ac:dyDescent="0.2">
      <c r="A1672" s="70"/>
      <c r="B1672" s="70"/>
      <c r="C1672" s="70"/>
      <c r="D1672" s="70"/>
      <c r="E1672" s="70"/>
      <c r="F1672" s="70"/>
      <c r="G1672" s="70"/>
      <c r="H1672" s="70"/>
      <c r="I1672" s="70"/>
      <c r="J1672" s="70"/>
    </row>
    <row r="1673" spans="1:10" ht="16" x14ac:dyDescent="0.2">
      <c r="A1673" s="70"/>
      <c r="B1673" s="70"/>
      <c r="C1673" s="70"/>
      <c r="D1673" s="70"/>
      <c r="E1673" s="70"/>
      <c r="F1673" s="70"/>
      <c r="G1673" s="70"/>
      <c r="H1673" s="70"/>
      <c r="I1673" s="70"/>
      <c r="J1673" s="70"/>
    </row>
    <row r="1674" spans="1:10" ht="16" x14ac:dyDescent="0.2">
      <c r="A1674" s="70"/>
      <c r="B1674" s="70"/>
      <c r="C1674" s="70"/>
      <c r="D1674" s="70"/>
      <c r="E1674" s="70"/>
      <c r="F1674" s="70"/>
      <c r="G1674" s="70"/>
      <c r="H1674" s="70"/>
      <c r="I1674" s="70"/>
      <c r="J1674" s="70"/>
    </row>
    <row r="1675" spans="1:10" ht="16" x14ac:dyDescent="0.2">
      <c r="A1675" s="70"/>
      <c r="B1675" s="70"/>
      <c r="C1675" s="70"/>
      <c r="D1675" s="70"/>
      <c r="E1675" s="70"/>
      <c r="F1675" s="70"/>
      <c r="G1675" s="70"/>
      <c r="H1675" s="70"/>
      <c r="I1675" s="70"/>
      <c r="J1675" s="70"/>
    </row>
    <row r="1676" spans="1:10" ht="16" x14ac:dyDescent="0.2">
      <c r="A1676" s="70"/>
      <c r="B1676" s="70"/>
      <c r="C1676" s="70"/>
      <c r="D1676" s="70"/>
      <c r="E1676" s="70"/>
      <c r="F1676" s="70"/>
      <c r="G1676" s="70"/>
      <c r="H1676" s="70"/>
      <c r="I1676" s="70"/>
      <c r="J1676" s="70"/>
    </row>
    <row r="1677" spans="1:10" ht="16" x14ac:dyDescent="0.2">
      <c r="A1677" s="70"/>
      <c r="B1677" s="70"/>
      <c r="C1677" s="70"/>
      <c r="D1677" s="70"/>
      <c r="E1677" s="70"/>
      <c r="F1677" s="70"/>
      <c r="G1677" s="70"/>
      <c r="H1677" s="70"/>
      <c r="I1677" s="70"/>
      <c r="J1677" s="70"/>
    </row>
    <row r="1678" spans="1:10" ht="16" x14ac:dyDescent="0.2">
      <c r="A1678" s="70"/>
      <c r="B1678" s="70"/>
      <c r="C1678" s="70"/>
      <c r="D1678" s="70"/>
      <c r="E1678" s="70"/>
      <c r="F1678" s="70"/>
      <c r="G1678" s="70"/>
      <c r="H1678" s="70"/>
      <c r="I1678" s="70"/>
      <c r="J1678" s="70"/>
    </row>
    <row r="1679" spans="1:10" ht="16" x14ac:dyDescent="0.2">
      <c r="A1679" s="70"/>
      <c r="B1679" s="70"/>
      <c r="C1679" s="70"/>
      <c r="D1679" s="70"/>
      <c r="E1679" s="70"/>
      <c r="F1679" s="70"/>
      <c r="G1679" s="70"/>
      <c r="H1679" s="70"/>
      <c r="I1679" s="70"/>
      <c r="J1679" s="70"/>
    </row>
    <row r="1680" spans="1:10" ht="16" x14ac:dyDescent="0.2">
      <c r="A1680" s="70"/>
      <c r="B1680" s="70"/>
      <c r="C1680" s="70"/>
      <c r="D1680" s="70"/>
      <c r="E1680" s="70"/>
      <c r="F1680" s="70"/>
      <c r="G1680" s="70"/>
      <c r="H1680" s="70"/>
      <c r="I1680" s="70"/>
      <c r="J1680" s="70"/>
    </row>
    <row r="1681" spans="1:10" ht="16" x14ac:dyDescent="0.2">
      <c r="A1681" s="70"/>
      <c r="B1681" s="70"/>
      <c r="C1681" s="70"/>
      <c r="D1681" s="70"/>
      <c r="E1681" s="70"/>
      <c r="F1681" s="70"/>
      <c r="G1681" s="70"/>
      <c r="H1681" s="70"/>
      <c r="I1681" s="70"/>
      <c r="J1681" s="70"/>
    </row>
    <row r="1682" spans="1:10" ht="16" x14ac:dyDescent="0.2">
      <c r="A1682" s="70"/>
      <c r="B1682" s="70"/>
      <c r="C1682" s="70"/>
      <c r="D1682" s="70"/>
      <c r="E1682" s="70"/>
      <c r="F1682" s="70"/>
      <c r="G1682" s="70"/>
      <c r="H1682" s="70"/>
      <c r="I1682" s="70"/>
      <c r="J1682" s="70"/>
    </row>
    <row r="1683" spans="1:10" ht="16" x14ac:dyDescent="0.2">
      <c r="A1683" s="70"/>
      <c r="B1683" s="70"/>
      <c r="C1683" s="70"/>
      <c r="D1683" s="70"/>
      <c r="E1683" s="70"/>
      <c r="F1683" s="70"/>
      <c r="G1683" s="70"/>
      <c r="H1683" s="70"/>
      <c r="I1683" s="70"/>
      <c r="J1683" s="70"/>
    </row>
    <row r="1684" spans="1:10" ht="16" x14ac:dyDescent="0.2">
      <c r="A1684" s="70"/>
      <c r="B1684" s="70"/>
      <c r="C1684" s="70"/>
      <c r="D1684" s="70"/>
      <c r="E1684" s="70"/>
      <c r="F1684" s="70"/>
      <c r="G1684" s="70"/>
      <c r="H1684" s="70"/>
      <c r="I1684" s="70"/>
      <c r="J1684" s="70"/>
    </row>
    <row r="1685" spans="1:10" ht="16" x14ac:dyDescent="0.2">
      <c r="A1685" s="70"/>
      <c r="B1685" s="70"/>
      <c r="C1685" s="70"/>
      <c r="D1685" s="70"/>
      <c r="E1685" s="70"/>
      <c r="F1685" s="70"/>
      <c r="G1685" s="70"/>
      <c r="H1685" s="70"/>
      <c r="I1685" s="70"/>
      <c r="J1685" s="70"/>
    </row>
  </sheetData>
  <pageMargins left="0.7" right="0.7" top="0.75" bottom="0.75" header="0.3" footer="0.3"/>
  <pageSetup paperSize="9"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40616-220E-B346-8A3A-AAEB2450DD7D}">
  <dimension ref="A1"/>
  <sheetViews>
    <sheetView showGridLines="0" workbookViewId="0">
      <selection activeCell="A100" sqref="A100"/>
    </sheetView>
  </sheetViews>
  <sheetFormatPr baseColWidth="10" defaultColWidth="6.625" defaultRowHeight="13" x14ac:dyDescent="0.15"/>
  <cols>
    <col min="1" max="16384" width="6.625" style="270"/>
  </cols>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4"/>
  <dimension ref="A1:Z36"/>
  <sheetViews>
    <sheetView workbookViewId="0">
      <selection sqref="A1:C1"/>
    </sheetView>
  </sheetViews>
  <sheetFormatPr baseColWidth="10" defaultColWidth="10.625" defaultRowHeight="16" x14ac:dyDescent="0.2"/>
  <cols>
    <col min="2" max="2" width="10.625" style="218"/>
    <col min="3" max="3" width="93.25" customWidth="1"/>
  </cols>
  <sheetData>
    <row r="1" spans="1:26" s="136" customFormat="1" ht="36" customHeight="1" x14ac:dyDescent="0.15">
      <c r="A1" s="357" t="s">
        <v>2676</v>
      </c>
      <c r="B1" s="358"/>
      <c r="C1" s="359"/>
      <c r="D1" s="210"/>
      <c r="E1" s="210"/>
      <c r="F1" s="210"/>
      <c r="G1" s="210"/>
      <c r="H1" s="210"/>
      <c r="I1" s="211"/>
      <c r="J1" s="212"/>
      <c r="K1" s="212"/>
      <c r="L1" s="212"/>
      <c r="M1" s="212"/>
      <c r="N1" s="212"/>
      <c r="O1" s="212"/>
      <c r="P1" s="212"/>
      <c r="Q1" s="212"/>
      <c r="R1" s="212"/>
      <c r="S1" s="212"/>
      <c r="T1" s="212"/>
      <c r="U1" s="212"/>
      <c r="V1" s="212"/>
      <c r="W1" s="212"/>
      <c r="X1" s="212"/>
      <c r="Y1" s="212"/>
      <c r="Z1" s="212"/>
    </row>
    <row r="2" spans="1:26" s="136" customFormat="1" ht="25.5" customHeight="1" x14ac:dyDescent="0.15">
      <c r="A2" s="360" t="s">
        <v>97</v>
      </c>
      <c r="B2" s="361"/>
      <c r="C2" s="362"/>
      <c r="D2" s="213"/>
      <c r="E2" s="213"/>
      <c r="F2" s="213"/>
      <c r="G2" s="213"/>
      <c r="H2" s="213"/>
      <c r="I2" s="211"/>
      <c r="J2" s="212"/>
      <c r="K2" s="212"/>
      <c r="L2" s="212"/>
      <c r="M2" s="212"/>
      <c r="N2" s="212"/>
      <c r="O2" s="212"/>
      <c r="P2" s="212"/>
      <c r="Q2" s="212"/>
      <c r="R2" s="212"/>
      <c r="S2" s="212"/>
      <c r="T2" s="212"/>
      <c r="U2" s="212"/>
      <c r="V2" s="212"/>
      <c r="W2" s="212"/>
      <c r="X2" s="212"/>
      <c r="Y2" s="212"/>
      <c r="Z2" s="212"/>
    </row>
    <row r="3" spans="1:26" s="16" customFormat="1" ht="24" customHeight="1" x14ac:dyDescent="0.2">
      <c r="A3" s="214" t="s">
        <v>147</v>
      </c>
      <c r="B3" s="214" t="s">
        <v>0</v>
      </c>
      <c r="C3" s="214" t="s">
        <v>148</v>
      </c>
      <c r="D3" s="215"/>
      <c r="E3" s="215"/>
      <c r="F3" s="215"/>
      <c r="G3" s="215"/>
      <c r="H3" s="215"/>
      <c r="I3" s="215"/>
      <c r="J3" s="215"/>
      <c r="K3" s="215"/>
      <c r="L3" s="215"/>
      <c r="M3" s="215"/>
      <c r="N3" s="215"/>
      <c r="O3" s="215"/>
      <c r="P3" s="215"/>
      <c r="Q3" s="215"/>
      <c r="R3" s="215"/>
      <c r="S3" s="215"/>
      <c r="T3" s="215"/>
      <c r="U3" s="215"/>
      <c r="V3" s="215"/>
      <c r="W3" s="215"/>
      <c r="X3" s="215"/>
      <c r="Y3" s="215"/>
      <c r="Z3" s="215"/>
    </row>
    <row r="4" spans="1:26" ht="36" customHeight="1" x14ac:dyDescent="0.2">
      <c r="A4" s="216" t="s">
        <v>149</v>
      </c>
      <c r="B4" s="217">
        <v>42586</v>
      </c>
      <c r="C4" s="216" t="s">
        <v>481</v>
      </c>
    </row>
    <row r="5" spans="1:26" ht="36" customHeight="1" x14ac:dyDescent="0.2">
      <c r="A5" s="216" t="s">
        <v>160</v>
      </c>
      <c r="B5" s="217">
        <v>42596</v>
      </c>
      <c r="C5" s="147" t="s">
        <v>3056</v>
      </c>
    </row>
    <row r="6" spans="1:26" ht="36" customHeight="1" x14ac:dyDescent="0.2">
      <c r="A6" s="216" t="s">
        <v>161</v>
      </c>
      <c r="B6" s="217">
        <v>42597</v>
      </c>
      <c r="C6" s="216" t="s">
        <v>482</v>
      </c>
    </row>
    <row r="7" spans="1:26" ht="36" customHeight="1" x14ac:dyDescent="0.2">
      <c r="A7" s="216" t="s">
        <v>164</v>
      </c>
      <c r="B7" s="217">
        <v>42598</v>
      </c>
      <c r="C7" s="216" t="s">
        <v>483</v>
      </c>
    </row>
    <row r="8" spans="1:26" ht="36" customHeight="1" x14ac:dyDescent="0.2">
      <c r="A8" s="216" t="s">
        <v>428</v>
      </c>
      <c r="B8" s="217">
        <v>42606</v>
      </c>
      <c r="C8" s="216" t="s">
        <v>484</v>
      </c>
    </row>
    <row r="9" spans="1:26" ht="36" customHeight="1" x14ac:dyDescent="0.2">
      <c r="A9" s="216" t="s">
        <v>429</v>
      </c>
      <c r="B9" s="217">
        <v>42607</v>
      </c>
      <c r="C9" s="216" t="s">
        <v>485</v>
      </c>
    </row>
    <row r="10" spans="1:26" ht="36" customHeight="1" x14ac:dyDescent="0.2">
      <c r="A10" s="216" t="s">
        <v>452</v>
      </c>
      <c r="B10" s="217">
        <v>42608</v>
      </c>
      <c r="C10" s="216" t="s">
        <v>486</v>
      </c>
    </row>
    <row r="11" spans="1:26" ht="36" customHeight="1" x14ac:dyDescent="0.2">
      <c r="A11" s="216" t="s">
        <v>464</v>
      </c>
      <c r="B11" s="217">
        <v>42608</v>
      </c>
      <c r="C11" s="216" t="s">
        <v>465</v>
      </c>
    </row>
    <row r="12" spans="1:26" ht="36" customHeight="1" x14ac:dyDescent="0.2">
      <c r="A12" s="216" t="s">
        <v>466</v>
      </c>
      <c r="B12" s="217">
        <v>42634</v>
      </c>
      <c r="C12" s="216" t="s">
        <v>467</v>
      </c>
    </row>
    <row r="13" spans="1:26" ht="36" customHeight="1" x14ac:dyDescent="0.2">
      <c r="A13" s="216" t="s">
        <v>470</v>
      </c>
      <c r="B13" s="217">
        <v>42636</v>
      </c>
      <c r="C13" s="216" t="s">
        <v>480</v>
      </c>
    </row>
    <row r="14" spans="1:26" ht="36" customHeight="1" x14ac:dyDescent="0.2">
      <c r="A14" s="216" t="s">
        <v>478</v>
      </c>
      <c r="B14" s="217">
        <v>42639</v>
      </c>
      <c r="C14" s="216" t="s">
        <v>479</v>
      </c>
    </row>
    <row r="15" spans="1:26" ht="36" customHeight="1" x14ac:dyDescent="0.2">
      <c r="A15" s="216" t="s">
        <v>493</v>
      </c>
      <c r="B15" s="217">
        <v>42649</v>
      </c>
      <c r="C15" s="216" t="s">
        <v>514</v>
      </c>
    </row>
    <row r="16" spans="1:26" ht="36" customHeight="1" x14ac:dyDescent="0.2">
      <c r="A16" s="216" t="s">
        <v>494</v>
      </c>
      <c r="B16" s="217">
        <v>42660</v>
      </c>
      <c r="C16" s="216" t="s">
        <v>515</v>
      </c>
    </row>
    <row r="17" spans="1:3" ht="36" customHeight="1" x14ac:dyDescent="0.2">
      <c r="A17" s="216" t="s">
        <v>495</v>
      </c>
      <c r="B17" s="217">
        <v>42690</v>
      </c>
      <c r="C17" s="216" t="s">
        <v>496</v>
      </c>
    </row>
    <row r="18" spans="1:3" ht="36" customHeight="1" x14ac:dyDescent="0.2">
      <c r="A18" s="216" t="s">
        <v>502</v>
      </c>
      <c r="B18" s="217">
        <v>42695</v>
      </c>
      <c r="C18" s="147" t="s">
        <v>3057</v>
      </c>
    </row>
    <row r="19" spans="1:3" ht="36" customHeight="1" x14ac:dyDescent="0.2">
      <c r="A19" s="216" t="s">
        <v>512</v>
      </c>
      <c r="B19" s="217">
        <v>42697</v>
      </c>
      <c r="C19" s="216" t="s">
        <v>513</v>
      </c>
    </row>
    <row r="20" spans="1:3" ht="36" customHeight="1" x14ac:dyDescent="0.2">
      <c r="A20" s="216" t="s">
        <v>532</v>
      </c>
      <c r="B20" s="217">
        <v>42847</v>
      </c>
      <c r="C20" s="216" t="s">
        <v>533</v>
      </c>
    </row>
    <row r="21" spans="1:3" ht="36" customHeight="1" x14ac:dyDescent="0.2">
      <c r="A21" s="216" t="s">
        <v>534</v>
      </c>
      <c r="B21" s="217">
        <v>42853</v>
      </c>
      <c r="C21" s="216" t="s">
        <v>535</v>
      </c>
    </row>
    <row r="22" spans="1:3" ht="36" customHeight="1" x14ac:dyDescent="0.2">
      <c r="A22" s="216" t="s">
        <v>890</v>
      </c>
      <c r="B22" s="217">
        <v>43032</v>
      </c>
      <c r="C22" s="216" t="s">
        <v>891</v>
      </c>
    </row>
    <row r="23" spans="1:3" ht="36" customHeight="1" x14ac:dyDescent="0.2">
      <c r="A23" s="147" t="s">
        <v>2640</v>
      </c>
      <c r="B23" s="217">
        <v>43386</v>
      </c>
      <c r="C23" s="147" t="s">
        <v>2660</v>
      </c>
    </row>
    <row r="24" spans="1:3" ht="36" customHeight="1" x14ac:dyDescent="0.2">
      <c r="A24" s="147" t="s">
        <v>2670</v>
      </c>
      <c r="B24" s="217">
        <v>43405</v>
      </c>
      <c r="C24" s="147" t="s">
        <v>2671</v>
      </c>
    </row>
    <row r="25" spans="1:3" ht="36" customHeight="1" x14ac:dyDescent="0.2">
      <c r="A25" s="147" t="s">
        <v>2993</v>
      </c>
      <c r="B25" s="217">
        <v>43490</v>
      </c>
      <c r="C25" s="147" t="s">
        <v>2672</v>
      </c>
    </row>
    <row r="26" spans="1:3" ht="36" customHeight="1" x14ac:dyDescent="0.2">
      <c r="A26" s="147" t="s">
        <v>2994</v>
      </c>
      <c r="B26" s="217">
        <v>43543</v>
      </c>
      <c r="C26" s="216" t="s">
        <v>2673</v>
      </c>
    </row>
    <row r="27" spans="1:3" ht="36" customHeight="1" x14ac:dyDescent="0.2">
      <c r="A27" s="216" t="s">
        <v>2995</v>
      </c>
      <c r="B27" s="217">
        <v>43584</v>
      </c>
      <c r="C27" s="216" t="s">
        <v>2674</v>
      </c>
    </row>
    <row r="28" spans="1:3" ht="36" customHeight="1" x14ac:dyDescent="0.2">
      <c r="A28" s="216" t="s">
        <v>2996</v>
      </c>
      <c r="B28" s="217">
        <v>43742</v>
      </c>
      <c r="C28" s="216" t="s">
        <v>2984</v>
      </c>
    </row>
    <row r="29" spans="1:3" ht="36" customHeight="1" x14ac:dyDescent="0.2">
      <c r="A29" s="216"/>
      <c r="B29" s="269"/>
      <c r="C29" s="216"/>
    </row>
    <row r="30" spans="1:3" ht="36" customHeight="1" x14ac:dyDescent="0.2">
      <c r="A30" s="216"/>
      <c r="B30" s="269"/>
      <c r="C30" s="216"/>
    </row>
    <row r="31" spans="1:3" ht="36" customHeight="1" x14ac:dyDescent="0.2">
      <c r="A31" s="216"/>
      <c r="B31" s="269"/>
      <c r="C31" s="216"/>
    </row>
    <row r="32" spans="1:3" ht="36" customHeight="1" x14ac:dyDescent="0.2">
      <c r="A32" s="216"/>
      <c r="B32" s="269"/>
      <c r="C32" s="216"/>
    </row>
    <row r="33" spans="1:3" ht="36" customHeight="1" x14ac:dyDescent="0.2">
      <c r="A33" s="216"/>
      <c r="B33" s="269"/>
      <c r="C33" s="216"/>
    </row>
    <row r="34" spans="1:3" ht="36" customHeight="1" x14ac:dyDescent="0.2">
      <c r="A34" s="216"/>
      <c r="B34" s="269"/>
      <c r="C34" s="216"/>
    </row>
    <row r="35" spans="1:3" ht="36" customHeight="1" x14ac:dyDescent="0.2">
      <c r="A35" s="216"/>
      <c r="B35" s="269"/>
      <c r="C35" s="216"/>
    </row>
    <row r="36" spans="1:3" ht="36" customHeight="1" x14ac:dyDescent="0.2">
      <c r="A36" s="216"/>
      <c r="B36" s="269"/>
      <c r="C36" s="216"/>
    </row>
  </sheetData>
  <mergeCells count="2">
    <mergeCell ref="A1:C1"/>
    <mergeCell ref="A2:C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rgb="FF0070C0"/>
  </sheetPr>
  <dimension ref="A1:A38"/>
  <sheetViews>
    <sheetView workbookViewId="0">
      <selection activeCell="A4" sqref="A4"/>
    </sheetView>
  </sheetViews>
  <sheetFormatPr baseColWidth="10" defaultColWidth="11.25" defaultRowHeight="16" x14ac:dyDescent="0.2"/>
  <cols>
    <col min="1" max="1" width="37" customWidth="1"/>
  </cols>
  <sheetData>
    <row r="1" spans="1:1" ht="17" x14ac:dyDescent="0.2">
      <c r="A1" s="2" t="s">
        <v>82</v>
      </c>
    </row>
    <row r="3" spans="1:1" ht="17" x14ac:dyDescent="0.2">
      <c r="A3" s="2" t="s">
        <v>83</v>
      </c>
    </row>
    <row r="4" spans="1:1" ht="17" x14ac:dyDescent="0.2">
      <c r="A4" t="s">
        <v>17</v>
      </c>
    </row>
    <row r="5" spans="1:1" ht="17" x14ac:dyDescent="0.2">
      <c r="A5" t="s">
        <v>21</v>
      </c>
    </row>
    <row r="6" spans="1:1" ht="17" x14ac:dyDescent="0.2">
      <c r="A6" t="s">
        <v>84</v>
      </c>
    </row>
    <row r="8" spans="1:1" ht="17" x14ac:dyDescent="0.2">
      <c r="A8" s="2" t="s">
        <v>85</v>
      </c>
    </row>
    <row r="9" spans="1:1" ht="17" x14ac:dyDescent="0.2">
      <c r="A9" t="s">
        <v>86</v>
      </c>
    </row>
    <row r="10" spans="1:1" ht="17" x14ac:dyDescent="0.2">
      <c r="A10" t="s">
        <v>87</v>
      </c>
    </row>
    <row r="11" spans="1:1" ht="17" x14ac:dyDescent="0.2">
      <c r="A11" t="s">
        <v>88</v>
      </c>
    </row>
    <row r="12" spans="1:1" ht="17" x14ac:dyDescent="0.2">
      <c r="A12" t="s">
        <v>31</v>
      </c>
    </row>
    <row r="14" spans="1:1" ht="17" x14ac:dyDescent="0.2">
      <c r="A14" s="2" t="s">
        <v>89</v>
      </c>
    </row>
    <row r="15" spans="1:1" ht="17" x14ac:dyDescent="0.2">
      <c r="A15" t="s">
        <v>90</v>
      </c>
    </row>
    <row r="16" spans="1:1" ht="17" x14ac:dyDescent="0.2">
      <c r="A16" t="s">
        <v>91</v>
      </c>
    </row>
    <row r="17" spans="1:1" ht="17" x14ac:dyDescent="0.2">
      <c r="A17" t="s">
        <v>92</v>
      </c>
    </row>
    <row r="18" spans="1:1" ht="17" x14ac:dyDescent="0.2">
      <c r="A18" t="s">
        <v>93</v>
      </c>
    </row>
    <row r="19" spans="1:1" ht="17" x14ac:dyDescent="0.2">
      <c r="A19" t="s">
        <v>31</v>
      </c>
    </row>
    <row r="21" spans="1:1" ht="17" x14ac:dyDescent="0.2">
      <c r="A21" s="2" t="s">
        <v>116</v>
      </c>
    </row>
    <row r="22" spans="1:1" ht="17" x14ac:dyDescent="0.2">
      <c r="A22" t="s">
        <v>117</v>
      </c>
    </row>
    <row r="23" spans="1:1" ht="17" x14ac:dyDescent="0.2">
      <c r="A23" t="s">
        <v>118</v>
      </c>
    </row>
    <row r="25" spans="1:1" ht="17" x14ac:dyDescent="0.2">
      <c r="A25" s="2" t="s">
        <v>487</v>
      </c>
    </row>
    <row r="26" spans="1:1" ht="17" x14ac:dyDescent="0.2">
      <c r="A26" t="s">
        <v>488</v>
      </c>
    </row>
    <row r="27" spans="1:1" ht="17" x14ac:dyDescent="0.2">
      <c r="A27" t="s">
        <v>489</v>
      </c>
    </row>
    <row r="29" spans="1:1" ht="17" x14ac:dyDescent="0.2">
      <c r="A29" s="2" t="s">
        <v>490</v>
      </c>
    </row>
    <row r="30" spans="1:1" ht="17" x14ac:dyDescent="0.2">
      <c r="A30" t="s">
        <v>491</v>
      </c>
    </row>
    <row r="31" spans="1:1" ht="17" x14ac:dyDescent="0.2">
      <c r="A31" t="s">
        <v>492</v>
      </c>
    </row>
    <row r="33" spans="1:1" ht="17" x14ac:dyDescent="0.2">
      <c r="A33" s="2" t="s">
        <v>497</v>
      </c>
    </row>
    <row r="34" spans="1:1" ht="17" x14ac:dyDescent="0.2">
      <c r="A34" t="s">
        <v>498</v>
      </c>
    </row>
    <row r="35" spans="1:1" ht="17" x14ac:dyDescent="0.2">
      <c r="A35" t="s">
        <v>499</v>
      </c>
    </row>
    <row r="36" spans="1:1" ht="17" x14ac:dyDescent="0.2">
      <c r="A36" t="s">
        <v>500</v>
      </c>
    </row>
    <row r="37" spans="1:1" ht="17" x14ac:dyDescent="0.2">
      <c r="A37" t="s">
        <v>501</v>
      </c>
    </row>
    <row r="38" spans="1:1" ht="17" x14ac:dyDescent="0.2">
      <c r="A38" t="s">
        <v>84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99C64EA6-64AB-43FD-B8B2-F766C9A9B7EA}">
  <ds:schemaRefs>
    <ds:schemaRef ds:uri="http://gemini/pivotcustomization/TableXML_Table1"/>
  </ds:schemaRefs>
</ds:datastoreItem>
</file>

<file path=customXml/itemProps2.xml><?xml version="1.0" encoding="utf-8"?>
<ds:datastoreItem xmlns:ds="http://schemas.openxmlformats.org/officeDocument/2006/customXml" ds:itemID="{581EE562-5F7F-4099-8FD8-896D8134E32C}">
  <ds:schemaRefs>
    <ds:schemaRef ds:uri="http://gemini/pivotcustomization/ManualCalcMode"/>
  </ds:schemaRefs>
</ds:datastoreItem>
</file>

<file path=customXml/itemProps3.xml><?xml version="1.0" encoding="utf-8"?>
<ds:datastoreItem xmlns:ds="http://schemas.openxmlformats.org/officeDocument/2006/customXml" ds:itemID="{176CEB72-EE98-4849-BA7A-265FD178663A}">
  <ds:schemaRefs>
    <ds:schemaRef ds:uri="http://gemini/pivotcustomization/ShowHidden"/>
  </ds:schemaRefs>
</ds:datastoreItem>
</file>

<file path=customXml/itemProps4.xml><?xml version="1.0" encoding="utf-8"?>
<ds:datastoreItem xmlns:ds="http://schemas.openxmlformats.org/officeDocument/2006/customXml" ds:itemID="{632494E3-8034-4AA9-8C70-7ED600066978}">
  <ds:schemaRefs>
    <ds:schemaRef ds:uri="http://gemini/pivotcustomization/MeasureGridState"/>
  </ds:schemaRefs>
</ds:datastoreItem>
</file>

<file path=customXml/itemProps5.xml><?xml version="1.0" encoding="utf-8"?>
<ds:datastoreItem xmlns:ds="http://schemas.openxmlformats.org/officeDocument/2006/customXml" ds:itemID="{4EFEA8F8-79F4-471A-AA5A-5624A6C1632E}">
  <ds:schemaRefs/>
</ds:datastoreItem>
</file>

<file path=customXml/itemProps6.xml><?xml version="1.0" encoding="utf-8"?>
<ds:datastoreItem xmlns:ds="http://schemas.openxmlformats.org/officeDocument/2006/customXml" ds:itemID="{6773EFD6-D913-4B49-B4C1-3038A601F144}">
  <ds:schemaRefs>
    <ds:schemaRef ds:uri="http://gemini/pivotcustomization/ShowImplicitMeasures"/>
  </ds:schemaRefs>
</ds:datastoreItem>
</file>

<file path=customXml/itemProps7.xml><?xml version="1.0" encoding="utf-8"?>
<ds:datastoreItem xmlns:ds="http://schemas.openxmlformats.org/officeDocument/2006/customXml" ds:itemID="{9E2D3966-F91F-49BB-ACE1-431B53104A6E}">
  <ds:schemaRefs>
    <ds:schemaRef ds:uri="http://gemini/pivotcustomization/TableOrder"/>
  </ds:schemaRefs>
</ds:datastoreItem>
</file>

<file path=customXml/itemProps8.xml><?xml version="1.0" encoding="utf-8"?>
<ds:datastoreItem xmlns:ds="http://schemas.openxmlformats.org/officeDocument/2006/customXml" ds:itemID="{F5A3C41F-8B32-40FA-A81E-C73F1904B030}">
  <ds:schemaRefs>
    <ds:schemaRef ds:uri="http://gemini/pivotcustomization/ClientWindowXML"/>
  </ds:schemaRefs>
</ds:datastoreItem>
</file>

<file path=customXml/itemProps9.xml><?xml version="1.0" encoding="utf-8"?>
<ds:datastoreItem xmlns:ds="http://schemas.openxmlformats.org/officeDocument/2006/customXml" ds:itemID="{5E408239-B2E4-4FD9-8B1C-020866B82B72}">
  <ds:schemaRefs/>
</ds:datastoreItem>
</file>

<file path=customXml/itemProps10.xml><?xml version="1.0" encoding="utf-8"?>
<ds:datastoreItem xmlns:ds="http://schemas.openxmlformats.org/officeDocument/2006/customXml" ds:itemID="{E8509290-1D31-454C-ABE9-597B7BC26FF2}">
  <ds:schemaRefs>
    <ds:schemaRef ds:uri="http://gemini/pivotcustomization/LinkedTableUpdateMode"/>
  </ds:schemaRefs>
</ds:datastoreItem>
</file>

<file path=customXml/itemProps11.xml><?xml version="1.0" encoding="utf-8"?>
<ds:datastoreItem xmlns:ds="http://schemas.openxmlformats.org/officeDocument/2006/customXml" ds:itemID="{C320B382-AAED-4159-A304-00FF657D7954}">
  <ds:schemaRefs/>
</ds:datastoreItem>
</file>

<file path=customXml/itemProps12.xml><?xml version="1.0" encoding="utf-8"?>
<ds:datastoreItem xmlns:ds="http://schemas.openxmlformats.org/officeDocument/2006/customXml" ds:itemID="{BB33A5B0-9B30-4EC1-B196-AA0C08779EB0}">
  <ds:schemaRefs/>
</ds:datastoreItem>
</file>

<file path=customXml/itemProps13.xml><?xml version="1.0" encoding="utf-8"?>
<ds:datastoreItem xmlns:ds="http://schemas.openxmlformats.org/officeDocument/2006/customXml" ds:itemID="{B2E70906-DA20-4668-BD41-F628989743D5}">
  <ds:schemaRefs>
    <ds:schemaRef ds:uri="http://gemini/pivotcustomization/FormulaBarState"/>
  </ds:schemaRefs>
</ds:datastoreItem>
</file>

<file path=customXml/itemProps14.xml><?xml version="1.0" encoding="utf-8"?>
<ds:datastoreItem xmlns:ds="http://schemas.openxmlformats.org/officeDocument/2006/customXml" ds:itemID="{1554491F-3BFF-4ED7-862A-0A7D03F1AAE6}">
  <ds:schemaRefs>
    <ds:schemaRef ds:uri="http://gemini/pivotcustomization/TableWidget"/>
  </ds:schemaRefs>
</ds:datastoreItem>
</file>

<file path=customXml/itemProps15.xml><?xml version="1.0" encoding="utf-8"?>
<ds:datastoreItem xmlns:ds="http://schemas.openxmlformats.org/officeDocument/2006/customXml" ds:itemID="{A21A3BC1-6951-472B-A2EE-CCC2B7A3EA6B}">
  <ds:schemaRefs/>
</ds:datastoreItem>
</file>

<file path=customXml/itemProps16.xml><?xml version="1.0" encoding="utf-8"?>
<ds:datastoreItem xmlns:ds="http://schemas.openxmlformats.org/officeDocument/2006/customXml" ds:itemID="{110ABE5C-6AFF-49FC-9F3F-29AFDCDD80DB}">
  <ds:schemaRefs>
    <ds:schemaRef ds:uri="http://gemini/pivotcustomization/TableCountInSandbox"/>
  </ds:schemaRefs>
</ds:datastoreItem>
</file>

<file path=customXml/itemProps17.xml><?xml version="1.0" encoding="utf-8"?>
<ds:datastoreItem xmlns:ds="http://schemas.openxmlformats.org/officeDocument/2006/customXml" ds:itemID="{6F56B467-C743-420E-89ED-6745F6A4B70B}">
  <ds:schemaRefs/>
</ds:datastoreItem>
</file>

<file path=customXml/itemProps18.xml><?xml version="1.0" encoding="utf-8"?>
<ds:datastoreItem xmlns:ds="http://schemas.openxmlformats.org/officeDocument/2006/customXml" ds:itemID="{AF6C041D-C5EF-48EF-8803-B23DAFDDB1AE}">
  <ds:schemaRefs>
    <ds:schemaRef ds:uri="http://gemini/pivotcustomization/Diagra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11</vt:i4>
      </vt:variant>
    </vt:vector>
  </HeadingPairs>
  <TitlesOfParts>
    <vt:vector size="24" baseType="lpstr">
      <vt:lpstr>Introduction</vt:lpstr>
      <vt:lpstr>Instructions</vt:lpstr>
      <vt:lpstr>HECVAT - Full</vt:lpstr>
      <vt:lpstr>Standards Crosswalk</vt:lpstr>
      <vt:lpstr>Analyst Report</vt:lpstr>
      <vt:lpstr>Analyst Reference</vt:lpstr>
      <vt:lpstr>Summary Report</vt:lpstr>
      <vt:lpstr>Crosswalk Detail</vt:lpstr>
      <vt:lpstr>Questions</vt:lpstr>
      <vt:lpstr>High Risk Non-Compliant</vt:lpstr>
      <vt:lpstr>Acknowledgments</vt:lpstr>
      <vt:lpstr>ChangeLog</vt:lpstr>
      <vt:lpstr>Values</vt:lpstr>
      <vt:lpstr>Instructions!_ftn1</vt:lpstr>
      <vt:lpstr>Instructions!_ftnref1</vt:lpstr>
      <vt:lpstr>dr</vt:lpstr>
      <vt:lpstr>drpt</vt:lpstr>
      <vt:lpstr>sharedassessments</vt:lpstr>
      <vt:lpstr>sharedassessmentslisting</vt:lpstr>
      <vt:lpstr>Acknowledgments!uptime</vt:lpstr>
      <vt:lpstr>uptime</vt:lpstr>
      <vt:lpstr>Acknowledgments!yes</vt:lpstr>
      <vt:lpstr>yes</vt:lpstr>
      <vt:lpstr>yesna</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Bryner, Bruce A</dc:creator>
  <cp:lastModifiedBy>Valerie Vogel</cp:lastModifiedBy>
  <cp:revision/>
  <dcterms:created xsi:type="dcterms:W3CDTF">2015-03-06T14:56:12Z</dcterms:created>
  <dcterms:modified xsi:type="dcterms:W3CDTF">2019-10-09T15:30:54Z</dcterms:modified>
</cp:coreProperties>
</file>