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ff2a0fe9ab2385/Documentos/Universidad/apm/"/>
    </mc:Choice>
  </mc:AlternateContent>
  <xr:revisionPtr revIDLastSave="1" documentId="8_{7F13A224-4831-4D81-8EB1-0841AAA178CD}" xr6:coauthVersionLast="47" xr6:coauthVersionMax="47" xr10:uidLastSave="{0B3B1C4E-AB14-4DB4-8BA6-A51D0271B683}"/>
  <bookViews>
    <workbookView xWindow="-108" yWindow="-108" windowWidth="23256" windowHeight="12456" firstSheet="2" activeTab="6" xr2:uid="{C5E74BBB-38E2-46A7-A685-4536DB1802AB}"/>
  </bookViews>
  <sheets>
    <sheet name="Empresas Col. Figuras" sheetId="1" r:id="rId1"/>
    <sheet name="Produccion proyectada" sheetId="3" r:id="rId2"/>
    <sheet name="Calculo Takt" sheetId="2" r:id="rId3"/>
    <sheet name="Salarios e Ingresos Figuras" sheetId="6" r:id="rId4"/>
    <sheet name="Flujo de caja" sheetId="7" r:id="rId5"/>
    <sheet name="Flujo Ajustado" sheetId="8" r:id="rId6"/>
    <sheet name="Calculo Activos" sheetId="4" r:id="rId7"/>
  </sheets>
  <definedNames>
    <definedName name="_xlnm.Print_Area" localSheetId="0">'Empresas Col. Figuras'!$A$1:$I$43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4" l="1"/>
  <c r="C28" i="6"/>
  <c r="C35" i="6"/>
  <c r="D19" i="8"/>
  <c r="D9" i="8"/>
  <c r="D8" i="8"/>
  <c r="D7" i="8"/>
  <c r="D6" i="8"/>
  <c r="D4" i="8"/>
  <c r="D3" i="8"/>
  <c r="Q2" i="8"/>
  <c r="Q19" i="8" s="1"/>
  <c r="P2" i="8"/>
  <c r="O2" i="8"/>
  <c r="O19" i="8" s="1"/>
  <c r="N2" i="8"/>
  <c r="N19" i="8" s="1"/>
  <c r="M2" i="8"/>
  <c r="L2" i="8"/>
  <c r="K2" i="8"/>
  <c r="K19" i="8" s="1"/>
  <c r="J2" i="8"/>
  <c r="J19" i="8" s="1"/>
  <c r="I2" i="8"/>
  <c r="H2" i="8"/>
  <c r="F2" i="8"/>
  <c r="F19" i="8" s="1"/>
  <c r="G9" i="8" a="1"/>
  <c r="G9" i="8" s="1"/>
  <c r="H9" i="8" a="1"/>
  <c r="H9" i="8" s="1"/>
  <c r="I9" i="8" a="1"/>
  <c r="I9" i="8" s="1"/>
  <c r="J9" i="8" a="1"/>
  <c r="J9" i="8" s="1"/>
  <c r="K9" i="8" a="1"/>
  <c r="K9" i="8" s="1"/>
  <c r="L9" i="8" a="1"/>
  <c r="L9" i="8" s="1"/>
  <c r="M9" i="8" a="1"/>
  <c r="M9" i="8"/>
  <c r="N9" i="8" a="1"/>
  <c r="N9" i="8" s="1"/>
  <c r="O9" i="8" a="1"/>
  <c r="O9" i="8" s="1"/>
  <c r="P9" i="8" a="1"/>
  <c r="P9" i="8"/>
  <c r="Q9" i="8" a="1"/>
  <c r="Q9" i="8" s="1"/>
  <c r="F9" i="8" a="1"/>
  <c r="F9" i="8" s="1"/>
  <c r="G7" i="8" a="1"/>
  <c r="G7" i="8" s="1"/>
  <c r="H7" i="8" a="1"/>
  <c r="H7" i="8" s="1"/>
  <c r="I7" i="8" a="1"/>
  <c r="I7" i="8"/>
  <c r="J7" i="8" a="1"/>
  <c r="J7" i="8" s="1"/>
  <c r="K7" i="8" a="1"/>
  <c r="K7" i="8"/>
  <c r="L7" i="8" a="1"/>
  <c r="L7" i="8"/>
  <c r="M7" i="8" a="1"/>
  <c r="M7" i="8" s="1"/>
  <c r="N7" i="8" a="1"/>
  <c r="N7" i="8" s="1"/>
  <c r="O7" i="8" a="1"/>
  <c r="O7" i="8" s="1"/>
  <c r="P7" i="8" a="1"/>
  <c r="P7" i="8"/>
  <c r="Q7" i="8" a="1"/>
  <c r="Q7" i="8" s="1"/>
  <c r="F7" i="8" a="1"/>
  <c r="F7" i="8" s="1"/>
  <c r="G6" i="8" a="1"/>
  <c r="G6" i="8" s="1"/>
  <c r="H6" i="8" a="1"/>
  <c r="H6" i="8" s="1"/>
  <c r="I6" i="8" a="1"/>
  <c r="I6" i="8" s="1"/>
  <c r="J6" i="8" a="1"/>
  <c r="J6" i="8"/>
  <c r="K6" i="8" a="1"/>
  <c r="K6" i="8" s="1"/>
  <c r="L6" i="8" a="1"/>
  <c r="L6" i="8" s="1"/>
  <c r="M6" i="8" a="1"/>
  <c r="M6" i="8" s="1"/>
  <c r="N6" i="8" a="1"/>
  <c r="N6" i="8" s="1"/>
  <c r="O6" i="8" a="1"/>
  <c r="O6" i="8" s="1"/>
  <c r="P6" i="8" a="1"/>
  <c r="P6" i="8" s="1"/>
  <c r="Q6" i="8" a="1"/>
  <c r="Q6" i="8" s="1"/>
  <c r="F6" i="8" a="1"/>
  <c r="F6" i="8" s="1"/>
  <c r="G16" i="8" a="1"/>
  <c r="G16" i="8" s="1"/>
  <c r="H16" i="8" a="1"/>
  <c r="H16" i="8" s="1"/>
  <c r="F16" i="8" a="1"/>
  <c r="F16" i="8" s="1"/>
  <c r="S9" i="8" a="1"/>
  <c r="S9" i="8" s="1"/>
  <c r="T9" i="8" a="1"/>
  <c r="T9" i="8" s="1"/>
  <c r="U9" i="8" a="1"/>
  <c r="U9" i="8" s="1"/>
  <c r="V9" i="8" a="1"/>
  <c r="V9" i="8" s="1"/>
  <c r="W9" i="8" a="1"/>
  <c r="W9" i="8"/>
  <c r="X9" i="8" a="1"/>
  <c r="X9" i="8"/>
  <c r="Y9" i="8" a="1"/>
  <c r="Y9" i="8" s="1"/>
  <c r="Z9" i="8" a="1"/>
  <c r="Z9" i="8" s="1"/>
  <c r="AA9" i="8" a="1"/>
  <c r="AA9" i="8" s="1"/>
  <c r="AB9" i="8" a="1"/>
  <c r="AB9" i="8" s="1"/>
  <c r="AC9" i="8" a="1"/>
  <c r="AC9" i="8" s="1"/>
  <c r="AD9" i="8" a="1"/>
  <c r="AD9" i="8"/>
  <c r="AE9" i="8" a="1"/>
  <c r="AE9" i="8"/>
  <c r="AF9" i="8" a="1"/>
  <c r="AF9" i="8" s="1"/>
  <c r="AG9" i="8" a="1"/>
  <c r="AG9" i="8" s="1"/>
  <c r="AH9" i="8" a="1"/>
  <c r="AH9" i="8" s="1"/>
  <c r="AI9" i="8" a="1"/>
  <c r="AI9" i="8"/>
  <c r="AJ9" i="8" a="1"/>
  <c r="AJ9" i="8" s="1"/>
  <c r="AK9" i="8" a="1"/>
  <c r="AK9" i="8" s="1"/>
  <c r="AL9" i="8" a="1"/>
  <c r="AL9" i="8"/>
  <c r="AM9" i="8" a="1"/>
  <c r="AM9" i="8"/>
  <c r="AN9" i="8" a="1"/>
  <c r="AN9" i="8"/>
  <c r="AO9" i="8" a="1"/>
  <c r="AO9" i="8" s="1"/>
  <c r="AP9" i="8" a="1"/>
  <c r="AP9" i="8"/>
  <c r="AQ9" i="8" a="1"/>
  <c r="AQ9" i="8" s="1"/>
  <c r="AR9" i="8" a="1"/>
  <c r="AR9" i="8" s="1"/>
  <c r="AS9" i="8" a="1"/>
  <c r="AS9" i="8"/>
  <c r="AT9" i="8" a="1"/>
  <c r="AT9" i="8"/>
  <c r="AU9" i="8" a="1"/>
  <c r="AU9" i="8" s="1"/>
  <c r="AV9" i="8" a="1"/>
  <c r="AV9" i="8" s="1"/>
  <c r="AW9" i="8" a="1"/>
  <c r="AW9" i="8" s="1"/>
  <c r="AX9" i="8" a="1"/>
  <c r="AX9" i="8" s="1"/>
  <c r="AY9" i="8" a="1"/>
  <c r="AY9" i="8" s="1"/>
  <c r="AZ9" i="8" a="1"/>
  <c r="AZ9" i="8" s="1"/>
  <c r="BA9" i="8" a="1"/>
  <c r="BA9" i="8" s="1"/>
  <c r="BB9" i="8" a="1"/>
  <c r="BB9" i="8" s="1"/>
  <c r="BC9" i="8" a="1"/>
  <c r="BC9" i="8" s="1"/>
  <c r="BD9" i="8" a="1"/>
  <c r="BD9" i="8"/>
  <c r="BE9" i="8" a="1"/>
  <c r="BE9" i="8" s="1"/>
  <c r="BF9" i="8" a="1"/>
  <c r="BF9" i="8"/>
  <c r="BG9" i="8" a="1"/>
  <c r="BG9" i="8"/>
  <c r="BH9" i="8" a="1"/>
  <c r="BH9" i="8" s="1"/>
  <c r="BI9" i="8" a="1"/>
  <c r="BI9" i="8" s="1"/>
  <c r="BJ9" i="8" a="1"/>
  <c r="BJ9" i="8"/>
  <c r="BK9" i="8" a="1"/>
  <c r="BK9" i="8"/>
  <c r="BL9" i="8" a="1"/>
  <c r="BL9" i="8" s="1"/>
  <c r="BM9" i="8" a="1"/>
  <c r="BM9" i="8" s="1"/>
  <c r="BN9" i="8" a="1"/>
  <c r="BN9" i="8"/>
  <c r="BO9" i="8" a="1"/>
  <c r="BO9" i="8" s="1"/>
  <c r="BP9" i="8" a="1"/>
  <c r="BP9" i="8" s="1"/>
  <c r="BQ9" i="8" a="1"/>
  <c r="BQ9" i="8" s="1"/>
  <c r="BR9" i="8" a="1"/>
  <c r="BR9" i="8" s="1"/>
  <c r="BS9" i="8" a="1"/>
  <c r="BS9" i="8" s="1"/>
  <c r="BT9" i="8" a="1"/>
  <c r="BT9" i="8" s="1"/>
  <c r="BU9" i="8" a="1"/>
  <c r="BU9" i="8" s="1"/>
  <c r="BV9" i="8" a="1"/>
  <c r="BV9" i="8"/>
  <c r="BW9" i="8" a="1"/>
  <c r="BW9" i="8" s="1"/>
  <c r="BX9" i="8" a="1"/>
  <c r="BX9" i="8" s="1"/>
  <c r="BY9" i="8" a="1"/>
  <c r="BY9" i="8" s="1"/>
  <c r="BZ9" i="8" a="1"/>
  <c r="BZ9" i="8" s="1"/>
  <c r="CA9" i="8" a="1"/>
  <c r="CA9" i="8" s="1"/>
  <c r="CB9" i="8" a="1"/>
  <c r="CB9" i="8" s="1"/>
  <c r="CC9" i="8" a="1"/>
  <c r="CC9" i="8" s="1"/>
  <c r="CD9" i="8" a="1"/>
  <c r="CD9" i="8"/>
  <c r="CE9" i="8" a="1"/>
  <c r="CE9" i="8" s="1"/>
  <c r="CF9" i="8" a="1"/>
  <c r="CF9" i="8"/>
  <c r="CG9" i="8" a="1"/>
  <c r="CG9" i="8" s="1"/>
  <c r="CH9" i="8" a="1"/>
  <c r="CH9" i="8" s="1"/>
  <c r="CI9" i="8" a="1"/>
  <c r="CI9" i="8" s="1"/>
  <c r="CJ9" i="8" a="1"/>
  <c r="CJ9" i="8"/>
  <c r="CK9" i="8" a="1"/>
  <c r="CK9" i="8" s="1"/>
  <c r="CL9" i="8" a="1"/>
  <c r="CL9" i="8" s="1"/>
  <c r="CX9" i="8" s="1"/>
  <c r="CM9" i="8" a="1"/>
  <c r="CM9" i="8" s="1"/>
  <c r="CN9" i="8" a="1"/>
  <c r="CN9" i="8"/>
  <c r="CO9" i="8" a="1"/>
  <c r="CO9" i="8" s="1"/>
  <c r="CP9" i="8" a="1"/>
  <c r="CP9" i="8" s="1"/>
  <c r="CQ9" i="8" a="1"/>
  <c r="CQ9" i="8" s="1"/>
  <c r="CR9" i="8" a="1"/>
  <c r="CR9" i="8" s="1"/>
  <c r="CS9" i="8" a="1"/>
  <c r="CS9" i="8" s="1"/>
  <c r="CT9" i="8" a="1"/>
  <c r="CT9" i="8"/>
  <c r="CU9" i="8" a="1"/>
  <c r="CU9" i="8"/>
  <c r="CV9" i="8" a="1"/>
  <c r="CV9" i="8" s="1"/>
  <c r="CW9" i="8" a="1"/>
  <c r="CW9" i="8"/>
  <c r="R9" i="8" a="1"/>
  <c r="R9" i="8" s="1"/>
  <c r="R17" i="8" a="1"/>
  <c r="R17" i="8" s="1"/>
  <c r="S7" i="8" a="1"/>
  <c r="S7" i="8" s="1"/>
  <c r="T7" i="8" a="1"/>
  <c r="T7" i="8"/>
  <c r="U7" i="8" a="1"/>
  <c r="U7" i="8" s="1"/>
  <c r="V7" i="8" a="1"/>
  <c r="V7" i="8" s="1"/>
  <c r="W7" i="8" a="1"/>
  <c r="W7" i="8"/>
  <c r="X7" i="8" a="1"/>
  <c r="X7" i="8"/>
  <c r="Y7" i="8" a="1"/>
  <c r="Y7" i="8"/>
  <c r="Z7" i="8" a="1"/>
  <c r="Z7" i="8" s="1"/>
  <c r="AA7" i="8" a="1"/>
  <c r="AA7" i="8" s="1"/>
  <c r="AB7" i="8" a="1"/>
  <c r="AB7" i="8"/>
  <c r="AC7" i="8" a="1"/>
  <c r="AC7" i="8"/>
  <c r="AD7" i="8" a="1"/>
  <c r="AD7" i="8" s="1"/>
  <c r="AE7" i="8" a="1"/>
  <c r="AE7" i="8" s="1"/>
  <c r="AF7" i="8" a="1"/>
  <c r="AF7" i="8"/>
  <c r="AG7" i="8" a="1"/>
  <c r="AG7" i="8" s="1"/>
  <c r="AH7" i="8" a="1"/>
  <c r="AH7" i="8" s="1"/>
  <c r="AI7" i="8" a="1"/>
  <c r="AI7" i="8" s="1"/>
  <c r="AJ7" i="8" a="1"/>
  <c r="AJ7" i="8" s="1"/>
  <c r="AK7" i="8" a="1"/>
  <c r="AK7" i="8" s="1"/>
  <c r="AL7" i="8" a="1"/>
  <c r="AL7" i="8"/>
  <c r="AM7" i="8" a="1"/>
  <c r="AM7" i="8" s="1"/>
  <c r="AN7" i="8" a="1"/>
  <c r="AN7" i="8"/>
  <c r="AO7" i="8" a="1"/>
  <c r="AO7" i="8" s="1"/>
  <c r="AP7" i="8" a="1"/>
  <c r="AP7" i="8" s="1"/>
  <c r="AQ7" i="8" a="1"/>
  <c r="AQ7" i="8" s="1"/>
  <c r="AR7" i="8" a="1"/>
  <c r="AR7" i="8" s="1"/>
  <c r="AS7" i="8" a="1"/>
  <c r="AS7" i="8" s="1"/>
  <c r="AT7" i="8" a="1"/>
  <c r="AT7" i="8" s="1"/>
  <c r="AU7" i="8" a="1"/>
  <c r="AU7" i="8" s="1"/>
  <c r="AV7" i="8" a="1"/>
  <c r="AV7" i="8"/>
  <c r="AW7" i="8" a="1"/>
  <c r="AW7" i="8" s="1"/>
  <c r="AX7" i="8" a="1"/>
  <c r="AX7" i="8" s="1"/>
  <c r="AY7" i="8" a="1"/>
  <c r="AY7" i="8" s="1"/>
  <c r="AZ7" i="8" a="1"/>
  <c r="AZ7" i="8" s="1"/>
  <c r="BA7" i="8" a="1"/>
  <c r="BA7" i="8" s="1"/>
  <c r="BB7" i="8" a="1"/>
  <c r="BB7" i="8" s="1"/>
  <c r="BC7" i="8" a="1"/>
  <c r="BC7" i="8"/>
  <c r="BD7" i="8" a="1"/>
  <c r="BD7" i="8"/>
  <c r="BE7" i="8" a="1"/>
  <c r="BE7" i="8" s="1"/>
  <c r="BF7" i="8" a="1"/>
  <c r="BF7" i="8"/>
  <c r="BG7" i="8" a="1"/>
  <c r="BG7" i="8" s="1"/>
  <c r="BH7" i="8" a="1"/>
  <c r="BH7" i="8" s="1"/>
  <c r="BI7" i="8" a="1"/>
  <c r="BI7" i="8"/>
  <c r="BJ7" i="8" a="1"/>
  <c r="BJ7" i="8" s="1"/>
  <c r="BK7" i="8" a="1"/>
  <c r="BK7" i="8" s="1"/>
  <c r="BL7" i="8" a="1"/>
  <c r="BL7" i="8" s="1"/>
  <c r="BM7" i="8" a="1"/>
  <c r="BM7" i="8"/>
  <c r="BN7" i="8" a="1"/>
  <c r="BN7" i="8" s="1"/>
  <c r="BO7" i="8" a="1"/>
  <c r="BO7" i="8" s="1"/>
  <c r="BP7" i="8" a="1"/>
  <c r="BP7" i="8"/>
  <c r="BQ7" i="8" a="1"/>
  <c r="BQ7" i="8" s="1"/>
  <c r="BR7" i="8" a="1"/>
  <c r="BR7" i="8" s="1"/>
  <c r="BS7" i="8" a="1"/>
  <c r="BS7" i="8"/>
  <c r="BT7" i="8" a="1"/>
  <c r="BT7" i="8"/>
  <c r="BU7" i="8" a="1"/>
  <c r="BU7" i="8" s="1"/>
  <c r="BV7" i="8" a="1"/>
  <c r="BV7" i="8" s="1"/>
  <c r="BW7" i="8" a="1"/>
  <c r="BW7" i="8" s="1"/>
  <c r="BX7" i="8" a="1"/>
  <c r="BX7" i="8"/>
  <c r="BY7" i="8" a="1"/>
  <c r="BY7" i="8" s="1"/>
  <c r="BZ7" i="8" a="1"/>
  <c r="BZ7" i="8"/>
  <c r="CA7" i="8" a="1"/>
  <c r="CA7" i="8" s="1"/>
  <c r="CB7" i="8" a="1"/>
  <c r="CB7" i="8" s="1"/>
  <c r="CC7" i="8" a="1"/>
  <c r="CC7" i="8" s="1"/>
  <c r="CD7" i="8" a="1"/>
  <c r="CD7" i="8" s="1"/>
  <c r="CE7" i="8" a="1"/>
  <c r="CE7" i="8" s="1"/>
  <c r="CF7" i="8" a="1"/>
  <c r="CF7" i="8"/>
  <c r="CG7" i="8" a="1"/>
  <c r="CG7" i="8" s="1"/>
  <c r="CH7" i="8" a="1"/>
  <c r="CH7" i="8" s="1"/>
  <c r="CI7" i="8" a="1"/>
  <c r="CI7" i="8" s="1"/>
  <c r="CJ7" i="8" a="1"/>
  <c r="CJ7" i="8" s="1"/>
  <c r="CK7" i="8" a="1"/>
  <c r="CK7" i="8" s="1"/>
  <c r="CL7" i="8" a="1"/>
  <c r="CL7" i="8" s="1"/>
  <c r="CX7" i="8" s="1"/>
  <c r="CM7" i="8" a="1"/>
  <c r="CM7" i="8"/>
  <c r="CN7" i="8" a="1"/>
  <c r="CN7" i="8"/>
  <c r="CO7" i="8" a="1"/>
  <c r="CO7" i="8" s="1"/>
  <c r="CP7" i="8" a="1"/>
  <c r="CP7" i="8"/>
  <c r="CQ7" i="8" a="1"/>
  <c r="CQ7" i="8"/>
  <c r="CR7" i="8" a="1"/>
  <c r="CR7" i="8"/>
  <c r="CS7" i="8" a="1"/>
  <c r="CS7" i="8" s="1"/>
  <c r="CT7" i="8" a="1"/>
  <c r="CT7" i="8"/>
  <c r="CU7" i="8" a="1"/>
  <c r="CU7" i="8" s="1"/>
  <c r="CV7" i="8" a="1"/>
  <c r="CV7" i="8" s="1"/>
  <c r="CW7" i="8" a="1"/>
  <c r="CW7" i="8"/>
  <c r="R7" i="8" a="1"/>
  <c r="R7" i="8"/>
  <c r="S6" i="8" a="1"/>
  <c r="S6" i="8" s="1"/>
  <c r="T6" i="8" a="1"/>
  <c r="T6" i="8" s="1"/>
  <c r="U6" i="8" a="1"/>
  <c r="U6" i="8" s="1"/>
  <c r="V6" i="8" a="1"/>
  <c r="V6" i="8" s="1"/>
  <c r="W6" i="8" a="1"/>
  <c r="W6" i="8" s="1"/>
  <c r="X6" i="8" a="1"/>
  <c r="X6" i="8" s="1"/>
  <c r="Y6" i="8" a="1"/>
  <c r="Y6" i="8" s="1"/>
  <c r="Z6" i="8" a="1"/>
  <c r="Z6" i="8" s="1"/>
  <c r="AA6" i="8" a="1"/>
  <c r="AA6" i="8" s="1"/>
  <c r="AB6" i="8" a="1"/>
  <c r="AB6" i="8" s="1"/>
  <c r="AC6" i="8" a="1"/>
  <c r="AC6" i="8" s="1"/>
  <c r="AD6" i="8" a="1"/>
  <c r="AD6" i="8" s="1"/>
  <c r="AE6" i="8" a="1"/>
  <c r="AE6" i="8" s="1"/>
  <c r="AF6" i="8" a="1"/>
  <c r="AF6" i="8" s="1"/>
  <c r="AG6" i="8" a="1"/>
  <c r="AG6" i="8" s="1"/>
  <c r="AH6" i="8" a="1"/>
  <c r="AH6" i="8" s="1"/>
  <c r="AI6" i="8" a="1"/>
  <c r="AI6" i="8" s="1"/>
  <c r="AJ6" i="8" a="1"/>
  <c r="AJ6" i="8" s="1"/>
  <c r="AK6" i="8" a="1"/>
  <c r="AK6" i="8" s="1"/>
  <c r="AL6" i="8" a="1"/>
  <c r="AL6" i="8" s="1"/>
  <c r="AM6" i="8" a="1"/>
  <c r="AM6" i="8" s="1"/>
  <c r="AN6" i="8" a="1"/>
  <c r="AN6" i="8" s="1"/>
  <c r="AO6" i="8" a="1"/>
  <c r="AO6" i="8" s="1"/>
  <c r="AP6" i="8" a="1"/>
  <c r="AP6" i="8" s="1"/>
  <c r="AQ6" i="8" a="1"/>
  <c r="AQ6" i="8" s="1"/>
  <c r="AR6" i="8" a="1"/>
  <c r="AR6" i="8" s="1"/>
  <c r="AS6" i="8" a="1"/>
  <c r="AS6" i="8" s="1"/>
  <c r="AT6" i="8" a="1"/>
  <c r="AT6" i="8" s="1"/>
  <c r="AU6" i="8" a="1"/>
  <c r="AU6" i="8" s="1"/>
  <c r="AV6" i="8" a="1"/>
  <c r="AV6" i="8" s="1"/>
  <c r="AW6" i="8" a="1"/>
  <c r="AW6" i="8" s="1"/>
  <c r="AX6" i="8" a="1"/>
  <c r="AX6" i="8" s="1"/>
  <c r="AY6" i="8" a="1"/>
  <c r="AY6" i="8" s="1"/>
  <c r="AZ6" i="8" a="1"/>
  <c r="AZ6" i="8" s="1"/>
  <c r="BA6" i="8" a="1"/>
  <c r="BA6" i="8" s="1"/>
  <c r="BB6" i="8" a="1"/>
  <c r="BB6" i="8" s="1"/>
  <c r="BC6" i="8" a="1"/>
  <c r="BC6" i="8" s="1"/>
  <c r="BD6" i="8" a="1"/>
  <c r="BD6" i="8" s="1"/>
  <c r="BE6" i="8" a="1"/>
  <c r="BE6" i="8" s="1"/>
  <c r="BF6" i="8" a="1"/>
  <c r="BF6" i="8" s="1"/>
  <c r="BG6" i="8" a="1"/>
  <c r="BG6" i="8" s="1"/>
  <c r="BH6" i="8" a="1"/>
  <c r="BH6" i="8" s="1"/>
  <c r="BI6" i="8" a="1"/>
  <c r="BI6" i="8" s="1"/>
  <c r="BJ6" i="8" a="1"/>
  <c r="BJ6" i="8" s="1"/>
  <c r="BK6" i="8" a="1"/>
  <c r="BK6" i="8" s="1"/>
  <c r="BL6" i="8" a="1"/>
  <c r="BL6" i="8" s="1"/>
  <c r="BM6" i="8" a="1"/>
  <c r="BM6" i="8" s="1"/>
  <c r="BN6" i="8" a="1"/>
  <c r="BN6" i="8" s="1"/>
  <c r="BO6" i="8" a="1"/>
  <c r="BO6" i="8" s="1"/>
  <c r="BP6" i="8" a="1"/>
  <c r="BP6" i="8" s="1"/>
  <c r="BQ6" i="8" a="1"/>
  <c r="BQ6" i="8" s="1"/>
  <c r="BR6" i="8" a="1"/>
  <c r="BR6" i="8" s="1"/>
  <c r="BS6" i="8" a="1"/>
  <c r="BS6" i="8" s="1"/>
  <c r="BT6" i="8" a="1"/>
  <c r="BT6" i="8" s="1"/>
  <c r="BU6" i="8" a="1"/>
  <c r="BU6" i="8" s="1"/>
  <c r="BV6" i="8" a="1"/>
  <c r="BV6" i="8" s="1"/>
  <c r="BW6" i="8" a="1"/>
  <c r="BW6" i="8" s="1"/>
  <c r="BX6" i="8" a="1"/>
  <c r="BX6" i="8" s="1"/>
  <c r="BY6" i="8" a="1"/>
  <c r="BY6" i="8" s="1"/>
  <c r="BZ6" i="8" a="1"/>
  <c r="BZ6" i="8" s="1"/>
  <c r="CA6" i="8" a="1"/>
  <c r="CA6" i="8" s="1"/>
  <c r="CB6" i="8" a="1"/>
  <c r="CB6" i="8" s="1"/>
  <c r="CC6" i="8" a="1"/>
  <c r="CC6" i="8" s="1"/>
  <c r="CD6" i="8" a="1"/>
  <c r="CD6" i="8" s="1"/>
  <c r="CE6" i="8" a="1"/>
  <c r="CE6" i="8" s="1"/>
  <c r="CF6" i="8" a="1"/>
  <c r="CF6" i="8" s="1"/>
  <c r="CG6" i="8" a="1"/>
  <c r="CG6" i="8" s="1"/>
  <c r="CH6" i="8" a="1"/>
  <c r="CH6" i="8" s="1"/>
  <c r="CI6" i="8" a="1"/>
  <c r="CI6" i="8" s="1"/>
  <c r="CJ6" i="8" a="1"/>
  <c r="CJ6" i="8" s="1"/>
  <c r="CK6" i="8" a="1"/>
  <c r="CK6" i="8" s="1"/>
  <c r="CL6" i="8" a="1"/>
  <c r="CL6" i="8" s="1"/>
  <c r="CX6" i="8" s="1"/>
  <c r="CM6" i="8" a="1"/>
  <c r="CM6" i="8" s="1"/>
  <c r="CN6" i="8" a="1"/>
  <c r="CN6" i="8" s="1"/>
  <c r="CO6" i="8" a="1"/>
  <c r="CO6" i="8" s="1"/>
  <c r="CP6" i="8" a="1"/>
  <c r="CP6" i="8" s="1"/>
  <c r="CQ6" i="8" a="1"/>
  <c r="CQ6" i="8" s="1"/>
  <c r="CR6" i="8" a="1"/>
  <c r="CR6" i="8" s="1"/>
  <c r="CS6" i="8" a="1"/>
  <c r="CS6" i="8" s="1"/>
  <c r="CT6" i="8" a="1"/>
  <c r="CT6" i="8" s="1"/>
  <c r="CU6" i="8" a="1"/>
  <c r="CU6" i="8" s="1"/>
  <c r="CV6" i="8" a="1"/>
  <c r="CV6" i="8" s="1"/>
  <c r="CW6" i="8" a="1"/>
  <c r="CW6" i="8" s="1"/>
  <c r="R6" i="8" a="1"/>
  <c r="R6" i="8" s="1"/>
  <c r="B9" i="8"/>
  <c r="B7" i="8"/>
  <c r="S2" i="8" a="1"/>
  <c r="S2" i="8" s="1"/>
  <c r="T2" i="8" a="1"/>
  <c r="T2" i="8" s="1"/>
  <c r="U2" i="8" a="1"/>
  <c r="U2" i="8" s="1"/>
  <c r="V2" i="8" a="1"/>
  <c r="V2" i="8" s="1"/>
  <c r="V19" i="8" s="1"/>
  <c r="W2" i="8" a="1"/>
  <c r="W2" i="8" s="1"/>
  <c r="X2" i="8" a="1"/>
  <c r="X2" i="8" s="1"/>
  <c r="Y2" i="8" a="1"/>
  <c r="Y2" i="8" s="1"/>
  <c r="Z2" i="8" a="1"/>
  <c r="Z2" i="8" s="1"/>
  <c r="AA2" i="8" a="1"/>
  <c r="AA2" i="8" s="1"/>
  <c r="AB2" i="8" a="1"/>
  <c r="AB2" i="8" s="1"/>
  <c r="AB19" i="8" s="1"/>
  <c r="AC2" i="8" a="1"/>
  <c r="AC2" i="8" s="1"/>
  <c r="AD2" i="8" a="1"/>
  <c r="AD2" i="8" s="1"/>
  <c r="AD19" i="8" s="1"/>
  <c r="AE2" i="8" a="1"/>
  <c r="AE2" i="8" s="1"/>
  <c r="AF2" i="8" a="1"/>
  <c r="AF2" i="8"/>
  <c r="AG2" i="8" a="1"/>
  <c r="AG2" i="8" s="1"/>
  <c r="AH2" i="8" a="1"/>
  <c r="AH2" i="8" s="1"/>
  <c r="AI2" i="8" a="1"/>
  <c r="AI2" i="8" s="1"/>
  <c r="AJ2" i="8" a="1"/>
  <c r="AJ2" i="8" s="1"/>
  <c r="AK2" i="8" a="1"/>
  <c r="AK2" i="8" s="1"/>
  <c r="AL2" i="8" a="1"/>
  <c r="AL2" i="8" s="1"/>
  <c r="AM2" i="8" a="1"/>
  <c r="AM2" i="8" s="1"/>
  <c r="AN2" i="8" a="1"/>
  <c r="AN2" i="8" s="1"/>
  <c r="AN19" i="8" s="1"/>
  <c r="AO2" i="8" a="1"/>
  <c r="AO2" i="8"/>
  <c r="AO19" i="8" s="1"/>
  <c r="AP2" i="8" a="1"/>
  <c r="AP2" i="8" s="1"/>
  <c r="AQ2" i="8" a="1"/>
  <c r="AQ2" i="8" s="1"/>
  <c r="AR2" i="8" a="1"/>
  <c r="AR2" i="8" s="1"/>
  <c r="AS2" i="8" a="1"/>
  <c r="AS2" i="8" s="1"/>
  <c r="AT2" i="8" a="1"/>
  <c r="AT2" i="8" s="1"/>
  <c r="AU2" i="8" a="1"/>
  <c r="AU2" i="8" s="1"/>
  <c r="AV2" i="8" a="1"/>
  <c r="AV2" i="8" s="1"/>
  <c r="AW2" i="8" a="1"/>
  <c r="AW2" i="8" s="1"/>
  <c r="AX2" i="8" a="1"/>
  <c r="AX2" i="8" s="1"/>
  <c r="AY2" i="8" a="1"/>
  <c r="AY2" i="8" s="1"/>
  <c r="AZ2" i="8" a="1"/>
  <c r="AZ2" i="8"/>
  <c r="AZ19" i="8" s="1"/>
  <c r="BA2" i="8" a="1"/>
  <c r="BA2" i="8" s="1"/>
  <c r="BA19" i="8" s="1"/>
  <c r="BB2" i="8" a="1"/>
  <c r="BB2" i="8" s="1"/>
  <c r="BC2" i="8" a="1"/>
  <c r="BC2" i="8" s="1"/>
  <c r="BD2" i="8" a="1"/>
  <c r="BD2" i="8" s="1"/>
  <c r="BE2" i="8" a="1"/>
  <c r="BE2" i="8" s="1"/>
  <c r="BF2" i="8" a="1"/>
  <c r="BF2" i="8" s="1"/>
  <c r="BG2" i="8" a="1"/>
  <c r="BG2" i="8" s="1"/>
  <c r="BH2" i="8" a="1"/>
  <c r="BH2" i="8" s="1"/>
  <c r="BI2" i="8" a="1"/>
  <c r="BI2" i="8" s="1"/>
  <c r="BJ2" i="8" a="1"/>
  <c r="BJ2" i="8" s="1"/>
  <c r="BK2" i="8" a="1"/>
  <c r="BK2" i="8" s="1"/>
  <c r="BL2" i="8" a="1"/>
  <c r="BL2" i="8" s="1"/>
  <c r="BL19" i="8" s="1"/>
  <c r="BM2" i="8" a="1"/>
  <c r="BM2" i="8"/>
  <c r="BM19" i="8" s="1"/>
  <c r="BN2" i="8" a="1"/>
  <c r="BN2" i="8" s="1"/>
  <c r="BN19" i="8" s="1"/>
  <c r="BO2" i="8" a="1"/>
  <c r="BO2" i="8" s="1"/>
  <c r="BP2" i="8" a="1"/>
  <c r="BP2" i="8" s="1"/>
  <c r="BQ2" i="8" a="1"/>
  <c r="BQ2" i="8" s="1"/>
  <c r="BR2" i="8" a="1"/>
  <c r="BR2" i="8" s="1"/>
  <c r="BS2" i="8" a="1"/>
  <c r="BS2" i="8" s="1"/>
  <c r="BT2" i="8" a="1"/>
  <c r="BT2" i="8" s="1"/>
  <c r="BU2" i="8" a="1"/>
  <c r="BU2" i="8" s="1"/>
  <c r="BV2" i="8" a="1"/>
  <c r="BV2" i="8" s="1"/>
  <c r="BW2" i="8" a="1"/>
  <c r="BW2" i="8" s="1"/>
  <c r="BX2" i="8" a="1"/>
  <c r="BX2" i="8" s="1"/>
  <c r="BY2" i="8" a="1"/>
  <c r="BY2" i="8" s="1"/>
  <c r="BZ2" i="8" a="1"/>
  <c r="BZ2" i="8" s="1"/>
  <c r="CA2" i="8" a="1"/>
  <c r="CA2" i="8" s="1"/>
  <c r="CB2" i="8" a="1"/>
  <c r="CB2" i="8" s="1"/>
  <c r="CC2" i="8" a="1"/>
  <c r="CC2" i="8" s="1"/>
  <c r="CD2" i="8" a="1"/>
  <c r="CD2" i="8" s="1"/>
  <c r="CE2" i="8" a="1"/>
  <c r="CE2" i="8" s="1"/>
  <c r="CF2" i="8" a="1"/>
  <c r="CF2" i="8" s="1"/>
  <c r="CG2" i="8" a="1"/>
  <c r="CG2" i="8" s="1"/>
  <c r="CH2" i="8" a="1"/>
  <c r="CH2" i="8" s="1"/>
  <c r="CI2" i="8" a="1"/>
  <c r="CI2" i="8" s="1"/>
  <c r="CI19" i="8" s="1"/>
  <c r="CJ2" i="8" a="1"/>
  <c r="CJ2" i="8" s="1"/>
  <c r="CJ19" i="8" s="1"/>
  <c r="CK2" i="8" a="1"/>
  <c r="CK2" i="8" s="1"/>
  <c r="CK19" i="8" s="1"/>
  <c r="CL2" i="8" a="1"/>
  <c r="CL2" i="8" s="1"/>
  <c r="CX2" i="8" s="1"/>
  <c r="CM2" i="8" a="1"/>
  <c r="CM2" i="8" s="1"/>
  <c r="CN2" i="8" a="1"/>
  <c r="CN2" i="8" s="1"/>
  <c r="CO2" i="8" a="1"/>
  <c r="CO2" i="8" s="1"/>
  <c r="CP2" i="8" a="1"/>
  <c r="CP2" i="8" s="1"/>
  <c r="CQ2" i="8" a="1"/>
  <c r="CQ2" i="8" s="1"/>
  <c r="CR2" i="8" a="1"/>
  <c r="CR2" i="8" s="1"/>
  <c r="CS2" i="8" a="1"/>
  <c r="CS2" i="8" s="1"/>
  <c r="CT2" i="8" a="1"/>
  <c r="CT2" i="8" s="1"/>
  <c r="CU2" i="8" a="1"/>
  <c r="CU2" i="8" s="1"/>
  <c r="CV2" i="8" a="1"/>
  <c r="CV2" i="8" s="1"/>
  <c r="CW2" i="8" a="1"/>
  <c r="CW2" i="8" s="1"/>
  <c r="R2" i="8" a="1"/>
  <c r="R2" i="8" s="1"/>
  <c r="G2" i="8"/>
  <c r="E21" i="4"/>
  <c r="E16" i="4"/>
  <c r="H19" i="6"/>
  <c r="C7" i="4" s="1"/>
  <c r="D56" i="6"/>
  <c r="E15" i="4"/>
  <c r="B23" i="8"/>
  <c r="C34" i="6"/>
  <c r="E6" i="4"/>
  <c r="B8" i="8" s="1"/>
  <c r="E8" i="8" s="1"/>
  <c r="C33" i="6"/>
  <c r="C46" i="6"/>
  <c r="D46" i="6" s="1"/>
  <c r="E46" i="6" s="1"/>
  <c r="C51" i="6"/>
  <c r="D51" i="6" s="1"/>
  <c r="E51" i="6" s="1"/>
  <c r="C50" i="6"/>
  <c r="D50" i="6" s="1"/>
  <c r="E50" i="6" s="1"/>
  <c r="C47" i="6"/>
  <c r="D47" i="6" s="1"/>
  <c r="E47" i="6" s="1"/>
  <c r="C45" i="6"/>
  <c r="D45" i="6" s="1"/>
  <c r="E45" i="6" s="1"/>
  <c r="F4" i="7"/>
  <c r="D7" i="4"/>
  <c r="D26" i="4"/>
  <c r="E26" i="4" s="1"/>
  <c r="G5" i="4"/>
  <c r="H5" i="4"/>
  <c r="D48" i="6"/>
  <c r="E48" i="6" s="1"/>
  <c r="S16" i="8" a="1"/>
  <c r="S16" i="8" s="1"/>
  <c r="T16" i="8" a="1"/>
  <c r="T16" i="8" s="1"/>
  <c r="R16" i="8" a="1"/>
  <c r="R16" i="8" s="1"/>
  <c r="F42" i="3"/>
  <c r="G42" i="3"/>
  <c r="H42" i="3"/>
  <c r="I42" i="3"/>
  <c r="F43" i="3"/>
  <c r="G43" i="3"/>
  <c r="H43" i="3"/>
  <c r="I43" i="3"/>
  <c r="F44" i="3"/>
  <c r="G44" i="3"/>
  <c r="H44" i="3"/>
  <c r="I44" i="3"/>
  <c r="F45" i="3"/>
  <c r="G45" i="3"/>
  <c r="H45" i="3"/>
  <c r="I45" i="3"/>
  <c r="F46" i="3"/>
  <c r="G46" i="3"/>
  <c r="H46" i="3"/>
  <c r="I46" i="3"/>
  <c r="F47" i="3"/>
  <c r="G47" i="3"/>
  <c r="H47" i="3"/>
  <c r="I47" i="3"/>
  <c r="F48" i="3"/>
  <c r="G48" i="3"/>
  <c r="H48" i="3"/>
  <c r="I48" i="3"/>
  <c r="F49" i="3"/>
  <c r="G49" i="3"/>
  <c r="H49" i="3"/>
  <c r="I49" i="3"/>
  <c r="F50" i="3"/>
  <c r="G50" i="3"/>
  <c r="H50" i="3"/>
  <c r="I50" i="3"/>
  <c r="F51" i="3"/>
  <c r="G51" i="3"/>
  <c r="H51" i="3"/>
  <c r="I51" i="3"/>
  <c r="F52" i="3"/>
  <c r="G52" i="3"/>
  <c r="H52" i="3"/>
  <c r="I52" i="3"/>
  <c r="F53" i="3"/>
  <c r="G53" i="3"/>
  <c r="H53" i="3"/>
  <c r="I53" i="3"/>
  <c r="E42" i="3"/>
  <c r="E43" i="3"/>
  <c r="E44" i="3"/>
  <c r="E45" i="3"/>
  <c r="E46" i="3"/>
  <c r="E47" i="3"/>
  <c r="E48" i="3"/>
  <c r="E49" i="3"/>
  <c r="E50" i="3"/>
  <c r="E51" i="3"/>
  <c r="E52" i="3"/>
  <c r="E53" i="3"/>
  <c r="D42" i="3"/>
  <c r="D43" i="3"/>
  <c r="D44" i="3"/>
  <c r="D45" i="3"/>
  <c r="D46" i="3"/>
  <c r="D47" i="3"/>
  <c r="D48" i="3"/>
  <c r="D49" i="3"/>
  <c r="D50" i="3"/>
  <c r="D51" i="3"/>
  <c r="D52" i="3"/>
  <c r="D53" i="3"/>
  <c r="I54" i="3"/>
  <c r="H54" i="3"/>
  <c r="G54" i="3"/>
  <c r="F54" i="3"/>
  <c r="E54" i="3"/>
  <c r="D54" i="3"/>
  <c r="B14" i="8"/>
  <c r="C16" i="3"/>
  <c r="M14" i="4"/>
  <c r="C36" i="6"/>
  <c r="D58" i="6"/>
  <c r="K47" i="6"/>
  <c r="L47" i="6" s="1"/>
  <c r="K48" i="6"/>
  <c r="L48" i="6" s="1"/>
  <c r="K49" i="6"/>
  <c r="L49" i="6" s="1"/>
  <c r="K46" i="6"/>
  <c r="L46" i="6" s="1"/>
  <c r="H30" i="6"/>
  <c r="C8" i="7" s="1"/>
  <c r="C9" i="7"/>
  <c r="E11" i="4" s="1"/>
  <c r="F39" i="6"/>
  <c r="D75" i="6"/>
  <c r="D74" i="6"/>
  <c r="D73" i="6"/>
  <c r="C5" i="4"/>
  <c r="C4" i="4"/>
  <c r="F6" i="6"/>
  <c r="F7" i="6" s="1"/>
  <c r="D67" i="6"/>
  <c r="N49" i="6"/>
  <c r="N48" i="6"/>
  <c r="N47" i="6"/>
  <c r="N46" i="6"/>
  <c r="C38" i="6"/>
  <c r="C30" i="6"/>
  <c r="C29" i="6"/>
  <c r="C31" i="6"/>
  <c r="C32" i="6"/>
  <c r="C19" i="6"/>
  <c r="C20" i="6" s="1"/>
  <c r="I6" i="6"/>
  <c r="I7" i="6" s="1"/>
  <c r="C6" i="6"/>
  <c r="E2" i="4" s="1"/>
  <c r="E25" i="4" s="1"/>
  <c r="K17" i="2"/>
  <c r="K18" i="2"/>
  <c r="K19" i="2"/>
  <c r="K20" i="2"/>
  <c r="K21" i="2"/>
  <c r="K22" i="2"/>
  <c r="K23" i="2"/>
  <c r="K24" i="2"/>
  <c r="K25" i="2"/>
  <c r="K16" i="2"/>
  <c r="K4" i="2"/>
  <c r="K5" i="2"/>
  <c r="K6" i="2"/>
  <c r="K7" i="2"/>
  <c r="K8" i="2"/>
  <c r="K9" i="2"/>
  <c r="K10" i="2"/>
  <c r="K11" i="2"/>
  <c r="K12" i="2"/>
  <c r="K3" i="2"/>
  <c r="O17" i="2"/>
  <c r="O25" i="2"/>
  <c r="O16" i="2"/>
  <c r="L17" i="2"/>
  <c r="L18" i="2"/>
  <c r="L19" i="2"/>
  <c r="L20" i="2"/>
  <c r="L21" i="2"/>
  <c r="L22" i="2"/>
  <c r="D22" i="2" s="1"/>
  <c r="D25" i="2" s="1"/>
  <c r="L23" i="2"/>
  <c r="L24" i="2"/>
  <c r="L25" i="2"/>
  <c r="L16" i="2"/>
  <c r="L9" i="2"/>
  <c r="M9" i="2" s="1"/>
  <c r="N9" i="2" s="1"/>
  <c r="L4" i="2"/>
  <c r="M4" i="2" s="1"/>
  <c r="N4" i="2" s="1"/>
  <c r="L5" i="2"/>
  <c r="L6" i="2"/>
  <c r="L7" i="2"/>
  <c r="M7" i="2" s="1"/>
  <c r="N7" i="2" s="1"/>
  <c r="L8" i="2"/>
  <c r="M8" i="2" s="1"/>
  <c r="N8" i="2" s="1"/>
  <c r="L10" i="2"/>
  <c r="M10" i="2" s="1"/>
  <c r="N10" i="2" s="1"/>
  <c r="L11" i="2"/>
  <c r="M11" i="2" s="1"/>
  <c r="N11" i="2" s="1"/>
  <c r="L12" i="2"/>
  <c r="L3" i="2"/>
  <c r="D23" i="2"/>
  <c r="D24" i="2" s="1"/>
  <c r="O18" i="2" s="1"/>
  <c r="F17" i="3"/>
  <c r="L3" i="3" a="1"/>
  <c r="L3" i="3" s="1"/>
  <c r="I11" i="3" s="1"/>
  <c r="D9" i="2"/>
  <c r="D10" i="2" s="1"/>
  <c r="B48" i="1"/>
  <c r="M3" i="2"/>
  <c r="N3" i="2" s="1"/>
  <c r="D34" i="1"/>
  <c r="C22" i="1"/>
  <c r="C5" i="1"/>
  <c r="C6" i="1"/>
  <c r="C7" i="1"/>
  <c r="C8" i="1"/>
  <c r="C9" i="1"/>
  <c r="E35" i="1" s="1"/>
  <c r="C10" i="1"/>
  <c r="E36" i="1" s="1"/>
  <c r="C11" i="1"/>
  <c r="C3" i="1"/>
  <c r="E32" i="1" s="1"/>
  <c r="F32" i="1" s="1"/>
  <c r="D35" i="1"/>
  <c r="D36" i="1"/>
  <c r="D32" i="1"/>
  <c r="C7" i="3" s="1"/>
  <c r="B4" i="1"/>
  <c r="B13" i="1" s="1"/>
  <c r="G19" i="8" l="1"/>
  <c r="BR19" i="8"/>
  <c r="AT19" i="8"/>
  <c r="CD19" i="8"/>
  <c r="BF19" i="8"/>
  <c r="AL19" i="8"/>
  <c r="R8" i="8"/>
  <c r="BJ19" i="8"/>
  <c r="CH19" i="8"/>
  <c r="CT19" i="8"/>
  <c r="CV19" i="8"/>
  <c r="AX19" i="8"/>
  <c r="Z19" i="8"/>
  <c r="I19" i="8"/>
  <c r="CW19" i="8"/>
  <c r="P19" i="8"/>
  <c r="CU19" i="8"/>
  <c r="Y19" i="8"/>
  <c r="CS19" i="8"/>
  <c r="BI19" i="8"/>
  <c r="AE19" i="8"/>
  <c r="BO19" i="8"/>
  <c r="AK19" i="8"/>
  <c r="BU19" i="8"/>
  <c r="CA19" i="8"/>
  <c r="AQ19" i="8"/>
  <c r="AP19" i="8"/>
  <c r="CG19" i="8"/>
  <c r="AW19" i="8"/>
  <c r="S19" i="8"/>
  <c r="CM19" i="8"/>
  <c r="BC19" i="8"/>
  <c r="M19" i="8"/>
  <c r="BX19" i="8"/>
  <c r="L19" i="8"/>
  <c r="H19" i="8"/>
  <c r="BW19" i="8"/>
  <c r="BV19" i="8"/>
  <c r="AH19" i="8"/>
  <c r="BZ19" i="8"/>
  <c r="BY19" i="8"/>
  <c r="AC19" i="8"/>
  <c r="CP19" i="8"/>
  <c r="CL19" i="8"/>
  <c r="B13" i="8"/>
  <c r="C49" i="6"/>
  <c r="D49" i="6"/>
  <c r="J5" i="4"/>
  <c r="D5" i="4"/>
  <c r="E5" i="4" s="1"/>
  <c r="C7" i="6"/>
  <c r="C17" i="7"/>
  <c r="CX19" i="8"/>
  <c r="CF19" i="8"/>
  <c r="BB19" i="8"/>
  <c r="CR19" i="8"/>
  <c r="BE19" i="8"/>
  <c r="X19" i="8"/>
  <c r="BQ19" i="8"/>
  <c r="AJ19" i="8"/>
  <c r="AY19" i="8"/>
  <c r="CC19" i="8"/>
  <c r="AV19" i="8"/>
  <c r="CO19" i="8"/>
  <c r="BH19" i="8"/>
  <c r="U19" i="8"/>
  <c r="AA19" i="8"/>
  <c r="BT19" i="8"/>
  <c r="AG19" i="8"/>
  <c r="BK19" i="8"/>
  <c r="AM19" i="8"/>
  <c r="AS19" i="8"/>
  <c r="CQ19" i="8"/>
  <c r="CE19" i="8"/>
  <c r="BS19" i="8"/>
  <c r="BG19" i="8"/>
  <c r="AU19" i="8"/>
  <c r="AI19" i="8"/>
  <c r="W19" i="8"/>
  <c r="CN19" i="8"/>
  <c r="CB19" i="8"/>
  <c r="BP19" i="8"/>
  <c r="BD19" i="8"/>
  <c r="AR19" i="8"/>
  <c r="AF19" i="8"/>
  <c r="T19" i="8"/>
  <c r="R19" i="8"/>
  <c r="E49" i="6"/>
  <c r="E52" i="6" s="1"/>
  <c r="E10" i="4" s="1"/>
  <c r="D76" i="6"/>
  <c r="C10" i="6"/>
  <c r="E14" i="4"/>
  <c r="I10" i="6"/>
  <c r="E7" i="4"/>
  <c r="D65" i="6"/>
  <c r="D66" i="6"/>
  <c r="D59" i="6"/>
  <c r="D57" i="6"/>
  <c r="O46" i="6"/>
  <c r="P46" i="6" s="1"/>
  <c r="O48" i="6"/>
  <c r="P48" i="6" s="1"/>
  <c r="O49" i="6"/>
  <c r="P49" i="6" s="1"/>
  <c r="C40" i="6"/>
  <c r="C4" i="7" s="1"/>
  <c r="E19" i="4" s="1"/>
  <c r="O47" i="6"/>
  <c r="P47" i="6" s="1"/>
  <c r="C8" i="6"/>
  <c r="F8" i="6"/>
  <c r="F9" i="6" s="1"/>
  <c r="I8" i="6"/>
  <c r="I9" i="6" s="1"/>
  <c r="F10" i="6"/>
  <c r="C21" i="6"/>
  <c r="C18" i="6"/>
  <c r="O22" i="2"/>
  <c r="O21" i="2"/>
  <c r="O24" i="2"/>
  <c r="O19" i="2"/>
  <c r="O23" i="2"/>
  <c r="O20" i="2"/>
  <c r="M17" i="2"/>
  <c r="N17" i="2" s="1"/>
  <c r="M23" i="2"/>
  <c r="N23" i="2" s="1"/>
  <c r="M18" i="2"/>
  <c r="N18" i="2" s="1"/>
  <c r="M24" i="2"/>
  <c r="N24" i="2" s="1"/>
  <c r="M16" i="2"/>
  <c r="N16" i="2" s="1"/>
  <c r="M19" i="2"/>
  <c r="N19" i="2" s="1"/>
  <c r="M25" i="2"/>
  <c r="N25" i="2" s="1"/>
  <c r="M20" i="2"/>
  <c r="N20" i="2" s="1"/>
  <c r="M21" i="2"/>
  <c r="N21" i="2" s="1"/>
  <c r="M22" i="2"/>
  <c r="N22" i="2" s="1"/>
  <c r="O9" i="2"/>
  <c r="M12" i="2"/>
  <c r="N12" i="2" s="1"/>
  <c r="M6" i="2"/>
  <c r="N6" i="2" s="1"/>
  <c r="M5" i="2"/>
  <c r="N5" i="2" s="1"/>
  <c r="O3" i="2"/>
  <c r="D8" i="2"/>
  <c r="D11" i="2" s="1"/>
  <c r="D12" i="2" s="1"/>
  <c r="D26" i="2"/>
  <c r="O7" i="2"/>
  <c r="O11" i="2"/>
  <c r="O10" i="2"/>
  <c r="O12" i="2"/>
  <c r="C19" i="3"/>
  <c r="I14" i="3"/>
  <c r="I13" i="3"/>
  <c r="I16" i="3"/>
  <c r="I12" i="3"/>
  <c r="I10" i="3"/>
  <c r="I9" i="3"/>
  <c r="I17" i="3"/>
  <c r="N6" i="3" s="1"/>
  <c r="D16" i="3" s="1"/>
  <c r="D19" i="3" s="1"/>
  <c r="I15" i="3"/>
  <c r="C6" i="3"/>
  <c r="C5" i="3"/>
  <c r="C4" i="3"/>
  <c r="C15" i="3"/>
  <c r="C14" i="3"/>
  <c r="C13" i="3"/>
  <c r="C12" i="3"/>
  <c r="C11" i="3"/>
  <c r="C10" i="3"/>
  <c r="C9" i="3"/>
  <c r="C8" i="3"/>
  <c r="O8" i="2"/>
  <c r="B12" i="1"/>
  <c r="O4" i="2"/>
  <c r="O6" i="2"/>
  <c r="O5" i="2"/>
  <c r="F35" i="1"/>
  <c r="E34" i="1"/>
  <c r="F34" i="1" s="1"/>
  <c r="F36" i="1"/>
  <c r="C4" i="1"/>
  <c r="D33" i="1"/>
  <c r="AD8" i="8" l="1"/>
  <c r="B22" i="8"/>
  <c r="C16" i="7"/>
  <c r="E3" i="8"/>
  <c r="C7" i="7"/>
  <c r="B12" i="8"/>
  <c r="C9" i="6"/>
  <c r="G4" i="4" s="1"/>
  <c r="D4" i="4"/>
  <c r="E4" i="4" s="1"/>
  <c r="B6" i="8" s="1"/>
  <c r="H68" i="6"/>
  <c r="E13" i="4"/>
  <c r="D60" i="6"/>
  <c r="H66" i="6" s="1"/>
  <c r="D68" i="6"/>
  <c r="H64" i="6" s="1"/>
  <c r="F12" i="6"/>
  <c r="I12" i="6"/>
  <c r="C24" i="6"/>
  <c r="D5" i="3"/>
  <c r="D8" i="3"/>
  <c r="D6" i="3"/>
  <c r="D9" i="3"/>
  <c r="D11" i="3"/>
  <c r="D13" i="3"/>
  <c r="D7" i="3"/>
  <c r="D10" i="3"/>
  <c r="D12" i="3"/>
  <c r="D14" i="3"/>
  <c r="D15" i="3"/>
  <c r="D4" i="3"/>
  <c r="C13" i="1"/>
  <c r="C12" i="1" s="1"/>
  <c r="E33" i="1"/>
  <c r="F33" i="1" s="1"/>
  <c r="AP8" i="8" l="1"/>
  <c r="E27" i="8"/>
  <c r="C5" i="7"/>
  <c r="F9" i="7"/>
  <c r="H9" i="7" s="1"/>
  <c r="H67" i="6"/>
  <c r="H65" i="6"/>
  <c r="C12" i="6"/>
  <c r="E3" i="4"/>
  <c r="E8" i="4" s="1"/>
  <c r="C3" i="7" s="1"/>
  <c r="F28" i="7" s="1"/>
  <c r="B21" i="8"/>
  <c r="C15" i="7"/>
  <c r="BB8" i="8" l="1"/>
  <c r="E28" i="8"/>
  <c r="H69" i="6"/>
  <c r="C10" i="7" s="1"/>
  <c r="C12" i="7" s="1"/>
  <c r="F42" i="7"/>
  <c r="F38" i="7"/>
  <c r="F66" i="7"/>
  <c r="F90" i="7"/>
  <c r="F95" i="7"/>
  <c r="F57" i="7"/>
  <c r="F99" i="7"/>
  <c r="F18" i="7"/>
  <c r="F21" i="7"/>
  <c r="F14" i="7"/>
  <c r="F80" i="7"/>
  <c r="F53" i="7"/>
  <c r="F81" i="7"/>
  <c r="F69" i="7"/>
  <c r="F60" i="7"/>
  <c r="F31" i="7"/>
  <c r="F34" i="7"/>
  <c r="F39" i="7"/>
  <c r="F92" i="7"/>
  <c r="F65" i="7"/>
  <c r="F93" i="7"/>
  <c r="F97" i="7"/>
  <c r="F74" i="7"/>
  <c r="F43" i="7"/>
  <c r="F11" i="7"/>
  <c r="F40" i="7"/>
  <c r="F55" i="7"/>
  <c r="F91" i="7"/>
  <c r="F56" i="7"/>
  <c r="F71" i="7"/>
  <c r="F50" i="7"/>
  <c r="F19" i="7"/>
  <c r="F22" i="7"/>
  <c r="F13" i="7"/>
  <c r="F103" i="7"/>
  <c r="F48" i="7"/>
  <c r="F106" i="7"/>
  <c r="F68" i="7"/>
  <c r="F83" i="7"/>
  <c r="F102" i="7"/>
  <c r="F32" i="7"/>
  <c r="F35" i="7"/>
  <c r="F77" i="7"/>
  <c r="F49" i="7"/>
  <c r="F67" i="7"/>
  <c r="F85" i="7"/>
  <c r="F46" i="7"/>
  <c r="F23" i="7"/>
  <c r="F44" i="7"/>
  <c r="F24" i="7"/>
  <c r="F89" i="7"/>
  <c r="F101" i="7"/>
  <c r="F73" i="7"/>
  <c r="F75" i="7"/>
  <c r="F58" i="7"/>
  <c r="F16" i="7"/>
  <c r="F20" i="7"/>
  <c r="F36" i="7"/>
  <c r="F52" i="7"/>
  <c r="F62" i="7"/>
  <c r="F100" i="7"/>
  <c r="F51" i="7"/>
  <c r="F98" i="7"/>
  <c r="F29" i="7"/>
  <c r="F33" i="7"/>
  <c r="F25" i="7"/>
  <c r="F64" i="7"/>
  <c r="F76" i="7"/>
  <c r="F61" i="7"/>
  <c r="F96" i="7"/>
  <c r="F72" i="7"/>
  <c r="F41" i="7"/>
  <c r="F45" i="7"/>
  <c r="F37" i="7"/>
  <c r="F105" i="7"/>
  <c r="F63" i="7"/>
  <c r="F87" i="7"/>
  <c r="F70" i="7"/>
  <c r="F84" i="7"/>
  <c r="F17" i="7"/>
  <c r="F27" i="7"/>
  <c r="F12" i="7"/>
  <c r="F79" i="7"/>
  <c r="F104" i="7"/>
  <c r="F88" i="7"/>
  <c r="F82" i="7"/>
  <c r="F47" i="7"/>
  <c r="F30" i="7"/>
  <c r="F15" i="7"/>
  <c r="F26" i="7"/>
  <c r="F54" i="7"/>
  <c r="F78" i="7"/>
  <c r="F86" i="7"/>
  <c r="F94" i="7"/>
  <c r="F59" i="7"/>
  <c r="BN8" i="8" l="1"/>
  <c r="E12" i="4"/>
  <c r="E9" i="4" s="1"/>
  <c r="B15" i="8"/>
  <c r="B17" i="8" s="1"/>
  <c r="BZ8" i="8" l="1"/>
  <c r="R4" i="8"/>
  <c r="AD4" i="8"/>
  <c r="AP4" i="8"/>
  <c r="BB4" i="8"/>
  <c r="BN4" i="8"/>
  <c r="BN20" i="8" s="1"/>
  <c r="BZ4" i="8"/>
  <c r="BZ20" i="8" s="1"/>
  <c r="CL4" i="8"/>
  <c r="CL20" i="8" s="1"/>
  <c r="CX4" i="8"/>
  <c r="CX20" i="8" s="1"/>
  <c r="H4" i="8"/>
  <c r="T4" i="8"/>
  <c r="AF4" i="8"/>
  <c r="BD4" i="8"/>
  <c r="BP4" i="8"/>
  <c r="CN4" i="8"/>
  <c r="I4" i="8"/>
  <c r="U4" i="8"/>
  <c r="AG4" i="8"/>
  <c r="AS4" i="8"/>
  <c r="BE4" i="8"/>
  <c r="BQ4" i="8"/>
  <c r="CC4" i="8"/>
  <c r="CO4" i="8"/>
  <c r="J4" i="8"/>
  <c r="AH4" i="8"/>
  <c r="AT4" i="8"/>
  <c r="BR4" i="8"/>
  <c r="CP4" i="8"/>
  <c r="G4" i="8"/>
  <c r="S4" i="8"/>
  <c r="AE4" i="8"/>
  <c r="AQ4" i="8"/>
  <c r="BC4" i="8"/>
  <c r="BO4" i="8"/>
  <c r="CA4" i="8"/>
  <c r="CM4" i="8"/>
  <c r="F4" i="8"/>
  <c r="AR4" i="8"/>
  <c r="CB4" i="8"/>
  <c r="V4" i="8"/>
  <c r="BF4" i="8"/>
  <c r="CD4" i="8"/>
  <c r="K4" i="8"/>
  <c r="W4" i="8"/>
  <c r="AI4" i="8"/>
  <c r="AU4" i="8"/>
  <c r="BG4" i="8"/>
  <c r="BS4" i="8"/>
  <c r="CE4" i="8"/>
  <c r="CQ4" i="8"/>
  <c r="L4" i="8"/>
  <c r="X4" i="8"/>
  <c r="AJ4" i="8"/>
  <c r="AV4" i="8"/>
  <c r="BH4" i="8"/>
  <c r="BT4" i="8"/>
  <c r="CF4" i="8"/>
  <c r="CR4" i="8"/>
  <c r="M4" i="8"/>
  <c r="Y4" i="8"/>
  <c r="AK4" i="8"/>
  <c r="AW4" i="8"/>
  <c r="BI4" i="8"/>
  <c r="BU4" i="8"/>
  <c r="CG4" i="8"/>
  <c r="CS4" i="8"/>
  <c r="N4" i="8"/>
  <c r="Z4" i="8"/>
  <c r="AL4" i="8"/>
  <c r="O4" i="8"/>
  <c r="BA4" i="8"/>
  <c r="CK4" i="8"/>
  <c r="P4" i="8"/>
  <c r="BY4" i="8"/>
  <c r="BJ4" i="8"/>
  <c r="CT4" i="8"/>
  <c r="AX4" i="8"/>
  <c r="AY4" i="8"/>
  <c r="AZ4" i="8"/>
  <c r="Q4" i="8"/>
  <c r="BK4" i="8"/>
  <c r="CU4" i="8"/>
  <c r="AO4" i="8"/>
  <c r="CH4" i="8"/>
  <c r="CI4" i="8"/>
  <c r="CJ4" i="8"/>
  <c r="AA4" i="8"/>
  <c r="BL4" i="8"/>
  <c r="CV4" i="8"/>
  <c r="AB4" i="8"/>
  <c r="BM4" i="8"/>
  <c r="CW4" i="8"/>
  <c r="AN4" i="8"/>
  <c r="AC4" i="8"/>
  <c r="BV4" i="8"/>
  <c r="AM4" i="8"/>
  <c r="BW4" i="8"/>
  <c r="BX4" i="8"/>
  <c r="E17" i="4"/>
  <c r="E22" i="4" s="1"/>
  <c r="E24" i="4" s="1"/>
  <c r="E23" i="4" s="1"/>
  <c r="AN20" i="8" l="1"/>
  <c r="AN27" i="8" s="1"/>
  <c r="BK20" i="8"/>
  <c r="BK27" i="8"/>
  <c r="AL20" i="8"/>
  <c r="AL27" i="8" s="1"/>
  <c r="CF20" i="8"/>
  <c r="CF27" i="8"/>
  <c r="AI20" i="8"/>
  <c r="AI27" i="8" s="1"/>
  <c r="BC20" i="8"/>
  <c r="BC27" i="8" s="1"/>
  <c r="BQ20" i="8"/>
  <c r="BQ27" i="8" s="1"/>
  <c r="CW20" i="8"/>
  <c r="CW27" i="8"/>
  <c r="Q20" i="8"/>
  <c r="Q27" i="8" s="1"/>
  <c r="Z20" i="8"/>
  <c r="Z27" i="8" s="1"/>
  <c r="BT20" i="8"/>
  <c r="BT27" i="8" s="1"/>
  <c r="W20" i="8"/>
  <c r="W27" i="8"/>
  <c r="AQ20" i="8"/>
  <c r="AQ27" i="8" s="1"/>
  <c r="BE20" i="8"/>
  <c r="BE27" i="8"/>
  <c r="BM20" i="8"/>
  <c r="BM27" i="8" s="1"/>
  <c r="AZ20" i="8"/>
  <c r="AZ27" i="8"/>
  <c r="N20" i="8"/>
  <c r="N27" i="8" s="1"/>
  <c r="BH20" i="8"/>
  <c r="BH27" i="8" s="1"/>
  <c r="K20" i="8"/>
  <c r="K27" i="8" s="1"/>
  <c r="AE20" i="8"/>
  <c r="AE27" i="8"/>
  <c r="AS20" i="8"/>
  <c r="AS27" i="8"/>
  <c r="AB20" i="8"/>
  <c r="AB27" i="8" s="1"/>
  <c r="AY20" i="8"/>
  <c r="AY27" i="8" s="1"/>
  <c r="CS20" i="8"/>
  <c r="CS27" i="8"/>
  <c r="AV20" i="8"/>
  <c r="AV27" i="8" s="1"/>
  <c r="CD20" i="8"/>
  <c r="CD27" i="8" s="1"/>
  <c r="S20" i="8"/>
  <c r="S27" i="8" s="1"/>
  <c r="AG20" i="8"/>
  <c r="AG27" i="8"/>
  <c r="CV20" i="8"/>
  <c r="CV27" i="8"/>
  <c r="AX20" i="8"/>
  <c r="AX27" i="8"/>
  <c r="CG20" i="8"/>
  <c r="CG27" i="8" s="1"/>
  <c r="AJ20" i="8"/>
  <c r="AJ27" i="8" s="1"/>
  <c r="BF20" i="8"/>
  <c r="BF27" i="8" s="1"/>
  <c r="G20" i="8"/>
  <c r="G27" i="8" s="1"/>
  <c r="U20" i="8"/>
  <c r="U27" i="8" s="1"/>
  <c r="BB20" i="8"/>
  <c r="BB27" i="8"/>
  <c r="BL20" i="8"/>
  <c r="BL27" i="8" s="1"/>
  <c r="CT20" i="8"/>
  <c r="CT27" i="8"/>
  <c r="BU20" i="8"/>
  <c r="BU27" i="8"/>
  <c r="X20" i="8"/>
  <c r="X27" i="8" s="1"/>
  <c r="V20" i="8"/>
  <c r="V27" i="8" s="1"/>
  <c r="CP20" i="8"/>
  <c r="CP27" i="8" s="1"/>
  <c r="I20" i="8"/>
  <c r="I27" i="8" s="1"/>
  <c r="AP20" i="8"/>
  <c r="AP27" i="8" s="1"/>
  <c r="AA20" i="8"/>
  <c r="AA27" i="8" s="1"/>
  <c r="BJ20" i="8"/>
  <c r="BJ27" i="8"/>
  <c r="BI20" i="8"/>
  <c r="BI27" i="8" s="1"/>
  <c r="L20" i="8"/>
  <c r="L27" i="8"/>
  <c r="CB20" i="8"/>
  <c r="CB27" i="8" s="1"/>
  <c r="BR20" i="8"/>
  <c r="BR27" i="8" s="1"/>
  <c r="CN20" i="8"/>
  <c r="CN27" i="8" s="1"/>
  <c r="AD20" i="8"/>
  <c r="AD27" i="8" s="1"/>
  <c r="BX20" i="8"/>
  <c r="BX27" i="8" s="1"/>
  <c r="CJ20" i="8"/>
  <c r="CJ27" i="8" s="1"/>
  <c r="BY20" i="8"/>
  <c r="BY27" i="8" s="1"/>
  <c r="AW20" i="8"/>
  <c r="AW27" i="8"/>
  <c r="CQ20" i="8"/>
  <c r="CQ27" i="8" s="1"/>
  <c r="AR20" i="8"/>
  <c r="AR27" i="8" s="1"/>
  <c r="AT20" i="8"/>
  <c r="AT27" i="8"/>
  <c r="BP20" i="8"/>
  <c r="BP27" i="8" s="1"/>
  <c r="R20" i="8"/>
  <c r="R27" i="8" s="1"/>
  <c r="BW20" i="8"/>
  <c r="BW27" i="8" s="1"/>
  <c r="CI20" i="8"/>
  <c r="CI27" i="8" s="1"/>
  <c r="P20" i="8"/>
  <c r="P27" i="8"/>
  <c r="AK20" i="8"/>
  <c r="AK27" i="8"/>
  <c r="CE20" i="8"/>
  <c r="CE27" i="8" s="1"/>
  <c r="F20" i="8"/>
  <c r="F27" i="8" s="1"/>
  <c r="AH20" i="8"/>
  <c r="AH27" i="8" s="1"/>
  <c r="BD20" i="8"/>
  <c r="BD27" i="8" s="1"/>
  <c r="BN27" i="8"/>
  <c r="AM20" i="8"/>
  <c r="AM27" i="8" s="1"/>
  <c r="CH20" i="8"/>
  <c r="CH27" i="8" s="1"/>
  <c r="CK20" i="8"/>
  <c r="CK27" i="8" s="1"/>
  <c r="Y20" i="8"/>
  <c r="Y27" i="8"/>
  <c r="BS20" i="8"/>
  <c r="BS27" i="8" s="1"/>
  <c r="CM20" i="8"/>
  <c r="CM27" i="8" s="1"/>
  <c r="J20" i="8"/>
  <c r="J27" i="8" s="1"/>
  <c r="AF20" i="8"/>
  <c r="AF27" i="8" s="1"/>
  <c r="BV20" i="8"/>
  <c r="BV27" i="8" s="1"/>
  <c r="AO20" i="8"/>
  <c r="AO27" i="8"/>
  <c r="BA20" i="8"/>
  <c r="BA27" i="8" s="1"/>
  <c r="M20" i="8"/>
  <c r="M27" i="8" s="1"/>
  <c r="BG20" i="8"/>
  <c r="BG27" i="8"/>
  <c r="CA20" i="8"/>
  <c r="CA27" i="8" s="1"/>
  <c r="CO20" i="8"/>
  <c r="CO27" i="8" s="1"/>
  <c r="T20" i="8"/>
  <c r="T27" i="8"/>
  <c r="AC20" i="8"/>
  <c r="AC27" i="8" s="1"/>
  <c r="CU20" i="8"/>
  <c r="CU27" i="8" s="1"/>
  <c r="O20" i="8"/>
  <c r="O27" i="8" s="1"/>
  <c r="CR20" i="8"/>
  <c r="CR27" i="8" s="1"/>
  <c r="AU20" i="8"/>
  <c r="AU27" i="8" s="1"/>
  <c r="BO20" i="8"/>
  <c r="BO27" i="8" s="1"/>
  <c r="CC20" i="8"/>
  <c r="CC27" i="8" s="1"/>
  <c r="H20" i="8"/>
  <c r="H27" i="8" s="1"/>
  <c r="CL8" i="8"/>
  <c r="BZ27" i="8"/>
  <c r="E27" i="4"/>
  <c r="G12" i="4" s="1"/>
  <c r="B24" i="8"/>
  <c r="G8" i="4"/>
  <c r="B18" i="8"/>
  <c r="C14" i="7"/>
  <c r="G32" i="7" s="1"/>
  <c r="CX8" i="8" l="1"/>
  <c r="CX27" i="8" s="1"/>
  <c r="CL27" i="8"/>
  <c r="F28" i="8"/>
  <c r="G28" i="8" s="1"/>
  <c r="H28" i="8" s="1"/>
  <c r="I28" i="8" s="1"/>
  <c r="J28" i="8" s="1"/>
  <c r="K28" i="8" s="1"/>
  <c r="L28" i="8" s="1"/>
  <c r="M28" i="8" s="1"/>
  <c r="N28" i="8" s="1"/>
  <c r="O28" i="8" s="1"/>
  <c r="P28" i="8" s="1"/>
  <c r="Q28" i="8" s="1"/>
  <c r="G106" i="7"/>
  <c r="G97" i="7"/>
  <c r="G94" i="7"/>
  <c r="G41" i="7"/>
  <c r="G74" i="7"/>
  <c r="G62" i="7"/>
  <c r="G58" i="7"/>
  <c r="G11" i="7"/>
  <c r="G101" i="7"/>
  <c r="G60" i="7"/>
  <c r="G89" i="7"/>
  <c r="G88" i="7"/>
  <c r="G19" i="7"/>
  <c r="G36" i="7"/>
  <c r="G39" i="7"/>
  <c r="G85" i="7"/>
  <c r="G105" i="7"/>
  <c r="G49" i="7"/>
  <c r="G78" i="7"/>
  <c r="G66" i="7"/>
  <c r="G96" i="7"/>
  <c r="G16" i="7"/>
  <c r="G31" i="7"/>
  <c r="G50" i="7"/>
  <c r="G34" i="7"/>
  <c r="G20" i="7"/>
  <c r="G86" i="7"/>
  <c r="G21" i="7"/>
  <c r="G48" i="7"/>
  <c r="G12" i="7"/>
  <c r="G57" i="7"/>
  <c r="G55" i="7"/>
  <c r="G38" i="7"/>
  <c r="G26" i="7"/>
  <c r="G47" i="7"/>
  <c r="G68" i="7"/>
  <c r="G95" i="7"/>
  <c r="G33" i="7"/>
  <c r="G84" i="7"/>
  <c r="G80" i="7"/>
  <c r="G102" i="7"/>
  <c r="G104" i="7"/>
  <c r="G59" i="7"/>
  <c r="G76" i="7"/>
  <c r="G53" i="7"/>
  <c r="G51" i="7"/>
  <c r="G99" i="7"/>
  <c r="G43" i="7"/>
  <c r="G18" i="7"/>
  <c r="G82" i="7"/>
  <c r="G64" i="7"/>
  <c r="G17" i="7"/>
  <c r="G14" i="7"/>
  <c r="G23" i="7"/>
  <c r="G69" i="7"/>
  <c r="G100" i="7"/>
  <c r="G87" i="7"/>
  <c r="G35" i="7"/>
  <c r="G79" i="7"/>
  <c r="G52" i="7"/>
  <c r="G27" i="7"/>
  <c r="G77" i="7"/>
  <c r="G61" i="7"/>
  <c r="G91" i="7"/>
  <c r="G24" i="7"/>
  <c r="G90" i="7"/>
  <c r="G10" i="7"/>
  <c r="H10" i="7" s="1"/>
  <c r="G92" i="7"/>
  <c r="G71" i="7"/>
  <c r="G45" i="7"/>
  <c r="G40" i="7"/>
  <c r="G44" i="7"/>
  <c r="G25" i="7"/>
  <c r="G70" i="7"/>
  <c r="G73" i="7"/>
  <c r="G67" i="7"/>
  <c r="G13" i="7"/>
  <c r="G42" i="7"/>
  <c r="G93" i="7"/>
  <c r="G65" i="7"/>
  <c r="G37" i="7"/>
  <c r="G83" i="7"/>
  <c r="G30" i="7"/>
  <c r="G75" i="7"/>
  <c r="G54" i="7"/>
  <c r="G81" i="7"/>
  <c r="G22" i="7"/>
  <c r="G46" i="7"/>
  <c r="G15" i="7"/>
  <c r="G29" i="7"/>
  <c r="G103" i="7"/>
  <c r="G56" i="7"/>
  <c r="G28" i="7"/>
  <c r="G72" i="7"/>
  <c r="G63" i="7"/>
  <c r="G98" i="7"/>
  <c r="C30" i="8" l="1"/>
  <c r="C33" i="8"/>
  <c r="H11" i="7"/>
  <c r="H12" i="7" s="1"/>
  <c r="H13" i="7" s="1"/>
  <c r="H14" i="7" s="1"/>
  <c r="H15" i="7" s="1"/>
  <c r="H16" i="7" s="1"/>
  <c r="H17" i="7" s="1"/>
  <c r="H18" i="7" s="1"/>
  <c r="H19" i="7" s="1"/>
  <c r="H20" i="7" s="1"/>
  <c r="H21" i="7" s="1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35" i="7" s="1"/>
  <c r="H36" i="7" s="1"/>
  <c r="H37" i="7" s="1"/>
  <c r="H38" i="7" s="1"/>
  <c r="H39" i="7" s="1"/>
  <c r="H40" i="7" s="1"/>
  <c r="H41" i="7" s="1"/>
  <c r="H42" i="7" s="1"/>
  <c r="H43" i="7" s="1"/>
  <c r="H44" i="7" s="1"/>
  <c r="H45" i="7" s="1"/>
  <c r="H46" i="7" s="1"/>
  <c r="H47" i="7" s="1"/>
  <c r="H48" i="7" s="1"/>
  <c r="H49" i="7" s="1"/>
  <c r="H50" i="7" s="1"/>
  <c r="H51" i="7" s="1"/>
  <c r="H52" i="7" s="1"/>
  <c r="H53" i="7" s="1"/>
  <c r="H54" i="7" s="1"/>
  <c r="H55" i="7" s="1"/>
  <c r="H56" i="7" s="1"/>
  <c r="H57" i="7" s="1"/>
  <c r="H58" i="7" s="1"/>
  <c r="H59" i="7" s="1"/>
  <c r="H60" i="7" s="1"/>
  <c r="H61" i="7" s="1"/>
  <c r="H62" i="7" s="1"/>
  <c r="H63" i="7" s="1"/>
  <c r="H64" i="7" s="1"/>
  <c r="H65" i="7" s="1"/>
  <c r="H66" i="7" s="1"/>
  <c r="H67" i="7" s="1"/>
  <c r="H68" i="7" s="1"/>
  <c r="H69" i="7" s="1"/>
  <c r="H70" i="7" s="1"/>
  <c r="H71" i="7" s="1"/>
  <c r="H72" i="7" s="1"/>
  <c r="H73" i="7" s="1"/>
  <c r="H74" i="7" s="1"/>
  <c r="H75" i="7" s="1"/>
  <c r="H76" i="7" s="1"/>
  <c r="H77" i="7" s="1"/>
  <c r="H78" i="7" s="1"/>
  <c r="H79" i="7" s="1"/>
  <c r="H80" i="7" s="1"/>
  <c r="H81" i="7" s="1"/>
  <c r="H82" i="7" s="1"/>
  <c r="H83" i="7" s="1"/>
  <c r="H84" i="7" s="1"/>
  <c r="H85" i="7" s="1"/>
  <c r="H86" i="7" s="1"/>
  <c r="H87" i="7" s="1"/>
  <c r="H88" i="7" s="1"/>
  <c r="H89" i="7" s="1"/>
  <c r="H90" i="7" s="1"/>
  <c r="H91" i="7" s="1"/>
  <c r="H92" i="7" s="1"/>
  <c r="H93" i="7" s="1"/>
  <c r="H94" i="7" s="1"/>
  <c r="H95" i="7" s="1"/>
  <c r="H96" i="7" s="1"/>
  <c r="H97" i="7" s="1"/>
  <c r="H98" i="7" s="1"/>
  <c r="H99" i="7" s="1"/>
  <c r="H100" i="7" s="1"/>
  <c r="H101" i="7" s="1"/>
  <c r="H102" i="7" s="1"/>
  <c r="H103" i="7" s="1"/>
  <c r="H104" i="7" s="1"/>
  <c r="H105" i="7" s="1"/>
  <c r="H106" i="7" s="1"/>
  <c r="R28" i="8" l="1"/>
  <c r="S28" i="8" s="1"/>
  <c r="T28" i="8" s="1"/>
  <c r="U28" i="8" s="1"/>
  <c r="V28" i="8" s="1"/>
  <c r="W28" i="8" s="1"/>
  <c r="B21" i="7"/>
  <c r="K25" i="7"/>
  <c r="X28" i="8" l="1"/>
  <c r="Y28" i="8" s="1"/>
  <c r="Z28" i="8" s="1"/>
  <c r="AA28" i="8" s="1"/>
  <c r="AB28" i="8" s="1"/>
  <c r="AC28" i="8" s="1"/>
  <c r="AD28" i="8" s="1"/>
  <c r="AE28" i="8" s="1"/>
  <c r="AF28" i="8" s="1"/>
  <c r="AG28" i="8" s="1"/>
  <c r="AH28" i="8" s="1"/>
  <c r="AI28" i="8" s="1"/>
  <c r="AJ28" i="8" s="1"/>
  <c r="AK28" i="8" s="1"/>
  <c r="AL28" i="8" s="1"/>
  <c r="AM28" i="8" s="1"/>
  <c r="AN28" i="8" s="1"/>
  <c r="AO28" i="8" s="1"/>
  <c r="AP28" i="8" s="1"/>
  <c r="AQ28" i="8" s="1"/>
  <c r="AR28" i="8" s="1"/>
  <c r="AS28" i="8" s="1"/>
  <c r="AT28" i="8" s="1"/>
  <c r="AU28" i="8" s="1"/>
  <c r="AV28" i="8" s="1"/>
  <c r="AW28" i="8" s="1"/>
  <c r="AX28" i="8" s="1"/>
  <c r="AY28" i="8" s="1"/>
  <c r="AZ28" i="8" s="1"/>
  <c r="BA28" i="8" s="1"/>
  <c r="BB28" i="8" s="1"/>
  <c r="BC28" i="8" s="1"/>
  <c r="BD28" i="8" s="1"/>
  <c r="BE28" i="8" s="1"/>
  <c r="BF28" i="8" s="1"/>
  <c r="BG28" i="8" s="1"/>
  <c r="BH28" i="8" s="1"/>
  <c r="BI28" i="8" s="1"/>
  <c r="BJ28" i="8" s="1"/>
  <c r="BK28" i="8" s="1"/>
  <c r="BL28" i="8" s="1"/>
  <c r="BM28" i="8" s="1"/>
  <c r="BN28" i="8" s="1"/>
  <c r="BO28" i="8" s="1"/>
  <c r="BP28" i="8" s="1"/>
  <c r="BQ28" i="8" s="1"/>
  <c r="BR28" i="8" s="1"/>
  <c r="BS28" i="8" s="1"/>
  <c r="BT28" i="8" s="1"/>
  <c r="BU28" i="8" s="1"/>
  <c r="BV28" i="8" s="1"/>
  <c r="BW28" i="8" s="1"/>
  <c r="BX28" i="8" s="1"/>
  <c r="BY28" i="8" s="1"/>
  <c r="BZ28" i="8" s="1"/>
  <c r="CA28" i="8" s="1"/>
  <c r="CB28" i="8" s="1"/>
  <c r="CC28" i="8" s="1"/>
  <c r="CD28" i="8" s="1"/>
  <c r="CE28" i="8" s="1"/>
  <c r="CF28" i="8" s="1"/>
  <c r="CG28" i="8" s="1"/>
  <c r="CH28" i="8" s="1"/>
  <c r="CI28" i="8" s="1"/>
  <c r="CJ28" i="8" s="1"/>
  <c r="CK28" i="8" s="1"/>
  <c r="CL28" i="8" s="1"/>
  <c r="CM28" i="8" s="1"/>
  <c r="CN28" i="8" s="1"/>
  <c r="CO28" i="8" s="1"/>
  <c r="CP28" i="8" s="1"/>
  <c r="CQ28" i="8" s="1"/>
  <c r="CR28" i="8" s="1"/>
  <c r="CS28" i="8" s="1"/>
  <c r="CT28" i="8" s="1"/>
  <c r="CU28" i="8" s="1"/>
  <c r="CV28" i="8" s="1"/>
  <c r="CW28" i="8" s="1"/>
  <c r="CX28" i="8" s="1"/>
  <c r="C32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<sst xmlns="http://schemas.openxmlformats.org/spreadsheetml/2006/main" count="552" uniqueCount="406">
  <si>
    <t>Tasa Compuesta de Crecimiento Anual</t>
  </si>
  <si>
    <t>Hasbro</t>
  </si>
  <si>
    <t>Mattel</t>
  </si>
  <si>
    <t>Colmuñecos</t>
  </si>
  <si>
    <t>Exitoys</t>
  </si>
  <si>
    <t>Laurent</t>
  </si>
  <si>
    <t>Fabrica De Munecos Y Comercializadora Muneplasticos Sas</t>
  </si>
  <si>
    <t>Arisma</t>
  </si>
  <si>
    <t>Ip Imaginarte S A S</t>
  </si>
  <si>
    <t>Inversiones Parra Pineros Y Compania S A S</t>
  </si>
  <si>
    <t>Precio figura accion</t>
  </si>
  <si>
    <t>Rango ventas</t>
  </si>
  <si>
    <t>ventas 2023</t>
  </si>
  <si>
    <t>patrimonio 2023</t>
  </si>
  <si>
    <t>Empresas</t>
  </si>
  <si>
    <t>ventas 2032</t>
  </si>
  <si>
    <t>Aprox .Fig. vendidas 2023</t>
  </si>
  <si>
    <t>Aprox .Fig. vendidas 2032</t>
  </si>
  <si>
    <t>Prod. x Min</t>
  </si>
  <si>
    <t>Lista Empresas en Colombia Manufacturera de Figuras de Accion</t>
  </si>
  <si>
    <t>Produccion Aproximada de Empresas en Colombia de Figuras de Accion</t>
  </si>
  <si>
    <t>Año 2023</t>
  </si>
  <si>
    <t>Año 2032</t>
  </si>
  <si>
    <t>Mercado Figuras de Accion en Colombia</t>
  </si>
  <si>
    <t xml:space="preserve">Según: </t>
  </si>
  <si>
    <t>https://www.informacolombia.com/directorio-empresas/informacion-empresa/arisma-sa</t>
  </si>
  <si>
    <t>Segun:</t>
  </si>
  <si>
    <t xml:space="preserve"> https://univdatos.com/es/report/collectibles-market/#:~:text=Respuesta%3A%20El%20mercado%20de%20coleccionables,pron%C3%B3stico%20(2024%2D2032).</t>
  </si>
  <si>
    <t>Según:</t>
  </si>
  <si>
    <t xml:space="preserve"> https://www.informesdeexpertos.com/informes/mercado-de-juguetes-en-colombia</t>
  </si>
  <si>
    <t>https://ipimaginarte.com/</t>
  </si>
  <si>
    <t>https://www.exito.com/s?q=exitoy&amp;category-1=juguetes-y-juegos&amp;facets=category-1&amp;sort=score_desc&amp;page=0</t>
  </si>
  <si>
    <t>https://muneplasticos.com/index.php/cuerpo-pasta/</t>
  </si>
  <si>
    <t>https://legadolaurent.com/</t>
  </si>
  <si>
    <t>https://www.pepeganga.com/tienda-mattel?initialMap=productClusterIds&amp;initialQuery=11468&amp;map=category-2,productclusterids&amp;query=/figuras-de-accion-y-robots/11468&amp;srsltid=AfmBOopCN7hHN7-QbmrK9-u97SmBtH9cmHB0C4fnpLs4El1f-Xk0EmRP&amp;IText=hasbro</t>
  </si>
  <si>
    <t>https://shopping.mattel.com/es-es</t>
  </si>
  <si>
    <t>https://toysmart.co/?srsltid=AfmBOoofirxPbnpJr5U62QtlntgJ_lAzTJNYx_pJqlFRNsqBXNuz_EVR</t>
  </si>
  <si>
    <t>Variable</t>
  </si>
  <si>
    <t>Operación</t>
  </si>
  <si>
    <t>Resultado</t>
  </si>
  <si>
    <t>Medida</t>
  </si>
  <si>
    <t>Jornada laboral</t>
  </si>
  <si>
    <t>Tiempo Cambio</t>
  </si>
  <si>
    <t>Diarios</t>
  </si>
  <si>
    <t>Dias H.por mes</t>
  </si>
  <si>
    <t>Dias</t>
  </si>
  <si>
    <t>Demanda Mensual</t>
  </si>
  <si>
    <t xml:space="preserve"> Unidades</t>
  </si>
  <si>
    <t>Tiempo Disp.</t>
  </si>
  <si>
    <t>Numero de turnos</t>
  </si>
  <si>
    <t>Minutos</t>
  </si>
  <si>
    <t>Horas</t>
  </si>
  <si>
    <t>Tiempo Mantenimiento</t>
  </si>
  <si>
    <t>Tiempo Disp.*60 Min</t>
  </si>
  <si>
    <t>Demanda Diaria</t>
  </si>
  <si>
    <t>Dem.Mensual/Dias H. por mes</t>
  </si>
  <si>
    <t>Unidades/Dia</t>
  </si>
  <si>
    <t>Takt Time</t>
  </si>
  <si>
    <t>3600 seg/Dia/Demanda Diaria</t>
  </si>
  <si>
    <t>Segundos/Unidad</t>
  </si>
  <si>
    <t>Suposiciones:</t>
  </si>
  <si>
    <t>Unidades x min</t>
  </si>
  <si>
    <t>Takt time</t>
  </si>
  <si>
    <t>Mantenimiento diario de 2 horas aprox.</t>
  </si>
  <si>
    <t>Tiempo entre cambio de turno 30 min</t>
  </si>
  <si>
    <t xml:space="preserve">24h-T. Manten.-Turnos*T.Cambio- </t>
  </si>
  <si>
    <t>60 a 80 COP</t>
  </si>
  <si>
    <t>40 a 65 COP</t>
  </si>
  <si>
    <t>30 a 60 COP</t>
  </si>
  <si>
    <t>20 a 100 COP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</si>
  <si>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</si>
  <si>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</si>
  <si>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</si>
  <si>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</si>
  <si>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</si>
  <si>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</si>
  <si>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</si>
  <si>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</si>
  <si>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</si>
  <si>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</si>
  <si>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</si>
  <si>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</si>
  <si>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</si>
  <si>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Total**</t>
  </si>
  <si>
    <t>Otras*</t>
  </si>
  <si>
    <t>* Mas de 100 empresas colombiananas  registradas en camara de comercio</t>
  </si>
  <si>
    <t>** Total ajustado de ventas exclsuivas de figuras de accion dentro del mercado de juguetes en colombia</t>
  </si>
  <si>
    <t>Produccion Objetivo</t>
  </si>
  <si>
    <t>Ganancia Objetivo</t>
  </si>
  <si>
    <t>Unidades</t>
  </si>
  <si>
    <t>Cantidad</t>
  </si>
  <si>
    <t>Unidad/min</t>
  </si>
  <si>
    <t>COP</t>
  </si>
  <si>
    <t>%</t>
  </si>
  <si>
    <t>Participacion Objetivo*</t>
  </si>
  <si>
    <t>* Porcentaje respecto a participacion en mercado de figuras de accion de empresas colombianas en 2023</t>
  </si>
  <si>
    <t>Mes</t>
  </si>
  <si>
    <t>Demanda Mensual proyectada 2025 a 2032</t>
  </si>
  <si>
    <t>https://www.larepublica.co/economia/la-tasa-de-natalidad-registrada-durante-2022-fue-la-mas-baja-de-los-ultimos-cinco-anos-3576677</t>
  </si>
  <si>
    <t>https://www.dane.gov.co/index.php/estadisticas-por-tema/salud/nacimientos-y-defunciones/nacimientos/nacimientos-2022</t>
  </si>
  <si>
    <t>Año</t>
  </si>
  <si>
    <t>Unidades a Producir</t>
  </si>
  <si>
    <t>Ganancia venta</t>
  </si>
  <si>
    <t>Precio Figura</t>
  </si>
  <si>
    <t>Nacimientos</t>
  </si>
  <si>
    <t>Lin.Reg. Data</t>
  </si>
  <si>
    <t>Tasa disminucion de 2023 a 2032*</t>
  </si>
  <si>
    <t>* Calculado usando datos de 2017 a 2023 y regresion lineal</t>
  </si>
  <si>
    <t>Ingresos Totales</t>
  </si>
  <si>
    <t>Costos Ventas</t>
  </si>
  <si>
    <t>Pintura</t>
  </si>
  <si>
    <t>Energia Electrica</t>
  </si>
  <si>
    <t>Utilidad Bruta</t>
  </si>
  <si>
    <t>Gastos Operativos</t>
  </si>
  <si>
    <t>Acueducto</t>
  </si>
  <si>
    <t>Sueldo Operarios</t>
  </si>
  <si>
    <t>Sueldo Administrativo</t>
  </si>
  <si>
    <t>pintura</t>
  </si>
  <si>
    <t>https://tiendafla.com/info/acerca</t>
  </si>
  <si>
    <t>Mantenimiento Equipos</t>
  </si>
  <si>
    <t>U. Diarias</t>
  </si>
  <si>
    <t>Calculo Takt Time Actual</t>
  </si>
  <si>
    <t>2 Turnos diarios en planta de 8 horas</t>
  </si>
  <si>
    <t>Produccion 16h/6d</t>
  </si>
  <si>
    <t>U. mensuales</t>
  </si>
  <si>
    <t>U. Semanal</t>
  </si>
  <si>
    <t>Calculo Takt Time Solucion Automatizada</t>
  </si>
  <si>
    <t>Dinosaurio</t>
  </si>
  <si>
    <t>Piezas</t>
  </si>
  <si>
    <t>Precio venta</t>
  </si>
  <si>
    <t>Precio Piezas</t>
  </si>
  <si>
    <t>Precio Pintura</t>
  </si>
  <si>
    <t>U. Producidas</t>
  </si>
  <si>
    <t>U. Anuales</t>
  </si>
  <si>
    <t>Heroe</t>
  </si>
  <si>
    <t>Villano</t>
  </si>
  <si>
    <t>Moldes Vol. Medio</t>
  </si>
  <si>
    <t>usd a cop</t>
  </si>
  <si>
    <t>Distribucion proyectada</t>
  </si>
  <si>
    <t>Precio Kg, L o unidad</t>
  </si>
  <si>
    <t>Ingreso Esperado</t>
  </si>
  <si>
    <t>Capas Pitnura</t>
  </si>
  <si>
    <t>Precio Cajas</t>
  </si>
  <si>
    <t>datos Relevantes</t>
  </si>
  <si>
    <t>USD x pieza inyectada</t>
  </si>
  <si>
    <t>USD a COP</t>
  </si>
  <si>
    <t>precio litro pintura</t>
  </si>
  <si>
    <t>Litros de Pintura</t>
  </si>
  <si>
    <t>litros x 100 juguetes</t>
  </si>
  <si>
    <t>precios cajas</t>
  </si>
  <si>
    <t>https://formlabs.com/latam/blog/coste-moldeo-inyeccion/?srsltid=AfmBOooxuEWYOHsP84AwBXNVuYdnJLUQoEZ1_3H2QNHNswkdYlTN5ViR</t>
  </si>
  <si>
    <t>https://ccorrugados.com/corrugados/?msg=La%20cotizaci%C3%B3n%20ha%20sido%20enviada%20a%20tu%20correo%20electr%C3%B3nico%2C%20muy%20pronto%20te%20contactaremos%20para%20brindarte%20m%C3%A1s%20informaci%C3%B3n.</t>
  </si>
  <si>
    <t xml:space="preserve">Precio Figura Estandar </t>
  </si>
  <si>
    <t>Equipos</t>
  </si>
  <si>
    <t>Ventiladores con Calefaccion</t>
  </si>
  <si>
    <t>Usd x20 ventiladores</t>
  </si>
  <si>
    <t>https://es.made-in-china.com/co_annelectric/product_Manufacturers-Industrial-Compact-Fan-Heater-Hvl-031-Cabinet-Heater-for-Heating_eoyogehig.html?pv_id=1il9pg7jo31&amp;faw_id=1il9pgne1e8e</t>
  </si>
  <si>
    <t>Celda Robotica</t>
  </si>
  <si>
    <t>EUR a COP</t>
  </si>
  <si>
    <t>Precio Robot Scara EUR</t>
  </si>
  <si>
    <t>Licencias Anuales</t>
  </si>
  <si>
    <t>Licencia Ignition USD</t>
  </si>
  <si>
    <t>https://inductiveautomation.com/pricing/ignition</t>
  </si>
  <si>
    <t>https://new.abb.com/products/robotics/robots/scara-robots/irb-920t-irb920</t>
  </si>
  <si>
    <t>https://www.microsoft.com/es-mx/sql-server/sql-server-2022-pricing#footnote</t>
  </si>
  <si>
    <t>SQL anual USD</t>
  </si>
  <si>
    <t>Bandas trasportadoras</t>
  </si>
  <si>
    <t>Sensores opticos</t>
  </si>
  <si>
    <t>Tampografica</t>
  </si>
  <si>
    <t>Maquina tampografica</t>
  </si>
  <si>
    <t>https://www.bantracol.com/bandas-transportadoras-medellin</t>
  </si>
  <si>
    <t>https://innovatronic.com.co/</t>
  </si>
  <si>
    <t>PLC</t>
  </si>
  <si>
    <t>Plc</t>
  </si>
  <si>
    <t>alimentacion plc</t>
  </si>
  <si>
    <t>modulo DI</t>
  </si>
  <si>
    <t>Total</t>
  </si>
  <si>
    <t>Inversion Inicial</t>
  </si>
  <si>
    <t>Adecuacion Espacios</t>
  </si>
  <si>
    <t>Costos Operativos</t>
  </si>
  <si>
    <t>Bandas</t>
  </si>
  <si>
    <t>Robot</t>
  </si>
  <si>
    <t>Tampografia</t>
  </si>
  <si>
    <t>https://www.rockwellautomation.com/es-co/products/software/factorytalk/designsuite/studio-5000.html</t>
  </si>
  <si>
    <t>https://tiendafla.com/producto/1382/maquina-tampografica-de-una-tinta(ip)</t>
  </si>
  <si>
    <t>KWh</t>
  </si>
  <si>
    <t>Iluminacion</t>
  </si>
  <si>
    <t>Calculos iluminacion</t>
  </si>
  <si>
    <t>Resolución 2400 de 1979</t>
  </si>
  <si>
    <t>Area planta m²</t>
  </si>
  <si>
    <t>LED 18W</t>
  </si>
  <si>
    <t>LED 30W</t>
  </si>
  <si>
    <t>Fluorescente 36W</t>
  </si>
  <si>
    <t>Halógeno 100W</t>
  </si>
  <si>
    <t>Bombillos</t>
  </si>
  <si>
    <t>Potencia W</t>
  </si>
  <si>
    <t>Precio Unidad</t>
  </si>
  <si>
    <t>https://www.superservicios.gov.co/</t>
  </si>
  <si>
    <t>Vida util años</t>
  </si>
  <si>
    <t>Ventiladores</t>
  </si>
  <si>
    <t>Diseño Ingenieria</t>
  </si>
  <si>
    <t>Precio kWh Colombia COP</t>
  </si>
  <si>
    <t>Precio Total COP</t>
  </si>
  <si>
    <t>KWh/mes</t>
  </si>
  <si>
    <t>Precio Mantenimiento</t>
  </si>
  <si>
    <t>Precio Cambio iluminacion x bombilla COP</t>
  </si>
  <si>
    <t>Costo Mensual COP</t>
  </si>
  <si>
    <t>Salarios</t>
  </si>
  <si>
    <t>Precio COP</t>
  </si>
  <si>
    <t>Ensamble</t>
  </si>
  <si>
    <t>Cargo</t>
  </si>
  <si>
    <t>Seguridad Social (22.5%)</t>
  </si>
  <si>
    <t>Prestaciones Sociales (26%)</t>
  </si>
  <si>
    <t>Dotación y otros costos (8%)</t>
  </si>
  <si>
    <t>Salario base</t>
  </si>
  <si>
    <t>Salario minimo COP</t>
  </si>
  <si>
    <t>https://www.presidencia.gov.co/prensa/Paginas/El-salario-minimo-para-2025-aumentara-el-9-54-porciento-y-queda-en-1423500-presidente-Gustavo-Petro-241224.aspx</t>
  </si>
  <si>
    <t>% Salario</t>
  </si>
  <si>
    <t>Concepto</t>
  </si>
  <si>
    <t>cantidad</t>
  </si>
  <si>
    <t>Clasificacion</t>
  </si>
  <si>
    <t>Salario COP</t>
  </si>
  <si>
    <t>Precio x unidad COP</t>
  </si>
  <si>
    <t>Ingreso Esperado(COP)</t>
  </si>
  <si>
    <t>https://www.metrocuadrado.com/bodega/arriendo/bogota/?search=form</t>
  </si>
  <si>
    <t>precio m² arriendo</t>
  </si>
  <si>
    <t>Ingresos</t>
  </si>
  <si>
    <t>Inversion inicial</t>
  </si>
  <si>
    <t>Arriendo</t>
  </si>
  <si>
    <t>Energia</t>
  </si>
  <si>
    <t xml:space="preserve">Agua y Alcantarillado </t>
  </si>
  <si>
    <t>Cajas</t>
  </si>
  <si>
    <t>Consumo electrico Mensual</t>
  </si>
  <si>
    <t>Salarios Trabajadores mensual</t>
  </si>
  <si>
    <t>Salarios Ingenieros Planta Mensual</t>
  </si>
  <si>
    <t>Ingenieros Planta</t>
  </si>
  <si>
    <t>Salarios Administrativos Mensual</t>
  </si>
  <si>
    <t>Salarios Mensuales Operativos</t>
  </si>
  <si>
    <t>Impuestos</t>
  </si>
  <si>
    <t>Licencias</t>
  </si>
  <si>
    <t>EBITDA</t>
  </si>
  <si>
    <t xml:space="preserve">Depreciacion </t>
  </si>
  <si>
    <t>Renta</t>
  </si>
  <si>
    <t>Amortizacion</t>
  </si>
  <si>
    <t>EBIT</t>
  </si>
  <si>
    <t>https://www.haciendabogota.gov.co/es/impuestos/impuesto-de-industria-y-comercio-ica</t>
  </si>
  <si>
    <t>https://www.dian.gov.co/impuestos/sociedades/Cree/QueDebeSaber/Abc/Paginas/default.aspx#:~:text=La%20tarifa%20del%20Impuesto%20sobre,la%20tarifa%20es%20del%2025%25.</t>
  </si>
  <si>
    <t>ICA</t>
  </si>
  <si>
    <t>IVA</t>
  </si>
  <si>
    <t>https://www.dian.gov.co/tramitesservicios/Paginas/Declaracion-sugerida-de-IVA.aspx</t>
  </si>
  <si>
    <t>Utilidad neta</t>
  </si>
  <si>
    <t>Estimado vida util equipos y licencias 10 años</t>
  </si>
  <si>
    <t>Valor COP</t>
  </si>
  <si>
    <t>Ingresos mensuales</t>
  </si>
  <si>
    <t>Anual</t>
  </si>
  <si>
    <t>Honorarios x Integrante</t>
  </si>
  <si>
    <t>Administrativos</t>
  </si>
  <si>
    <t>Cargo fijo</t>
  </si>
  <si>
    <t>estimado consumo</t>
  </si>
  <si>
    <t>https://www.acueducto.com.co/wps/wcm/connect/EAB2/234edd82-7eb7-40d2-83c5-dbe175f3f16c/Tarifas%2BEAAB%2Bmayo%2B2023.pdf?CVID=oxKteqD&amp;MOD=AJPERES</t>
  </si>
  <si>
    <t>Cantidad en lux requerida por m²</t>
  </si>
  <si>
    <t>Capacidad lux</t>
  </si>
  <si>
    <t>Motor lineal</t>
  </si>
  <si>
    <t>https://es.aliexpress.com/item/1005005059826177.html</t>
  </si>
  <si>
    <t>Precio act lin EUR</t>
  </si>
  <si>
    <t>Margen Utilidad neta</t>
  </si>
  <si>
    <t>mes</t>
  </si>
  <si>
    <t>mantenimiento Equipos</t>
  </si>
  <si>
    <t>Gastos operativos Mensuales</t>
  </si>
  <si>
    <t>Total mensual</t>
  </si>
  <si>
    <t>Costo licencia anual</t>
  </si>
  <si>
    <t>flujo</t>
  </si>
  <si>
    <t>impuestos mensual</t>
  </si>
  <si>
    <t>Depreciacion mensual</t>
  </si>
  <si>
    <t>Amortizacion mensual</t>
  </si>
  <si>
    <t>tir</t>
  </si>
  <si>
    <t>Ventas</t>
  </si>
  <si>
    <t>Gastos operativos</t>
  </si>
  <si>
    <t>mes1</t>
  </si>
  <si>
    <t>mes0</t>
  </si>
  <si>
    <t>mes2</t>
  </si>
  <si>
    <t>mes3</t>
  </si>
  <si>
    <t>mes4</t>
  </si>
  <si>
    <t>mes5</t>
  </si>
  <si>
    <t>mes6</t>
  </si>
  <si>
    <t>mes7</t>
  </si>
  <si>
    <t>mes8</t>
  </si>
  <si>
    <t>mes9</t>
  </si>
  <si>
    <t>mes10</t>
  </si>
  <si>
    <t>mes11</t>
  </si>
  <si>
    <t>mes12</t>
  </si>
  <si>
    <t>mes13</t>
  </si>
  <si>
    <t>mes14</t>
  </si>
  <si>
    <t>mes15</t>
  </si>
  <si>
    <t>mes16</t>
  </si>
  <si>
    <t>mes17</t>
  </si>
  <si>
    <t>mes18</t>
  </si>
  <si>
    <t>mes19</t>
  </si>
  <si>
    <t>mes20</t>
  </si>
  <si>
    <t>mes21</t>
  </si>
  <si>
    <t>mes22</t>
  </si>
  <si>
    <t>mes23</t>
  </si>
  <si>
    <t>mes24</t>
  </si>
  <si>
    <t>mes25</t>
  </si>
  <si>
    <t>mes26</t>
  </si>
  <si>
    <t>mes27</t>
  </si>
  <si>
    <t>mes28</t>
  </si>
  <si>
    <t>mes29</t>
  </si>
  <si>
    <t>mes30</t>
  </si>
  <si>
    <t>mes31</t>
  </si>
  <si>
    <t>mes32</t>
  </si>
  <si>
    <t>mes33</t>
  </si>
  <si>
    <t>mes34</t>
  </si>
  <si>
    <t>mes35</t>
  </si>
  <si>
    <t>mes36</t>
  </si>
  <si>
    <t>mes37</t>
  </si>
  <si>
    <t>mes38</t>
  </si>
  <si>
    <t>mes39</t>
  </si>
  <si>
    <t>mes40</t>
  </si>
  <si>
    <t>mes41</t>
  </si>
  <si>
    <t>mes42</t>
  </si>
  <si>
    <t>mes43</t>
  </si>
  <si>
    <t>mes44</t>
  </si>
  <si>
    <t>mes45</t>
  </si>
  <si>
    <t>mes46</t>
  </si>
  <si>
    <t>mes47</t>
  </si>
  <si>
    <t>mes48</t>
  </si>
  <si>
    <t>mes49</t>
  </si>
  <si>
    <t>mes50</t>
  </si>
  <si>
    <t>mes51</t>
  </si>
  <si>
    <t>mes52</t>
  </si>
  <si>
    <t>mes53</t>
  </si>
  <si>
    <t>mes54</t>
  </si>
  <si>
    <t>mes55</t>
  </si>
  <si>
    <t>mes56</t>
  </si>
  <si>
    <t>mes57</t>
  </si>
  <si>
    <t>mes58</t>
  </si>
  <si>
    <t>mes59</t>
  </si>
  <si>
    <t>mes60</t>
  </si>
  <si>
    <t>mes61</t>
  </si>
  <si>
    <t>mes62</t>
  </si>
  <si>
    <t>mes63</t>
  </si>
  <si>
    <t>mes64</t>
  </si>
  <si>
    <t>mes65</t>
  </si>
  <si>
    <t>mes66</t>
  </si>
  <si>
    <t>mes67</t>
  </si>
  <si>
    <t>mes68</t>
  </si>
  <si>
    <t>mes69</t>
  </si>
  <si>
    <t>mes70</t>
  </si>
  <si>
    <t>mes71</t>
  </si>
  <si>
    <t>mes72</t>
  </si>
  <si>
    <t>mes73</t>
  </si>
  <si>
    <t>mes74</t>
  </si>
  <si>
    <t>mes75</t>
  </si>
  <si>
    <t>mes76</t>
  </si>
  <si>
    <t>mes77</t>
  </si>
  <si>
    <t>mes78</t>
  </si>
  <si>
    <t>mes79</t>
  </si>
  <si>
    <t>mes80</t>
  </si>
  <si>
    <t>mes81</t>
  </si>
  <si>
    <t>mes82</t>
  </si>
  <si>
    <t>mes83</t>
  </si>
  <si>
    <t>mes84</t>
  </si>
  <si>
    <t>mes85</t>
  </si>
  <si>
    <t>mes86</t>
  </si>
  <si>
    <t>mes87</t>
  </si>
  <si>
    <t>mes88</t>
  </si>
  <si>
    <t>mes89</t>
  </si>
  <si>
    <t>mes90</t>
  </si>
  <si>
    <t>mes91</t>
  </si>
  <si>
    <t>mes92</t>
  </si>
  <si>
    <t>mes93</t>
  </si>
  <si>
    <t>mes94</t>
  </si>
  <si>
    <t>mes95</t>
  </si>
  <si>
    <t>mes96</t>
  </si>
  <si>
    <t>mes97</t>
  </si>
  <si>
    <t>impuesto renta</t>
  </si>
  <si>
    <t>Flujo</t>
  </si>
  <si>
    <t>Tir</t>
  </si>
  <si>
    <t>Margen ebitda</t>
  </si>
  <si>
    <t>iva</t>
  </si>
  <si>
    <t>ica</t>
  </si>
  <si>
    <t>Payback</t>
  </si>
  <si>
    <t>Produccion 16h/5d</t>
  </si>
  <si>
    <t>acumulado</t>
  </si>
  <si>
    <t>Horas de trabajo diarias</t>
  </si>
  <si>
    <t>Dias trabajando a lmes</t>
  </si>
  <si>
    <t>Piezas Polipropileno</t>
  </si>
  <si>
    <t>https://colormake.co/collections/tinta</t>
  </si>
  <si>
    <t>Licencia anual Azure 1 nucleo usd</t>
  </si>
  <si>
    <t>Licencia studio 5000</t>
  </si>
  <si>
    <t>Licencia ignition</t>
  </si>
  <si>
    <t>https://azure.microsoft.com/es-mx/pricing/calculator/?ef_id=_k_EAIaIQobChMI0I6p-IbsiwMVL5NaBR0faQJiEAAYAiAAEgJRdvD_BwE_k_&amp;OCID=AIDcmm3804ythc_SEM__k_EAIaIQobChMI0I6p-IbsiwMVL5NaBR0faQJiEAAYAiAAEgJRdvD_BwE_k_&amp;gad_source=1&amp;gclid=EAIaIQobChMI0I6p-IbsiwMVL5NaBR0faQJiEAAYAiAAEgJRdvD_BwE</t>
  </si>
  <si>
    <t>Licencia unica Studio 5000 USD</t>
  </si>
  <si>
    <t>Licencia Robot studio anual</t>
  </si>
  <si>
    <t>Licencia anual nx</t>
  </si>
  <si>
    <t>Costos ventas</t>
  </si>
  <si>
    <t>Anual Moldes Vol. Medio</t>
  </si>
  <si>
    <t>Roi</t>
  </si>
  <si>
    <t>12 meses</t>
  </si>
  <si>
    <t>Calculado sobre utilidades netas</t>
  </si>
  <si>
    <t>VPN</t>
  </si>
  <si>
    <t>interes 12%</t>
  </si>
  <si>
    <t>https://www.google.com/search?q=inflacion+colombia+2024&amp;sca_esv=45ef1915294fa958&amp;ei=W8PEZ4urG9eOwbkPjKiNqAs&amp;ved=0ahUKEwjLxKjvoeyLAxVXRzABHQxUA7UQ4dUDCBA&amp;uact=5&amp;oq=inflacion+colombia+2024&amp;gs_lp=Egxnd3Mtd2l6LXNlcnAiF2luZmxhY2lvbiBjb2xvbWJpYSAyMDI0MgUQABiABDIFEAAYgAQyBRAAGIAEMgUQABiABDIFEAAYgAQyBRAAGIAEMgUQABiABDIFEAAYgAQyBRAAGIAEMgUQABiABEjtCFCTBliTBnABeAGQAQCYAZMBoAGTAaoBAzAuMbgBA8gBAPgBAZgCAqACmwHCAgoQABiwAxjWBBhHwgINEAAYgAQYsAMYQxiKBZgDAIgGAZAGCpIHAzEuMaAHlwc&amp;sclient=gws-wiz-serp</t>
  </si>
  <si>
    <t>tasa inflacion 2024</t>
  </si>
  <si>
    <t xml:space="preserve"> en 18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</si>
</sst>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\ #,##0.00;[Red]\-&quot;$&quot;\ #,##0.00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&quot;$&quot;\ #,##0.00"/>
    <numFmt numFmtId="165" formatCode="[$COP]\ #,##0.00"/>
    <numFmt numFmtId="166" formatCode="0.0%"/>
  </numFmts>
  <fonts count="2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MS Sans Serif"/>
      <family val="2"/>
    </font>
    <font>
      <u/>
      <sz val="11"/>
      <color rgb="FF0000FF"/>
      <name val="Aptos Narrow"/>
      <family val="2"/>
      <scheme val="minor"/>
    </font>
    <font>
      <u/>
      <sz val="11"/>
      <color rgb="FF80008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BEFFA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FFBF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31" applyNumberFormat="0" applyFill="0" applyAlignment="0" applyProtection="0"/>
    <xf numFmtId="0" fontId="6" fillId="0" borderId="32" applyNumberFormat="0" applyFill="0" applyAlignment="0" applyProtection="0"/>
    <xf numFmtId="0" fontId="7" fillId="0" borderId="33" applyNumberFormat="0" applyFill="0" applyAlignment="0" applyProtection="0"/>
    <xf numFmtId="0" fontId="7" fillId="0" borderId="0" applyNumberFormat="0" applyFill="0" applyBorder="0" applyAlignment="0" applyProtection="0"/>
    <xf numFmtId="0" fontId="8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16" borderId="0" applyNumberFormat="0" applyBorder="0" applyAlignment="0" applyProtection="0"/>
    <xf numFmtId="0" fontId="11" fillId="17" borderId="34" applyNumberFormat="0" applyAlignment="0" applyProtection="0"/>
    <xf numFmtId="0" fontId="12" fillId="18" borderId="35" applyNumberFormat="0" applyAlignment="0" applyProtection="0"/>
    <xf numFmtId="0" fontId="13" fillId="18" borderId="34" applyNumberFormat="0" applyAlignment="0" applyProtection="0"/>
    <xf numFmtId="0" fontId="14" fillId="0" borderId="36" applyNumberFormat="0" applyFill="0" applyAlignment="0" applyProtection="0"/>
    <xf numFmtId="0" fontId="15" fillId="19" borderId="37" applyNumberFormat="0" applyAlignment="0" applyProtection="0"/>
    <xf numFmtId="0" fontId="16" fillId="0" borderId="0" applyNumberFormat="0" applyFill="0" applyBorder="0" applyAlignment="0" applyProtection="0"/>
    <xf numFmtId="0" fontId="3" fillId="20" borderId="3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39" applyNumberFormat="0" applyFill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9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19" fillId="37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19" fillId="41" borderId="0" applyNumberFormat="0" applyBorder="0" applyAlignment="0" applyProtection="0"/>
    <xf numFmtId="0" fontId="3" fillId="42" borderId="0" applyNumberFormat="0" applyBorder="0" applyAlignment="0" applyProtection="0"/>
    <xf numFmtId="0" fontId="3" fillId="43" borderId="0" applyNumberFormat="0" applyBorder="0" applyAlignment="0" applyProtection="0"/>
    <xf numFmtId="0" fontId="3" fillId="44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20" fillId="0" borderId="0"/>
    <xf numFmtId="44" fontId="3" fillId="0" borderId="0" applyFont="0" applyFill="0" applyBorder="0" applyAlignment="0" applyProtection="0"/>
  </cellStyleXfs>
  <cellXfs count="259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165" fontId="0" fillId="0" borderId="1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4" xfId="0" applyBorder="1" applyAlignment="1">
      <alignment wrapText="1"/>
    </xf>
    <xf numFmtId="0" fontId="0" fillId="0" borderId="16" xfId="0" applyBorder="1"/>
    <xf numFmtId="165" fontId="0" fillId="0" borderId="17" xfId="0" applyNumberFormat="1" applyBorder="1"/>
    <xf numFmtId="0" fontId="0" fillId="0" borderId="18" xfId="0" applyBorder="1"/>
    <xf numFmtId="165" fontId="0" fillId="0" borderId="19" xfId="0" applyNumberFormat="1" applyBorder="1"/>
    <xf numFmtId="0" fontId="0" fillId="0" borderId="18" xfId="0" applyBorder="1" applyAlignment="1">
      <alignment wrapText="1"/>
    </xf>
    <xf numFmtId="165" fontId="0" fillId="0" borderId="21" xfId="0" applyNumberFormat="1" applyBorder="1"/>
    <xf numFmtId="165" fontId="0" fillId="0" borderId="22" xfId="0" applyNumberFormat="1" applyBorder="1"/>
    <xf numFmtId="0" fontId="0" fillId="0" borderId="23" xfId="0" applyBorder="1"/>
    <xf numFmtId="165" fontId="0" fillId="0" borderId="24" xfId="0" applyNumberFormat="1" applyBorder="1"/>
    <xf numFmtId="0" fontId="0" fillId="0" borderId="24" xfId="0" applyBorder="1"/>
    <xf numFmtId="0" fontId="0" fillId="0" borderId="20" xfId="0" applyBorder="1" applyAlignment="1">
      <alignment wrapText="1"/>
    </xf>
    <xf numFmtId="0" fontId="0" fillId="0" borderId="21" xfId="0" applyBorder="1"/>
    <xf numFmtId="10" fontId="0" fillId="2" borderId="2" xfId="0" applyNumberFormat="1" applyFill="1" applyBorder="1"/>
    <xf numFmtId="165" fontId="0" fillId="2" borderId="12" xfId="0" applyNumberFormat="1" applyFill="1" applyBorder="1"/>
    <xf numFmtId="165" fontId="0" fillId="2" borderId="11" xfId="0" applyNumberFormat="1" applyFill="1" applyBorder="1"/>
    <xf numFmtId="165" fontId="0" fillId="3" borderId="15" xfId="0" applyNumberFormat="1" applyFill="1" applyBorder="1"/>
    <xf numFmtId="164" fontId="0" fillId="3" borderId="10" xfId="0" applyNumberFormat="1" applyFill="1" applyBorder="1"/>
    <xf numFmtId="164" fontId="0" fillId="4" borderId="3" xfId="0" applyNumberFormat="1" applyFill="1" applyBorder="1"/>
    <xf numFmtId="164" fontId="0" fillId="4" borderId="1" xfId="0" applyNumberFormat="1" applyFill="1" applyBorder="1"/>
    <xf numFmtId="165" fontId="0" fillId="6" borderId="3" xfId="0" applyNumberFormat="1" applyFill="1" applyBorder="1"/>
    <xf numFmtId="165" fontId="0" fillId="6" borderId="1" xfId="0" applyNumberFormat="1" applyFill="1" applyBorder="1"/>
    <xf numFmtId="1" fontId="0" fillId="6" borderId="4" xfId="0" applyNumberFormat="1" applyFill="1" applyBorder="1"/>
    <xf numFmtId="0" fontId="0" fillId="4" borderId="6" xfId="0" applyFill="1" applyBorder="1"/>
    <xf numFmtId="0" fontId="0" fillId="3" borderId="5" xfId="0" applyFill="1" applyBorder="1"/>
    <xf numFmtId="0" fontId="0" fillId="5" borderId="5" xfId="0" applyFill="1" applyBorder="1"/>
    <xf numFmtId="1" fontId="0" fillId="6" borderId="24" xfId="0" applyNumberFormat="1" applyFill="1" applyBorder="1"/>
    <xf numFmtId="1" fontId="0" fillId="6" borderId="1" xfId="0" applyNumberFormat="1" applyFill="1" applyBorder="1"/>
    <xf numFmtId="0" fontId="0" fillId="6" borderId="1" xfId="0" applyFill="1" applyBorder="1"/>
    <xf numFmtId="0" fontId="0" fillId="6" borderId="21" xfId="0" applyFill="1" applyBorder="1"/>
    <xf numFmtId="1" fontId="0" fillId="4" borderId="24" xfId="0" applyNumberFormat="1" applyFill="1" applyBorder="1"/>
    <xf numFmtId="1" fontId="0" fillId="4" borderId="1" xfId="0" applyNumberFormat="1" applyFill="1" applyBorder="1"/>
    <xf numFmtId="1" fontId="0" fillId="4" borderId="21" xfId="0" applyNumberFormat="1" applyFill="1" applyBorder="1"/>
    <xf numFmtId="2" fontId="0" fillId="9" borderId="25" xfId="0" applyNumberFormat="1" applyFill="1" applyBorder="1"/>
    <xf numFmtId="2" fontId="0" fillId="9" borderId="19" xfId="0" applyNumberFormat="1" applyFill="1" applyBorder="1"/>
    <xf numFmtId="2" fontId="0" fillId="9" borderId="22" xfId="0" applyNumberFormat="1" applyFill="1" applyBorder="1"/>
    <xf numFmtId="0" fontId="0" fillId="8" borderId="6" xfId="0" applyFill="1" applyBorder="1"/>
    <xf numFmtId="0" fontId="2" fillId="0" borderId="0" xfId="1"/>
    <xf numFmtId="0" fontId="2" fillId="0" borderId="0" xfId="1" applyAlignment="1">
      <alignment wrapText="1"/>
    </xf>
    <xf numFmtId="0" fontId="2" fillId="0" borderId="0" xfId="1" applyAlignment="1"/>
    <xf numFmtId="0" fontId="0" fillId="0" borderId="0" xfId="0" applyAlignment="1">
      <alignment horizontal="left"/>
    </xf>
    <xf numFmtId="0" fontId="0" fillId="0" borderId="3" xfId="0" applyBorder="1"/>
    <xf numFmtId="0" fontId="0" fillId="0" borderId="27" xfId="0" applyBorder="1"/>
    <xf numFmtId="0" fontId="0" fillId="0" borderId="26" xfId="0" applyBorder="1"/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9" borderId="1" xfId="0" applyFill="1" applyBorder="1"/>
    <xf numFmtId="0" fontId="0" fillId="12" borderId="1" xfId="0" applyFill="1" applyBorder="1"/>
    <xf numFmtId="0" fontId="0" fillId="12" borderId="2" xfId="0" applyFill="1" applyBorder="1"/>
    <xf numFmtId="0" fontId="0" fillId="4" borderId="1" xfId="0" applyFill="1" applyBorder="1"/>
    <xf numFmtId="0" fontId="0" fillId="10" borderId="2" xfId="0" applyFill="1" applyBorder="1"/>
    <xf numFmtId="0" fontId="2" fillId="0" borderId="0" xfId="1" applyAlignment="1">
      <alignment horizontal="center"/>
    </xf>
    <xf numFmtId="3" fontId="0" fillId="0" borderId="0" xfId="0" applyNumberFormat="1"/>
    <xf numFmtId="1" fontId="0" fillId="0" borderId="0" xfId="0" applyNumberFormat="1"/>
    <xf numFmtId="165" fontId="0" fillId="45" borderId="0" xfId="0" applyNumberFormat="1" applyFill="1"/>
    <xf numFmtId="0" fontId="0" fillId="0" borderId="7" xfId="0" applyBorder="1"/>
    <xf numFmtId="165" fontId="0" fillId="6" borderId="26" xfId="0" applyNumberFormat="1" applyFill="1" applyBorder="1"/>
    <xf numFmtId="164" fontId="0" fillId="4" borderId="26" xfId="0" applyNumberFormat="1" applyFill="1" applyBorder="1"/>
    <xf numFmtId="0" fontId="0" fillId="0" borderId="40" xfId="0" applyBorder="1"/>
    <xf numFmtId="165" fontId="0" fillId="6" borderId="5" xfId="0" applyNumberFormat="1" applyFill="1" applyBorder="1"/>
    <xf numFmtId="164" fontId="0" fillId="0" borderId="1" xfId="0" applyNumberFormat="1" applyBorder="1"/>
    <xf numFmtId="1" fontId="0" fillId="0" borderId="15" xfId="0" applyNumberFormat="1" applyBorder="1"/>
    <xf numFmtId="1" fontId="0" fillId="0" borderId="19" xfId="0" applyNumberFormat="1" applyBorder="1"/>
    <xf numFmtId="1" fontId="0" fillId="0" borderId="22" xfId="0" applyNumberFormat="1" applyBorder="1"/>
    <xf numFmtId="1" fontId="0" fillId="0" borderId="17" xfId="0" applyNumberFormat="1" applyBorder="1"/>
    <xf numFmtId="1" fontId="0" fillId="0" borderId="44" xfId="0" applyNumberFormat="1" applyBorder="1"/>
    <xf numFmtId="1" fontId="0" fillId="0" borderId="12" xfId="0" applyNumberFormat="1" applyBorder="1"/>
    <xf numFmtId="1" fontId="0" fillId="0" borderId="47" xfId="0" applyNumberFormat="1" applyBorder="1"/>
    <xf numFmtId="1" fontId="0" fillId="0" borderId="27" xfId="0" applyNumberFormat="1" applyBorder="1"/>
    <xf numFmtId="0" fontId="0" fillId="0" borderId="45" xfId="0" applyBorder="1"/>
    <xf numFmtId="0" fontId="0" fillId="0" borderId="48" xfId="0" applyBorder="1"/>
    <xf numFmtId="0" fontId="0" fillId="0" borderId="46" xfId="0" applyBorder="1"/>
    <xf numFmtId="3" fontId="0" fillId="0" borderId="19" xfId="0" applyNumberFormat="1" applyBorder="1"/>
    <xf numFmtId="3" fontId="23" fillId="45" borderId="19" xfId="0" applyNumberFormat="1" applyFont="1" applyFill="1" applyBorder="1" applyAlignment="1">
      <alignment vertical="center" wrapText="1"/>
    </xf>
    <xf numFmtId="3" fontId="23" fillId="45" borderId="19" xfId="0" applyNumberFormat="1" applyFont="1" applyFill="1" applyBorder="1" applyAlignment="1">
      <alignment vertical="top" wrapText="1"/>
    </xf>
    <xf numFmtId="3" fontId="23" fillId="45" borderId="19" xfId="0" applyNumberFormat="1" applyFont="1" applyFill="1" applyBorder="1" applyAlignment="1">
      <alignment wrapText="1"/>
    </xf>
    <xf numFmtId="3" fontId="23" fillId="46" borderId="19" xfId="0" applyNumberFormat="1" applyFont="1" applyFill="1" applyBorder="1" applyAlignment="1">
      <alignment wrapText="1"/>
    </xf>
    <xf numFmtId="1" fontId="0" fillId="0" borderId="18" xfId="0" applyNumberFormat="1" applyBorder="1"/>
    <xf numFmtId="0" fontId="0" fillId="0" borderId="19" xfId="0" applyBorder="1"/>
    <xf numFmtId="1" fontId="0" fillId="0" borderId="20" xfId="0" applyNumberFormat="1" applyBorder="1"/>
    <xf numFmtId="0" fontId="0" fillId="0" borderId="22" xfId="0" applyBorder="1"/>
    <xf numFmtId="3" fontId="0" fillId="0" borderId="17" xfId="0" applyNumberFormat="1" applyBorder="1"/>
    <xf numFmtId="0" fontId="0" fillId="0" borderId="8" xfId="0" applyBorder="1"/>
    <xf numFmtId="0" fontId="0" fillId="0" borderId="2" xfId="0" applyBorder="1"/>
    <xf numFmtId="44" fontId="0" fillId="0" borderId="5" xfId="0" applyNumberFormat="1" applyBorder="1"/>
    <xf numFmtId="44" fontId="0" fillId="0" borderId="6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9" fontId="0" fillId="0" borderId="8" xfId="2" applyFont="1" applyBorder="1"/>
    <xf numFmtId="164" fontId="0" fillId="0" borderId="0" xfId="0" applyNumberFormat="1"/>
    <xf numFmtId="44" fontId="0" fillId="0" borderId="0" xfId="48" applyFont="1"/>
    <xf numFmtId="0" fontId="0" fillId="0" borderId="49" xfId="0" applyBorder="1"/>
    <xf numFmtId="0" fontId="0" fillId="10" borderId="41" xfId="0" applyFill="1" applyBorder="1"/>
    <xf numFmtId="0" fontId="0" fillId="10" borderId="42" xfId="0" applyFill="1" applyBorder="1"/>
    <xf numFmtId="0" fontId="0" fillId="10" borderId="51" xfId="0" applyFill="1" applyBorder="1"/>
    <xf numFmtId="0" fontId="0" fillId="10" borderId="43" xfId="0" applyFill="1" applyBorder="1"/>
    <xf numFmtId="2" fontId="0" fillId="11" borderId="1" xfId="0" applyNumberFormat="1" applyFill="1" applyBorder="1"/>
    <xf numFmtId="0" fontId="0" fillId="10" borderId="52" xfId="0" applyFill="1" applyBorder="1"/>
    <xf numFmtId="9" fontId="0" fillId="0" borderId="0" xfId="2" applyFont="1"/>
    <xf numFmtId="3" fontId="0" fillId="0" borderId="1" xfId="0" applyNumberFormat="1" applyBorder="1"/>
    <xf numFmtId="3" fontId="0" fillId="0" borderId="3" xfId="0" applyNumberFormat="1" applyBorder="1"/>
    <xf numFmtId="44" fontId="0" fillId="0" borderId="0" xfId="0" applyNumberFormat="1"/>
    <xf numFmtId="0" fontId="0" fillId="0" borderId="29" xfId="0" applyBorder="1"/>
    <xf numFmtId="44" fontId="0" fillId="0" borderId="30" xfId="48" applyFont="1" applyBorder="1"/>
    <xf numFmtId="0" fontId="0" fillId="0" borderId="14" xfId="0" applyBorder="1"/>
    <xf numFmtId="44" fontId="0" fillId="0" borderId="15" xfId="48" applyFont="1" applyBorder="1"/>
    <xf numFmtId="44" fontId="0" fillId="0" borderId="1" xfId="48" applyFont="1" applyBorder="1"/>
    <xf numFmtId="2" fontId="0" fillId="0" borderId="1" xfId="48" applyNumberFormat="1" applyFont="1" applyBorder="1"/>
    <xf numFmtId="44" fontId="0" fillId="0" borderId="19" xfId="48" applyFont="1" applyBorder="1"/>
    <xf numFmtId="2" fontId="0" fillId="0" borderId="19" xfId="48" applyNumberFormat="1" applyFont="1" applyBorder="1"/>
    <xf numFmtId="9" fontId="0" fillId="0" borderId="19" xfId="2" applyFont="1" applyBorder="1"/>
    <xf numFmtId="1" fontId="0" fillId="0" borderId="19" xfId="48" applyNumberFormat="1" applyFont="1" applyBorder="1"/>
    <xf numFmtId="44" fontId="0" fillId="0" borderId="0" xfId="48" applyFont="1" applyAlignment="1">
      <alignment wrapText="1"/>
    </xf>
    <xf numFmtId="44" fontId="0" fillId="0" borderId="0" xfId="48" applyFont="1" applyBorder="1"/>
    <xf numFmtId="44" fontId="0" fillId="0" borderId="1" xfId="48" applyFont="1" applyBorder="1" applyAlignment="1">
      <alignment wrapText="1"/>
    </xf>
    <xf numFmtId="44" fontId="0" fillId="0" borderId="1" xfId="0" applyNumberFormat="1" applyBorder="1"/>
    <xf numFmtId="0" fontId="0" fillId="0" borderId="19" xfId="0" applyBorder="1" applyAlignment="1">
      <alignment wrapText="1"/>
    </xf>
    <xf numFmtId="44" fontId="0" fillId="0" borderId="26" xfId="0" applyNumberFormat="1" applyBorder="1"/>
    <xf numFmtId="0" fontId="0" fillId="0" borderId="54" xfId="0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2" fontId="0" fillId="0" borderId="0" xfId="48" applyNumberFormat="1" applyFont="1" applyBorder="1"/>
    <xf numFmtId="0" fontId="0" fillId="0" borderId="56" xfId="0" applyBorder="1"/>
    <xf numFmtId="44" fontId="0" fillId="0" borderId="30" xfId="0" applyNumberFormat="1" applyBorder="1"/>
    <xf numFmtId="44" fontId="0" fillId="0" borderId="21" xfId="48" applyFont="1" applyBorder="1"/>
    <xf numFmtId="2" fontId="0" fillId="0" borderId="21" xfId="48" applyNumberFormat="1" applyFont="1" applyBorder="1"/>
    <xf numFmtId="44" fontId="0" fillId="0" borderId="17" xfId="0" applyNumberFormat="1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50" xfId="0" applyBorder="1"/>
    <xf numFmtId="44" fontId="0" fillId="0" borderId="57" xfId="48" applyFont="1" applyBorder="1"/>
    <xf numFmtId="44" fontId="0" fillId="2" borderId="57" xfId="48" applyFont="1" applyFill="1" applyBorder="1"/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44" fontId="0" fillId="0" borderId="54" xfId="48" applyFont="1" applyBorder="1"/>
    <xf numFmtId="44" fontId="0" fillId="0" borderId="6" xfId="48" applyFont="1" applyBorder="1"/>
    <xf numFmtId="0" fontId="0" fillId="45" borderId="3" xfId="0" applyFill="1" applyBorder="1"/>
    <xf numFmtId="0" fontId="0" fillId="2" borderId="3" xfId="0" applyFill="1" applyBorder="1"/>
    <xf numFmtId="44" fontId="0" fillId="2" borderId="17" xfId="0" applyNumberFormat="1" applyFill="1" applyBorder="1"/>
    <xf numFmtId="9" fontId="0" fillId="0" borderId="1" xfId="0" applyNumberFormat="1" applyBorder="1"/>
    <xf numFmtId="166" fontId="0" fillId="0" borderId="1" xfId="2" applyNumberFormat="1" applyFont="1" applyBorder="1" applyAlignment="1">
      <alignment vertical="center" wrapText="1"/>
    </xf>
    <xf numFmtId="44" fontId="0" fillId="0" borderId="1" xfId="48" applyFont="1" applyBorder="1" applyAlignment="1">
      <alignment vertical="center" wrapText="1"/>
    </xf>
    <xf numFmtId="166" fontId="0" fillId="0" borderId="1" xfId="0" applyNumberForma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5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5" xfId="0" applyBorder="1"/>
    <xf numFmtId="9" fontId="0" fillId="0" borderId="0" xfId="0" applyNumberFormat="1"/>
    <xf numFmtId="166" fontId="0" fillId="0" borderId="0" xfId="2" applyNumberFormat="1" applyFont="1" applyBorder="1"/>
    <xf numFmtId="9" fontId="0" fillId="0" borderId="56" xfId="0" applyNumberFormat="1" applyBorder="1"/>
    <xf numFmtId="164" fontId="0" fillId="0" borderId="0" xfId="48" applyNumberFormat="1" applyFont="1" applyBorder="1"/>
    <xf numFmtId="0" fontId="0" fillId="5" borderId="59" xfId="0" applyFill="1" applyBorder="1"/>
    <xf numFmtId="164" fontId="0" fillId="5" borderId="59" xfId="0" applyNumberFormat="1" applyFill="1" applyBorder="1"/>
    <xf numFmtId="0" fontId="0" fillId="0" borderId="61" xfId="0" applyBorder="1"/>
    <xf numFmtId="164" fontId="0" fillId="0" borderId="62" xfId="0" applyNumberFormat="1" applyBorder="1"/>
    <xf numFmtId="164" fontId="0" fillId="0" borderId="30" xfId="0" applyNumberFormat="1" applyBorder="1"/>
    <xf numFmtId="0" fontId="0" fillId="5" borderId="63" xfId="0" applyFill="1" applyBorder="1"/>
    <xf numFmtId="164" fontId="0" fillId="5" borderId="64" xfId="0" applyNumberFormat="1" applyFill="1" applyBorder="1"/>
    <xf numFmtId="0" fontId="0" fillId="2" borderId="29" xfId="0" applyFill="1" applyBorder="1"/>
    <xf numFmtId="0" fontId="0" fillId="2" borderId="0" xfId="0" applyFill="1"/>
    <xf numFmtId="164" fontId="0" fillId="2" borderId="30" xfId="0" applyNumberFormat="1" applyFill="1" applyBorder="1"/>
    <xf numFmtId="0" fontId="0" fillId="0" borderId="65" xfId="0" applyBorder="1"/>
    <xf numFmtId="0" fontId="0" fillId="0" borderId="66" xfId="0" applyBorder="1"/>
    <xf numFmtId="44" fontId="0" fillId="0" borderId="62" xfId="0" applyNumberFormat="1" applyBorder="1"/>
    <xf numFmtId="0" fontId="0" fillId="2" borderId="14" xfId="0" applyFill="1" applyBorder="1"/>
    <xf numFmtId="0" fontId="0" fillId="2" borderId="53" xfId="0" applyFill="1" applyBorder="1"/>
    <xf numFmtId="164" fontId="0" fillId="2" borderId="15" xfId="0" applyNumberFormat="1" applyFill="1" applyBorder="1"/>
    <xf numFmtId="0" fontId="0" fillId="7" borderId="5" xfId="0" applyFill="1" applyBorder="1"/>
    <xf numFmtId="0" fontId="0" fillId="7" borderId="6" xfId="0" applyFill="1" applyBorder="1"/>
    <xf numFmtId="10" fontId="0" fillId="0" borderId="0" xfId="2" applyNumberFormat="1" applyFont="1"/>
    <xf numFmtId="0" fontId="0" fillId="45" borderId="0" xfId="0" applyFill="1"/>
    <xf numFmtId="164" fontId="0" fillId="0" borderId="66" xfId="0" applyNumberFormat="1" applyBorder="1"/>
    <xf numFmtId="0" fontId="0" fillId="0" borderId="0" xfId="0" applyAlignment="1">
      <alignment horizontal="left"/>
    </xf>
    <xf numFmtId="0" fontId="0" fillId="7" borderId="7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center" wrapText="1"/>
    </xf>
    <xf numFmtId="0" fontId="0" fillId="7" borderId="13" xfId="0" applyFill="1" applyBorder="1" applyAlignment="1">
      <alignment horizontal="center" wrapText="1"/>
    </xf>
    <xf numFmtId="0" fontId="0" fillId="7" borderId="14" xfId="0" applyFill="1" applyBorder="1" applyAlignment="1">
      <alignment horizontal="center" wrapText="1"/>
    </xf>
    <xf numFmtId="0" fontId="2" fillId="0" borderId="0" xfId="1" applyAlignment="1">
      <alignment horizontal="center"/>
    </xf>
    <xf numFmtId="0" fontId="0" fillId="0" borderId="0" xfId="0" applyAlignment="1">
      <alignment horizontal="left" wrapText="1"/>
    </xf>
    <xf numFmtId="1" fontId="0" fillId="0" borderId="4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5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4" fontId="0" fillId="0" borderId="51" xfId="48" applyFont="1" applyBorder="1" applyAlignment="1">
      <alignment horizontal="center" vertical="center"/>
    </xf>
    <xf numFmtId="44" fontId="0" fillId="0" borderId="28" xfId="48" applyFont="1" applyBorder="1" applyAlignment="1">
      <alignment horizontal="center" vertical="center"/>
    </xf>
    <xf numFmtId="44" fontId="0" fillId="0" borderId="60" xfId="48" applyFont="1" applyBorder="1" applyAlignment="1">
      <alignment horizontal="center" vertical="center"/>
    </xf>
    <xf numFmtId="44" fontId="0" fillId="0" borderId="15" xfId="48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13" borderId="7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10" fontId="0" fillId="0" borderId="0" xfId="0" applyNumberFormat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/>
    <xf numFmtId="2" fontId="0" fillId="0" borderId="1" xfId="0" applyNumberFormat="1" applyBorder="1"/>
    <xf numFmtId="9" fontId="0" fillId="0" borderId="0" xfId="48" applyNumberFormat="1" applyFont="1"/>
    <xf numFmtId="166" fontId="0" fillId="0" borderId="0" xfId="48" applyNumberFormat="1" applyFont="1"/>
    <xf numFmtId="0" fontId="0" fillId="0" borderId="0" xfId="0" applyFill="1" applyBorder="1" applyAlignment="1">
      <alignment vertical="center" wrapText="1"/>
    </xf>
    <xf numFmtId="0" fontId="0" fillId="45" borderId="16" xfId="0" applyFill="1" applyBorder="1" applyAlignment="1">
      <alignment vertical="center" wrapText="1"/>
    </xf>
    <xf numFmtId="0" fontId="0" fillId="45" borderId="3" xfId="0" applyFill="1" applyBorder="1" applyAlignment="1">
      <alignment vertical="center" wrapText="1"/>
    </xf>
    <xf numFmtId="44" fontId="0" fillId="45" borderId="3" xfId="48" applyFont="1" applyFill="1" applyBorder="1"/>
    <xf numFmtId="2" fontId="0" fillId="45" borderId="3" xfId="48" applyNumberFormat="1" applyFont="1" applyFill="1" applyBorder="1"/>
    <xf numFmtId="44" fontId="0" fillId="45" borderId="57" xfId="48" applyFont="1" applyFill="1" applyBorder="1"/>
    <xf numFmtId="44" fontId="0" fillId="45" borderId="17" xfId="0" applyNumberFormat="1" applyFill="1" applyBorder="1"/>
    <xf numFmtId="0" fontId="0" fillId="2" borderId="18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48" applyFont="1" applyFill="1" applyBorder="1"/>
    <xf numFmtId="2" fontId="0" fillId="2" borderId="1" xfId="48" applyNumberFormat="1" applyFont="1" applyFill="1" applyBorder="1"/>
    <xf numFmtId="8" fontId="0" fillId="0" borderId="0" xfId="0" applyNumberFormat="1"/>
    <xf numFmtId="166" fontId="0" fillId="0" borderId="0" xfId="2" applyNumberFormat="1" applyFont="1"/>
  </cellXfs>
  <cellStyles count="49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48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ipervínculo 2" xfId="44" xr:uid="{579444C2-E013-43F1-9009-37EF3392BD0F}"/>
    <cellStyle name="Hipervínculo visitado 2" xfId="45" xr:uid="{224B4D0B-EA02-4CE9-8D43-E629F907A4B1}"/>
    <cellStyle name="Hyperlink" xfId="1" builtinId="8"/>
    <cellStyle name="Input" xfId="11" builtinId="20" customBuiltin="1"/>
    <cellStyle name="Linked Cell" xfId="14" builtinId="24" customBuiltin="1"/>
    <cellStyle name="Millares 2" xfId="46" xr:uid="{8A37D62E-8A89-4183-97C8-3AB19BA35792}"/>
    <cellStyle name="Neutral" xfId="10" builtinId="28" customBuiltin="1"/>
    <cellStyle name="Normal" xfId="0" builtinId="0"/>
    <cellStyle name="Normal 2" xfId="47" xr:uid="{CA8DB863-117C-44AB-BB8A-101A9560F542}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FBEFFA"/>
      <color rgb="FFFFABAB"/>
      <color rgb="FFEFFB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Participación de Empresas en el  Mercado de Figuras de Accion en Colombia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7735925132646091E-2"/>
          <c:y val="0.24719198989015262"/>
          <c:w val="0.93194349722032777"/>
          <c:h val="0.55095694691389385"/>
        </c:manualLayout>
      </c:layout>
      <c:pie3DChart>
        <c:varyColors val="1"/>
        <c:ser>
          <c:idx val="0"/>
          <c:order val="0"/>
          <c:explosion val="6"/>
          <c:dPt>
            <c:idx val="0"/>
            <c:bubble3D val="0"/>
            <c:explosion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216C-4C60-A7A6-DCEC100637EB}"/>
              </c:ext>
            </c:extLst>
          </c:dPt>
          <c:dPt>
            <c:idx val="1"/>
            <c:bubble3D val="0"/>
            <c:explosion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216C-4C60-A7A6-DCEC100637EB}"/>
              </c:ext>
            </c:extLst>
          </c:dPt>
          <c:dPt>
            <c:idx val="2"/>
            <c:bubble3D val="0"/>
            <c:explosion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216C-4C60-A7A6-DCEC100637EB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216C-4C60-A7A6-DCEC100637EB}"/>
              </c:ext>
            </c:extLst>
          </c:dPt>
          <c:dPt>
            <c:idx val="4"/>
            <c:bubble3D val="0"/>
            <c:explosion val="16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216C-4C60-A7A6-DCEC100637EB}"/>
              </c:ext>
            </c:extLst>
          </c:dPt>
          <c:dPt>
            <c:idx val="5"/>
            <c:bubble3D val="0"/>
            <c:explosion val="22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216C-4C60-A7A6-DCEC100637EB}"/>
              </c:ext>
            </c:extLst>
          </c:dPt>
          <c:dPt>
            <c:idx val="6"/>
            <c:bubble3D val="0"/>
            <c:explosion val="31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216C-4C60-A7A6-DCEC100637EB}"/>
              </c:ext>
            </c:extLst>
          </c:dPt>
          <c:dPt>
            <c:idx val="7"/>
            <c:bubble3D val="0"/>
            <c:explosion val="47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8-216C-4C60-A7A6-DCEC100637EB}"/>
              </c:ext>
            </c:extLst>
          </c:dPt>
          <c:dPt>
            <c:idx val="8"/>
            <c:bubble3D val="0"/>
            <c:explosion val="53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216C-4C60-A7A6-DCEC100637EB}"/>
              </c:ext>
            </c:extLst>
          </c:dPt>
          <c:dPt>
            <c:idx val="9"/>
            <c:bubble3D val="0"/>
            <c:explosion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A-216C-4C60-A7A6-DCEC100637EB}"/>
              </c:ext>
            </c:extLst>
          </c:dPt>
          <c:dLbls>
            <c:dLbl>
              <c:idx val="0"/>
              <c:layout>
                <c:manualLayout>
                  <c:x val="5.3816046966731895E-2"/>
                  <c:y val="-0.111111111111111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16C-4C60-A7A6-DCEC100637EB}"/>
                </c:ext>
              </c:extLst>
            </c:dLbl>
            <c:dLbl>
              <c:idx val="1"/>
              <c:layout>
                <c:manualLayout>
                  <c:x val="0.18385775408210947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16C-4C60-A7A6-DCEC100637EB}"/>
                </c:ext>
              </c:extLst>
            </c:dLbl>
            <c:dLbl>
              <c:idx val="2"/>
              <c:layout>
                <c:manualLayout>
                  <c:x val="-7.0716417297152931E-2"/>
                  <c:y val="0.2419753086419752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16C-4C60-A7A6-DCEC100637EB}"/>
                </c:ext>
              </c:extLst>
            </c:dLbl>
            <c:dLbl>
              <c:idx val="3"/>
              <c:layout>
                <c:manualLayout>
                  <c:x val="-0.14847822960486104"/>
                  <c:y val="0.19259259259259259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16C-4C60-A7A6-DCEC100637EB}"/>
                </c:ext>
              </c:extLst>
            </c:dLbl>
            <c:dLbl>
              <c:idx val="4"/>
              <c:layout>
                <c:manualLayout>
                  <c:x val="-0.15607026005310981"/>
                  <c:y val="0.1160493827160493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16C-4C60-A7A6-DCEC100637EB}"/>
                </c:ext>
              </c:extLst>
            </c:dLbl>
            <c:dLbl>
              <c:idx val="5"/>
              <c:layout>
                <c:manualLayout>
                  <c:x val="-0.1039399612719643"/>
                  <c:y val="2.96296296296295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16C-4C60-A7A6-DCEC100637EB}"/>
                </c:ext>
              </c:extLst>
            </c:dLbl>
            <c:dLbl>
              <c:idx val="6"/>
              <c:layout>
                <c:manualLayout>
                  <c:x val="-0.15394779419695825"/>
                  <c:y val="-6.913580246913579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16C-4C60-A7A6-DCEC100637EB}"/>
                </c:ext>
              </c:extLst>
            </c:dLbl>
            <c:dLbl>
              <c:idx val="7"/>
              <c:layout>
                <c:manualLayout>
                  <c:x val="-0.100959340698851"/>
                  <c:y val="-0.130864197530864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16C-4C60-A7A6-DCEC100637EB}"/>
                </c:ext>
              </c:extLst>
            </c:dLbl>
            <c:dLbl>
              <c:idx val="8"/>
              <c:layout>
                <c:manualLayout>
                  <c:x val="1.3410279473492723E-2"/>
                  <c:y val="-0.1160493827160493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16C-4C60-A7A6-DCEC100637EB}"/>
                </c:ext>
              </c:extLst>
            </c:dLbl>
            <c:dLbl>
              <c:idx val="9"/>
              <c:layout>
                <c:manualLayout>
                  <c:x val="-2.5274152374788767E-2"/>
                  <c:y val="-5.679012345679012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16C-4C60-A7A6-DCEC100637E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'Empresas Col. Figuras'!$A$3:$A$12</c:f>
              <c:strCache>
                <c:ptCount val="10"/>
                <c:pt idx="0">
                  <c:v>Hasbro</c:v>
                </c:pt>
                <c:pt idx="1">
                  <c:v>Mattel</c:v>
                </c:pt>
                <c:pt idx="2">
                  <c:v>Inversiones Parra Pineros Y Compania S A S</c:v>
                </c:pt>
                <c:pt idx="3">
                  <c:v>Colmuñecos</c:v>
                </c:pt>
                <c:pt idx="4">
                  <c:v>Exitoys</c:v>
                </c:pt>
                <c:pt idx="5">
                  <c:v>Fabrica De Munecos Y Comercializadora Muneplasticos Sas</c:v>
                </c:pt>
                <c:pt idx="6">
                  <c:v>Arisma</c:v>
                </c:pt>
                <c:pt idx="7">
                  <c:v>Ip Imaginarte S A S</c:v>
                </c:pt>
                <c:pt idx="8">
                  <c:v>Laurent</c:v>
                </c:pt>
                <c:pt idx="9">
                  <c:v>Otras*</c:v>
                </c:pt>
              </c:strCache>
            </c:strRef>
          </c:cat>
          <c:val>
            <c:numRef>
              <c:f>'Empresas Col. Figuras'!$B$3:$B$12</c:f>
              <c:numCache>
                <c:formatCode>[$COP]\ #,##0.00</c:formatCode>
                <c:ptCount val="10"/>
                <c:pt idx="0">
                  <c:v>100000000000</c:v>
                </c:pt>
                <c:pt idx="1">
                  <c:v>145000000000</c:v>
                </c:pt>
                <c:pt idx="2">
                  <c:v>50000000000</c:v>
                </c:pt>
                <c:pt idx="3">
                  <c:v>5000000000</c:v>
                </c:pt>
                <c:pt idx="4">
                  <c:v>1000000000</c:v>
                </c:pt>
                <c:pt idx="5">
                  <c:v>5000000000</c:v>
                </c:pt>
                <c:pt idx="6">
                  <c:v>2000000000</c:v>
                </c:pt>
                <c:pt idx="7">
                  <c:v>1000000000</c:v>
                </c:pt>
                <c:pt idx="8">
                  <c:v>5000000000</c:v>
                </c:pt>
                <c:pt idx="9">
                  <c:v>44570000000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6C-4C60-A7A6-DCEC100637EB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Demanda Mensual proyectada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1713648293963255"/>
          <c:y val="0.17171296296296296"/>
          <c:w val="0.83841907261592286"/>
          <c:h val="0.49647236803732869"/>
        </c:manualLayout>
      </c:layout>
      <c:areaChart>
        <c:grouping val="standard"/>
        <c:varyColors val="0"/>
        <c:ser>
          <c:idx val="0"/>
          <c:order val="0"/>
          <c:tx>
            <c:strRef>
              <c:f>'Produccion proyectada'!$C$3</c:f>
              <c:strCache>
                <c:ptCount val="1"/>
                <c:pt idx="0">
                  <c:v>2025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cat>
            <c:strRef>
              <c:f>'Produccion proyectada'!$B$4:$B$15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'Produccion proyectada'!$C$4:$C$15</c:f>
              <c:numCache>
                <c:formatCode>0</c:formatCode>
                <c:ptCount val="12"/>
                <c:pt idx="0">
                  <c:v>14697.244800000011</c:v>
                </c:pt>
                <c:pt idx="1">
                  <c:v>4536</c:v>
                </c:pt>
                <c:pt idx="2">
                  <c:v>6350.4</c:v>
                </c:pt>
                <c:pt idx="3">
                  <c:v>54432</c:v>
                </c:pt>
                <c:pt idx="4">
                  <c:v>21591.964800000009</c:v>
                </c:pt>
                <c:pt idx="5">
                  <c:v>2721.6</c:v>
                </c:pt>
                <c:pt idx="6">
                  <c:v>5443.2</c:v>
                </c:pt>
                <c:pt idx="7">
                  <c:v>8164.8</c:v>
                </c:pt>
                <c:pt idx="8">
                  <c:v>29030.400000000001</c:v>
                </c:pt>
                <c:pt idx="9">
                  <c:v>7257.6</c:v>
                </c:pt>
                <c:pt idx="10">
                  <c:v>14515.2</c:v>
                </c:pt>
                <c:pt idx="11">
                  <c:v>194140.79999999999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7-4967-A480-DAAFB3646B73}"/>
            </c:ext>
          </c:extLst>
        </c:ser>
        <c:ser>
          <c:idx val="1"/>
          <c:order val="1"/>
          <c:tx>
            <c:strRef>
              <c:f>'Produccion proyectada'!$D$3</c:f>
              <c:strCache>
                <c:ptCount val="1"/>
                <c:pt idx="0">
                  <c:v>2032</c:v>
                </c:pt>
              </c:strCache>
            </c:strRef>
          </c:tx>
          <c:spPr>
            <a:pattFill prst="ltUp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cat>
            <c:strRef>
              <c:f>'Produccion proyectada'!$B$4:$B$15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'Produccion proyectada'!$D$4:$D$15</c:f>
              <c:numCache>
                <c:formatCode>0</c:formatCode>
                <c:ptCount val="12"/>
                <c:pt idx="0">
                  <c:v>10113.789640430727</c:v>
                </c:pt>
                <c:pt idx="1">
                  <c:v>3121.4115593280267</c:v>
                </c:pt>
                <c:pt idx="2">
                  <c:v>4369.9761830592379</c:v>
                </c:pt>
                <c:pt idx="3">
                  <c:v>37456.938711936324</c:v>
                </c:pt>
                <c:pt idx="4">
                  <c:v>14858.335210609326</c:v>
                </c:pt>
                <c:pt idx="5">
                  <c:v>1872.8469355968161</c:v>
                </c:pt>
                <c:pt idx="6">
                  <c:v>3745.6938711936323</c:v>
                </c:pt>
                <c:pt idx="7">
                  <c:v>5618.5408067904482</c:v>
                </c:pt>
                <c:pt idx="8">
                  <c:v>19977.033979699372</c:v>
                </c:pt>
                <c:pt idx="9">
                  <c:v>4994.258494924843</c:v>
                </c:pt>
                <c:pt idx="10">
                  <c:v>9988.5169898496861</c:v>
                </c:pt>
                <c:pt idx="11">
                  <c:v>133596.41473923955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77-4967-A480-DAAFB3646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745792"/>
        <c:axId val="479746752"/>
      </c:areaChart>
      <c:catAx>
        <c:axId val="479745792"/>
        <c:scaling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79746752"/>
        <c:crosses val="autoZero"/>
        <c:auto val="1"/>
        <c:lblAlgn val="ctr"/>
        <c:lblOffset val="100"/>
        <c:noMultiLvlLbl val="0"/>
      </c:catAx>
      <c:valAx>
        <c:axId val="47974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Miles de Unidades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79745792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800" b="1"/>
              <a:t>Numero</a:t>
            </a:r>
            <a:r>
              <a:rPr lang="es-CO" sz="1800" b="1" baseline="0"/>
              <a:t> de Nacimientos en Colombia</a:t>
            </a:r>
            <a:endParaRPr lang="es-CO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7915048118985127"/>
          <c:y val="0.18303258967629046"/>
          <c:w val="0.76009930008748905"/>
          <c:h val="0.61741506270049573"/>
        </c:manualLayout>
      </c:layout>
      <c:scatterChart>
        <c:scatterStyle val="lineMarker"/>
        <c:varyColors val="0"/>
        <c:ser>
          <c:idx val="0"/>
          <c:order val="0"/>
          <c:tx>
            <c:v>Datos DANE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'Produccion proyectada'!$H$2:$H$8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xVal>
          <c:yVal>
            <c:numRef>
              <c:f>'Produccion proyectada'!$I$2:$I$8</c:f>
              <c:numCache>
                <c:formatCode>#,##0</c:formatCode>
                <c:ptCount val="7"/>
                <c:pt idx="0">
                  <c:v>656704</c:v>
                </c:pt>
                <c:pt idx="1">
                  <c:v>649115</c:v>
                </c:pt>
                <c:pt idx="2">
                  <c:v>642660</c:v>
                </c:pt>
                <c:pt idx="3">
                  <c:v>629402</c:v>
                </c:pt>
                <c:pt idx="4">
                  <c:v>616914</c:v>
                </c:pt>
                <c:pt idx="5">
                  <c:v>573625</c:v>
                </c:pt>
                <c:pt idx="6">
                  <c:v>515549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97-431B-B7B4-C302565AECCE}"/>
            </c:ext>
          </c:extLst>
        </c:ser>
        <c:ser>
          <c:idx val="1"/>
          <c:order val="1"/>
          <c:tx>
            <c:v>Estimacion Natalidad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'Produccion proyectada'!$H$9:$H$17</c:f>
              <c:numCache>
                <c:formatCode>0</c:formatCode>
                <c:ptCount val="9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</c:numCache>
            </c:numRef>
          </c:xVal>
          <c:yVal>
            <c:numRef>
              <c:f>'Produccion proyectada'!$I$9:$I$17</c:f>
              <c:numCache>
                <c:formatCode>General</c:formatCode>
                <c:ptCount val="9"/>
                <c:pt idx="0">
                  <c:v>526254</c:v>
                </c:pt>
                <c:pt idx="1">
                  <c:v>504818.60714285821</c:v>
                </c:pt>
                <c:pt idx="2">
                  <c:v>483383.21428571641</c:v>
                </c:pt>
                <c:pt idx="3">
                  <c:v>461947.82142857462</c:v>
                </c:pt>
                <c:pt idx="4">
                  <c:v>440512.42857143283</c:v>
                </c:pt>
                <c:pt idx="5">
                  <c:v>419077.03571429104</c:v>
                </c:pt>
                <c:pt idx="6">
                  <c:v>397641.64285714924</c:v>
                </c:pt>
                <c:pt idx="7">
                  <c:v>376206.25</c:v>
                </c:pt>
                <c:pt idx="8">
                  <c:v>354770.85714285821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97-431B-B7B4-C302565AE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344624"/>
        <c:axId val="466332624"/>
      </c:scatterChart>
      <c:valAx>
        <c:axId val="46634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6332624"/>
        <c:crosses val="autoZero"/>
        <c:crossBetween val="midCat"/>
        <c:majorUnit val="3"/>
      </c:valAx>
      <c:valAx>
        <c:axId val="466332624"/>
        <c:scaling>
          <c:orientation val="minMax"/>
          <c:min val="2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Miles de Nacimientos</a:t>
                </a:r>
              </a:p>
            </c:rich>
          </c:tx>
          <c:layout>
            <c:manualLayout>
              <c:xMode val="edge"/>
              <c:yMode val="edge"/>
              <c:x val="6.0555555555555571E-2"/>
              <c:y val="0.287446048410615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6344624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394006999125111"/>
          <c:y val="0.66724482356372117"/>
          <c:w val="0.56211986001749781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'Flujo de caja'!$H$8</c:f>
              <c:strCache>
                <c:ptCount val="1"/>
                <c:pt idx="0">
                  <c:v>flujo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'Flujo de caja'!$H$9:$H$106</c:f>
              <c:numCache>
                <c:formatCode>_("$"* #,##0.00_);_("$"* \(#,##0.00\);_("$"* "-"??_);_(@_)</c:formatCode>
                <c:ptCount val="98"/>
                <c:pt idx="0">
                  <c:v>-379038551</c:v>
                </c:pt>
                <c:pt idx="1">
                  <c:v>-606262534.47068</c:v>
                </c:pt>
                <c:pt idx="2">
                  <c:v>-541300363.5413599</c:v>
                </c:pt>
                <c:pt idx="3">
                  <c:v>-476338192.6120398</c:v>
                </c:pt>
                <c:pt idx="4">
                  <c:v>-411376021.68271971</c:v>
                </c:pt>
                <c:pt idx="5">
                  <c:v>-346413850.75339961</c:v>
                </c:pt>
                <c:pt idx="6">
                  <c:v>-281451679.82407951</c:v>
                </c:pt>
                <c:pt idx="7">
                  <c:v>-216489508.89475942</c:v>
                </c:pt>
                <c:pt idx="8">
                  <c:v>-151527337.96543932</c:v>
                </c:pt>
                <c:pt idx="9">
                  <c:v>-86565167.036119223</c:v>
                </c:pt>
                <c:pt idx="10">
                  <c:v>-21602996.106799126</c:v>
                </c:pt>
                <c:pt idx="11">
                  <c:v>43359174.822520971</c:v>
                </c:pt>
                <c:pt idx="12">
                  <c:v>108321345.75184107</c:v>
                </c:pt>
                <c:pt idx="13">
                  <c:v>145970076.68116117</c:v>
                </c:pt>
                <c:pt idx="14">
                  <c:v>210932247.61048126</c:v>
                </c:pt>
                <c:pt idx="15">
                  <c:v>275894418.53980136</c:v>
                </c:pt>
                <c:pt idx="16">
                  <c:v>340856589.46912146</c:v>
                </c:pt>
                <c:pt idx="17">
                  <c:v>405818760.39844155</c:v>
                </c:pt>
                <c:pt idx="18">
                  <c:v>470780931.32776165</c:v>
                </c:pt>
                <c:pt idx="19">
                  <c:v>535743102.25708175</c:v>
                </c:pt>
                <c:pt idx="20">
                  <c:v>600705273.18640184</c:v>
                </c:pt>
                <c:pt idx="21">
                  <c:v>665667444.11572194</c:v>
                </c:pt>
                <c:pt idx="22">
                  <c:v>730629615.04504204</c:v>
                </c:pt>
                <c:pt idx="23">
                  <c:v>795591785.97436213</c:v>
                </c:pt>
                <c:pt idx="24">
                  <c:v>860553956.90368223</c:v>
                </c:pt>
                <c:pt idx="25">
                  <c:v>898202687.83300233</c:v>
                </c:pt>
                <c:pt idx="26">
                  <c:v>963164858.76232243</c:v>
                </c:pt>
                <c:pt idx="27">
                  <c:v>1028127029.6916425</c:v>
                </c:pt>
                <c:pt idx="28">
                  <c:v>1093089200.6209626</c:v>
                </c:pt>
                <c:pt idx="29">
                  <c:v>1158051371.5502827</c:v>
                </c:pt>
                <c:pt idx="30">
                  <c:v>1223013542.4796028</c:v>
                </c:pt>
                <c:pt idx="31">
                  <c:v>1287975713.4089229</c:v>
                </c:pt>
                <c:pt idx="32">
                  <c:v>1352937884.338243</c:v>
                </c:pt>
                <c:pt idx="33">
                  <c:v>1417900055.2675631</c:v>
                </c:pt>
                <c:pt idx="34">
                  <c:v>1482862226.1968832</c:v>
                </c:pt>
                <c:pt idx="35">
                  <c:v>1547824397.1262033</c:v>
                </c:pt>
                <c:pt idx="36">
                  <c:v>1612786568.0555234</c:v>
                </c:pt>
                <c:pt idx="37">
                  <c:v>1650435298.9848435</c:v>
                </c:pt>
                <c:pt idx="38">
                  <c:v>1715397469.9141636</c:v>
                </c:pt>
                <c:pt idx="39">
                  <c:v>1780359640.8434837</c:v>
                </c:pt>
                <c:pt idx="40">
                  <c:v>1845321811.7728038</c:v>
                </c:pt>
                <c:pt idx="41">
                  <c:v>1910283982.7021239</c:v>
                </c:pt>
                <c:pt idx="42">
                  <c:v>1975246153.631444</c:v>
                </c:pt>
                <c:pt idx="43">
                  <c:v>2040208324.5607641</c:v>
                </c:pt>
                <c:pt idx="44">
                  <c:v>2105170495.4900842</c:v>
                </c:pt>
                <c:pt idx="45">
                  <c:v>2170132666.419404</c:v>
                </c:pt>
                <c:pt idx="46">
                  <c:v>2235094837.3487244</c:v>
                </c:pt>
                <c:pt idx="47">
                  <c:v>2300057008.2780447</c:v>
                </c:pt>
                <c:pt idx="48">
                  <c:v>2365019179.207365</c:v>
                </c:pt>
                <c:pt idx="49">
                  <c:v>2402667910.1366854</c:v>
                </c:pt>
                <c:pt idx="50">
                  <c:v>2467630081.0660057</c:v>
                </c:pt>
                <c:pt idx="51">
                  <c:v>2532592251.995326</c:v>
                </c:pt>
                <c:pt idx="52">
                  <c:v>2597554422.9246464</c:v>
                </c:pt>
                <c:pt idx="53">
                  <c:v>2662516593.8539667</c:v>
                </c:pt>
                <c:pt idx="54">
                  <c:v>2727478764.783287</c:v>
                </c:pt>
                <c:pt idx="55">
                  <c:v>2792440935.7126074</c:v>
                </c:pt>
                <c:pt idx="56">
                  <c:v>2857403106.6419277</c:v>
                </c:pt>
                <c:pt idx="57">
                  <c:v>2922365277.5712481</c:v>
                </c:pt>
                <c:pt idx="58">
                  <c:v>2987327448.5005684</c:v>
                </c:pt>
                <c:pt idx="59">
                  <c:v>3052289619.4298887</c:v>
                </c:pt>
                <c:pt idx="60">
                  <c:v>3117251790.3592091</c:v>
                </c:pt>
                <c:pt idx="61">
                  <c:v>3154900521.2885294</c:v>
                </c:pt>
                <c:pt idx="62">
                  <c:v>3219862692.2178497</c:v>
                </c:pt>
                <c:pt idx="63">
                  <c:v>3284824863.1471701</c:v>
                </c:pt>
                <c:pt idx="64">
                  <c:v>3349787034.0764904</c:v>
                </c:pt>
                <c:pt idx="65">
                  <c:v>3414749205.0058107</c:v>
                </c:pt>
                <c:pt idx="66">
                  <c:v>3479711375.9351311</c:v>
                </c:pt>
                <c:pt idx="67">
                  <c:v>3544673546.8644514</c:v>
                </c:pt>
                <c:pt idx="68">
                  <c:v>3609635717.7937717</c:v>
                </c:pt>
                <c:pt idx="69">
                  <c:v>3674597888.7230921</c:v>
                </c:pt>
                <c:pt idx="70">
                  <c:v>3739560059.6524124</c:v>
                </c:pt>
                <c:pt idx="71">
                  <c:v>3804522230.5817327</c:v>
                </c:pt>
                <c:pt idx="72">
                  <c:v>3869484401.5110531</c:v>
                </c:pt>
                <c:pt idx="73">
                  <c:v>3907133132.4403734</c:v>
                </c:pt>
                <c:pt idx="74">
                  <c:v>3972095303.3696938</c:v>
                </c:pt>
                <c:pt idx="75">
                  <c:v>4037057474.2990141</c:v>
                </c:pt>
                <c:pt idx="76">
                  <c:v>4102019645.2283344</c:v>
                </c:pt>
                <c:pt idx="77">
                  <c:v>4166981816.1576548</c:v>
                </c:pt>
                <c:pt idx="78">
                  <c:v>4231943987.0869751</c:v>
                </c:pt>
                <c:pt idx="79">
                  <c:v>4296906158.0162954</c:v>
                </c:pt>
                <c:pt idx="80">
                  <c:v>4361868328.9456158</c:v>
                </c:pt>
                <c:pt idx="81">
                  <c:v>4426830499.8749361</c:v>
                </c:pt>
                <c:pt idx="82">
                  <c:v>4491792670.8042564</c:v>
                </c:pt>
                <c:pt idx="83">
                  <c:v>4556754841.7335768</c:v>
                </c:pt>
                <c:pt idx="84">
                  <c:v>4621717012.6628971</c:v>
                </c:pt>
                <c:pt idx="85">
                  <c:v>4659365743.5922174</c:v>
                </c:pt>
                <c:pt idx="86">
                  <c:v>4724327914.5215378</c:v>
                </c:pt>
                <c:pt idx="87">
                  <c:v>4789290085.4508581</c:v>
                </c:pt>
                <c:pt idx="88">
                  <c:v>4854252256.3801785</c:v>
                </c:pt>
                <c:pt idx="89">
                  <c:v>4919214427.3094988</c:v>
                </c:pt>
                <c:pt idx="90">
                  <c:v>4984176598.2388191</c:v>
                </c:pt>
                <c:pt idx="91">
                  <c:v>5049138769.1681395</c:v>
                </c:pt>
                <c:pt idx="92">
                  <c:v>5114100940.0974598</c:v>
                </c:pt>
                <c:pt idx="93">
                  <c:v>5179063111.0267801</c:v>
                </c:pt>
                <c:pt idx="94">
                  <c:v>5244025281.9561005</c:v>
                </c:pt>
                <c:pt idx="95">
                  <c:v>5308987452.8854208</c:v>
                </c:pt>
                <c:pt idx="96">
                  <c:v>5373949623.8147411</c:v>
                </c:pt>
                <c:pt idx="97">
                  <c:v>5411598354.7440615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54-425D-91D2-CC2F39164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3139984"/>
        <c:axId val="72314094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'Flujo de caja'!$E$8</c15:sqref>
                        </c15:formulaRef>
                      </c:ext>
                    </c:extLst>
                    <c:strCache>
                      <c:ptCount val="1"/>
                      <c:pt idx="0">
                        <c:v>mes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'Flujo de caja'!$E$9:$E$106</c15:sqref>
                        </c15:formulaRef>
                      </c:ext>
                    </c:extLst>
                    <c:numCache>
                      <c:formatCode>General</c:formatCode>
                      <c:ptCount val="9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554-425D-91D2-CC2F39164CA8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'Flujo de caja'!$F$8</c15:sqref>
                        </c15:formulaRef>
                      </c:ext>
                    </c:extLst>
                    <c:strCache>
                      <c:ptCount val="1"/>
                      <c:pt idx="0">
                        <c:v>Ingresos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'Flujo de caja'!$F$9:$F$106</c15:sqref>
                        </c15:formulaRef>
                      </c:ext>
                    </c:extLst>
                    <c:numCache>
                      <c:formatCode>General</c:formatCode>
                      <c:ptCount val="98"/>
                      <c:pt idx="0" formatCode="_(&quot;$&quot;* #,##0.00_);_(&quot;$&quot;* \(#,##0.00\);_(&quot;$&quot;* &quot;-&quot;??_);_(@_)">
                        <c:v>-379038551</c:v>
                      </c:pt>
                      <c:pt idx="2" formatCode="_(&quot;$&quot;* #,##0.00_);_(&quot;$&quot;* \(#,##0.00\);_(&quot;$&quot;* &quot;-&quot;??_);_(@_)">
                        <c:v>292186154.4000001</c:v>
                      </c:pt>
                      <c:pt idx="3" formatCode="_(&quot;$&quot;* #,##0.00_);_(&quot;$&quot;* \(#,##0.00\);_(&quot;$&quot;* &quot;-&quot;??_);_(@_)">
                        <c:v>292186154.4000001</c:v>
                      </c:pt>
                      <c:pt idx="4" formatCode="_(&quot;$&quot;* #,##0.00_);_(&quot;$&quot;* \(#,##0.00\);_(&quot;$&quot;* &quot;-&quot;??_);_(@_)">
                        <c:v>292186154.4000001</c:v>
                      </c:pt>
                      <c:pt idx="5" formatCode="_(&quot;$&quot;* #,##0.00_);_(&quot;$&quot;* \(#,##0.00\);_(&quot;$&quot;* &quot;-&quot;??_);_(@_)">
                        <c:v>292186154.4000001</c:v>
                      </c:pt>
                      <c:pt idx="6" formatCode="_(&quot;$&quot;* #,##0.00_);_(&quot;$&quot;* \(#,##0.00\);_(&quot;$&quot;* &quot;-&quot;??_);_(@_)">
                        <c:v>292186154.4000001</c:v>
                      </c:pt>
                      <c:pt idx="7" formatCode="_(&quot;$&quot;* #,##0.00_);_(&quot;$&quot;* \(#,##0.00\);_(&quot;$&quot;* &quot;-&quot;??_);_(@_)">
                        <c:v>292186154.4000001</c:v>
                      </c:pt>
                      <c:pt idx="8" formatCode="_(&quot;$&quot;* #,##0.00_);_(&quot;$&quot;* \(#,##0.00\);_(&quot;$&quot;* &quot;-&quot;??_);_(@_)">
                        <c:v>292186154.4000001</c:v>
                      </c:pt>
                      <c:pt idx="9" formatCode="_(&quot;$&quot;* #,##0.00_);_(&quot;$&quot;* \(#,##0.00\);_(&quot;$&quot;* &quot;-&quot;??_);_(@_)">
                        <c:v>292186154.4000001</c:v>
                      </c:pt>
                      <c:pt idx="10" formatCode="_(&quot;$&quot;* #,##0.00_);_(&quot;$&quot;* \(#,##0.00\);_(&quot;$&quot;* &quot;-&quot;??_);_(@_)">
                        <c:v>292186154.4000001</c:v>
                      </c:pt>
                      <c:pt idx="11" formatCode="_(&quot;$&quot;* #,##0.00_);_(&quot;$&quot;* \(#,##0.00\);_(&quot;$&quot;* &quot;-&quot;??_);_(@_)">
                        <c:v>292186154.4000001</c:v>
                      </c:pt>
                      <c:pt idx="12" formatCode="_(&quot;$&quot;* #,##0.00_);_(&quot;$&quot;* \(#,##0.00\);_(&quot;$&quot;* &quot;-&quot;??_);_(@_)">
                        <c:v>292186154.4000001</c:v>
                      </c:pt>
                      <c:pt idx="13" formatCode="_(&quot;$&quot;* #,##0.00_);_(&quot;$&quot;* \(#,##0.00\);_(&quot;$&quot;* &quot;-&quot;??_);_(@_)">
                        <c:v>292186154.4000001</c:v>
                      </c:pt>
                      <c:pt idx="14" formatCode="_(&quot;$&quot;* #,##0.00_);_(&quot;$&quot;* \(#,##0.00\);_(&quot;$&quot;* &quot;-&quot;??_);_(@_)">
                        <c:v>292186154.4000001</c:v>
                      </c:pt>
                      <c:pt idx="15" formatCode="_(&quot;$&quot;* #,##0.00_);_(&quot;$&quot;* \(#,##0.00\);_(&quot;$&quot;* &quot;-&quot;??_);_(@_)">
                        <c:v>292186154.4000001</c:v>
                      </c:pt>
                      <c:pt idx="16" formatCode="_(&quot;$&quot;* #,##0.00_);_(&quot;$&quot;* \(#,##0.00\);_(&quot;$&quot;* &quot;-&quot;??_);_(@_)">
                        <c:v>292186154.4000001</c:v>
                      </c:pt>
                      <c:pt idx="17" formatCode="_(&quot;$&quot;* #,##0.00_);_(&quot;$&quot;* \(#,##0.00\);_(&quot;$&quot;* &quot;-&quot;??_);_(@_)">
                        <c:v>292186154.4000001</c:v>
                      </c:pt>
                      <c:pt idx="18" formatCode="_(&quot;$&quot;* #,##0.00_);_(&quot;$&quot;* \(#,##0.00\);_(&quot;$&quot;* &quot;-&quot;??_);_(@_)">
                        <c:v>292186154.4000001</c:v>
                      </c:pt>
                      <c:pt idx="19" formatCode="_(&quot;$&quot;* #,##0.00_);_(&quot;$&quot;* \(#,##0.00\);_(&quot;$&quot;* &quot;-&quot;??_);_(@_)">
                        <c:v>292186154.4000001</c:v>
                      </c:pt>
                      <c:pt idx="20" formatCode="_(&quot;$&quot;* #,##0.00_);_(&quot;$&quot;* \(#,##0.00\);_(&quot;$&quot;* &quot;-&quot;??_);_(@_)">
                        <c:v>292186154.4000001</c:v>
                      </c:pt>
                      <c:pt idx="21" formatCode="_(&quot;$&quot;* #,##0.00_);_(&quot;$&quot;* \(#,##0.00\);_(&quot;$&quot;* &quot;-&quot;??_);_(@_)">
                        <c:v>292186154.4000001</c:v>
                      </c:pt>
                      <c:pt idx="22" formatCode="_(&quot;$&quot;* #,##0.00_);_(&quot;$&quot;* \(#,##0.00\);_(&quot;$&quot;* &quot;-&quot;??_);_(@_)">
                        <c:v>292186154.4000001</c:v>
                      </c:pt>
                      <c:pt idx="23" formatCode="_(&quot;$&quot;* #,##0.00_);_(&quot;$&quot;* \(#,##0.00\);_(&quot;$&quot;* &quot;-&quot;??_);_(@_)">
                        <c:v>292186154.4000001</c:v>
                      </c:pt>
                      <c:pt idx="24" formatCode="_(&quot;$&quot;* #,##0.00_);_(&quot;$&quot;* \(#,##0.00\);_(&quot;$&quot;* &quot;-&quot;??_);_(@_)">
                        <c:v>292186154.4000001</c:v>
                      </c:pt>
                      <c:pt idx="25" formatCode="_(&quot;$&quot;* #,##0.00_);_(&quot;$&quot;* \(#,##0.00\);_(&quot;$&quot;* &quot;-&quot;??_);_(@_)">
                        <c:v>292186154.4000001</c:v>
                      </c:pt>
                      <c:pt idx="26" formatCode="_(&quot;$&quot;* #,##0.00_);_(&quot;$&quot;* \(#,##0.00\);_(&quot;$&quot;* &quot;-&quot;??_);_(@_)">
                        <c:v>292186154.4000001</c:v>
                      </c:pt>
                      <c:pt idx="27" formatCode="_(&quot;$&quot;* #,##0.00_);_(&quot;$&quot;* \(#,##0.00\);_(&quot;$&quot;* &quot;-&quot;??_);_(@_)">
                        <c:v>292186154.4000001</c:v>
                      </c:pt>
                      <c:pt idx="28" formatCode="_(&quot;$&quot;* #,##0.00_);_(&quot;$&quot;* \(#,##0.00\);_(&quot;$&quot;* &quot;-&quot;??_);_(@_)">
                        <c:v>292186154.4000001</c:v>
                      </c:pt>
                      <c:pt idx="29" formatCode="_(&quot;$&quot;* #,##0.00_);_(&quot;$&quot;* \(#,##0.00\);_(&quot;$&quot;* &quot;-&quot;??_);_(@_)">
                        <c:v>292186154.4000001</c:v>
                      </c:pt>
                      <c:pt idx="30" formatCode="_(&quot;$&quot;* #,##0.00_);_(&quot;$&quot;* \(#,##0.00\);_(&quot;$&quot;* &quot;-&quot;??_);_(@_)">
                        <c:v>292186154.4000001</c:v>
                      </c:pt>
                      <c:pt idx="31" formatCode="_(&quot;$&quot;* #,##0.00_);_(&quot;$&quot;* \(#,##0.00\);_(&quot;$&quot;* &quot;-&quot;??_);_(@_)">
                        <c:v>292186154.4000001</c:v>
                      </c:pt>
                      <c:pt idx="32" formatCode="_(&quot;$&quot;* #,##0.00_);_(&quot;$&quot;* \(#,##0.00\);_(&quot;$&quot;* &quot;-&quot;??_);_(@_)">
                        <c:v>292186154.4000001</c:v>
                      </c:pt>
                      <c:pt idx="33" formatCode="_(&quot;$&quot;* #,##0.00_);_(&quot;$&quot;* \(#,##0.00\);_(&quot;$&quot;* &quot;-&quot;??_);_(@_)">
                        <c:v>292186154.4000001</c:v>
                      </c:pt>
                      <c:pt idx="34" formatCode="_(&quot;$&quot;* #,##0.00_);_(&quot;$&quot;* \(#,##0.00\);_(&quot;$&quot;* &quot;-&quot;??_);_(@_)">
                        <c:v>292186154.4000001</c:v>
                      </c:pt>
                      <c:pt idx="35" formatCode="_(&quot;$&quot;* #,##0.00_);_(&quot;$&quot;* \(#,##0.00\);_(&quot;$&quot;* &quot;-&quot;??_);_(@_)">
                        <c:v>292186154.4000001</c:v>
                      </c:pt>
                      <c:pt idx="36" formatCode="_(&quot;$&quot;* #,##0.00_);_(&quot;$&quot;* \(#,##0.00\);_(&quot;$&quot;* &quot;-&quot;??_);_(@_)">
                        <c:v>292186154.4000001</c:v>
                      </c:pt>
                      <c:pt idx="37" formatCode="_(&quot;$&quot;* #,##0.00_);_(&quot;$&quot;* \(#,##0.00\);_(&quot;$&quot;* &quot;-&quot;??_);_(@_)">
                        <c:v>292186154.4000001</c:v>
                      </c:pt>
                      <c:pt idx="38" formatCode="_(&quot;$&quot;* #,##0.00_);_(&quot;$&quot;* \(#,##0.00\);_(&quot;$&quot;* &quot;-&quot;??_);_(@_)">
                        <c:v>292186154.4000001</c:v>
                      </c:pt>
                      <c:pt idx="39" formatCode="_(&quot;$&quot;* #,##0.00_);_(&quot;$&quot;* \(#,##0.00\);_(&quot;$&quot;* &quot;-&quot;??_);_(@_)">
                        <c:v>292186154.4000001</c:v>
                      </c:pt>
                      <c:pt idx="40" formatCode="_(&quot;$&quot;* #,##0.00_);_(&quot;$&quot;* \(#,##0.00\);_(&quot;$&quot;* &quot;-&quot;??_);_(@_)">
                        <c:v>292186154.4000001</c:v>
                      </c:pt>
                      <c:pt idx="41" formatCode="_(&quot;$&quot;* #,##0.00_);_(&quot;$&quot;* \(#,##0.00\);_(&quot;$&quot;* &quot;-&quot;??_);_(@_)">
                        <c:v>292186154.4000001</c:v>
                      </c:pt>
                      <c:pt idx="42" formatCode="_(&quot;$&quot;* #,##0.00_);_(&quot;$&quot;* \(#,##0.00\);_(&quot;$&quot;* &quot;-&quot;??_);_(@_)">
                        <c:v>292186154.4000001</c:v>
                      </c:pt>
                      <c:pt idx="43" formatCode="_(&quot;$&quot;* #,##0.00_);_(&quot;$&quot;* \(#,##0.00\);_(&quot;$&quot;* &quot;-&quot;??_);_(@_)">
                        <c:v>292186154.4000001</c:v>
                      </c:pt>
                      <c:pt idx="44" formatCode="_(&quot;$&quot;* #,##0.00_);_(&quot;$&quot;* \(#,##0.00\);_(&quot;$&quot;* &quot;-&quot;??_);_(@_)">
                        <c:v>292186154.4000001</c:v>
                      </c:pt>
                      <c:pt idx="45" formatCode="_(&quot;$&quot;* #,##0.00_);_(&quot;$&quot;* \(#,##0.00\);_(&quot;$&quot;* &quot;-&quot;??_);_(@_)">
                        <c:v>292186154.4000001</c:v>
                      </c:pt>
                      <c:pt idx="46" formatCode="_(&quot;$&quot;* #,##0.00_);_(&quot;$&quot;* \(#,##0.00\);_(&quot;$&quot;* &quot;-&quot;??_);_(@_)">
                        <c:v>292186154.4000001</c:v>
                      </c:pt>
                      <c:pt idx="47" formatCode="_(&quot;$&quot;* #,##0.00_);_(&quot;$&quot;* \(#,##0.00\);_(&quot;$&quot;* &quot;-&quot;??_);_(@_)">
                        <c:v>292186154.4000001</c:v>
                      </c:pt>
                      <c:pt idx="48" formatCode="_(&quot;$&quot;* #,##0.00_);_(&quot;$&quot;* \(#,##0.00\);_(&quot;$&quot;* &quot;-&quot;??_);_(@_)">
                        <c:v>292186154.4000001</c:v>
                      </c:pt>
                      <c:pt idx="49" formatCode="_(&quot;$&quot;* #,##0.00_);_(&quot;$&quot;* \(#,##0.00\);_(&quot;$&quot;* &quot;-&quot;??_);_(@_)">
                        <c:v>292186154.4000001</c:v>
                      </c:pt>
                      <c:pt idx="50" formatCode="_(&quot;$&quot;* #,##0.00_);_(&quot;$&quot;* \(#,##0.00\);_(&quot;$&quot;* &quot;-&quot;??_);_(@_)">
                        <c:v>292186154.4000001</c:v>
                      </c:pt>
                      <c:pt idx="51" formatCode="_(&quot;$&quot;* #,##0.00_);_(&quot;$&quot;* \(#,##0.00\);_(&quot;$&quot;* &quot;-&quot;??_);_(@_)">
                        <c:v>292186154.4000001</c:v>
                      </c:pt>
                      <c:pt idx="52" formatCode="_(&quot;$&quot;* #,##0.00_);_(&quot;$&quot;* \(#,##0.00\);_(&quot;$&quot;* &quot;-&quot;??_);_(@_)">
                        <c:v>292186154.4000001</c:v>
                      </c:pt>
                      <c:pt idx="53" formatCode="_(&quot;$&quot;* #,##0.00_);_(&quot;$&quot;* \(#,##0.00\);_(&quot;$&quot;* &quot;-&quot;??_);_(@_)">
                        <c:v>292186154.4000001</c:v>
                      </c:pt>
                      <c:pt idx="54" formatCode="_(&quot;$&quot;* #,##0.00_);_(&quot;$&quot;* \(#,##0.00\);_(&quot;$&quot;* &quot;-&quot;??_);_(@_)">
                        <c:v>292186154.4000001</c:v>
                      </c:pt>
                      <c:pt idx="55" formatCode="_(&quot;$&quot;* #,##0.00_);_(&quot;$&quot;* \(#,##0.00\);_(&quot;$&quot;* &quot;-&quot;??_);_(@_)">
                        <c:v>292186154.4000001</c:v>
                      </c:pt>
                      <c:pt idx="56" formatCode="_(&quot;$&quot;* #,##0.00_);_(&quot;$&quot;* \(#,##0.00\);_(&quot;$&quot;* &quot;-&quot;??_);_(@_)">
                        <c:v>292186154.4000001</c:v>
                      </c:pt>
                      <c:pt idx="57" formatCode="_(&quot;$&quot;* #,##0.00_);_(&quot;$&quot;* \(#,##0.00\);_(&quot;$&quot;* &quot;-&quot;??_);_(@_)">
                        <c:v>292186154.4000001</c:v>
                      </c:pt>
                      <c:pt idx="58" formatCode="_(&quot;$&quot;* #,##0.00_);_(&quot;$&quot;* \(#,##0.00\);_(&quot;$&quot;* &quot;-&quot;??_);_(@_)">
                        <c:v>292186154.4000001</c:v>
                      </c:pt>
                      <c:pt idx="59" formatCode="_(&quot;$&quot;* #,##0.00_);_(&quot;$&quot;* \(#,##0.00\);_(&quot;$&quot;* &quot;-&quot;??_);_(@_)">
                        <c:v>292186154.4000001</c:v>
                      </c:pt>
                      <c:pt idx="60" formatCode="_(&quot;$&quot;* #,##0.00_);_(&quot;$&quot;* \(#,##0.00\);_(&quot;$&quot;* &quot;-&quot;??_);_(@_)">
                        <c:v>292186154.4000001</c:v>
                      </c:pt>
                      <c:pt idx="61" formatCode="_(&quot;$&quot;* #,##0.00_);_(&quot;$&quot;* \(#,##0.00\);_(&quot;$&quot;* &quot;-&quot;??_);_(@_)">
                        <c:v>292186154.4000001</c:v>
                      </c:pt>
                      <c:pt idx="62" formatCode="_(&quot;$&quot;* #,##0.00_);_(&quot;$&quot;* \(#,##0.00\);_(&quot;$&quot;* &quot;-&quot;??_);_(@_)">
                        <c:v>292186154.4000001</c:v>
                      </c:pt>
                      <c:pt idx="63" formatCode="_(&quot;$&quot;* #,##0.00_);_(&quot;$&quot;* \(#,##0.00\);_(&quot;$&quot;* &quot;-&quot;??_);_(@_)">
                        <c:v>292186154.4000001</c:v>
                      </c:pt>
                      <c:pt idx="64" formatCode="_(&quot;$&quot;* #,##0.00_);_(&quot;$&quot;* \(#,##0.00\);_(&quot;$&quot;* &quot;-&quot;??_);_(@_)">
                        <c:v>292186154.4000001</c:v>
                      </c:pt>
                      <c:pt idx="65" formatCode="_(&quot;$&quot;* #,##0.00_);_(&quot;$&quot;* \(#,##0.00\);_(&quot;$&quot;* &quot;-&quot;??_);_(@_)">
                        <c:v>292186154.4000001</c:v>
                      </c:pt>
                      <c:pt idx="66" formatCode="_(&quot;$&quot;* #,##0.00_);_(&quot;$&quot;* \(#,##0.00\);_(&quot;$&quot;* &quot;-&quot;??_);_(@_)">
                        <c:v>292186154.4000001</c:v>
                      </c:pt>
                      <c:pt idx="67" formatCode="_(&quot;$&quot;* #,##0.00_);_(&quot;$&quot;* \(#,##0.00\);_(&quot;$&quot;* &quot;-&quot;??_);_(@_)">
                        <c:v>292186154.4000001</c:v>
                      </c:pt>
                      <c:pt idx="68" formatCode="_(&quot;$&quot;* #,##0.00_);_(&quot;$&quot;* \(#,##0.00\);_(&quot;$&quot;* &quot;-&quot;??_);_(@_)">
                        <c:v>292186154.4000001</c:v>
                      </c:pt>
                      <c:pt idx="69" formatCode="_(&quot;$&quot;* #,##0.00_);_(&quot;$&quot;* \(#,##0.00\);_(&quot;$&quot;* &quot;-&quot;??_);_(@_)">
                        <c:v>292186154.4000001</c:v>
                      </c:pt>
                      <c:pt idx="70" formatCode="_(&quot;$&quot;* #,##0.00_);_(&quot;$&quot;* \(#,##0.00\);_(&quot;$&quot;* &quot;-&quot;??_);_(@_)">
                        <c:v>292186154.4000001</c:v>
                      </c:pt>
                      <c:pt idx="71" formatCode="_(&quot;$&quot;* #,##0.00_);_(&quot;$&quot;* \(#,##0.00\);_(&quot;$&quot;* &quot;-&quot;??_);_(@_)">
                        <c:v>292186154.4000001</c:v>
                      </c:pt>
                      <c:pt idx="72" formatCode="_(&quot;$&quot;* #,##0.00_);_(&quot;$&quot;* \(#,##0.00\);_(&quot;$&quot;* &quot;-&quot;??_);_(@_)">
                        <c:v>292186154.4000001</c:v>
                      </c:pt>
                      <c:pt idx="73" formatCode="_(&quot;$&quot;* #,##0.00_);_(&quot;$&quot;* \(#,##0.00\);_(&quot;$&quot;* &quot;-&quot;??_);_(@_)">
                        <c:v>292186154.4000001</c:v>
                      </c:pt>
                      <c:pt idx="74" formatCode="_(&quot;$&quot;* #,##0.00_);_(&quot;$&quot;* \(#,##0.00\);_(&quot;$&quot;* &quot;-&quot;??_);_(@_)">
                        <c:v>292186154.4000001</c:v>
                      </c:pt>
                      <c:pt idx="75" formatCode="_(&quot;$&quot;* #,##0.00_);_(&quot;$&quot;* \(#,##0.00\);_(&quot;$&quot;* &quot;-&quot;??_);_(@_)">
                        <c:v>292186154.4000001</c:v>
                      </c:pt>
                      <c:pt idx="76" formatCode="_(&quot;$&quot;* #,##0.00_);_(&quot;$&quot;* \(#,##0.00\);_(&quot;$&quot;* &quot;-&quot;??_);_(@_)">
                        <c:v>292186154.4000001</c:v>
                      </c:pt>
                      <c:pt idx="77" formatCode="_(&quot;$&quot;* #,##0.00_);_(&quot;$&quot;* \(#,##0.00\);_(&quot;$&quot;* &quot;-&quot;??_);_(@_)">
                        <c:v>292186154.4000001</c:v>
                      </c:pt>
                      <c:pt idx="78" formatCode="_(&quot;$&quot;* #,##0.00_);_(&quot;$&quot;* \(#,##0.00\);_(&quot;$&quot;* &quot;-&quot;??_);_(@_)">
                        <c:v>292186154.4000001</c:v>
                      </c:pt>
                      <c:pt idx="79" formatCode="_(&quot;$&quot;* #,##0.00_);_(&quot;$&quot;* \(#,##0.00\);_(&quot;$&quot;* &quot;-&quot;??_);_(@_)">
                        <c:v>292186154.4000001</c:v>
                      </c:pt>
                      <c:pt idx="80" formatCode="_(&quot;$&quot;* #,##0.00_);_(&quot;$&quot;* \(#,##0.00\);_(&quot;$&quot;* &quot;-&quot;??_);_(@_)">
                        <c:v>292186154.4000001</c:v>
                      </c:pt>
                      <c:pt idx="81" formatCode="_(&quot;$&quot;* #,##0.00_);_(&quot;$&quot;* \(#,##0.00\);_(&quot;$&quot;* &quot;-&quot;??_);_(@_)">
                        <c:v>292186154.4000001</c:v>
                      </c:pt>
                      <c:pt idx="82" formatCode="_(&quot;$&quot;* #,##0.00_);_(&quot;$&quot;* \(#,##0.00\);_(&quot;$&quot;* &quot;-&quot;??_);_(@_)">
                        <c:v>292186154.4000001</c:v>
                      </c:pt>
                      <c:pt idx="83" formatCode="_(&quot;$&quot;* #,##0.00_);_(&quot;$&quot;* \(#,##0.00\);_(&quot;$&quot;* &quot;-&quot;??_);_(@_)">
                        <c:v>292186154.4000001</c:v>
                      </c:pt>
                      <c:pt idx="84" formatCode="_(&quot;$&quot;* #,##0.00_);_(&quot;$&quot;* \(#,##0.00\);_(&quot;$&quot;* &quot;-&quot;??_);_(@_)">
                        <c:v>292186154.4000001</c:v>
                      </c:pt>
                      <c:pt idx="85" formatCode="_(&quot;$&quot;* #,##0.00_);_(&quot;$&quot;* \(#,##0.00\);_(&quot;$&quot;* &quot;-&quot;??_);_(@_)">
                        <c:v>292186154.4000001</c:v>
                      </c:pt>
                      <c:pt idx="86" formatCode="_(&quot;$&quot;* #,##0.00_);_(&quot;$&quot;* \(#,##0.00\);_(&quot;$&quot;* &quot;-&quot;??_);_(@_)">
                        <c:v>292186154.4000001</c:v>
                      </c:pt>
                      <c:pt idx="87" formatCode="_(&quot;$&quot;* #,##0.00_);_(&quot;$&quot;* \(#,##0.00\);_(&quot;$&quot;* &quot;-&quot;??_);_(@_)">
                        <c:v>292186154.4000001</c:v>
                      </c:pt>
                      <c:pt idx="88" formatCode="_(&quot;$&quot;* #,##0.00_);_(&quot;$&quot;* \(#,##0.00\);_(&quot;$&quot;* &quot;-&quot;??_);_(@_)">
                        <c:v>292186154.4000001</c:v>
                      </c:pt>
                      <c:pt idx="89" formatCode="_(&quot;$&quot;* #,##0.00_);_(&quot;$&quot;* \(#,##0.00\);_(&quot;$&quot;* &quot;-&quot;??_);_(@_)">
                        <c:v>292186154.4000001</c:v>
                      </c:pt>
                      <c:pt idx="90" formatCode="_(&quot;$&quot;* #,##0.00_);_(&quot;$&quot;* \(#,##0.00\);_(&quot;$&quot;* &quot;-&quot;??_);_(@_)">
                        <c:v>292186154.4000001</c:v>
                      </c:pt>
                      <c:pt idx="91" formatCode="_(&quot;$&quot;* #,##0.00_);_(&quot;$&quot;* \(#,##0.00\);_(&quot;$&quot;* &quot;-&quot;??_);_(@_)">
                        <c:v>292186154.4000001</c:v>
                      </c:pt>
                      <c:pt idx="92" formatCode="_(&quot;$&quot;* #,##0.00_);_(&quot;$&quot;* \(#,##0.00\);_(&quot;$&quot;* &quot;-&quot;??_);_(@_)">
                        <c:v>292186154.4000001</c:v>
                      </c:pt>
                      <c:pt idx="93" formatCode="_(&quot;$&quot;* #,##0.00_);_(&quot;$&quot;* \(#,##0.00\);_(&quot;$&quot;* &quot;-&quot;??_);_(@_)">
                        <c:v>292186154.4000001</c:v>
                      </c:pt>
                      <c:pt idx="94" formatCode="_(&quot;$&quot;* #,##0.00_);_(&quot;$&quot;* \(#,##0.00\);_(&quot;$&quot;* &quot;-&quot;??_);_(@_)">
                        <c:v>292186154.4000001</c:v>
                      </c:pt>
                      <c:pt idx="95" formatCode="_(&quot;$&quot;* #,##0.00_);_(&quot;$&quot;* \(#,##0.00\);_(&quot;$&quot;* &quot;-&quot;??_);_(@_)">
                        <c:v>292186154.4000001</c:v>
                      </c:pt>
                      <c:pt idx="96" formatCode="_(&quot;$&quot;* #,##0.00_);_(&quot;$&quot;* \(#,##0.00\);_(&quot;$&quot;* &quot;-&quot;??_);_(@_)">
                        <c:v>292186154.4000001</c:v>
                      </c:pt>
                      <c:pt idx="97" formatCode="_(&quot;$&quot;* #,##0.00_);_(&quot;$&quot;* \(#,##0.00\);_(&quot;$&quot;* &quot;-&quot;??_);_(@_)">
                        <c:v>292186154.4000001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554-425D-91D2-CC2F39164CA8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'Flujo de caja'!$G$8</c15:sqref>
                        </c15:formulaRef>
                      </c:ext>
                    </c:extLst>
                    <c:strCache>
                      <c:ptCount val="1"/>
                      <c:pt idx="0">
                        <c:v>Costos Operativos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'Flujo de caja'!$G$9:$G$106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98"/>
                      <c:pt idx="1">
                        <c:v>227223983.47068</c:v>
                      </c:pt>
                      <c:pt idx="2">
                        <c:v>227223983.47068</c:v>
                      </c:pt>
                      <c:pt idx="3">
                        <c:v>227223983.47068</c:v>
                      </c:pt>
                      <c:pt idx="4">
                        <c:v>227223983.47068</c:v>
                      </c:pt>
                      <c:pt idx="5">
                        <c:v>227223983.47068</c:v>
                      </c:pt>
                      <c:pt idx="6">
                        <c:v>227223983.47068</c:v>
                      </c:pt>
                      <c:pt idx="7">
                        <c:v>227223983.47068</c:v>
                      </c:pt>
                      <c:pt idx="8">
                        <c:v>227223983.47068</c:v>
                      </c:pt>
                      <c:pt idx="9">
                        <c:v>227223983.47068</c:v>
                      </c:pt>
                      <c:pt idx="10">
                        <c:v>227223983.47068</c:v>
                      </c:pt>
                      <c:pt idx="11">
                        <c:v>227223983.47068</c:v>
                      </c:pt>
                      <c:pt idx="12">
                        <c:v>227223983.47068</c:v>
                      </c:pt>
                      <c:pt idx="13">
                        <c:v>254537423.47068</c:v>
                      </c:pt>
                      <c:pt idx="14">
                        <c:v>227223983.47068</c:v>
                      </c:pt>
                      <c:pt idx="15">
                        <c:v>227223983.47068</c:v>
                      </c:pt>
                      <c:pt idx="16">
                        <c:v>227223983.47068</c:v>
                      </c:pt>
                      <c:pt idx="17">
                        <c:v>227223983.47068</c:v>
                      </c:pt>
                      <c:pt idx="18">
                        <c:v>227223983.47068</c:v>
                      </c:pt>
                      <c:pt idx="19">
                        <c:v>227223983.47068</c:v>
                      </c:pt>
                      <c:pt idx="20">
                        <c:v>227223983.47068</c:v>
                      </c:pt>
                      <c:pt idx="21">
                        <c:v>227223983.47068</c:v>
                      </c:pt>
                      <c:pt idx="22">
                        <c:v>227223983.47068</c:v>
                      </c:pt>
                      <c:pt idx="23">
                        <c:v>227223983.47068</c:v>
                      </c:pt>
                      <c:pt idx="24">
                        <c:v>227223983.47068</c:v>
                      </c:pt>
                      <c:pt idx="25">
                        <c:v>254537423.47068</c:v>
                      </c:pt>
                      <c:pt idx="26">
                        <c:v>227223983.47068</c:v>
                      </c:pt>
                      <c:pt idx="27">
                        <c:v>227223983.47068</c:v>
                      </c:pt>
                      <c:pt idx="28">
                        <c:v>227223983.47068</c:v>
                      </c:pt>
                      <c:pt idx="29">
                        <c:v>227223983.47068</c:v>
                      </c:pt>
                      <c:pt idx="30">
                        <c:v>227223983.47068</c:v>
                      </c:pt>
                      <c:pt idx="31">
                        <c:v>227223983.47068</c:v>
                      </c:pt>
                      <c:pt idx="32">
                        <c:v>227223983.47068</c:v>
                      </c:pt>
                      <c:pt idx="33">
                        <c:v>227223983.47068</c:v>
                      </c:pt>
                      <c:pt idx="34">
                        <c:v>227223983.47068</c:v>
                      </c:pt>
                      <c:pt idx="35">
                        <c:v>227223983.47068</c:v>
                      </c:pt>
                      <c:pt idx="36">
                        <c:v>227223983.47068</c:v>
                      </c:pt>
                      <c:pt idx="37">
                        <c:v>254537423.47068</c:v>
                      </c:pt>
                      <c:pt idx="38">
                        <c:v>227223983.47068</c:v>
                      </c:pt>
                      <c:pt idx="39">
                        <c:v>227223983.47068</c:v>
                      </c:pt>
                      <c:pt idx="40">
                        <c:v>227223983.47068</c:v>
                      </c:pt>
                      <c:pt idx="41">
                        <c:v>227223983.47068</c:v>
                      </c:pt>
                      <c:pt idx="42">
                        <c:v>227223983.47068</c:v>
                      </c:pt>
                      <c:pt idx="43">
                        <c:v>227223983.47068</c:v>
                      </c:pt>
                      <c:pt idx="44">
                        <c:v>227223983.47068</c:v>
                      </c:pt>
                      <c:pt idx="45">
                        <c:v>227223983.47068</c:v>
                      </c:pt>
                      <c:pt idx="46">
                        <c:v>227223983.47068</c:v>
                      </c:pt>
                      <c:pt idx="47">
                        <c:v>227223983.47068</c:v>
                      </c:pt>
                      <c:pt idx="48">
                        <c:v>227223983.47068</c:v>
                      </c:pt>
                      <c:pt idx="49">
                        <c:v>254537423.47068</c:v>
                      </c:pt>
                      <c:pt idx="50">
                        <c:v>227223983.47068</c:v>
                      </c:pt>
                      <c:pt idx="51">
                        <c:v>227223983.47068</c:v>
                      </c:pt>
                      <c:pt idx="52">
                        <c:v>227223983.47068</c:v>
                      </c:pt>
                      <c:pt idx="53">
                        <c:v>227223983.47068</c:v>
                      </c:pt>
                      <c:pt idx="54">
                        <c:v>227223983.47068</c:v>
                      </c:pt>
                      <c:pt idx="55">
                        <c:v>227223983.47068</c:v>
                      </c:pt>
                      <c:pt idx="56">
                        <c:v>227223983.47068</c:v>
                      </c:pt>
                      <c:pt idx="57">
                        <c:v>227223983.47068</c:v>
                      </c:pt>
                      <c:pt idx="58">
                        <c:v>227223983.47068</c:v>
                      </c:pt>
                      <c:pt idx="59">
                        <c:v>227223983.47068</c:v>
                      </c:pt>
                      <c:pt idx="60">
                        <c:v>227223983.47068</c:v>
                      </c:pt>
                      <c:pt idx="61">
                        <c:v>254537423.47068</c:v>
                      </c:pt>
                      <c:pt idx="62">
                        <c:v>227223983.47068</c:v>
                      </c:pt>
                      <c:pt idx="63">
                        <c:v>227223983.47068</c:v>
                      </c:pt>
                      <c:pt idx="64">
                        <c:v>227223983.47068</c:v>
                      </c:pt>
                      <c:pt idx="65">
                        <c:v>227223983.47068</c:v>
                      </c:pt>
                      <c:pt idx="66">
                        <c:v>227223983.47068</c:v>
                      </c:pt>
                      <c:pt idx="67">
                        <c:v>227223983.47068</c:v>
                      </c:pt>
                      <c:pt idx="68">
                        <c:v>227223983.47068</c:v>
                      </c:pt>
                      <c:pt idx="69">
                        <c:v>227223983.47068</c:v>
                      </c:pt>
                      <c:pt idx="70">
                        <c:v>227223983.47068</c:v>
                      </c:pt>
                      <c:pt idx="71">
                        <c:v>227223983.47068</c:v>
                      </c:pt>
                      <c:pt idx="72">
                        <c:v>227223983.47068</c:v>
                      </c:pt>
                      <c:pt idx="73">
                        <c:v>254537423.47068</c:v>
                      </c:pt>
                      <c:pt idx="74">
                        <c:v>227223983.47068</c:v>
                      </c:pt>
                      <c:pt idx="75">
                        <c:v>227223983.47068</c:v>
                      </c:pt>
                      <c:pt idx="76">
                        <c:v>227223983.47068</c:v>
                      </c:pt>
                      <c:pt idx="77">
                        <c:v>227223983.47068</c:v>
                      </c:pt>
                      <c:pt idx="78">
                        <c:v>227223983.47068</c:v>
                      </c:pt>
                      <c:pt idx="79">
                        <c:v>227223983.47068</c:v>
                      </c:pt>
                      <c:pt idx="80">
                        <c:v>227223983.47068</c:v>
                      </c:pt>
                      <c:pt idx="81">
                        <c:v>227223983.47068</c:v>
                      </c:pt>
                      <c:pt idx="82">
                        <c:v>227223983.47068</c:v>
                      </c:pt>
                      <c:pt idx="83">
                        <c:v>227223983.47068</c:v>
                      </c:pt>
                      <c:pt idx="84">
                        <c:v>227223983.47068</c:v>
                      </c:pt>
                      <c:pt idx="85">
                        <c:v>254537423.47068</c:v>
                      </c:pt>
                      <c:pt idx="86">
                        <c:v>227223983.47068</c:v>
                      </c:pt>
                      <c:pt idx="87">
                        <c:v>227223983.47068</c:v>
                      </c:pt>
                      <c:pt idx="88">
                        <c:v>227223983.47068</c:v>
                      </c:pt>
                      <c:pt idx="89">
                        <c:v>227223983.47068</c:v>
                      </c:pt>
                      <c:pt idx="90">
                        <c:v>227223983.47068</c:v>
                      </c:pt>
                      <c:pt idx="91">
                        <c:v>227223983.47068</c:v>
                      </c:pt>
                      <c:pt idx="92">
                        <c:v>227223983.47068</c:v>
                      </c:pt>
                      <c:pt idx="93">
                        <c:v>227223983.47068</c:v>
                      </c:pt>
                      <c:pt idx="94">
                        <c:v>227223983.47068</c:v>
                      </c:pt>
                      <c:pt idx="95">
                        <c:v>227223983.47068</c:v>
                      </c:pt>
                      <c:pt idx="96">
                        <c:v>227223983.47068</c:v>
                      </c:pt>
                      <c:pt idx="97">
                        <c:v>254537423.47068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C554-425D-91D2-CC2F39164CA8}"/>
                  </c:ext>
                </c:extLst>
              </c15:ser>
            </c15:filteredBarSeries>
          </c:ext>
        </c:extLst>
      </c:barChart>
      <c:catAx>
        <c:axId val="723139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23140944"/>
        <c:crosses val="autoZero"/>
        <c:auto val="1"/>
        <c:lblAlgn val="ctr"/>
        <c:lblOffset val="100"/>
        <c:noMultiLvlLbl val="0"/>
      </c:catAx>
      <c:valAx>
        <c:axId val="72314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2313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Flujo de Caja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'Flujo Ajustado'!$D$26</c:f>
              <c:strCache>
                <c:ptCount val="1"/>
                <c:pt idx="0">
                  <c:v>Mes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'Flujo Ajustado'!$E$26:$CX$26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E-4140-B42B-D74FA49A9EB2}"/>
            </c:ext>
          </c:extLst>
        </c:ser>
        <c:ser>
          <c:idx val="1"/>
          <c:order val="1"/>
          <c:tx>
            <c:strRef>
              <c:f>'Flujo Ajustado'!$D$27</c:f>
              <c:strCache>
                <c:ptCount val="1"/>
                <c:pt idx="0">
                  <c:v>Flujo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'Flujo Ajustado'!$E$27:$CX$27</c:f>
              <c:numCache>
                <c:formatCode>_("$"* #,##0.00_);_("$"* \(#,##0.00\);_("$"* "-"??_);_(@_)</c:formatCode>
                <c:ptCount val="98"/>
                <c:pt idx="0">
                  <c:v>-397661351</c:v>
                </c:pt>
                <c:pt idx="1">
                  <c:v>31624031.130120602</c:v>
                </c:pt>
                <c:pt idx="2">
                  <c:v>-11488098.307319509</c:v>
                </c:pt>
                <c:pt idx="3">
                  <c:v>-3789961.9873195016</c:v>
                </c:pt>
                <c:pt idx="4">
                  <c:v>200210650.49268034</c:v>
                </c:pt>
                <c:pt idx="5">
                  <c:v>60876949.146120518</c:v>
                </c:pt>
                <c:pt idx="6">
                  <c:v>-19186234.627319518</c:v>
                </c:pt>
                <c:pt idx="7">
                  <c:v>-7639030.1473194985</c:v>
                </c:pt>
                <c:pt idx="8">
                  <c:v>3908174.3326805211</c:v>
                </c:pt>
                <c:pt idx="9">
                  <c:v>92436742.012680322</c:v>
                </c:pt>
                <c:pt idx="10">
                  <c:v>59106.172680464864</c:v>
                </c:pt>
                <c:pt idx="11">
                  <c:v>30851651.452680435</c:v>
                </c:pt>
                <c:pt idx="12">
                  <c:v>792967147.13268018</c:v>
                </c:pt>
                <c:pt idx="13">
                  <c:v>10222934.882728068</c:v>
                </c:pt>
                <c:pt idx="14">
                  <c:v>-12345561.86254126</c:v>
                </c:pt>
                <c:pt idx="15">
                  <c:v>-4990410.9646299211</c:v>
                </c:pt>
                <c:pt idx="16">
                  <c:v>189921087.83001986</c:v>
                </c:pt>
                <c:pt idx="17">
                  <c:v>56795308.294791102</c:v>
                </c:pt>
                <c:pt idx="18">
                  <c:v>-19700712.760452557</c:v>
                </c:pt>
                <c:pt idx="19">
                  <c:v>-8667986.4135855753</c:v>
                </c:pt>
                <c:pt idx="20">
                  <c:v>2364739.9332813895</c:v>
                </c:pt>
                <c:pt idx="21">
                  <c:v>86948975.25926131</c:v>
                </c:pt>
                <c:pt idx="22">
                  <c:v>-1312835.5156742882</c:v>
                </c:pt>
                <c:pt idx="23">
                  <c:v>28107768.075970929</c:v>
                </c:pt>
                <c:pt idx="24">
                  <c:v>756267706.96919084</c:v>
                </c:pt>
                <c:pt idx="25">
                  <c:v>7444846.4928769143</c:v>
                </c:pt>
                <c:pt idx="26">
                  <c:v>-13202961.266840799</c:v>
                </c:pt>
                <c:pt idx="27">
                  <c:v>-6190770.1306493012</c:v>
                </c:pt>
                <c:pt idx="28">
                  <c:v>179632294.97842523</c:v>
                </c:pt>
                <c:pt idx="29">
                  <c:v>52713972.81040448</c:v>
                </c:pt>
                <c:pt idx="30">
                  <c:v>-20215152.403032299</c:v>
                </c:pt>
                <c:pt idx="31">
                  <c:v>-9696865.6987450551</c:v>
                </c:pt>
                <c:pt idx="32">
                  <c:v>821421.00554215652</c:v>
                </c:pt>
                <c:pt idx="33">
                  <c:v>81461619.071744174</c:v>
                </c:pt>
                <c:pt idx="34">
                  <c:v>-2684674.562553572</c:v>
                </c:pt>
                <c:pt idx="35">
                  <c:v>25364089.982212361</c:v>
                </c:pt>
                <c:pt idx="36">
                  <c:v>719571012.46516919</c:v>
                </c:pt>
                <c:pt idx="37">
                  <c:v>4666758.1030257912</c:v>
                </c:pt>
                <c:pt idx="38">
                  <c:v>-14060360.671140386</c:v>
                </c:pt>
                <c:pt idx="39">
                  <c:v>-7391129.2966687335</c:v>
                </c:pt>
                <c:pt idx="40">
                  <c:v>169343502.12683019</c:v>
                </c:pt>
                <c:pt idx="41">
                  <c:v>48632637.326018035</c:v>
                </c:pt>
                <c:pt idx="42">
                  <c:v>-20729592.045612041</c:v>
                </c:pt>
                <c:pt idx="43">
                  <c:v>-10725744.983904572</c:v>
                </c:pt>
                <c:pt idx="44">
                  <c:v>-721897.92219707626</c:v>
                </c:pt>
                <c:pt idx="45">
                  <c:v>75974262.884226859</c:v>
                </c:pt>
                <c:pt idx="46">
                  <c:v>-4056513.6094329306</c:v>
                </c:pt>
                <c:pt idx="47">
                  <c:v>22620411.888453703</c:v>
                </c:pt>
                <c:pt idx="48">
                  <c:v>682874317.96114779</c:v>
                </c:pt>
                <c:pt idx="49">
                  <c:v>1888669.7131746088</c:v>
                </c:pt>
                <c:pt idx="50">
                  <c:v>-14917760.075439939</c:v>
                </c:pt>
                <c:pt idx="51">
                  <c:v>-8591488.4626880903</c:v>
                </c:pt>
                <c:pt idx="52">
                  <c:v>159054709.27523538</c:v>
                </c:pt>
                <c:pt idx="53">
                  <c:v>44551301.841631487</c:v>
                </c:pt>
                <c:pt idx="54">
                  <c:v>-21244031.688191775</c:v>
                </c:pt>
                <c:pt idx="55">
                  <c:v>-11754624.269064022</c:v>
                </c:pt>
                <c:pt idx="56">
                  <c:v>-2265216.8499362492</c:v>
                </c:pt>
                <c:pt idx="57">
                  <c:v>70486906.696709752</c:v>
                </c:pt>
                <c:pt idx="58">
                  <c:v>-5428352.6563121779</c:v>
                </c:pt>
                <c:pt idx="59">
                  <c:v>19876733.79469515</c:v>
                </c:pt>
                <c:pt idx="60">
                  <c:v>646177623.45712709</c:v>
                </c:pt>
                <c:pt idx="61">
                  <c:v>-889418.67667652923</c:v>
                </c:pt>
                <c:pt idx="62">
                  <c:v>-15775159.479739493</c:v>
                </c:pt>
                <c:pt idx="63">
                  <c:v>-9791847.6287075188</c:v>
                </c:pt>
                <c:pt idx="64">
                  <c:v>148765916.42364076</c:v>
                </c:pt>
                <c:pt idx="65">
                  <c:v>40469966.357245088</c:v>
                </c:pt>
                <c:pt idx="66">
                  <c:v>-21758471.330771517</c:v>
                </c:pt>
                <c:pt idx="67">
                  <c:v>-12783503.554223506</c:v>
                </c:pt>
                <c:pt idx="68">
                  <c:v>-3808535.777675482</c:v>
                </c:pt>
                <c:pt idx="69">
                  <c:v>64999550.509192616</c:v>
                </c:pt>
                <c:pt idx="70">
                  <c:v>-6800191.7031914918</c:v>
                </c:pt>
                <c:pt idx="71">
                  <c:v>17133055.700936582</c:v>
                </c:pt>
                <c:pt idx="72">
                  <c:v>609480928.95310545</c:v>
                </c:pt>
                <c:pt idx="73">
                  <c:v>-3667507.066527667</c:v>
                </c:pt>
                <c:pt idx="74">
                  <c:v>-16632558.884039061</c:v>
                </c:pt>
                <c:pt idx="75">
                  <c:v>-10992206.794726873</c:v>
                </c:pt>
                <c:pt idx="76">
                  <c:v>138477123.57204607</c:v>
                </c:pt>
                <c:pt idx="77">
                  <c:v>36388630.872858539</c:v>
                </c:pt>
                <c:pt idx="78">
                  <c:v>-22272910.973351255</c:v>
                </c:pt>
                <c:pt idx="79">
                  <c:v>-13812382.839382986</c:v>
                </c:pt>
                <c:pt idx="80">
                  <c:v>-5351854.7054147227</c:v>
                </c:pt>
                <c:pt idx="81">
                  <c:v>59512194.321675241</c:v>
                </c:pt>
                <c:pt idx="82">
                  <c:v>-8172030.7500708355</c:v>
                </c:pt>
                <c:pt idx="83">
                  <c:v>14389377.607177896</c:v>
                </c:pt>
                <c:pt idx="84">
                  <c:v>572784234.44908381</c:v>
                </c:pt>
                <c:pt idx="85">
                  <c:v>-6445452.4209000496</c:v>
                </c:pt>
                <c:pt idx="86">
                  <c:v>-17489914.143402565</c:v>
                </c:pt>
                <c:pt idx="87">
                  <c:v>-12192504.157835783</c:v>
                </c:pt>
                <c:pt idx="88">
                  <c:v>128188860.45968384</c:v>
                </c:pt>
                <c:pt idx="89">
                  <c:v>32307505.524253767</c:v>
                </c:pt>
                <c:pt idx="90">
                  <c:v>-22787324.128969342</c:v>
                </c:pt>
                <c:pt idx="91">
                  <c:v>-14841209.150619159</c:v>
                </c:pt>
                <c:pt idx="92">
                  <c:v>-6895094.1722690267</c:v>
                </c:pt>
                <c:pt idx="93">
                  <c:v>54025120.661749005</c:v>
                </c:pt>
                <c:pt idx="94">
                  <c:v>-9543799.1650523636</c:v>
                </c:pt>
                <c:pt idx="95">
                  <c:v>11645840.777214779</c:v>
                </c:pt>
                <c:pt idx="96">
                  <c:v>536089429.34832644</c:v>
                </c:pt>
                <c:pt idx="97">
                  <c:v>-6445452.4209000496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7E-4140-B42B-D74FA49A9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8003104"/>
        <c:axId val="738009344"/>
      </c:barChart>
      <c:catAx>
        <c:axId val="738003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8009344"/>
        <c:crosses val="autoZero"/>
        <c:auto val="1"/>
        <c:lblAlgn val="ctr"/>
        <c:lblOffset val="100"/>
        <c:noMultiLvlLbl val="0"/>
      </c:catAx>
      <c:valAx>
        <c:axId val="73800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800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tx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>
      <cs:styleClr val="auto"/>
    </cs:effectRef>
    <cs:fontRef idx="minor">
      <a:schemeClr val="tx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tx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lt1"/>
      </a:solidFill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olidFill>
        <a:schemeClr val="lt1"/>
      </a:solid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0</xdr:row>
      <xdr:rowOff>0</xdr:rowOff>
    </xdr:from>
    <xdr:to>
      <xdr:col>16</xdr:col>
      <xdr:colOff>22860</xdr:colOff>
      <xdr:row>30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F8D658C-968C-9E7F-58C4-553F8BAE66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19</xdr:row>
      <xdr:rowOff>171450</xdr:rowOff>
    </xdr:from>
    <xdr:to>
      <xdr:col>7</xdr:col>
      <xdr:colOff>45720</xdr:colOff>
      <xdr:row>34</xdr:row>
      <xdr:rowOff>106680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A32F075-A822-6986-F40D-7630706D58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586740</xdr:colOff>
      <xdr:row>19</xdr:row>
      <xdr:rowOff>80010</xdr:rowOff>
    </xdr:from>
    <xdr:to>
      <xdr:col>14</xdr:col>
      <xdr:colOff>251460</xdr:colOff>
      <xdr:row>34</xdr:row>
      <xdr:rowOff>80010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B835812-113F-B939-9550-9DC81A4CAF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</xdr:colOff>
      <xdr:row>9</xdr:row>
      <xdr:rowOff>163830</xdr:rowOff>
    </xdr:from>
    <xdr:to>
      <xdr:col>17</xdr:col>
      <xdr:colOff>403860</xdr:colOff>
      <xdr:row>24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F489A9-5D6E-804E-9B80-488DFDE01F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586740</xdr:colOff>
      <xdr:row>29</xdr:row>
      <xdr:rowOff>22860</xdr:rowOff>
    </xdr:from>
    <xdr:to>
      <xdr:col>11</xdr:col>
      <xdr:colOff>426720</xdr:colOff>
      <xdr:row>50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40578F-FD7F-7007-D16E-4068B52D29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oysmart.co/?srsltid=AfmBOoofirxPbnpJr5U62QtlntgJ_lAzTJNYx_pJqlFRNsqBXNuz_EVR" TargetMode="External"/><Relationship Id="rId3" Type="http://schemas.openxmlformats.org/officeDocument/2006/relationships/hyperlink" Target="https://ipimaginarte.com/" TargetMode="External"/><Relationship Id="rId7" Type="http://schemas.openxmlformats.org/officeDocument/2006/relationships/hyperlink" Target="https://toysmart.co/?srsltid=AfmBOoofirxPbnpJr5U62QtlntgJ_lAzTJNYx_pJqlFRNsqBXNuz_EVR" TargetMode="External"/><Relationship Id="rId2" Type="http://schemas.openxmlformats.org/officeDocument/2006/relationships/hyperlink" Target="https://www.informesdeexpertos.com/informes/mercado-de-juguetes-en-colombia" TargetMode="External"/><Relationship Id="rId1" Type="http://schemas.openxmlformats.org/officeDocument/2006/relationships/hyperlink" Target="https://www.informacolombia.com/directorio-empresas/informacion-empresa/arisma-sa" TargetMode="External"/><Relationship Id="rId6" Type="http://schemas.openxmlformats.org/officeDocument/2006/relationships/hyperlink" Target="https://toysmart.co/?srsltid=AfmBOoofirxPbnpJr5U62QtlntgJ_lAzTJNYx_pJqlFRNsqBXNuz_EVR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toysmart.co/?srsltid=AfmBOoofirxPbnpJr5U62QtlntgJ_lAzTJNYx_pJqlFRNsqBXNuz_EV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toysmart.co/?srsltid=AfmBOoofirxPbnpJr5U62QtlntgJ_lAzTJNYx_pJqlFRNsqBXNuz_EVR" TargetMode="External"/><Relationship Id="rId9" Type="http://schemas.openxmlformats.org/officeDocument/2006/relationships/hyperlink" Target="https://toysmart.co/?srsltid=AfmBOoofirxPbnpJr5U62QtlntgJ_lAzTJNYx_pJqlFRNsqBXNuz_EV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dane.gov.co/index.php/estadisticas-por-tema/salud/nacimientos-y-defunciones/nacimientos/nacimientos-202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469C-D9D6-4FE3-BEC4-FC87FE8B5791}">
  <dimension ref="A1:I50"/>
  <sheetViews>
    <sheetView topLeftCell="A35" workbookViewId="0">
      <selection activeCell="D32" sqref="D32"/>
    </sheetView>
  </sheetViews>
  <sheetFormatPr defaultColWidth="11.5546875" defaultRowHeight="14.4" x14ac:dyDescent="0.3"/>
  <cols>
    <col min="1" max="1" width="21.5546875" bestFit="1" customWidth="1"/>
    <col min="2" max="4" width="21.44140625" bestFit="1" customWidth="1"/>
    <col min="5" max="5" width="21.33203125" bestFit="1" customWidth="1"/>
    <col min="6" max="6" width="9.6640625" bestFit="1" customWidth="1"/>
    <col min="7" max="7" width="14.77734375" customWidth="1"/>
    <col min="8" max="8" width="11.5546875" customWidth="1"/>
  </cols>
  <sheetData>
    <row r="1" spans="1:6" ht="15" thickBot="1" x14ac:dyDescent="0.35">
      <c r="A1" s="188" t="s">
        <v>19</v>
      </c>
      <c r="B1" s="189"/>
      <c r="C1" s="189"/>
      <c r="D1" s="190"/>
      <c r="E1" s="1"/>
      <c r="F1" s="1"/>
    </row>
    <row r="2" spans="1:6" ht="15" thickBot="1" x14ac:dyDescent="0.35">
      <c r="A2" s="6" t="s">
        <v>14</v>
      </c>
      <c r="B2" s="34" t="s">
        <v>12</v>
      </c>
      <c r="C2" s="33" t="s">
        <v>15</v>
      </c>
      <c r="D2" s="8" t="s">
        <v>13</v>
      </c>
    </row>
    <row r="3" spans="1:6" x14ac:dyDescent="0.3">
      <c r="A3" s="10" t="s">
        <v>1</v>
      </c>
      <c r="B3" s="29">
        <v>100000000000</v>
      </c>
      <c r="C3" s="27">
        <f t="shared" ref="C3:C11" si="0">B3*(C$27+1)^(9)</f>
        <v>170387784168.71738</v>
      </c>
      <c r="D3" s="11">
        <v>36776912000</v>
      </c>
    </row>
    <row r="4" spans="1:6" x14ac:dyDescent="0.3">
      <c r="A4" s="12" t="s">
        <v>2</v>
      </c>
      <c r="B4" s="30">
        <f>100000000000*(1.45)</f>
        <v>145000000000</v>
      </c>
      <c r="C4" s="28">
        <f t="shared" si="0"/>
        <v>247062287044.6402</v>
      </c>
      <c r="D4" s="13">
        <v>51450673308</v>
      </c>
    </row>
    <row r="5" spans="1:6" ht="28.8" x14ac:dyDescent="0.3">
      <c r="A5" s="14" t="s">
        <v>9</v>
      </c>
      <c r="B5" s="30">
        <v>50000000000</v>
      </c>
      <c r="C5" s="28">
        <f t="shared" si="0"/>
        <v>85193892084.358688</v>
      </c>
      <c r="D5" s="13">
        <v>9085688000</v>
      </c>
    </row>
    <row r="6" spans="1:6" x14ac:dyDescent="0.3">
      <c r="A6" s="12" t="s">
        <v>3</v>
      </c>
      <c r="B6" s="30">
        <v>5000000000</v>
      </c>
      <c r="C6" s="28">
        <f t="shared" si="0"/>
        <v>8519389208.4358692</v>
      </c>
      <c r="D6" s="13">
        <v>3622001753</v>
      </c>
    </row>
    <row r="7" spans="1:6" x14ac:dyDescent="0.3">
      <c r="A7" s="12" t="s">
        <v>4</v>
      </c>
      <c r="B7" s="30">
        <v>1000000000</v>
      </c>
      <c r="C7" s="28">
        <f t="shared" si="0"/>
        <v>1703877841.6871738</v>
      </c>
      <c r="D7" s="13">
        <v>407850000</v>
      </c>
    </row>
    <row r="8" spans="1:6" ht="43.2" x14ac:dyDescent="0.3">
      <c r="A8" s="14" t="s">
        <v>6</v>
      </c>
      <c r="B8" s="30">
        <v>5000000000</v>
      </c>
      <c r="C8" s="28">
        <f t="shared" si="0"/>
        <v>8519389208.4358692</v>
      </c>
      <c r="D8" s="13">
        <v>2607287288</v>
      </c>
    </row>
    <row r="9" spans="1:6" x14ac:dyDescent="0.3">
      <c r="A9" s="14" t="s">
        <v>7</v>
      </c>
      <c r="B9" s="30">
        <v>2000000000</v>
      </c>
      <c r="C9" s="28">
        <f t="shared" si="0"/>
        <v>3407755683.3743477</v>
      </c>
      <c r="D9" s="13">
        <v>13358989000</v>
      </c>
    </row>
    <row r="10" spans="1:6" x14ac:dyDescent="0.3">
      <c r="A10" s="14" t="s">
        <v>8</v>
      </c>
      <c r="B10" s="30">
        <v>1000000000</v>
      </c>
      <c r="C10" s="28">
        <f t="shared" si="0"/>
        <v>1703877841.6871738</v>
      </c>
      <c r="D10" s="13">
        <v>44868000</v>
      </c>
    </row>
    <row r="11" spans="1:6" ht="15" thickBot="1" x14ac:dyDescent="0.35">
      <c r="A11" s="68" t="s">
        <v>5</v>
      </c>
      <c r="B11" s="66">
        <v>5000000000</v>
      </c>
      <c r="C11" s="67">
        <f t="shared" si="0"/>
        <v>8519389208.4358692</v>
      </c>
      <c r="D11" s="16">
        <v>1141079937</v>
      </c>
    </row>
    <row r="12" spans="1:6" ht="15" thickBot="1" x14ac:dyDescent="0.35">
      <c r="A12" s="65" t="s">
        <v>84</v>
      </c>
      <c r="B12" s="69">
        <f>B22-B13-90000000000</f>
        <v>44570000000</v>
      </c>
      <c r="C12" s="69">
        <f>C22-C13-90000000000</f>
        <v>139290841155.84308</v>
      </c>
      <c r="D12" s="2"/>
    </row>
    <row r="13" spans="1:6" ht="15" thickBot="1" x14ac:dyDescent="0.35">
      <c r="A13" s="9" t="s">
        <v>83</v>
      </c>
      <c r="B13" s="23">
        <f>SUM(B3:B11)</f>
        <v>314000000000</v>
      </c>
      <c r="C13" s="25">
        <f>SUM(C3:C11)</f>
        <v>535017642289.77252</v>
      </c>
    </row>
    <row r="14" spans="1:6" x14ac:dyDescent="0.3">
      <c r="A14" s="3"/>
      <c r="B14" s="64"/>
      <c r="C14" s="64"/>
    </row>
    <row r="15" spans="1:6" x14ac:dyDescent="0.3">
      <c r="A15" s="196" t="s">
        <v>85</v>
      </c>
      <c r="B15" s="196"/>
      <c r="C15" s="196"/>
      <c r="D15" s="196"/>
      <c r="E15" s="196"/>
    </row>
    <row r="16" spans="1:6" x14ac:dyDescent="0.3">
      <c r="A16" s="196" t="s">
        <v>86</v>
      </c>
      <c r="B16" s="196"/>
      <c r="C16" s="196"/>
      <c r="D16" s="196"/>
      <c r="E16" s="196"/>
    </row>
    <row r="17" spans="1:9" x14ac:dyDescent="0.3">
      <c r="A17" t="s">
        <v>24</v>
      </c>
      <c r="B17" s="195" t="s">
        <v>25</v>
      </c>
      <c r="C17" s="195"/>
      <c r="D17" s="195"/>
      <c r="E17" s="195"/>
    </row>
    <row r="18" spans="1:9" x14ac:dyDescent="0.3">
      <c r="B18" s="61"/>
      <c r="C18" s="61"/>
      <c r="D18" s="61"/>
      <c r="E18" s="61"/>
    </row>
    <row r="19" spans="1:9" x14ac:dyDescent="0.3">
      <c r="B19" s="61"/>
      <c r="C19" s="61"/>
      <c r="D19" s="61"/>
      <c r="E19" s="61"/>
    </row>
    <row r="20" spans="1:9" ht="15" thickBot="1" x14ac:dyDescent="0.35">
      <c r="B20" s="2"/>
      <c r="D20" s="2"/>
    </row>
    <row r="21" spans="1:9" ht="15" thickBot="1" x14ac:dyDescent="0.35">
      <c r="A21" s="193" t="s">
        <v>23</v>
      </c>
      <c r="B21" s="31" t="s">
        <v>21</v>
      </c>
      <c r="C21" s="32" t="s">
        <v>22</v>
      </c>
      <c r="D21" s="2"/>
    </row>
    <row r="22" spans="1:9" ht="15" thickBot="1" x14ac:dyDescent="0.35">
      <c r="A22" s="194"/>
      <c r="B22" s="24">
        <v>448570000000</v>
      </c>
      <c r="C22" s="26">
        <f>B22*(C$27+1)^(9)</f>
        <v>764308483445.6156</v>
      </c>
      <c r="H22" s="48"/>
    </row>
    <row r="23" spans="1:9" ht="34.799999999999997" customHeight="1" x14ac:dyDescent="0.3">
      <c r="A23" t="s">
        <v>26</v>
      </c>
      <c r="B23" s="191" t="s">
        <v>27</v>
      </c>
      <c r="C23" s="191"/>
      <c r="D23" s="191"/>
      <c r="E23" s="191"/>
      <c r="F23" s="191"/>
      <c r="G23" s="48"/>
      <c r="I23" s="48"/>
    </row>
    <row r="26" spans="1:9" ht="15" thickBot="1" x14ac:dyDescent="0.35"/>
    <row r="27" spans="1:9" ht="15" thickBot="1" x14ac:dyDescent="0.35">
      <c r="A27" s="188" t="s">
        <v>0</v>
      </c>
      <c r="B27" s="189"/>
      <c r="C27" s="22">
        <v>6.0999999999999999E-2</v>
      </c>
    </row>
    <row r="28" spans="1:9" x14ac:dyDescent="0.3">
      <c r="A28" t="s">
        <v>28</v>
      </c>
      <c r="B28" s="195" t="s">
        <v>29</v>
      </c>
      <c r="C28" s="195"/>
      <c r="D28" s="195"/>
      <c r="E28" s="195"/>
    </row>
    <row r="29" spans="1:9" ht="15" thickBot="1" x14ac:dyDescent="0.35"/>
    <row r="30" spans="1:9" ht="15" thickBot="1" x14ac:dyDescent="0.35">
      <c r="A30" s="188" t="s">
        <v>20</v>
      </c>
      <c r="B30" s="189"/>
      <c r="C30" s="189"/>
      <c r="D30" s="189"/>
      <c r="E30" s="189"/>
      <c r="F30" s="190"/>
    </row>
    <row r="31" spans="1:9" ht="15" thickBot="1" x14ac:dyDescent="0.35">
      <c r="A31" s="6" t="s">
        <v>14</v>
      </c>
      <c r="B31" s="7" t="s">
        <v>10</v>
      </c>
      <c r="C31" s="7" t="s">
        <v>11</v>
      </c>
      <c r="D31" s="34" t="s">
        <v>16</v>
      </c>
      <c r="E31" s="33" t="s">
        <v>17</v>
      </c>
      <c r="F31" s="45" t="s">
        <v>18</v>
      </c>
    </row>
    <row r="32" spans="1:9" x14ac:dyDescent="0.3">
      <c r="A32" s="17" t="s">
        <v>1</v>
      </c>
      <c r="B32" s="18">
        <v>65000</v>
      </c>
      <c r="C32" s="19" t="s">
        <v>66</v>
      </c>
      <c r="D32" s="35">
        <f>B3/B32</f>
        <v>1538461.5384615385</v>
      </c>
      <c r="E32" s="39">
        <f>C3/B32</f>
        <v>2621350.525672575</v>
      </c>
      <c r="F32" s="42">
        <f>E32/365/1440</f>
        <v>4.9873487931365581</v>
      </c>
    </row>
    <row r="33" spans="1:9" x14ac:dyDescent="0.3">
      <c r="A33" s="12" t="s">
        <v>2</v>
      </c>
      <c r="B33" s="5">
        <v>60000</v>
      </c>
      <c r="C33" s="4" t="s">
        <v>66</v>
      </c>
      <c r="D33" s="36">
        <f>B4/B33</f>
        <v>2416666.6666666665</v>
      </c>
      <c r="E33" s="40">
        <f>C4/B33</f>
        <v>4117704.7840773365</v>
      </c>
      <c r="F33" s="43">
        <f t="shared" ref="F33:F36" si="1">E33/365/1440</f>
        <v>7.8342937292186763</v>
      </c>
    </row>
    <row r="34" spans="1:9" x14ac:dyDescent="0.3">
      <c r="A34" s="12" t="s">
        <v>3</v>
      </c>
      <c r="B34" s="5">
        <v>45000</v>
      </c>
      <c r="C34" s="4" t="s">
        <v>67</v>
      </c>
      <c r="D34" s="36">
        <f>B6/B34</f>
        <v>111111.11111111111</v>
      </c>
      <c r="E34" s="40">
        <f>C6/B34</f>
        <v>189319.76018746375</v>
      </c>
      <c r="F34" s="43">
        <f t="shared" si="1"/>
        <v>0.36019741283764034</v>
      </c>
    </row>
    <row r="35" spans="1:9" x14ac:dyDescent="0.3">
      <c r="A35" s="14" t="s">
        <v>7</v>
      </c>
      <c r="B35" s="5">
        <v>40000</v>
      </c>
      <c r="C35" s="4" t="s">
        <v>68</v>
      </c>
      <c r="D35" s="37">
        <f>B9/B35</f>
        <v>50000</v>
      </c>
      <c r="E35" s="40">
        <f>C9/B35</f>
        <v>85193.892084358697</v>
      </c>
      <c r="F35" s="43">
        <f t="shared" si="1"/>
        <v>0.16208883577693814</v>
      </c>
    </row>
    <row r="36" spans="1:9" ht="15" thickBot="1" x14ac:dyDescent="0.35">
      <c r="A36" s="20" t="s">
        <v>8</v>
      </c>
      <c r="B36" s="15">
        <v>40000</v>
      </c>
      <c r="C36" s="21" t="s">
        <v>69</v>
      </c>
      <c r="D36" s="38">
        <f>B10/B36</f>
        <v>25000</v>
      </c>
      <c r="E36" s="41">
        <f>C10/B36</f>
        <v>42596.946042179348</v>
      </c>
      <c r="F36" s="44">
        <f t="shared" si="1"/>
        <v>8.104441788846907E-2</v>
      </c>
    </row>
    <row r="37" spans="1:9" x14ac:dyDescent="0.3">
      <c r="A37" s="3" t="s">
        <v>26</v>
      </c>
      <c r="B37" s="46" t="s">
        <v>30</v>
      </c>
    </row>
    <row r="38" spans="1:9" x14ac:dyDescent="0.3">
      <c r="B38" s="46" t="s">
        <v>31</v>
      </c>
    </row>
    <row r="39" spans="1:9" x14ac:dyDescent="0.3">
      <c r="B39" s="46" t="s">
        <v>32</v>
      </c>
    </row>
    <row r="40" spans="1:9" x14ac:dyDescent="0.3">
      <c r="B40" s="46" t="s">
        <v>33</v>
      </c>
    </row>
    <row r="41" spans="1:9" x14ac:dyDescent="0.3">
      <c r="B41" s="46" t="s">
        <v>35</v>
      </c>
    </row>
    <row r="42" spans="1:9" x14ac:dyDescent="0.3">
      <c r="B42" s="46" t="s">
        <v>36</v>
      </c>
    </row>
    <row r="43" spans="1:9" ht="28.8" customHeight="1" x14ac:dyDescent="0.3">
      <c r="B43" s="192" t="s">
        <v>34</v>
      </c>
      <c r="C43" s="192"/>
      <c r="D43" s="192"/>
      <c r="E43" s="192"/>
      <c r="F43" s="192"/>
      <c r="G43" s="47"/>
      <c r="H43" s="47"/>
      <c r="I43" s="47"/>
    </row>
    <row r="44" spans="1:9" ht="15" thickBot="1" x14ac:dyDescent="0.35"/>
    <row r="45" spans="1:9" ht="15" thickBot="1" x14ac:dyDescent="0.35">
      <c r="A45" s="6"/>
      <c r="B45" s="7" t="s">
        <v>90</v>
      </c>
      <c r="C45" s="8" t="s">
        <v>89</v>
      </c>
    </row>
    <row r="46" spans="1:9" x14ac:dyDescent="0.3">
      <c r="A46" s="50" t="s">
        <v>87</v>
      </c>
      <c r="B46" s="50">
        <v>1</v>
      </c>
      <c r="C46" s="50" t="s">
        <v>91</v>
      </c>
    </row>
    <row r="47" spans="1:9" x14ac:dyDescent="0.3">
      <c r="A47" s="4" t="s">
        <v>94</v>
      </c>
      <c r="B47" s="4">
        <v>5</v>
      </c>
      <c r="C47" s="4" t="s">
        <v>93</v>
      </c>
    </row>
    <row r="48" spans="1:9" x14ac:dyDescent="0.3">
      <c r="A48" s="4" t="s">
        <v>88</v>
      </c>
      <c r="B48" s="70">
        <f>B22*0.05</f>
        <v>22428500000</v>
      </c>
      <c r="C48" s="4" t="s">
        <v>92</v>
      </c>
    </row>
    <row r="50" spans="1:4" x14ac:dyDescent="0.3">
      <c r="A50" s="187" t="s">
        <v>95</v>
      </c>
      <c r="B50" s="187"/>
      <c r="C50" s="187"/>
      <c r="D50" s="187"/>
    </row>
  </sheetData>
  <mergeCells count="11">
    <mergeCell ref="A50:D50"/>
    <mergeCell ref="A1:D1"/>
    <mergeCell ref="B23:F23"/>
    <mergeCell ref="B43:F43"/>
    <mergeCell ref="A30:F30"/>
    <mergeCell ref="A21:A22"/>
    <mergeCell ref="B17:E17"/>
    <mergeCell ref="B28:E28"/>
    <mergeCell ref="A27:B27"/>
    <mergeCell ref="A16:E16"/>
    <mergeCell ref="A15:E15"/>
  </mergeCells>
  <phoneticPr fontId="1" type="noConversion"/>
  <hyperlinks>
    <hyperlink ref="B17" r:id="rId1" xr:uid="{07CA61C0-F630-4672-BEC5-E2E0C492F3D0}"/>
    <hyperlink ref="B28:E28" r:id="rId2" display=" https://www.informesdeexpertos.com/informes/mercado-de-juguetes-en-colombia" xr:uid="{2D09F321-A61E-4DA3-9DE8-117318CC7AE0}"/>
    <hyperlink ref="B37" r:id="rId3" xr:uid="{B8AD70C1-3EF2-4B32-972E-CDB6E6E437BD}"/>
    <hyperlink ref="B38" r:id="rId4" xr:uid="{9D24F2E7-8B7E-4B28-9616-6CE08EEB7F66}"/>
    <hyperlink ref="B39" r:id="rId5" xr:uid="{3AFDCB3F-DDAC-4FCA-BE1C-91D8D2736768}"/>
    <hyperlink ref="B40" r:id="rId6" xr:uid="{C58908E6-6C6F-4E6E-9ACC-1960EDF38A6D}"/>
    <hyperlink ref="B43" r:id="rId7" xr:uid="{367593FD-C1CE-4510-AC72-488548B96266}"/>
    <hyperlink ref="B41" r:id="rId8" xr:uid="{309F4C82-6CAB-42E2-B675-5E8BBB2EF27E}"/>
    <hyperlink ref="B42" r:id="rId9" xr:uid="{B0E7D421-EC0B-41CA-A94F-DAB1057ED74A}"/>
  </hyperlinks>
  <pageMargins left="0.25" right="0.25" top="0.75" bottom="0.75" header="0.3" footer="0.3"/>
  <pageSetup paperSize="5" orientation="landscape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626DC-C729-4C9C-A6DD-750099532047}">
  <dimension ref="B1:N54"/>
  <sheetViews>
    <sheetView topLeftCell="A36" workbookViewId="0">
      <selection activeCell="D42" sqref="D42"/>
    </sheetView>
  </sheetViews>
  <sheetFormatPr defaultColWidth="11.5546875" defaultRowHeight="14.4" x14ac:dyDescent="0.3"/>
  <cols>
    <col min="2" max="2" width="14.5546875" customWidth="1"/>
    <col min="3" max="4" width="17.6640625" style="63" bestFit="1" customWidth="1"/>
    <col min="5" max="5" width="16.6640625" customWidth="1"/>
    <col min="6" max="6" width="12.33203125" customWidth="1"/>
    <col min="9" max="9" width="12.6640625" bestFit="1" customWidth="1"/>
    <col min="11" max="11" width="12.6640625" bestFit="1" customWidth="1"/>
    <col min="15" max="15" width="12.6640625" bestFit="1" customWidth="1"/>
  </cols>
  <sheetData>
    <row r="1" spans="2:14" ht="15" thickBot="1" x14ac:dyDescent="0.35">
      <c r="B1" s="199" t="s">
        <v>97</v>
      </c>
      <c r="C1" s="200"/>
      <c r="D1" s="201"/>
      <c r="H1" s="93" t="s">
        <v>100</v>
      </c>
      <c r="I1" s="92" t="s">
        <v>104</v>
      </c>
    </row>
    <row r="2" spans="2:14" ht="15" thickBot="1" x14ac:dyDescent="0.35">
      <c r="B2" s="202" t="s">
        <v>96</v>
      </c>
      <c r="C2" s="197" t="s">
        <v>101</v>
      </c>
      <c r="D2" s="198"/>
      <c r="F2" s="206" t="s">
        <v>138</v>
      </c>
      <c r="H2" s="10">
        <v>2017</v>
      </c>
      <c r="I2" s="91">
        <v>656704</v>
      </c>
    </row>
    <row r="3" spans="2:14" ht="15" thickBot="1" x14ac:dyDescent="0.35">
      <c r="B3" s="203"/>
      <c r="C3" s="76">
        <v>2025</v>
      </c>
      <c r="D3" s="71">
        <v>2032</v>
      </c>
      <c r="F3" s="207"/>
      <c r="H3" s="12">
        <v>2018</v>
      </c>
      <c r="I3" s="82">
        <v>649115</v>
      </c>
      <c r="J3" s="62"/>
      <c r="K3" t="s">
        <v>105</v>
      </c>
      <c r="L3" cm="1">
        <f t="array" ref="L3:M3">LINEST(I2:I8,H2:H8)</f>
        <v>-21435.392857142851</v>
      </c>
      <c r="M3" s="63">
        <v>43911489.142857134</v>
      </c>
    </row>
    <row r="4" spans="2:14" x14ac:dyDescent="0.3">
      <c r="B4" s="79" t="s">
        <v>70</v>
      </c>
      <c r="C4" s="77">
        <f t="shared" ref="C4:C15" si="0">C$16*F4/100000</f>
        <v>14697.244800000011</v>
      </c>
      <c r="D4" s="74">
        <f t="shared" ref="D4:D15" si="1">D$16*F4/100000</f>
        <v>10113.789640430727</v>
      </c>
      <c r="F4" s="110">
        <v>4050.1666666666702</v>
      </c>
      <c r="G4" s="62"/>
      <c r="H4" s="12">
        <v>2019</v>
      </c>
      <c r="I4" s="83">
        <v>642660</v>
      </c>
      <c r="J4" s="62"/>
    </row>
    <row r="5" spans="2:14" ht="15" thickBot="1" x14ac:dyDescent="0.35">
      <c r="B5" s="80" t="s">
        <v>71</v>
      </c>
      <c r="C5" s="78">
        <f t="shared" si="0"/>
        <v>4536</v>
      </c>
      <c r="D5" s="72">
        <f t="shared" si="1"/>
        <v>3121.4115593280267</v>
      </c>
      <c r="F5" s="4">
        <v>1250</v>
      </c>
      <c r="H5" s="12">
        <v>2020</v>
      </c>
      <c r="I5" s="84">
        <v>629402</v>
      </c>
      <c r="J5" s="62"/>
    </row>
    <row r="6" spans="2:14" ht="15" thickBot="1" x14ac:dyDescent="0.35">
      <c r="B6" s="80" t="s">
        <v>72</v>
      </c>
      <c r="C6" s="78">
        <f t="shared" si="0"/>
        <v>6350.4</v>
      </c>
      <c r="D6" s="72">
        <f t="shared" si="1"/>
        <v>4369.9761830592379</v>
      </c>
      <c r="F6" s="109">
        <v>1750</v>
      </c>
      <c r="G6" s="62"/>
      <c r="H6" s="12">
        <v>2021</v>
      </c>
      <c r="I6" s="84">
        <v>616914</v>
      </c>
      <c r="J6" s="62"/>
      <c r="K6" s="204" t="s">
        <v>106</v>
      </c>
      <c r="L6" s="205"/>
      <c r="M6" s="205"/>
      <c r="N6" s="98">
        <f>(I8-I17)/I8</f>
        <v>0.31185812184126394</v>
      </c>
    </row>
    <row r="7" spans="2:14" x14ac:dyDescent="0.3">
      <c r="B7" s="80" t="s">
        <v>73</v>
      </c>
      <c r="C7" s="78">
        <f t="shared" si="0"/>
        <v>54432</v>
      </c>
      <c r="D7" s="72">
        <f t="shared" si="1"/>
        <v>37456.938711936324</v>
      </c>
      <c r="F7" s="4">
        <v>15000</v>
      </c>
      <c r="H7" s="12">
        <v>2022</v>
      </c>
      <c r="I7" s="85">
        <v>573625</v>
      </c>
      <c r="J7" s="62"/>
      <c r="K7" t="s">
        <v>107</v>
      </c>
    </row>
    <row r="8" spans="2:14" x14ac:dyDescent="0.3">
      <c r="B8" s="80" t="s">
        <v>74</v>
      </c>
      <c r="C8" s="78">
        <f t="shared" si="0"/>
        <v>21591.964800000009</v>
      </c>
      <c r="D8" s="72">
        <f t="shared" si="1"/>
        <v>14858.335210609326</v>
      </c>
      <c r="F8" s="109">
        <v>5950.1666666666697</v>
      </c>
      <c r="G8" s="62"/>
      <c r="H8" s="12">
        <v>2023</v>
      </c>
      <c r="I8" s="86">
        <v>515549</v>
      </c>
      <c r="J8" s="62"/>
    </row>
    <row r="9" spans="2:14" x14ac:dyDescent="0.3">
      <c r="B9" s="80" t="s">
        <v>75</v>
      </c>
      <c r="C9" s="78">
        <f t="shared" si="0"/>
        <v>2721.6</v>
      </c>
      <c r="D9" s="72">
        <f t="shared" si="1"/>
        <v>1872.8469355968161</v>
      </c>
      <c r="F9" s="4">
        <v>750</v>
      </c>
      <c r="H9" s="87">
        <v>2024</v>
      </c>
      <c r="I9" s="88">
        <f t="shared" ref="I9:I17" si="2">H9*L$3+M$3</f>
        <v>526254</v>
      </c>
      <c r="J9" s="62"/>
    </row>
    <row r="10" spans="2:14" x14ac:dyDescent="0.3">
      <c r="B10" s="80" t="s">
        <v>76</v>
      </c>
      <c r="C10" s="78">
        <f t="shared" si="0"/>
        <v>5443.2</v>
      </c>
      <c r="D10" s="72">
        <f t="shared" si="1"/>
        <v>3745.6938711936323</v>
      </c>
      <c r="F10" s="4">
        <v>1500</v>
      </c>
      <c r="H10" s="87">
        <v>2025</v>
      </c>
      <c r="I10" s="88">
        <f t="shared" si="2"/>
        <v>504818.60714285821</v>
      </c>
    </row>
    <row r="11" spans="2:14" x14ac:dyDescent="0.3">
      <c r="B11" s="80" t="s">
        <v>77</v>
      </c>
      <c r="C11" s="78">
        <f t="shared" si="0"/>
        <v>8164.8</v>
      </c>
      <c r="D11" s="72">
        <f t="shared" si="1"/>
        <v>5618.5408067904482</v>
      </c>
      <c r="F11" s="4">
        <v>2250</v>
      </c>
      <c r="H11" s="87">
        <v>2026</v>
      </c>
      <c r="I11" s="88">
        <f t="shared" si="2"/>
        <v>483383.21428571641</v>
      </c>
    </row>
    <row r="12" spans="2:14" x14ac:dyDescent="0.3">
      <c r="B12" s="80" t="s">
        <v>78</v>
      </c>
      <c r="C12" s="78">
        <f t="shared" si="0"/>
        <v>29030.400000000001</v>
      </c>
      <c r="D12" s="72">
        <f t="shared" si="1"/>
        <v>19977.033979699372</v>
      </c>
      <c r="F12" s="4">
        <v>8000</v>
      </c>
      <c r="H12" s="87">
        <v>2027</v>
      </c>
      <c r="I12" s="88">
        <f t="shared" si="2"/>
        <v>461947.82142857462</v>
      </c>
    </row>
    <row r="13" spans="2:14" x14ac:dyDescent="0.3">
      <c r="B13" s="80" t="s">
        <v>79</v>
      </c>
      <c r="C13" s="78">
        <f t="shared" si="0"/>
        <v>7257.6</v>
      </c>
      <c r="D13" s="72">
        <f t="shared" si="1"/>
        <v>4994.258494924843</v>
      </c>
      <c r="F13" s="4">
        <v>2000</v>
      </c>
      <c r="H13" s="87">
        <v>2028</v>
      </c>
      <c r="I13" s="88">
        <f t="shared" si="2"/>
        <v>440512.42857143283</v>
      </c>
    </row>
    <row r="14" spans="2:14" x14ac:dyDescent="0.3">
      <c r="B14" s="80" t="s">
        <v>80</v>
      </c>
      <c r="C14" s="78">
        <f t="shared" si="0"/>
        <v>14515.2</v>
      </c>
      <c r="D14" s="72">
        <f t="shared" si="1"/>
        <v>9988.5169898496861</v>
      </c>
      <c r="F14" s="4">
        <v>4000</v>
      </c>
      <c r="H14" s="87">
        <v>2029</v>
      </c>
      <c r="I14" s="88">
        <f t="shared" si="2"/>
        <v>419077.03571429104</v>
      </c>
    </row>
    <row r="15" spans="2:14" x14ac:dyDescent="0.3">
      <c r="B15" s="80" t="s">
        <v>81</v>
      </c>
      <c r="C15" s="78">
        <f t="shared" si="0"/>
        <v>194140.79999999999</v>
      </c>
      <c r="D15" s="72">
        <f t="shared" si="1"/>
        <v>133596.41473923955</v>
      </c>
      <c r="F15" s="4">
        <v>53500</v>
      </c>
      <c r="H15" s="87">
        <v>2030</v>
      </c>
      <c r="I15" s="88">
        <f t="shared" si="2"/>
        <v>397641.64285714924</v>
      </c>
      <c r="K15" t="s">
        <v>28</v>
      </c>
    </row>
    <row r="16" spans="2:14" ht="15" thickBot="1" x14ac:dyDescent="0.35">
      <c r="B16" s="81" t="s">
        <v>82</v>
      </c>
      <c r="C16" s="75">
        <f>'Calculo Takt'!K22</f>
        <v>362880</v>
      </c>
      <c r="D16" s="73">
        <f>C16*(1-N6)</f>
        <v>249712.92474624215</v>
      </c>
      <c r="H16" s="87">
        <v>2031</v>
      </c>
      <c r="I16" s="88">
        <f t="shared" si="2"/>
        <v>376206.25</v>
      </c>
      <c r="K16" s="46" t="s">
        <v>99</v>
      </c>
    </row>
    <row r="17" spans="2:11" ht="15" thickBot="1" x14ac:dyDescent="0.35">
      <c r="F17" s="62">
        <f>SUM(F4:F15)</f>
        <v>100000.33333333334</v>
      </c>
      <c r="H17" s="89">
        <v>2032</v>
      </c>
      <c r="I17" s="90">
        <f t="shared" si="2"/>
        <v>354770.85714285821</v>
      </c>
      <c r="K17" t="s">
        <v>98</v>
      </c>
    </row>
    <row r="18" spans="2:11" ht="15" thickBot="1" x14ac:dyDescent="0.35">
      <c r="B18" s="6" t="s">
        <v>103</v>
      </c>
      <c r="C18" s="94">
        <v>55000</v>
      </c>
      <c r="D18" s="95">
        <v>60000</v>
      </c>
    </row>
    <row r="19" spans="2:11" ht="15" thickBot="1" x14ac:dyDescent="0.35">
      <c r="B19" s="6" t="s">
        <v>102</v>
      </c>
      <c r="C19" s="96">
        <f>C16*C18</f>
        <v>19958400000</v>
      </c>
      <c r="D19" s="97">
        <f>D16*D18</f>
        <v>14982775484.774529</v>
      </c>
    </row>
    <row r="39" spans="2:10" x14ac:dyDescent="0.3">
      <c r="B39" s="208" t="s">
        <v>97</v>
      </c>
      <c r="C39" s="208"/>
      <c r="D39" s="208"/>
      <c r="E39" s="208"/>
      <c r="F39" s="208"/>
      <c r="G39" s="208"/>
      <c r="H39" s="208"/>
      <c r="I39" s="208"/>
      <c r="J39" s="208"/>
    </row>
    <row r="40" spans="2:10" x14ac:dyDescent="0.3">
      <c r="B40" s="4" t="s">
        <v>96</v>
      </c>
      <c r="C40" s="241" t="s">
        <v>101</v>
      </c>
      <c r="D40" s="241"/>
      <c r="E40" s="241"/>
      <c r="F40" s="241"/>
      <c r="G40" s="241"/>
      <c r="H40" s="241"/>
      <c r="I40" s="241"/>
      <c r="J40" s="241"/>
    </row>
    <row r="41" spans="2:10" x14ac:dyDescent="0.3">
      <c r="B41" s="4"/>
      <c r="C41" s="242">
        <v>2025</v>
      </c>
      <c r="D41" s="242">
        <v>2026</v>
      </c>
      <c r="E41" s="4">
        <v>2027</v>
      </c>
      <c r="F41" s="242">
        <v>2028</v>
      </c>
      <c r="G41" s="242">
        <v>2029</v>
      </c>
      <c r="H41" s="4">
        <v>2030</v>
      </c>
      <c r="I41" s="242">
        <v>2031</v>
      </c>
      <c r="J41" s="242">
        <v>2032</v>
      </c>
    </row>
    <row r="42" spans="2:10" x14ac:dyDescent="0.3">
      <c r="B42" s="4" t="s">
        <v>70</v>
      </c>
      <c r="C42" s="242">
        <v>14697.244800000011</v>
      </c>
      <c r="D42" s="243">
        <f t="shared" ref="D42:I52" si="3">D$54*$F4/$F$17</f>
        <v>14042.418683427833</v>
      </c>
      <c r="E42" s="243">
        <f t="shared" si="3"/>
        <v>13387.641557508356</v>
      </c>
      <c r="F42" s="243">
        <f t="shared" si="3"/>
        <v>12732.864431588878</v>
      </c>
      <c r="G42" s="243">
        <f t="shared" si="3"/>
        <v>12078.0873056694</v>
      </c>
      <c r="H42" s="243">
        <f t="shared" si="3"/>
        <v>11423.310179749924</v>
      </c>
      <c r="I42" s="243">
        <f t="shared" si="3"/>
        <v>10768.533053830444</v>
      </c>
      <c r="J42" s="243">
        <v>10113.789640430727</v>
      </c>
    </row>
    <row r="43" spans="2:10" x14ac:dyDescent="0.3">
      <c r="B43" s="4" t="s">
        <v>71</v>
      </c>
      <c r="C43" s="242">
        <v>4536</v>
      </c>
      <c r="D43" s="243">
        <f t="shared" si="3"/>
        <v>4333.9014907085584</v>
      </c>
      <c r="E43" s="243">
        <f t="shared" si="3"/>
        <v>4131.8181013667172</v>
      </c>
      <c r="F43" s="243">
        <f t="shared" si="3"/>
        <v>3929.7347120248755</v>
      </c>
      <c r="G43" s="243">
        <f t="shared" si="3"/>
        <v>3727.6513226830343</v>
      </c>
      <c r="H43" s="243">
        <f t="shared" si="3"/>
        <v>3525.5679333411936</v>
      </c>
      <c r="I43" s="243">
        <f t="shared" si="3"/>
        <v>3323.4845439993528</v>
      </c>
      <c r="J43" s="243">
        <v>3121.4115593280267</v>
      </c>
    </row>
    <row r="44" spans="2:10" x14ac:dyDescent="0.3">
      <c r="B44" s="4" t="s">
        <v>72</v>
      </c>
      <c r="C44" s="242">
        <v>6350.4</v>
      </c>
      <c r="D44" s="243">
        <f t="shared" si="3"/>
        <v>6067.4620869919809</v>
      </c>
      <c r="E44" s="243">
        <f t="shared" si="3"/>
        <v>5784.5453419134037</v>
      </c>
      <c r="F44" s="243">
        <f t="shared" si="3"/>
        <v>5501.6285968348257</v>
      </c>
      <c r="G44" s="243">
        <f t="shared" si="3"/>
        <v>5218.7118517562476</v>
      </c>
      <c r="H44" s="243">
        <f t="shared" si="3"/>
        <v>4935.7951066776714</v>
      </c>
      <c r="I44" s="243">
        <f t="shared" si="3"/>
        <v>4652.8783615990942</v>
      </c>
      <c r="J44" s="243">
        <v>4369.9761830592379</v>
      </c>
    </row>
    <row r="45" spans="2:10" x14ac:dyDescent="0.3">
      <c r="B45" s="4" t="s">
        <v>73</v>
      </c>
      <c r="C45" s="242">
        <v>54432</v>
      </c>
      <c r="D45" s="243">
        <f t="shared" si="3"/>
        <v>52006.817888502694</v>
      </c>
      <c r="E45" s="243">
        <f t="shared" si="3"/>
        <v>49581.817216400603</v>
      </c>
      <c r="F45" s="243">
        <f t="shared" si="3"/>
        <v>47156.816544298505</v>
      </c>
      <c r="G45" s="243">
        <f t="shared" si="3"/>
        <v>44731.815872196406</v>
      </c>
      <c r="H45" s="243">
        <f t="shared" si="3"/>
        <v>42306.81520009433</v>
      </c>
      <c r="I45" s="243">
        <f t="shared" si="3"/>
        <v>39881.814527992232</v>
      </c>
      <c r="J45" s="243">
        <v>37456.938711936324</v>
      </c>
    </row>
    <row r="46" spans="2:10" x14ac:dyDescent="0.3">
      <c r="B46" s="4" t="s">
        <v>74</v>
      </c>
      <c r="C46" s="242">
        <v>21591.964800000009</v>
      </c>
      <c r="D46" s="243">
        <f t="shared" si="3"/>
        <v>20629.948949304842</v>
      </c>
      <c r="E46" s="243">
        <f t="shared" si="3"/>
        <v>19668.005071585765</v>
      </c>
      <c r="F46" s="243">
        <f t="shared" si="3"/>
        <v>18706.061193866688</v>
      </c>
      <c r="G46" s="243">
        <f t="shared" si="3"/>
        <v>17744.117316147611</v>
      </c>
      <c r="H46" s="243">
        <f t="shared" si="3"/>
        <v>16782.173438428537</v>
      </c>
      <c r="I46" s="243">
        <f t="shared" si="3"/>
        <v>15820.22956070946</v>
      </c>
      <c r="J46" s="243">
        <v>14858.335210609326</v>
      </c>
    </row>
    <row r="47" spans="2:10" x14ac:dyDescent="0.3">
      <c r="B47" s="4" t="s">
        <v>75</v>
      </c>
      <c r="C47" s="242">
        <v>2721.6</v>
      </c>
      <c r="D47" s="243">
        <f t="shared" si="3"/>
        <v>2600.340894425135</v>
      </c>
      <c r="E47" s="243">
        <f t="shared" si="3"/>
        <v>2479.0908608200302</v>
      </c>
      <c r="F47" s="243">
        <f t="shared" si="3"/>
        <v>2357.8408272149254</v>
      </c>
      <c r="G47" s="243">
        <f t="shared" si="3"/>
        <v>2236.5907936098206</v>
      </c>
      <c r="H47" s="243">
        <f t="shared" si="3"/>
        <v>2115.3407600047162</v>
      </c>
      <c r="I47" s="243">
        <f t="shared" si="3"/>
        <v>1994.0907263996116</v>
      </c>
      <c r="J47" s="243">
        <v>1872.8469355968161</v>
      </c>
    </row>
    <row r="48" spans="2:10" x14ac:dyDescent="0.3">
      <c r="B48" s="4" t="s">
        <v>76</v>
      </c>
      <c r="C48" s="242">
        <v>5443.2</v>
      </c>
      <c r="D48" s="243">
        <f t="shared" si="3"/>
        <v>5200.6817888502701</v>
      </c>
      <c r="E48" s="243">
        <f t="shared" si="3"/>
        <v>4958.1817216400605</v>
      </c>
      <c r="F48" s="243">
        <f t="shared" si="3"/>
        <v>4715.6816544298508</v>
      </c>
      <c r="G48" s="243">
        <f t="shared" si="3"/>
        <v>4473.1815872196412</v>
      </c>
      <c r="H48" s="243">
        <f t="shared" si="3"/>
        <v>4230.6815200094325</v>
      </c>
      <c r="I48" s="243">
        <f t="shared" si="3"/>
        <v>3988.1814527992233</v>
      </c>
      <c r="J48" s="243">
        <v>3745.6938711936323</v>
      </c>
    </row>
    <row r="49" spans="2:10" x14ac:dyDescent="0.3">
      <c r="B49" s="4" t="s">
        <v>77</v>
      </c>
      <c r="C49" s="242">
        <v>8164.8</v>
      </c>
      <c r="D49" s="243">
        <f t="shared" si="3"/>
        <v>7801.0226832754051</v>
      </c>
      <c r="E49" s="243">
        <f t="shared" si="3"/>
        <v>7437.2725824600902</v>
      </c>
      <c r="F49" s="243">
        <f t="shared" si="3"/>
        <v>7073.5224816447762</v>
      </c>
      <c r="G49" s="243">
        <f t="shared" si="3"/>
        <v>6709.7723808294622</v>
      </c>
      <c r="H49" s="243">
        <f t="shared" si="3"/>
        <v>6346.0222800141491</v>
      </c>
      <c r="I49" s="243">
        <f t="shared" si="3"/>
        <v>5982.2721791988351</v>
      </c>
      <c r="J49" s="243">
        <v>5618.5408067904482</v>
      </c>
    </row>
    <row r="50" spans="2:10" x14ac:dyDescent="0.3">
      <c r="B50" s="4" t="s">
        <v>78</v>
      </c>
      <c r="C50" s="242">
        <v>29030.400000000001</v>
      </c>
      <c r="D50" s="243">
        <f t="shared" si="3"/>
        <v>27736.96954053477</v>
      </c>
      <c r="E50" s="243">
        <f t="shared" si="3"/>
        <v>26443.635848746988</v>
      </c>
      <c r="F50" s="243">
        <f t="shared" si="3"/>
        <v>25150.302156959202</v>
      </c>
      <c r="G50" s="243">
        <f t="shared" si="3"/>
        <v>23856.96846517142</v>
      </c>
      <c r="H50" s="243">
        <f t="shared" si="3"/>
        <v>22563.634773383641</v>
      </c>
      <c r="I50" s="243">
        <f t="shared" si="3"/>
        <v>21270.301081595855</v>
      </c>
      <c r="J50" s="243">
        <v>19977.033979699372</v>
      </c>
    </row>
    <row r="51" spans="2:10" x14ac:dyDescent="0.3">
      <c r="B51" s="4" t="s">
        <v>79</v>
      </c>
      <c r="C51" s="242">
        <v>7257.6</v>
      </c>
      <c r="D51" s="243">
        <f t="shared" si="3"/>
        <v>6934.2423851336926</v>
      </c>
      <c r="E51" s="243">
        <f t="shared" si="3"/>
        <v>6610.908962186747</v>
      </c>
      <c r="F51" s="243">
        <f t="shared" si="3"/>
        <v>6287.5755392398005</v>
      </c>
      <c r="G51" s="243">
        <f t="shared" si="3"/>
        <v>5964.2421162928549</v>
      </c>
      <c r="H51" s="243">
        <f t="shared" si="3"/>
        <v>5640.9086933459103</v>
      </c>
      <c r="I51" s="243">
        <f t="shared" si="3"/>
        <v>5317.5752703989638</v>
      </c>
      <c r="J51" s="243">
        <v>4994.258494924843</v>
      </c>
    </row>
    <row r="52" spans="2:10" x14ac:dyDescent="0.3">
      <c r="B52" s="4" t="s">
        <v>80</v>
      </c>
      <c r="C52" s="242">
        <v>14515.2</v>
      </c>
      <c r="D52" s="243">
        <f t="shared" si="3"/>
        <v>13868.484770267385</v>
      </c>
      <c r="E52" s="243">
        <f t="shared" si="3"/>
        <v>13221.817924373494</v>
      </c>
      <c r="F52" s="243">
        <f t="shared" si="3"/>
        <v>12575.151078479601</v>
      </c>
      <c r="G52" s="243">
        <f t="shared" si="3"/>
        <v>11928.48423258571</v>
      </c>
      <c r="H52" s="243">
        <f t="shared" si="3"/>
        <v>11281.817386691821</v>
      </c>
      <c r="I52" s="243">
        <f t="shared" si="3"/>
        <v>10635.150540797928</v>
      </c>
      <c r="J52" s="243">
        <v>9988.5169898496861</v>
      </c>
    </row>
    <row r="53" spans="2:10" x14ac:dyDescent="0.3">
      <c r="B53" s="4" t="s">
        <v>81</v>
      </c>
      <c r="C53" s="242">
        <v>194140.79999999999</v>
      </c>
      <c r="D53" s="243">
        <f>D$54*$F15/$F$17</f>
        <v>185490.98380232631</v>
      </c>
      <c r="E53" s="243">
        <f>E$54*$F15/$F$17</f>
        <v>176841.81473849548</v>
      </c>
      <c r="F53" s="243">
        <f t="shared" ref="F53:I53" si="4">F$54*$F15/$F$17</f>
        <v>168192.64567466467</v>
      </c>
      <c r="G53" s="243">
        <f t="shared" si="4"/>
        <v>159543.4766108339</v>
      </c>
      <c r="H53" s="243">
        <f t="shared" si="4"/>
        <v>150894.30754700312</v>
      </c>
      <c r="I53" s="243">
        <f t="shared" si="4"/>
        <v>142245.13848317228</v>
      </c>
      <c r="J53" s="243">
        <v>133596.41473923955</v>
      </c>
    </row>
    <row r="54" spans="2:10" x14ac:dyDescent="0.3">
      <c r="B54" s="4" t="s">
        <v>82</v>
      </c>
      <c r="C54" s="242">
        <v>362880</v>
      </c>
      <c r="D54" s="243">
        <f>$C$54*(1-$N$6/7*1)</f>
        <v>346713.27496374887</v>
      </c>
      <c r="E54" s="243">
        <f>$C$54*(1-$N$6/7*2)</f>
        <v>330546.54992749775</v>
      </c>
      <c r="F54" s="243">
        <f>$C$54*(1-$N$6/7*3)</f>
        <v>314379.82489124662</v>
      </c>
      <c r="G54" s="243">
        <f>$C$54*(1-$N$6/7*4)</f>
        <v>298213.0998549955</v>
      </c>
      <c r="H54" s="243">
        <f>$C$54*(1-$N$6/7*5)</f>
        <v>282046.37481874443</v>
      </c>
      <c r="I54" s="243">
        <f>$C$54*(1-$N$6/7*6)</f>
        <v>265879.6497824933</v>
      </c>
      <c r="J54" s="243">
        <v>249712.92474624215</v>
      </c>
    </row>
  </sheetData>
  <mergeCells count="7">
    <mergeCell ref="C40:J40"/>
    <mergeCell ref="B39:J39"/>
    <mergeCell ref="C2:D2"/>
    <mergeCell ref="B1:D1"/>
    <mergeCell ref="B2:B3"/>
    <mergeCell ref="K6:M6"/>
    <mergeCell ref="F2:F3"/>
  </mergeCells>
  <phoneticPr fontId="1" type="noConversion"/>
  <conditionalFormatting sqref="I7:I8">
    <cfRule type="expression" dxfId="0" priority="1">
      <formula>MOD(ROW(),2)=0</formula>
    </cfRule>
  </conditionalFormatting>
  <hyperlinks>
    <hyperlink ref="K16" r:id="rId1" xr:uid="{A7DE9995-EB83-4AF4-AABD-20FBC521593A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8ADF-5C5A-4499-9ECB-337B9684E745}">
  <dimension ref="B1:O26"/>
  <sheetViews>
    <sheetView topLeftCell="A6" workbookViewId="0">
      <selection activeCell="K22" sqref="K22"/>
    </sheetView>
  </sheetViews>
  <sheetFormatPr defaultColWidth="11.5546875" defaultRowHeight="14.4" x14ac:dyDescent="0.3"/>
  <cols>
    <col min="2" max="2" width="19.33203125" bestFit="1" customWidth="1"/>
    <col min="3" max="3" width="28.109375" bestFit="1" customWidth="1"/>
    <col min="5" max="5" width="15.109375" bestFit="1" customWidth="1"/>
    <col min="6" max="6" width="7" customWidth="1"/>
    <col min="7" max="7" width="15.109375" customWidth="1"/>
    <col min="8" max="8" width="16.5546875" customWidth="1"/>
    <col min="10" max="10" width="13" bestFit="1" customWidth="1"/>
    <col min="11" max="11" width="13" customWidth="1"/>
    <col min="12" max="12" width="11.88671875" bestFit="1" customWidth="1"/>
    <col min="13" max="13" width="10.109375" bestFit="1" customWidth="1"/>
    <col min="14" max="14" width="10.109375" customWidth="1"/>
    <col min="15" max="15" width="12.44140625" customWidth="1"/>
  </cols>
  <sheetData>
    <row r="1" spans="2:15" ht="15" thickBot="1" x14ac:dyDescent="0.35">
      <c r="B1" s="231" t="s">
        <v>121</v>
      </c>
      <c r="C1" s="232"/>
      <c r="D1" s="232"/>
      <c r="E1" s="233"/>
    </row>
    <row r="2" spans="2:15" ht="15" thickBot="1" x14ac:dyDescent="0.35">
      <c r="B2" s="53" t="s">
        <v>37</v>
      </c>
      <c r="C2" s="54" t="s">
        <v>38</v>
      </c>
      <c r="D2" s="54" t="s">
        <v>39</v>
      </c>
      <c r="E2" s="55" t="s">
        <v>40</v>
      </c>
      <c r="G2" s="60" t="s">
        <v>60</v>
      </c>
      <c r="J2" s="102" t="s">
        <v>61</v>
      </c>
      <c r="K2" s="107" t="s">
        <v>133</v>
      </c>
      <c r="L2" s="103" t="s">
        <v>124</v>
      </c>
      <c r="M2" s="104" t="s">
        <v>125</v>
      </c>
      <c r="N2" s="104" t="s">
        <v>120</v>
      </c>
      <c r="O2" s="105" t="s">
        <v>62</v>
      </c>
    </row>
    <row r="3" spans="2:15" x14ac:dyDescent="0.3">
      <c r="B3" s="50" t="s">
        <v>41</v>
      </c>
      <c r="C3" s="50"/>
      <c r="D3" s="50">
        <v>8</v>
      </c>
      <c r="E3" s="50" t="s">
        <v>51</v>
      </c>
      <c r="G3" s="225" t="s">
        <v>123</v>
      </c>
      <c r="H3" s="226"/>
      <c r="I3" s="1"/>
      <c r="J3" s="4">
        <v>6</v>
      </c>
      <c r="K3" s="4">
        <f>L3*12</f>
        <v>2695680</v>
      </c>
      <c r="L3" s="59">
        <f>J3*60*24*26</f>
        <v>224640</v>
      </c>
      <c r="M3" s="59">
        <f>L3/4</f>
        <v>56160</v>
      </c>
      <c r="N3" s="40">
        <f>M3/6</f>
        <v>9360</v>
      </c>
      <c r="O3" s="106">
        <f t="shared" ref="O3:O12" si="0">D$10*60/(L3/D$7)</f>
        <v>8.75</v>
      </c>
    </row>
    <row r="4" spans="2:15" x14ac:dyDescent="0.3">
      <c r="B4" s="4" t="s">
        <v>49</v>
      </c>
      <c r="C4" s="4"/>
      <c r="D4" s="4">
        <v>2</v>
      </c>
      <c r="E4" s="4" t="s">
        <v>43</v>
      </c>
      <c r="G4" s="234" t="s">
        <v>64</v>
      </c>
      <c r="H4" s="235"/>
      <c r="I4" s="1"/>
      <c r="J4" s="4">
        <v>5</v>
      </c>
      <c r="K4" s="4">
        <f t="shared" ref="K4:K12" si="1">L4*12</f>
        <v>2246400</v>
      </c>
      <c r="L4" s="59">
        <f t="shared" ref="L4:L9" si="2">J4*60*24*26</f>
        <v>187200</v>
      </c>
      <c r="M4" s="59">
        <f t="shared" ref="M4:M9" si="3">L4/4</f>
        <v>46800</v>
      </c>
      <c r="N4" s="40">
        <f t="shared" ref="N4:N9" si="4">M4/6</f>
        <v>7800</v>
      </c>
      <c r="O4" s="106">
        <f t="shared" si="0"/>
        <v>10.5</v>
      </c>
    </row>
    <row r="5" spans="2:15" x14ac:dyDescent="0.3">
      <c r="B5" s="4" t="s">
        <v>42</v>
      </c>
      <c r="C5" s="4"/>
      <c r="D5" s="56">
        <v>30</v>
      </c>
      <c r="E5" s="4" t="s">
        <v>50</v>
      </c>
      <c r="G5" s="234" t="s">
        <v>122</v>
      </c>
      <c r="H5" s="235"/>
      <c r="I5" s="1"/>
      <c r="J5" s="4">
        <v>4</v>
      </c>
      <c r="K5" s="4">
        <f t="shared" si="1"/>
        <v>1797120</v>
      </c>
      <c r="L5" s="59">
        <f t="shared" si="2"/>
        <v>149760</v>
      </c>
      <c r="M5" s="59">
        <f t="shared" si="3"/>
        <v>37440</v>
      </c>
      <c r="N5" s="40">
        <f t="shared" si="4"/>
        <v>6240</v>
      </c>
      <c r="O5" s="106">
        <f t="shared" si="0"/>
        <v>13.125</v>
      </c>
    </row>
    <row r="6" spans="2:15" ht="15" thickBot="1" x14ac:dyDescent="0.35">
      <c r="B6" s="4" t="s">
        <v>52</v>
      </c>
      <c r="C6" s="4"/>
      <c r="D6" s="56">
        <v>2</v>
      </c>
      <c r="E6" s="4" t="s">
        <v>51</v>
      </c>
      <c r="G6" s="236" t="s">
        <v>63</v>
      </c>
      <c r="H6" s="237"/>
      <c r="I6" s="1"/>
      <c r="J6" s="4">
        <v>3</v>
      </c>
      <c r="K6" s="4">
        <f t="shared" si="1"/>
        <v>1347840</v>
      </c>
      <c r="L6" s="59">
        <f t="shared" si="2"/>
        <v>112320</v>
      </c>
      <c r="M6" s="59">
        <f t="shared" si="3"/>
        <v>28080</v>
      </c>
      <c r="N6" s="40">
        <f t="shared" si="4"/>
        <v>4680</v>
      </c>
      <c r="O6" s="106">
        <f t="shared" si="0"/>
        <v>17.5</v>
      </c>
    </row>
    <row r="7" spans="2:15" x14ac:dyDescent="0.3">
      <c r="B7" s="4" t="s">
        <v>44</v>
      </c>
      <c r="C7" s="4"/>
      <c r="D7" s="4">
        <v>26</v>
      </c>
      <c r="E7" s="4" t="s">
        <v>45</v>
      </c>
      <c r="F7" s="49"/>
      <c r="G7" s="49"/>
      <c r="H7" s="49"/>
      <c r="I7" s="49"/>
      <c r="J7" s="4">
        <v>2</v>
      </c>
      <c r="K7" s="4">
        <f t="shared" si="1"/>
        <v>898560</v>
      </c>
      <c r="L7" s="59">
        <f t="shared" si="2"/>
        <v>74880</v>
      </c>
      <c r="M7" s="59">
        <f t="shared" si="3"/>
        <v>18720</v>
      </c>
      <c r="N7" s="40">
        <f t="shared" si="4"/>
        <v>3120</v>
      </c>
      <c r="O7" s="106">
        <f t="shared" si="0"/>
        <v>26.25</v>
      </c>
    </row>
    <row r="8" spans="2:15" x14ac:dyDescent="0.3">
      <c r="B8" s="4" t="s">
        <v>46</v>
      </c>
      <c r="C8" s="4"/>
      <c r="D8" s="59">
        <f>L11</f>
        <v>7488</v>
      </c>
      <c r="E8" s="4" t="s">
        <v>47</v>
      </c>
      <c r="J8" s="4">
        <v>1</v>
      </c>
      <c r="K8" s="4">
        <f t="shared" si="1"/>
        <v>449280</v>
      </c>
      <c r="L8" s="59">
        <f t="shared" si="2"/>
        <v>37440</v>
      </c>
      <c r="M8" s="59">
        <f t="shared" si="3"/>
        <v>9360</v>
      </c>
      <c r="N8" s="40">
        <f t="shared" si="4"/>
        <v>1560</v>
      </c>
      <c r="O8" s="106">
        <f t="shared" si="0"/>
        <v>52.5</v>
      </c>
    </row>
    <row r="9" spans="2:15" x14ac:dyDescent="0.3">
      <c r="B9" s="229" t="s">
        <v>48</v>
      </c>
      <c r="C9" s="4" t="s">
        <v>65</v>
      </c>
      <c r="D9" s="4">
        <f>24-D6-(D5*D4/60)</f>
        <v>21</v>
      </c>
      <c r="E9" s="4" t="s">
        <v>51</v>
      </c>
      <c r="J9" s="4">
        <v>0.7</v>
      </c>
      <c r="K9" s="4">
        <f t="shared" si="1"/>
        <v>314496</v>
      </c>
      <c r="L9" s="59">
        <f t="shared" si="2"/>
        <v>26208</v>
      </c>
      <c r="M9" s="59">
        <f t="shared" si="3"/>
        <v>6552</v>
      </c>
      <c r="N9" s="40">
        <f t="shared" si="4"/>
        <v>1092</v>
      </c>
      <c r="O9" s="106">
        <f t="shared" si="0"/>
        <v>75</v>
      </c>
    </row>
    <row r="10" spans="2:15" x14ac:dyDescent="0.3">
      <c r="B10" s="230"/>
      <c r="C10" s="4" t="s">
        <v>53</v>
      </c>
      <c r="D10" s="4">
        <f>D9*60</f>
        <v>1260</v>
      </c>
      <c r="E10" s="4" t="s">
        <v>50</v>
      </c>
      <c r="J10" s="4">
        <v>0.5</v>
      </c>
      <c r="K10" s="4">
        <f t="shared" si="1"/>
        <v>224640</v>
      </c>
      <c r="L10" s="59">
        <f>J10*60*24*26</f>
        <v>18720</v>
      </c>
      <c r="M10" s="59">
        <f>L10/4</f>
        <v>4680</v>
      </c>
      <c r="N10" s="40">
        <f>M10/6</f>
        <v>780</v>
      </c>
      <c r="O10" s="106">
        <f t="shared" si="0"/>
        <v>105</v>
      </c>
    </row>
    <row r="11" spans="2:15" ht="15" thickBot="1" x14ac:dyDescent="0.35">
      <c r="B11" s="52" t="s">
        <v>54</v>
      </c>
      <c r="C11" s="4" t="s">
        <v>55</v>
      </c>
      <c r="D11" s="4">
        <f>D8/D7</f>
        <v>288</v>
      </c>
      <c r="E11" s="4" t="s">
        <v>56</v>
      </c>
      <c r="J11" s="4">
        <v>0.2</v>
      </c>
      <c r="K11" s="4">
        <f t="shared" si="1"/>
        <v>89856</v>
      </c>
      <c r="L11" s="59">
        <f>J11*60*24*26</f>
        <v>7488</v>
      </c>
      <c r="M11" s="59">
        <f>L11/4</f>
        <v>1872</v>
      </c>
      <c r="N11" s="40">
        <f>M11/6</f>
        <v>312</v>
      </c>
      <c r="O11" s="106">
        <f t="shared" si="0"/>
        <v>262.5</v>
      </c>
    </row>
    <row r="12" spans="2:15" ht="15" thickBot="1" x14ac:dyDescent="0.35">
      <c r="B12" s="58" t="s">
        <v>57</v>
      </c>
      <c r="C12" s="51" t="s">
        <v>58</v>
      </c>
      <c r="D12" s="57">
        <f>D10*60/D11</f>
        <v>262.5</v>
      </c>
      <c r="E12" s="57" t="s">
        <v>59</v>
      </c>
      <c r="J12" s="4">
        <v>0.1</v>
      </c>
      <c r="K12" s="4">
        <f t="shared" si="1"/>
        <v>44928</v>
      </c>
      <c r="L12" s="59">
        <f>J12*60*24*26</f>
        <v>3744</v>
      </c>
      <c r="M12" s="59">
        <f>L12/4</f>
        <v>936</v>
      </c>
      <c r="N12" s="40">
        <f>M12/6</f>
        <v>156</v>
      </c>
      <c r="O12" s="106">
        <f t="shared" si="0"/>
        <v>525</v>
      </c>
    </row>
    <row r="14" spans="2:15" ht="15" thickBot="1" x14ac:dyDescent="0.35"/>
    <row r="15" spans="2:15" ht="15" thickBot="1" x14ac:dyDescent="0.35">
      <c r="B15" s="231" t="s">
        <v>126</v>
      </c>
      <c r="C15" s="232"/>
      <c r="D15" s="232"/>
      <c r="E15" s="233"/>
      <c r="J15" s="102" t="s">
        <v>61</v>
      </c>
      <c r="K15" s="107" t="s">
        <v>133</v>
      </c>
      <c r="L15" s="103" t="s">
        <v>124</v>
      </c>
      <c r="M15" s="104" t="s">
        <v>125</v>
      </c>
      <c r="N15" s="104" t="s">
        <v>120</v>
      </c>
      <c r="O15" s="105" t="s">
        <v>62</v>
      </c>
    </row>
    <row r="16" spans="2:15" ht="15" thickBot="1" x14ac:dyDescent="0.35">
      <c r="B16" s="53" t="s">
        <v>37</v>
      </c>
      <c r="C16" s="54" t="s">
        <v>38</v>
      </c>
      <c r="D16" s="54" t="s">
        <v>39</v>
      </c>
      <c r="E16" s="55" t="s">
        <v>40</v>
      </c>
      <c r="G16" s="60" t="s">
        <v>60</v>
      </c>
      <c r="J16" s="4">
        <v>6</v>
      </c>
      <c r="K16" s="4">
        <f>L16*12</f>
        <v>3110400</v>
      </c>
      <c r="L16" s="59">
        <f>J16*60*24*30</f>
        <v>259200</v>
      </c>
      <c r="M16" s="59">
        <f>L16/4</f>
        <v>64800</v>
      </c>
      <c r="N16" s="40">
        <f>M16/7</f>
        <v>9257.1428571428569</v>
      </c>
      <c r="O16" s="106">
        <f>D$24*60/(L16/D$21)</f>
        <v>6.416666666666667</v>
      </c>
    </row>
    <row r="17" spans="2:15" x14ac:dyDescent="0.3">
      <c r="B17" s="50" t="s">
        <v>41</v>
      </c>
      <c r="C17" s="50"/>
      <c r="D17" s="50">
        <v>8</v>
      </c>
      <c r="E17" s="50" t="s">
        <v>51</v>
      </c>
      <c r="G17" s="225" t="s">
        <v>383</v>
      </c>
      <c r="H17" s="226"/>
      <c r="J17" s="4">
        <v>5</v>
      </c>
      <c r="K17" s="4">
        <f t="shared" ref="K17:K25" si="5">L17*12</f>
        <v>2592000</v>
      </c>
      <c r="L17" s="59">
        <f t="shared" ref="L17:L25" si="6">J17*60*24*30</f>
        <v>216000</v>
      </c>
      <c r="M17" s="59">
        <f t="shared" ref="M17:M22" si="7">L17/4</f>
        <v>54000</v>
      </c>
      <c r="N17" s="40">
        <f t="shared" ref="N17:N25" si="8">M17/7</f>
        <v>7714.2857142857147</v>
      </c>
      <c r="O17" s="106">
        <f t="shared" ref="O17:O25" si="9">D$24*60/(L17/D$21)</f>
        <v>7.7</v>
      </c>
    </row>
    <row r="18" spans="2:15" x14ac:dyDescent="0.3">
      <c r="B18" s="4" t="s">
        <v>49</v>
      </c>
      <c r="C18" s="4"/>
      <c r="D18" s="4">
        <v>2</v>
      </c>
      <c r="E18" s="4" t="s">
        <v>43</v>
      </c>
      <c r="G18" s="234" t="s">
        <v>64</v>
      </c>
      <c r="H18" s="235"/>
      <c r="J18" s="4">
        <v>4</v>
      </c>
      <c r="K18" s="4">
        <f t="shared" si="5"/>
        <v>2073600</v>
      </c>
      <c r="L18" s="59">
        <f t="shared" si="6"/>
        <v>172800</v>
      </c>
      <c r="M18" s="59">
        <f t="shared" si="7"/>
        <v>43200</v>
      </c>
      <c r="N18" s="40">
        <f t="shared" si="8"/>
        <v>6171.4285714285716</v>
      </c>
      <c r="O18" s="106">
        <f t="shared" si="9"/>
        <v>9.625</v>
      </c>
    </row>
    <row r="19" spans="2:15" x14ac:dyDescent="0.3">
      <c r="B19" s="4" t="s">
        <v>42</v>
      </c>
      <c r="C19" s="4"/>
      <c r="D19" s="56">
        <v>30</v>
      </c>
      <c r="E19" s="4" t="s">
        <v>50</v>
      </c>
      <c r="G19" s="234" t="s">
        <v>122</v>
      </c>
      <c r="H19" s="235"/>
      <c r="J19" s="4">
        <v>3</v>
      </c>
      <c r="K19" s="4">
        <f t="shared" si="5"/>
        <v>1555200</v>
      </c>
      <c r="L19" s="59">
        <f t="shared" si="6"/>
        <v>129600</v>
      </c>
      <c r="M19" s="59">
        <f t="shared" si="7"/>
        <v>32400</v>
      </c>
      <c r="N19" s="40">
        <f t="shared" si="8"/>
        <v>4628.5714285714284</v>
      </c>
      <c r="O19" s="106">
        <f t="shared" si="9"/>
        <v>12.833333333333334</v>
      </c>
    </row>
    <row r="20" spans="2:15" ht="15" thickBot="1" x14ac:dyDescent="0.35">
      <c r="B20" s="4" t="s">
        <v>52</v>
      </c>
      <c r="C20" s="4"/>
      <c r="D20" s="56">
        <v>2</v>
      </c>
      <c r="E20" s="4" t="s">
        <v>51</v>
      </c>
      <c r="G20" s="236" t="s">
        <v>63</v>
      </c>
      <c r="H20" s="237"/>
      <c r="J20" s="4">
        <v>2</v>
      </c>
      <c r="K20" s="4">
        <f t="shared" si="5"/>
        <v>1036800</v>
      </c>
      <c r="L20" s="59">
        <f t="shared" si="6"/>
        <v>86400</v>
      </c>
      <c r="M20" s="59">
        <f t="shared" si="7"/>
        <v>21600</v>
      </c>
      <c r="N20" s="40">
        <f t="shared" si="8"/>
        <v>3085.7142857142858</v>
      </c>
      <c r="O20" s="106">
        <f t="shared" si="9"/>
        <v>19.25</v>
      </c>
    </row>
    <row r="21" spans="2:15" x14ac:dyDescent="0.3">
      <c r="B21" s="4" t="s">
        <v>44</v>
      </c>
      <c r="C21" s="4"/>
      <c r="D21" s="4">
        <v>22</v>
      </c>
      <c r="E21" s="4" t="s">
        <v>45</v>
      </c>
      <c r="J21" s="4">
        <v>1</v>
      </c>
      <c r="K21" s="4">
        <f t="shared" si="5"/>
        <v>518400</v>
      </c>
      <c r="L21" s="59">
        <f t="shared" si="6"/>
        <v>43200</v>
      </c>
      <c r="M21" s="59">
        <f t="shared" si="7"/>
        <v>10800</v>
      </c>
      <c r="N21" s="40">
        <f t="shared" si="8"/>
        <v>1542.8571428571429</v>
      </c>
      <c r="O21" s="106">
        <f t="shared" si="9"/>
        <v>38.5</v>
      </c>
    </row>
    <row r="22" spans="2:15" x14ac:dyDescent="0.3">
      <c r="B22" s="4" t="s">
        <v>46</v>
      </c>
      <c r="C22" s="4"/>
      <c r="D22" s="59">
        <f>L22</f>
        <v>30240</v>
      </c>
      <c r="E22" s="4" t="s">
        <v>47</v>
      </c>
      <c r="J22" s="4">
        <v>0.7</v>
      </c>
      <c r="K22" s="4">
        <f t="shared" si="5"/>
        <v>362880</v>
      </c>
      <c r="L22" s="59">
        <f t="shared" si="6"/>
        <v>30240</v>
      </c>
      <c r="M22" s="59">
        <f t="shared" si="7"/>
        <v>7560</v>
      </c>
      <c r="N22" s="40">
        <f t="shared" si="8"/>
        <v>1080</v>
      </c>
      <c r="O22" s="106">
        <f t="shared" si="9"/>
        <v>55</v>
      </c>
    </row>
    <row r="23" spans="2:15" x14ac:dyDescent="0.3">
      <c r="B23" s="229" t="s">
        <v>48</v>
      </c>
      <c r="C23" s="4" t="s">
        <v>65</v>
      </c>
      <c r="D23" s="4">
        <f>24-D20-(D19*D18/60)</f>
        <v>21</v>
      </c>
      <c r="E23" s="4" t="s">
        <v>51</v>
      </c>
      <c r="J23" s="4">
        <v>0.5</v>
      </c>
      <c r="K23" s="4">
        <f t="shared" si="5"/>
        <v>259200</v>
      </c>
      <c r="L23" s="59">
        <f t="shared" si="6"/>
        <v>21600</v>
      </c>
      <c r="M23" s="59">
        <f>L23/4</f>
        <v>5400</v>
      </c>
      <c r="N23" s="40">
        <f t="shared" si="8"/>
        <v>771.42857142857144</v>
      </c>
      <c r="O23" s="106">
        <f t="shared" si="9"/>
        <v>77</v>
      </c>
    </row>
    <row r="24" spans="2:15" x14ac:dyDescent="0.3">
      <c r="B24" s="230"/>
      <c r="C24" s="4" t="s">
        <v>53</v>
      </c>
      <c r="D24" s="4">
        <f>D23*60</f>
        <v>1260</v>
      </c>
      <c r="E24" s="4" t="s">
        <v>50</v>
      </c>
      <c r="J24" s="4">
        <v>0.2</v>
      </c>
      <c r="K24" s="4">
        <f t="shared" si="5"/>
        <v>103680</v>
      </c>
      <c r="L24" s="59">
        <f t="shared" si="6"/>
        <v>8640</v>
      </c>
      <c r="M24" s="59">
        <f>L24/4</f>
        <v>2160</v>
      </c>
      <c r="N24" s="40">
        <f t="shared" si="8"/>
        <v>308.57142857142856</v>
      </c>
      <c r="O24" s="106">
        <f t="shared" si="9"/>
        <v>192.5</v>
      </c>
    </row>
    <row r="25" spans="2:15" ht="15" thickBot="1" x14ac:dyDescent="0.35">
      <c r="B25" s="52" t="s">
        <v>54</v>
      </c>
      <c r="C25" s="4" t="s">
        <v>55</v>
      </c>
      <c r="D25" s="4">
        <f>D22/D21</f>
        <v>1374.5454545454545</v>
      </c>
      <c r="E25" s="4" t="s">
        <v>56</v>
      </c>
      <c r="J25" s="4">
        <v>0.1</v>
      </c>
      <c r="K25" s="4">
        <f t="shared" si="5"/>
        <v>51840</v>
      </c>
      <c r="L25" s="59">
        <f t="shared" si="6"/>
        <v>4320</v>
      </c>
      <c r="M25" s="59">
        <f>L25/4</f>
        <v>1080</v>
      </c>
      <c r="N25" s="40">
        <f t="shared" si="8"/>
        <v>154.28571428571428</v>
      </c>
      <c r="O25" s="106">
        <f t="shared" si="9"/>
        <v>385</v>
      </c>
    </row>
    <row r="26" spans="2:15" ht="15" thickBot="1" x14ac:dyDescent="0.35">
      <c r="B26" s="58" t="s">
        <v>57</v>
      </c>
      <c r="C26" s="51" t="s">
        <v>58</v>
      </c>
      <c r="D26" s="57">
        <f>D24*60/D25</f>
        <v>55</v>
      </c>
      <c r="E26" s="57" t="s">
        <v>59</v>
      </c>
    </row>
  </sheetData>
  <mergeCells count="12">
    <mergeCell ref="B9:B10"/>
    <mergeCell ref="G5:H5"/>
    <mergeCell ref="G3:H3"/>
    <mergeCell ref="G6:H6"/>
    <mergeCell ref="B1:E1"/>
    <mergeCell ref="G4:H4"/>
    <mergeCell ref="B23:B24"/>
    <mergeCell ref="B15:E15"/>
    <mergeCell ref="G17:H17"/>
    <mergeCell ref="G18:H18"/>
    <mergeCell ref="G19:H19"/>
    <mergeCell ref="G20:H20"/>
  </mergeCells>
  <pageMargins left="0.25" right="0.25" top="0.75" bottom="0.75" header="0.3" footer="0.3"/>
  <pageSetup paperSize="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B863-26C4-4EF0-AB07-73D3EA6C9C7C}">
  <dimension ref="B1:P76"/>
  <sheetViews>
    <sheetView topLeftCell="A60" workbookViewId="0">
      <selection activeCell="D73" sqref="D73"/>
    </sheetView>
  </sheetViews>
  <sheetFormatPr defaultRowHeight="14.4" x14ac:dyDescent="0.3"/>
  <cols>
    <col min="2" max="2" width="19.77734375" bestFit="1" customWidth="1"/>
    <col min="3" max="3" width="16.44140625" bestFit="1" customWidth="1"/>
    <col min="4" max="4" width="14.44140625" bestFit="1" customWidth="1"/>
    <col min="5" max="5" width="19.77734375" bestFit="1" customWidth="1"/>
    <col min="6" max="6" width="19.77734375" customWidth="1"/>
    <col min="8" max="8" width="19.77734375" bestFit="1" customWidth="1"/>
    <col min="9" max="9" width="16.44140625" bestFit="1" customWidth="1"/>
    <col min="10" max="10" width="10.21875" customWidth="1"/>
    <col min="12" max="12" width="8.77734375" bestFit="1" customWidth="1"/>
    <col min="13" max="13" width="12.21875" bestFit="1" customWidth="1"/>
    <col min="14" max="14" width="11.5546875" bestFit="1" customWidth="1"/>
    <col min="15" max="15" width="18.77734375" bestFit="1" customWidth="1"/>
    <col min="16" max="16" width="15.44140625" bestFit="1" customWidth="1"/>
  </cols>
  <sheetData>
    <row r="1" spans="2:16" ht="15" thickBot="1" x14ac:dyDescent="0.35"/>
    <row r="2" spans="2:16" x14ac:dyDescent="0.3">
      <c r="B2" s="225" t="s">
        <v>127</v>
      </c>
      <c r="C2" s="226"/>
      <c r="D2" s="63"/>
      <c r="E2" s="225" t="s">
        <v>134</v>
      </c>
      <c r="F2" s="226"/>
      <c r="H2" s="225" t="s">
        <v>135</v>
      </c>
      <c r="I2" s="226"/>
    </row>
    <row r="3" spans="2:16" x14ac:dyDescent="0.3">
      <c r="B3" s="12" t="s">
        <v>128</v>
      </c>
      <c r="C3" s="72">
        <v>5</v>
      </c>
      <c r="D3" s="63"/>
      <c r="E3" s="12" t="s">
        <v>128</v>
      </c>
      <c r="F3" s="72">
        <v>6</v>
      </c>
      <c r="H3" s="12" t="s">
        <v>128</v>
      </c>
      <c r="I3" s="72">
        <v>6</v>
      </c>
    </row>
    <row r="4" spans="2:16" x14ac:dyDescent="0.3">
      <c r="B4" s="12" t="s">
        <v>141</v>
      </c>
      <c r="C4" s="72">
        <v>2</v>
      </c>
      <c r="D4" s="63"/>
      <c r="E4" s="12" t="s">
        <v>141</v>
      </c>
      <c r="F4" s="72">
        <v>2</v>
      </c>
      <c r="H4" s="12" t="s">
        <v>141</v>
      </c>
      <c r="I4" s="72">
        <v>2</v>
      </c>
    </row>
    <row r="5" spans="2:16" x14ac:dyDescent="0.3">
      <c r="B5" s="227" t="s">
        <v>132</v>
      </c>
      <c r="C5" s="120">
        <v>0.3</v>
      </c>
      <c r="D5" s="63"/>
      <c r="E5" s="227" t="s">
        <v>132</v>
      </c>
      <c r="F5" s="120">
        <v>0.4</v>
      </c>
      <c r="H5" s="227" t="s">
        <v>132</v>
      </c>
      <c r="I5" s="120">
        <v>0.3</v>
      </c>
    </row>
    <row r="6" spans="2:16" x14ac:dyDescent="0.3">
      <c r="B6" s="228"/>
      <c r="C6" s="72">
        <f>C5*'Calculo Takt'!$L$22</f>
        <v>9072</v>
      </c>
      <c r="D6" s="63"/>
      <c r="E6" s="228"/>
      <c r="F6" s="72">
        <f>F5*'Calculo Takt'!$L$22</f>
        <v>12096</v>
      </c>
      <c r="G6" s="63"/>
      <c r="H6" s="228"/>
      <c r="I6" s="72">
        <f>I5*'Calculo Takt'!$L$22</f>
        <v>9072</v>
      </c>
    </row>
    <row r="7" spans="2:16" x14ac:dyDescent="0.3">
      <c r="B7" s="12" t="s">
        <v>130</v>
      </c>
      <c r="C7" s="118">
        <f>$H$15*$H$16*C6*C3</f>
        <v>93858912</v>
      </c>
      <c r="D7" s="63"/>
      <c r="E7" s="12" t="s">
        <v>130</v>
      </c>
      <c r="F7" s="118">
        <f>$H$15*$H$16*F6*F3</f>
        <v>150174259.19999999</v>
      </c>
      <c r="G7" s="63"/>
      <c r="H7" s="12" t="s">
        <v>130</v>
      </c>
      <c r="I7" s="118">
        <f>$H$15*$H$16*I6*I3</f>
        <v>112630694.39999999</v>
      </c>
    </row>
    <row r="8" spans="2:16" x14ac:dyDescent="0.3">
      <c r="B8" s="12" t="s">
        <v>147</v>
      </c>
      <c r="C8" s="121">
        <f>C6/100*$H$18</f>
        <v>725.76</v>
      </c>
      <c r="D8" s="63"/>
      <c r="E8" s="12" t="s">
        <v>147</v>
      </c>
      <c r="F8" s="121">
        <f>F6/100*$H$18</f>
        <v>967.68</v>
      </c>
      <c r="G8" s="63"/>
      <c r="H8" s="12" t="s">
        <v>147</v>
      </c>
      <c r="I8" s="121">
        <f>I6/100*$H$18</f>
        <v>725.76</v>
      </c>
    </row>
    <row r="9" spans="2:16" x14ac:dyDescent="0.3">
      <c r="B9" s="12" t="s">
        <v>131</v>
      </c>
      <c r="C9" s="118">
        <f>C8*$H$17</f>
        <v>90720000</v>
      </c>
      <c r="D9" s="63"/>
      <c r="E9" s="12" t="s">
        <v>131</v>
      </c>
      <c r="F9" s="118">
        <f>F8*$H$17</f>
        <v>120960000</v>
      </c>
      <c r="G9" s="63"/>
      <c r="H9" s="12" t="s">
        <v>131</v>
      </c>
      <c r="I9" s="118">
        <f>I8*$H$17</f>
        <v>90720000</v>
      </c>
    </row>
    <row r="10" spans="2:16" x14ac:dyDescent="0.3">
      <c r="B10" s="12" t="s">
        <v>142</v>
      </c>
      <c r="C10" s="118">
        <f>C6*$H$19</f>
        <v>15349824</v>
      </c>
      <c r="D10" s="63"/>
      <c r="E10" s="12" t="s">
        <v>142</v>
      </c>
      <c r="F10" s="118">
        <f>F6*$H$19</f>
        <v>20466432</v>
      </c>
      <c r="H10" s="12" t="s">
        <v>142</v>
      </c>
      <c r="I10" s="118">
        <f>I6*$H$19</f>
        <v>15349824</v>
      </c>
    </row>
    <row r="11" spans="2:16" x14ac:dyDescent="0.3">
      <c r="B11" s="12" t="s">
        <v>129</v>
      </c>
      <c r="C11" s="118">
        <v>32000</v>
      </c>
      <c r="D11" s="63"/>
      <c r="E11" s="12" t="s">
        <v>129</v>
      </c>
      <c r="F11" s="118">
        <v>35000</v>
      </c>
      <c r="H11" s="12" t="s">
        <v>129</v>
      </c>
      <c r="I11" s="118">
        <v>32000</v>
      </c>
    </row>
    <row r="12" spans="2:16" ht="15" thickBot="1" x14ac:dyDescent="0.35">
      <c r="B12" s="114" t="s">
        <v>223</v>
      </c>
      <c r="C12" s="115">
        <f>C6*C11-C10-C9-C7</f>
        <v>90375264</v>
      </c>
      <c r="D12" s="63"/>
      <c r="E12" s="114" t="s">
        <v>223</v>
      </c>
      <c r="F12" s="115">
        <f>F6*F11-F10-F9-F7</f>
        <v>131759308.80000001</v>
      </c>
      <c r="H12" s="114" t="s">
        <v>223</v>
      </c>
      <c r="I12" s="115">
        <f>I6*I11-I10-I9-I7</f>
        <v>71603481.600000009</v>
      </c>
      <c r="P12" s="111"/>
    </row>
    <row r="13" spans="2:16" ht="15" thickBot="1" x14ac:dyDescent="0.35">
      <c r="C13" s="63"/>
      <c r="D13" s="63"/>
    </row>
    <row r="14" spans="2:16" x14ac:dyDescent="0.3">
      <c r="B14" s="225" t="s">
        <v>152</v>
      </c>
      <c r="C14" s="226"/>
      <c r="H14" s="1" t="s">
        <v>143</v>
      </c>
      <c r="I14" s="1"/>
    </row>
    <row r="15" spans="2:16" x14ac:dyDescent="0.3">
      <c r="B15" s="12" t="s">
        <v>128</v>
      </c>
      <c r="C15" s="72">
        <v>6</v>
      </c>
      <c r="H15" s="100">
        <v>0.5</v>
      </c>
      <c r="I15" t="s">
        <v>144</v>
      </c>
      <c r="K15" t="s">
        <v>150</v>
      </c>
    </row>
    <row r="16" spans="2:16" x14ac:dyDescent="0.3">
      <c r="B16" s="12" t="s">
        <v>141</v>
      </c>
      <c r="C16" s="72">
        <v>2</v>
      </c>
      <c r="H16" s="100">
        <v>4138.3999999999996</v>
      </c>
      <c r="I16" t="s">
        <v>145</v>
      </c>
    </row>
    <row r="17" spans="2:11" x14ac:dyDescent="0.3">
      <c r="B17" s="12" t="s">
        <v>132</v>
      </c>
      <c r="C17" s="72">
        <v>1</v>
      </c>
      <c r="H17" s="100">
        <v>125000</v>
      </c>
      <c r="I17" t="s">
        <v>146</v>
      </c>
      <c r="K17" t="s">
        <v>388</v>
      </c>
    </row>
    <row r="18" spans="2:11" x14ac:dyDescent="0.3">
      <c r="B18" s="12" t="s">
        <v>130</v>
      </c>
      <c r="C18" s="118">
        <f>$H$15*$H$16*C17</f>
        <v>2069.1999999999998</v>
      </c>
      <c r="H18">
        <v>8</v>
      </c>
      <c r="I18" t="s">
        <v>148</v>
      </c>
    </row>
    <row r="19" spans="2:11" x14ac:dyDescent="0.3">
      <c r="B19" s="12" t="s">
        <v>147</v>
      </c>
      <c r="C19" s="119">
        <f>C17/100*$H$18</f>
        <v>0.08</v>
      </c>
      <c r="H19" s="100">
        <f>1128*1.5</f>
        <v>1692</v>
      </c>
      <c r="I19" t="s">
        <v>149</v>
      </c>
      <c r="K19" t="s">
        <v>151</v>
      </c>
    </row>
    <row r="20" spans="2:11" x14ac:dyDescent="0.3">
      <c r="B20" s="12" t="s">
        <v>131</v>
      </c>
      <c r="C20" s="118">
        <f>C19*$H$17</f>
        <v>10000</v>
      </c>
      <c r="H20" s="100">
        <v>30</v>
      </c>
      <c r="I20" t="s">
        <v>155</v>
      </c>
      <c r="K20" t="s">
        <v>156</v>
      </c>
    </row>
    <row r="21" spans="2:11" x14ac:dyDescent="0.3">
      <c r="B21" s="12" t="s">
        <v>142</v>
      </c>
      <c r="C21" s="118">
        <f>C17*$H$19</f>
        <v>1692</v>
      </c>
      <c r="F21" s="111"/>
      <c r="H21" s="100">
        <v>4296.1000000000004</v>
      </c>
      <c r="I21" t="s">
        <v>158</v>
      </c>
    </row>
    <row r="22" spans="2:11" x14ac:dyDescent="0.3">
      <c r="B22" s="12" t="s">
        <v>129</v>
      </c>
      <c r="C22" s="118">
        <v>30000</v>
      </c>
      <c r="F22" s="111"/>
      <c r="H22" s="100">
        <v>12300</v>
      </c>
      <c r="I22" t="s">
        <v>159</v>
      </c>
      <c r="K22" t="s">
        <v>163</v>
      </c>
    </row>
    <row r="23" spans="2:11" x14ac:dyDescent="0.3">
      <c r="B23" s="12"/>
      <c r="C23" s="72"/>
      <c r="H23" s="100">
        <v>13720683</v>
      </c>
      <c r="I23" t="s">
        <v>169</v>
      </c>
      <c r="K23" t="s">
        <v>184</v>
      </c>
    </row>
    <row r="24" spans="2:11" ht="15" thickBot="1" x14ac:dyDescent="0.35">
      <c r="B24" s="114" t="s">
        <v>140</v>
      </c>
      <c r="C24" s="115">
        <f>C17*C22-C21-C20-C18</f>
        <v>16238.8</v>
      </c>
      <c r="H24" s="100">
        <v>8758000</v>
      </c>
      <c r="I24" t="s">
        <v>166</v>
      </c>
      <c r="K24" t="s">
        <v>170</v>
      </c>
    </row>
    <row r="25" spans="2:11" ht="15" thickBot="1" x14ac:dyDescent="0.35">
      <c r="C25" s="108"/>
      <c r="H25" s="100">
        <v>25000</v>
      </c>
      <c r="I25" t="s">
        <v>167</v>
      </c>
      <c r="K25" t="s">
        <v>171</v>
      </c>
    </row>
    <row r="26" spans="2:11" ht="15" thickBot="1" x14ac:dyDescent="0.35">
      <c r="B26" s="204" t="s">
        <v>177</v>
      </c>
      <c r="C26" s="205"/>
      <c r="D26" s="221"/>
      <c r="H26" s="100">
        <v>4500000</v>
      </c>
      <c r="I26" t="s">
        <v>173</v>
      </c>
      <c r="K26" t="s">
        <v>183</v>
      </c>
    </row>
    <row r="27" spans="2:11" x14ac:dyDescent="0.3">
      <c r="B27" s="140" t="s">
        <v>153</v>
      </c>
      <c r="C27" s="141" t="s">
        <v>222</v>
      </c>
      <c r="D27" s="142" t="s">
        <v>90</v>
      </c>
      <c r="F27" s="100"/>
      <c r="H27" s="100">
        <v>1680000</v>
      </c>
      <c r="I27" t="s">
        <v>174</v>
      </c>
    </row>
    <row r="28" spans="2:11" s="3" customFormat="1" ht="28.8" x14ac:dyDescent="0.3">
      <c r="B28" s="14" t="s">
        <v>154</v>
      </c>
      <c r="C28" s="124">
        <f>43*H16</f>
        <v>177951.19999999998</v>
      </c>
      <c r="D28" s="126">
        <v>20</v>
      </c>
      <c r="H28" s="100">
        <v>3000000</v>
      </c>
      <c r="I28" t="s">
        <v>175</v>
      </c>
      <c r="J28"/>
      <c r="K28"/>
    </row>
    <row r="29" spans="2:11" x14ac:dyDescent="0.3">
      <c r="B29" s="14" t="s">
        <v>166</v>
      </c>
      <c r="C29" s="116">
        <f>H24</f>
        <v>8758000</v>
      </c>
      <c r="D29" s="88">
        <v>6</v>
      </c>
      <c r="H29" s="100">
        <v>1423500</v>
      </c>
      <c r="I29" t="s">
        <v>215</v>
      </c>
      <c r="K29" t="s">
        <v>216</v>
      </c>
    </row>
    <row r="30" spans="2:11" x14ac:dyDescent="0.3">
      <c r="B30" s="12" t="s">
        <v>167</v>
      </c>
      <c r="C30" s="116">
        <f>H25</f>
        <v>25000</v>
      </c>
      <c r="D30" s="88">
        <v>6</v>
      </c>
      <c r="H30" s="100">
        <f>1900000</f>
        <v>1900000</v>
      </c>
      <c r="I30" t="s">
        <v>225</v>
      </c>
      <c r="K30" t="s">
        <v>224</v>
      </c>
    </row>
    <row r="31" spans="2:11" x14ac:dyDescent="0.3">
      <c r="B31" s="12" t="s">
        <v>168</v>
      </c>
      <c r="C31" s="116">
        <f>H23</f>
        <v>13720683</v>
      </c>
      <c r="D31" s="88">
        <v>3</v>
      </c>
      <c r="H31" s="100">
        <v>80</v>
      </c>
      <c r="I31" t="s">
        <v>264</v>
      </c>
      <c r="K31" t="s">
        <v>263</v>
      </c>
    </row>
    <row r="32" spans="2:11" x14ac:dyDescent="0.3">
      <c r="B32" s="12" t="s">
        <v>157</v>
      </c>
      <c r="C32" s="116">
        <f>H22*H21</f>
        <v>52842030.000000007</v>
      </c>
      <c r="D32" s="88">
        <v>1</v>
      </c>
      <c r="H32" s="100">
        <v>4500</v>
      </c>
      <c r="I32" t="s">
        <v>393</v>
      </c>
    </row>
    <row r="33" spans="2:16" x14ac:dyDescent="0.3">
      <c r="B33" s="12" t="s">
        <v>390</v>
      </c>
      <c r="C33" s="116">
        <f>H32*H16</f>
        <v>18622800</v>
      </c>
      <c r="D33" s="88">
        <v>1</v>
      </c>
      <c r="H33" s="100">
        <v>15300</v>
      </c>
      <c r="I33" t="s">
        <v>161</v>
      </c>
      <c r="K33" t="s">
        <v>162</v>
      </c>
    </row>
    <row r="34" spans="2:16" x14ac:dyDescent="0.3">
      <c r="B34" s="12" t="s">
        <v>391</v>
      </c>
      <c r="C34" s="116">
        <f>H33*H16</f>
        <v>63317519.999999993</v>
      </c>
      <c r="D34" s="88">
        <v>1</v>
      </c>
      <c r="H34" s="100">
        <v>5000</v>
      </c>
      <c r="I34" t="s">
        <v>395</v>
      </c>
    </row>
    <row r="35" spans="2:16" x14ac:dyDescent="0.3">
      <c r="B35" s="12" t="s">
        <v>160</v>
      </c>
      <c r="C35" s="116">
        <f>(H37+H36+H34)*H16</f>
        <v>27313439.999999996</v>
      </c>
      <c r="D35" s="88">
        <v>1</v>
      </c>
      <c r="H35" s="100">
        <v>230</v>
      </c>
      <c r="I35" t="s">
        <v>165</v>
      </c>
      <c r="K35" t="s">
        <v>164</v>
      </c>
    </row>
    <row r="36" spans="2:16" ht="28.8" x14ac:dyDescent="0.3">
      <c r="B36" s="12" t="s">
        <v>262</v>
      </c>
      <c r="C36" s="116">
        <f>H31*H21</f>
        <v>343688</v>
      </c>
      <c r="D36" s="88">
        <v>1</v>
      </c>
      <c r="H36" s="122">
        <v>1500</v>
      </c>
      <c r="I36" s="3" t="s">
        <v>394</v>
      </c>
    </row>
    <row r="37" spans="2:16" x14ac:dyDescent="0.3">
      <c r="B37" s="14" t="s">
        <v>178</v>
      </c>
      <c r="C37" s="116">
        <v>10000000</v>
      </c>
      <c r="D37" s="88">
        <v>1</v>
      </c>
      <c r="H37" s="100">
        <v>100</v>
      </c>
      <c r="I37" t="s">
        <v>389</v>
      </c>
      <c r="K37" t="s">
        <v>392</v>
      </c>
    </row>
    <row r="38" spans="2:16" x14ac:dyDescent="0.3">
      <c r="B38" s="12" t="s">
        <v>172</v>
      </c>
      <c r="C38" s="125">
        <f>H26+H27+H28</f>
        <v>9180000</v>
      </c>
      <c r="D38" s="88">
        <v>1</v>
      </c>
      <c r="F38" t="s">
        <v>255</v>
      </c>
    </row>
    <row r="39" spans="2:16" ht="15" thickBot="1" x14ac:dyDescent="0.35">
      <c r="B39" s="68" t="s">
        <v>200</v>
      </c>
      <c r="C39" s="127">
        <v>100000000</v>
      </c>
      <c r="D39" s="128">
        <v>1</v>
      </c>
      <c r="E39" s="111"/>
      <c r="F39" s="111">
        <f>C39/4</f>
        <v>25000000</v>
      </c>
      <c r="H39" t="s">
        <v>187</v>
      </c>
    </row>
    <row r="40" spans="2:16" x14ac:dyDescent="0.3">
      <c r="B40" s="215" t="s">
        <v>176</v>
      </c>
      <c r="C40" s="217">
        <f>SUMPRODUCT(C28:C39,D28:D39)</f>
        <v>379038551</v>
      </c>
      <c r="D40" s="218"/>
      <c r="H40">
        <v>200</v>
      </c>
      <c r="I40" s="211" t="s">
        <v>260</v>
      </c>
      <c r="J40" s="211"/>
      <c r="K40" t="s">
        <v>188</v>
      </c>
    </row>
    <row r="41" spans="2:16" ht="15" thickBot="1" x14ac:dyDescent="0.35">
      <c r="B41" s="216"/>
      <c r="C41" s="219"/>
      <c r="D41" s="220"/>
      <c r="H41">
        <v>55</v>
      </c>
      <c r="I41" s="1" t="s">
        <v>189</v>
      </c>
      <c r="J41" s="1"/>
    </row>
    <row r="42" spans="2:16" ht="15" thickBot="1" x14ac:dyDescent="0.35">
      <c r="H42">
        <v>279.62</v>
      </c>
      <c r="I42" s="211" t="s">
        <v>201</v>
      </c>
      <c r="J42" s="211"/>
      <c r="K42" t="s">
        <v>197</v>
      </c>
    </row>
    <row r="43" spans="2:16" ht="15" thickBot="1" x14ac:dyDescent="0.35">
      <c r="B43" s="222" t="s">
        <v>232</v>
      </c>
      <c r="C43" s="223"/>
      <c r="D43" s="223"/>
      <c r="E43" s="224"/>
      <c r="H43" s="100">
        <v>10000</v>
      </c>
      <c r="I43" t="s">
        <v>205</v>
      </c>
    </row>
    <row r="44" spans="2:16" ht="15" thickBot="1" x14ac:dyDescent="0.35">
      <c r="B44" s="146" t="s">
        <v>153</v>
      </c>
      <c r="C44" s="147" t="s">
        <v>185</v>
      </c>
      <c r="D44" s="147" t="s">
        <v>203</v>
      </c>
      <c r="E44" s="148" t="s">
        <v>206</v>
      </c>
    </row>
    <row r="45" spans="2:16" ht="15" thickBot="1" x14ac:dyDescent="0.35">
      <c r="B45" s="12" t="s">
        <v>172</v>
      </c>
      <c r="C45" s="4">
        <f>0.009*I52</f>
        <v>0.14399999999999999</v>
      </c>
      <c r="D45" s="4">
        <f>C45*I51</f>
        <v>3.1679999999999997</v>
      </c>
      <c r="E45" s="118">
        <f t="shared" ref="E45:E51" si="0">D45*$H$42</f>
        <v>885.83615999999995</v>
      </c>
      <c r="H45" s="6" t="s">
        <v>194</v>
      </c>
      <c r="I45" s="7" t="s">
        <v>261</v>
      </c>
      <c r="J45" s="7" t="s">
        <v>195</v>
      </c>
      <c r="K45" s="7" t="s">
        <v>90</v>
      </c>
      <c r="L45" s="7" t="s">
        <v>203</v>
      </c>
      <c r="M45" s="7" t="s">
        <v>196</v>
      </c>
      <c r="N45" s="7" t="s">
        <v>198</v>
      </c>
      <c r="O45" s="143" t="s">
        <v>204</v>
      </c>
      <c r="P45" s="8" t="s">
        <v>202</v>
      </c>
    </row>
    <row r="46" spans="2:16" x14ac:dyDescent="0.3">
      <c r="B46" s="12" t="s">
        <v>180</v>
      </c>
      <c r="C46" s="4">
        <f>0.65*D29</f>
        <v>3.9000000000000004</v>
      </c>
      <c r="D46" s="4">
        <f>C46*I52*I51</f>
        <v>1372.8000000000002</v>
      </c>
      <c r="E46" s="118">
        <f t="shared" si="0"/>
        <v>383862.33600000007</v>
      </c>
      <c r="H46" s="247" t="s">
        <v>190</v>
      </c>
      <c r="I46" s="248">
        <v>1800</v>
      </c>
      <c r="J46" s="248">
        <v>17</v>
      </c>
      <c r="K46" s="151">
        <f>_xlfn.FLOOR.MATH($H$40*$H$41/I46)</f>
        <v>6</v>
      </c>
      <c r="L46" s="151">
        <f>J46/1000*$I$51*$I$52*K46</f>
        <v>35.903999999999996</v>
      </c>
      <c r="M46" s="249">
        <v>10900</v>
      </c>
      <c r="N46" s="250">
        <f>30000/(24*30*12)</f>
        <v>3.4722222222222223</v>
      </c>
      <c r="O46" s="251">
        <f>3*K46*H$43</f>
        <v>180000</v>
      </c>
      <c r="P46" s="252">
        <f>K46*L46*H$42*12*10+(M46*K46)+O46</f>
        <v>7473823.0655999994</v>
      </c>
    </row>
    <row r="47" spans="2:16" x14ac:dyDescent="0.3">
      <c r="B47" s="12" t="s">
        <v>181</v>
      </c>
      <c r="C47" s="4">
        <f>0.8*0.8</f>
        <v>0.64000000000000012</v>
      </c>
      <c r="D47" s="4">
        <f>C47*I52*I51</f>
        <v>225.28000000000003</v>
      </c>
      <c r="E47" s="118">
        <f t="shared" si="0"/>
        <v>62992.793600000012</v>
      </c>
      <c r="H47" s="253" t="s">
        <v>191</v>
      </c>
      <c r="I47" s="254">
        <v>3000</v>
      </c>
      <c r="J47" s="254">
        <v>30</v>
      </c>
      <c r="K47" s="152">
        <f t="shared" ref="K47:K49" si="1">_xlfn.FLOOR.MATH($H$40*$H$41/I47)</f>
        <v>3</v>
      </c>
      <c r="L47" s="152">
        <f t="shared" ref="L47:L49" si="2">J47/1000*$I$51*$I$52*K47</f>
        <v>31.679999999999996</v>
      </c>
      <c r="M47" s="255">
        <v>31900</v>
      </c>
      <c r="N47" s="256">
        <f>40000/(24*30*12)</f>
        <v>4.6296296296296298</v>
      </c>
      <c r="O47" s="145">
        <f>2*K47*H$43</f>
        <v>60000</v>
      </c>
      <c r="P47" s="153">
        <f t="shared" ref="P47:P49" si="3">K47*L47*H$42*12*10+(M47*K47)+O47</f>
        <v>3344710.1759999995</v>
      </c>
    </row>
    <row r="48" spans="2:16" x14ac:dyDescent="0.3">
      <c r="B48" s="12" t="s">
        <v>182</v>
      </c>
      <c r="C48" s="4">
        <v>0.5</v>
      </c>
      <c r="D48" s="4">
        <f>C48*I51*I52</f>
        <v>176</v>
      </c>
      <c r="E48" s="118">
        <f t="shared" si="0"/>
        <v>49213.120000000003</v>
      </c>
      <c r="H48" s="131" t="s">
        <v>192</v>
      </c>
      <c r="I48" s="130">
        <v>3300</v>
      </c>
      <c r="J48" s="130">
        <v>36</v>
      </c>
      <c r="K48" s="151">
        <f t="shared" si="1"/>
        <v>3</v>
      </c>
      <c r="L48" s="151">
        <f t="shared" si="2"/>
        <v>38.015999999999998</v>
      </c>
      <c r="M48" s="116">
        <v>9900</v>
      </c>
      <c r="N48" s="117">
        <f>15000/(24*30*12)</f>
        <v>1.7361111111111112</v>
      </c>
      <c r="O48" s="144">
        <f>5*K48*H$43</f>
        <v>150000</v>
      </c>
      <c r="P48" s="139">
        <f t="shared" si="3"/>
        <v>4006512.2111999998</v>
      </c>
    </row>
    <row r="49" spans="2:16" ht="15" thickBot="1" x14ac:dyDescent="0.35">
      <c r="B49" s="12" t="s">
        <v>186</v>
      </c>
      <c r="C49" s="4">
        <f>L47/I51</f>
        <v>1.4399999999999997</v>
      </c>
      <c r="D49" s="4">
        <f>L47</f>
        <v>31.679999999999996</v>
      </c>
      <c r="E49" s="118">
        <f t="shared" si="0"/>
        <v>8858.3615999999984</v>
      </c>
      <c r="H49" s="132" t="s">
        <v>193</v>
      </c>
      <c r="I49" s="133">
        <v>1600</v>
      </c>
      <c r="J49" s="133">
        <v>100</v>
      </c>
      <c r="K49" s="151">
        <f t="shared" si="1"/>
        <v>6</v>
      </c>
      <c r="L49" s="151">
        <f t="shared" si="2"/>
        <v>211.20000000000002</v>
      </c>
      <c r="M49" s="137">
        <v>45000</v>
      </c>
      <c r="N49" s="138">
        <f>2000/(24*30*12)</f>
        <v>0.23148148148148148</v>
      </c>
      <c r="O49" s="144">
        <f>30*K49*H$43</f>
        <v>1800000</v>
      </c>
      <c r="P49" s="139">
        <f t="shared" si="3"/>
        <v>44590135.68</v>
      </c>
    </row>
    <row r="50" spans="2:16" x14ac:dyDescent="0.3">
      <c r="B50" s="68" t="s">
        <v>262</v>
      </c>
      <c r="C50" s="52">
        <f>0.0021*'Calculo Takt'!N22</f>
        <v>2.2679999999999998</v>
      </c>
      <c r="D50" s="52">
        <f>C50*I51</f>
        <v>49.895999999999994</v>
      </c>
      <c r="E50" s="118">
        <f t="shared" si="0"/>
        <v>13951.919519999998</v>
      </c>
      <c r="H50" s="129"/>
      <c r="I50" s="129"/>
      <c r="J50" s="129"/>
      <c r="K50" s="185"/>
      <c r="M50" s="123"/>
      <c r="N50" s="134"/>
      <c r="O50" s="123"/>
      <c r="P50" s="111"/>
    </row>
    <row r="51" spans="2:16" ht="15" thickBot="1" x14ac:dyDescent="0.35">
      <c r="B51" s="68" t="s">
        <v>199</v>
      </c>
      <c r="C51" s="52">
        <f>0.015*8</f>
        <v>0.12</v>
      </c>
      <c r="D51" s="52">
        <f>C51*I52*I51</f>
        <v>42.239999999999995</v>
      </c>
      <c r="E51" s="149">
        <f t="shared" si="0"/>
        <v>11811.148799999999</v>
      </c>
      <c r="H51" s="246" t="s">
        <v>386</v>
      </c>
      <c r="I51" s="246">
        <v>22</v>
      </c>
    </row>
    <row r="52" spans="2:16" ht="29.4" thickBot="1" x14ac:dyDescent="0.35">
      <c r="B52" s="6" t="s">
        <v>176</v>
      </c>
      <c r="C52" s="7"/>
      <c r="D52" s="7"/>
      <c r="E52" s="150">
        <f>SUM(E45:E51)</f>
        <v>531575.51568000007</v>
      </c>
      <c r="F52" s="111"/>
      <c r="H52" s="246" t="s">
        <v>385</v>
      </c>
      <c r="I52" s="246">
        <v>16</v>
      </c>
    </row>
    <row r="54" spans="2:16" x14ac:dyDescent="0.3">
      <c r="B54" s="208" t="s">
        <v>233</v>
      </c>
      <c r="C54" s="208"/>
      <c r="D54" s="208"/>
    </row>
    <row r="55" spans="2:16" x14ac:dyDescent="0.3">
      <c r="B55" s="4" t="s">
        <v>218</v>
      </c>
      <c r="C55" s="4" t="s">
        <v>217</v>
      </c>
      <c r="D55" s="4" t="s">
        <v>208</v>
      </c>
    </row>
    <row r="56" spans="2:16" x14ac:dyDescent="0.3">
      <c r="B56" s="4" t="s">
        <v>214</v>
      </c>
      <c r="C56" s="154">
        <v>1</v>
      </c>
      <c r="D56" s="116">
        <f>H29*1</f>
        <v>1423500</v>
      </c>
    </row>
    <row r="57" spans="2:16" ht="28.8" x14ac:dyDescent="0.3">
      <c r="B57" s="130" t="s">
        <v>211</v>
      </c>
      <c r="C57" s="155">
        <v>0.22500000000000001</v>
      </c>
      <c r="D57" s="156">
        <f>D56*C57</f>
        <v>320287.5</v>
      </c>
    </row>
    <row r="58" spans="2:16" ht="28.8" x14ac:dyDescent="0.3">
      <c r="B58" s="130" t="s">
        <v>212</v>
      </c>
      <c r="C58" s="157">
        <v>0.26</v>
      </c>
      <c r="D58" s="156">
        <f>D56*C58</f>
        <v>370110</v>
      </c>
    </row>
    <row r="59" spans="2:16" ht="28.8" x14ac:dyDescent="0.3">
      <c r="B59" s="130" t="s">
        <v>213</v>
      </c>
      <c r="C59" s="158">
        <v>0.08</v>
      </c>
      <c r="D59" s="156">
        <f>C59*D56</f>
        <v>113880</v>
      </c>
    </row>
    <row r="60" spans="2:16" x14ac:dyDescent="0.3">
      <c r="B60" s="209" t="s">
        <v>176</v>
      </c>
      <c r="C60" s="210"/>
      <c r="D60" s="125">
        <f>SUM(D56:D59)</f>
        <v>2227777.5</v>
      </c>
    </row>
    <row r="62" spans="2:16" x14ac:dyDescent="0.3">
      <c r="B62" s="208" t="s">
        <v>234</v>
      </c>
      <c r="C62" s="208"/>
      <c r="D62" s="208"/>
      <c r="F62" s="212" t="s">
        <v>237</v>
      </c>
      <c r="G62" s="213"/>
      <c r="H62" s="214"/>
    </row>
    <row r="63" spans="2:16" x14ac:dyDescent="0.3">
      <c r="B63" s="4" t="s">
        <v>218</v>
      </c>
      <c r="C63" s="4" t="s">
        <v>217</v>
      </c>
      <c r="D63" s="4" t="s">
        <v>208</v>
      </c>
      <c r="F63" s="4" t="s">
        <v>210</v>
      </c>
      <c r="G63" s="4" t="s">
        <v>219</v>
      </c>
      <c r="H63" s="4" t="s">
        <v>221</v>
      </c>
    </row>
    <row r="64" spans="2:16" x14ac:dyDescent="0.3">
      <c r="B64" s="4" t="s">
        <v>214</v>
      </c>
      <c r="C64" s="154">
        <v>1</v>
      </c>
      <c r="D64" s="116">
        <v>3500000</v>
      </c>
      <c r="F64" s="4" t="s">
        <v>235</v>
      </c>
      <c r="G64" s="4">
        <v>2</v>
      </c>
      <c r="H64" s="116">
        <f>D68</f>
        <v>5477500</v>
      </c>
    </row>
    <row r="65" spans="2:8" ht="28.8" x14ac:dyDescent="0.3">
      <c r="B65" s="130" t="s">
        <v>211</v>
      </c>
      <c r="C65" s="155">
        <v>0.22500000000000001</v>
      </c>
      <c r="D65" s="156">
        <f>D64*C65</f>
        <v>787500</v>
      </c>
      <c r="F65" s="4" t="s">
        <v>209</v>
      </c>
      <c r="G65" s="4">
        <v>2</v>
      </c>
      <c r="H65" s="116">
        <f>D60</f>
        <v>2227777.5</v>
      </c>
    </row>
    <row r="66" spans="2:8" ht="28.8" x14ac:dyDescent="0.3">
      <c r="B66" s="130" t="s">
        <v>212</v>
      </c>
      <c r="C66" s="157">
        <v>0.26</v>
      </c>
      <c r="D66" s="156">
        <f>D64*C66</f>
        <v>910000</v>
      </c>
      <c r="F66" s="4" t="s">
        <v>182</v>
      </c>
      <c r="G66" s="4">
        <v>2</v>
      </c>
      <c r="H66" s="116">
        <f>D60</f>
        <v>2227777.5</v>
      </c>
    </row>
    <row r="67" spans="2:8" ht="28.8" x14ac:dyDescent="0.3">
      <c r="B67" s="130" t="s">
        <v>213</v>
      </c>
      <c r="C67" s="158">
        <v>0.08</v>
      </c>
      <c r="D67" s="156">
        <f>C67*D64</f>
        <v>280000</v>
      </c>
      <c r="F67" s="4" t="s">
        <v>220</v>
      </c>
      <c r="G67" s="4">
        <v>2</v>
      </c>
      <c r="H67" s="125">
        <f>D60</f>
        <v>2227777.5</v>
      </c>
    </row>
    <row r="68" spans="2:8" x14ac:dyDescent="0.3">
      <c r="B68" s="209" t="s">
        <v>176</v>
      </c>
      <c r="C68" s="210"/>
      <c r="D68" s="125">
        <f>SUM(D64:D67)</f>
        <v>5477500</v>
      </c>
      <c r="F68" s="101" t="s">
        <v>256</v>
      </c>
      <c r="G68" s="101">
        <v>1</v>
      </c>
      <c r="H68" s="111">
        <f>D76</f>
        <v>3001670</v>
      </c>
    </row>
    <row r="69" spans="2:8" x14ac:dyDescent="0.3">
      <c r="F69" s="159" t="s">
        <v>176</v>
      </c>
      <c r="G69" s="160"/>
      <c r="H69" s="116">
        <f>SUMPRODUCT(G64:G68,H64:H68)</f>
        <v>27323335</v>
      </c>
    </row>
    <row r="70" spans="2:8" x14ac:dyDescent="0.3">
      <c r="B70" s="208" t="s">
        <v>236</v>
      </c>
      <c r="C70" s="208"/>
      <c r="D70" s="208"/>
    </row>
    <row r="71" spans="2:8" x14ac:dyDescent="0.3">
      <c r="B71" s="4" t="s">
        <v>218</v>
      </c>
      <c r="C71" s="4" t="s">
        <v>217</v>
      </c>
      <c r="D71" s="4" t="s">
        <v>208</v>
      </c>
    </row>
    <row r="72" spans="2:8" x14ac:dyDescent="0.3">
      <c r="B72" s="4" t="s">
        <v>214</v>
      </c>
      <c r="C72" s="154">
        <v>1</v>
      </c>
      <c r="D72" s="116">
        <v>1918000</v>
      </c>
    </row>
    <row r="73" spans="2:8" ht="28.8" x14ac:dyDescent="0.3">
      <c r="B73" s="130" t="s">
        <v>211</v>
      </c>
      <c r="C73" s="155">
        <v>0.22500000000000001</v>
      </c>
      <c r="D73" s="156">
        <f>D72*C73</f>
        <v>431550</v>
      </c>
    </row>
    <row r="74" spans="2:8" ht="28.8" x14ac:dyDescent="0.3">
      <c r="B74" s="130" t="s">
        <v>212</v>
      </c>
      <c r="C74" s="157">
        <v>0.26</v>
      </c>
      <c r="D74" s="156">
        <f>D72*C74</f>
        <v>498680</v>
      </c>
    </row>
    <row r="75" spans="2:8" ht="28.8" x14ac:dyDescent="0.3">
      <c r="B75" s="130" t="s">
        <v>213</v>
      </c>
      <c r="C75" s="158">
        <v>0.08</v>
      </c>
      <c r="D75" s="156">
        <f>C75*D72</f>
        <v>153440</v>
      </c>
    </row>
    <row r="76" spans="2:8" x14ac:dyDescent="0.3">
      <c r="B76" s="209" t="s">
        <v>176</v>
      </c>
      <c r="C76" s="210"/>
      <c r="D76" s="125">
        <f>SUM(D72:D75)</f>
        <v>3001670</v>
      </c>
    </row>
  </sheetData>
  <mergeCells count="20">
    <mergeCell ref="B26:D26"/>
    <mergeCell ref="I42:J42"/>
    <mergeCell ref="B43:E43"/>
    <mergeCell ref="B2:C2"/>
    <mergeCell ref="E2:F2"/>
    <mergeCell ref="H2:I2"/>
    <mergeCell ref="B14:C14"/>
    <mergeCell ref="B5:B6"/>
    <mergeCell ref="H5:H6"/>
    <mergeCell ref="E5:E6"/>
    <mergeCell ref="B70:D70"/>
    <mergeCell ref="B76:C76"/>
    <mergeCell ref="I40:J40"/>
    <mergeCell ref="F62:H62"/>
    <mergeCell ref="B54:D54"/>
    <mergeCell ref="B62:D62"/>
    <mergeCell ref="B60:C60"/>
    <mergeCell ref="B68:C68"/>
    <mergeCell ref="B40:B41"/>
    <mergeCell ref="C40:D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765A9-8433-4F04-91AA-8D9AA0845B10}">
  <dimension ref="B3:K106"/>
  <sheetViews>
    <sheetView topLeftCell="A4" workbookViewId="0">
      <selection activeCell="D17" sqref="D17"/>
    </sheetView>
  </sheetViews>
  <sheetFormatPr defaultRowHeight="14.4" x14ac:dyDescent="0.3"/>
  <cols>
    <col min="2" max="2" width="20" bestFit="1" customWidth="1"/>
    <col min="3" max="3" width="18.109375" bestFit="1" customWidth="1"/>
    <col min="4" max="4" width="10.88671875" customWidth="1"/>
    <col min="5" max="5" width="11.77734375" bestFit="1" customWidth="1"/>
    <col min="6" max="6" width="18.109375" bestFit="1" customWidth="1"/>
    <col min="7" max="7" width="16.44140625" bestFit="1" customWidth="1"/>
    <col min="8" max="8" width="19.109375" bestFit="1" customWidth="1"/>
  </cols>
  <sheetData>
    <row r="3" spans="2:8" x14ac:dyDescent="0.3">
      <c r="B3" t="s">
        <v>253</v>
      </c>
      <c r="C3" s="111">
        <f>'Calculo Activos'!E8/12</f>
        <v>292186154.4000001</v>
      </c>
      <c r="E3" t="s">
        <v>257</v>
      </c>
      <c r="F3" t="s">
        <v>258</v>
      </c>
    </row>
    <row r="4" spans="2:8" x14ac:dyDescent="0.3">
      <c r="B4" t="s">
        <v>227</v>
      </c>
      <c r="C4" s="111">
        <f>'Salarios e Ingresos Figuras'!C40</f>
        <v>379038551</v>
      </c>
      <c r="E4" s="100">
        <v>14674.13</v>
      </c>
      <c r="F4">
        <f>10*3952.69</f>
        <v>39526.9</v>
      </c>
      <c r="H4" t="s">
        <v>259</v>
      </c>
    </row>
    <row r="5" spans="2:8" x14ac:dyDescent="0.3">
      <c r="B5" t="s">
        <v>396</v>
      </c>
      <c r="C5" s="111">
        <f>'Flujo Ajustado'!B6+'Flujo Ajustado'!B7+'Flujo Ajustado'!B9</f>
        <v>710229945.5999999</v>
      </c>
      <c r="E5" s="100"/>
    </row>
    <row r="6" spans="2:8" x14ac:dyDescent="0.3">
      <c r="B6" t="s">
        <v>268</v>
      </c>
    </row>
    <row r="7" spans="2:8" x14ac:dyDescent="0.3">
      <c r="B7" t="s">
        <v>229</v>
      </c>
      <c r="C7" s="111">
        <f>'Calculo Activos'!E10/12</f>
        <v>531575.51568000007</v>
      </c>
    </row>
    <row r="8" spans="2:8" x14ac:dyDescent="0.3">
      <c r="B8" t="s">
        <v>228</v>
      </c>
      <c r="C8" s="111">
        <f>'Salarios e Ingresos Figuras'!H30</f>
        <v>1900000</v>
      </c>
      <c r="E8" t="s">
        <v>266</v>
      </c>
      <c r="F8" t="s">
        <v>226</v>
      </c>
      <c r="G8" t="s">
        <v>179</v>
      </c>
      <c r="H8" t="s">
        <v>271</v>
      </c>
    </row>
    <row r="9" spans="2:8" x14ac:dyDescent="0.3">
      <c r="B9" t="s">
        <v>230</v>
      </c>
      <c r="C9" s="100">
        <f>E4+F4</f>
        <v>54201.03</v>
      </c>
      <c r="E9">
        <v>0</v>
      </c>
      <c r="F9" s="111">
        <f>-C4</f>
        <v>-379038551</v>
      </c>
      <c r="H9" s="111">
        <f>F9-G9</f>
        <v>-379038551</v>
      </c>
    </row>
    <row r="10" spans="2:8" x14ac:dyDescent="0.3">
      <c r="B10" t="s">
        <v>207</v>
      </c>
      <c r="C10" s="111">
        <f>'Salarios e Ingresos Figuras'!H69</f>
        <v>27323335</v>
      </c>
      <c r="E10">
        <v>1</v>
      </c>
      <c r="G10" s="111">
        <f>C$12+C$14+C$15+C$16</f>
        <v>227223983.47068</v>
      </c>
      <c r="H10" s="111">
        <f>F10-G10+H9</f>
        <v>-606262534.47068</v>
      </c>
    </row>
    <row r="11" spans="2:8" x14ac:dyDescent="0.3">
      <c r="B11" t="s">
        <v>267</v>
      </c>
      <c r="C11" s="100">
        <v>500000</v>
      </c>
      <c r="E11">
        <v>2</v>
      </c>
      <c r="F11" s="111">
        <f>C$3</f>
        <v>292186154.4000001</v>
      </c>
      <c r="G11" s="111">
        <f t="shared" ref="G11:G74" si="0">C$12+C$14+C$15+C$16</f>
        <v>227223983.47068</v>
      </c>
      <c r="H11" s="111">
        <f t="shared" ref="H11:H74" si="1">F11-G11+H10</f>
        <v>-541300363.5413599</v>
      </c>
    </row>
    <row r="12" spans="2:8" x14ac:dyDescent="0.3">
      <c r="B12" t="s">
        <v>269</v>
      </c>
      <c r="C12" s="111">
        <f>SUM(C7:C11)</f>
        <v>30309111.545680001</v>
      </c>
      <c r="E12">
        <v>3</v>
      </c>
      <c r="F12" s="111">
        <f t="shared" ref="F12:F75" si="2">C$3</f>
        <v>292186154.4000001</v>
      </c>
      <c r="G12" s="111">
        <f t="shared" si="0"/>
        <v>227223983.47068</v>
      </c>
      <c r="H12" s="111">
        <f t="shared" si="1"/>
        <v>-476338192.6120398</v>
      </c>
    </row>
    <row r="13" spans="2:8" x14ac:dyDescent="0.3">
      <c r="E13">
        <v>4</v>
      </c>
      <c r="F13" s="111">
        <f t="shared" si="2"/>
        <v>292186154.4000001</v>
      </c>
      <c r="G13" s="111">
        <f t="shared" si="0"/>
        <v>227223983.47068</v>
      </c>
      <c r="H13" s="111">
        <f t="shared" si="1"/>
        <v>-411376021.68271971</v>
      </c>
    </row>
    <row r="14" spans="2:8" x14ac:dyDescent="0.3">
      <c r="B14" t="s">
        <v>272</v>
      </c>
      <c r="C14" s="100">
        <f>('Calculo Activos'!E23-'Calculo Activos'!E24)/12</f>
        <v>192169152</v>
      </c>
      <c r="E14">
        <v>5</v>
      </c>
      <c r="F14" s="111">
        <f t="shared" si="2"/>
        <v>292186154.4000001</v>
      </c>
      <c r="G14" s="111">
        <f t="shared" si="0"/>
        <v>227223983.47068</v>
      </c>
      <c r="H14" s="111">
        <f t="shared" si="1"/>
        <v>-346413850.75339961</v>
      </c>
    </row>
    <row r="15" spans="2:8" x14ac:dyDescent="0.3">
      <c r="B15" t="s">
        <v>273</v>
      </c>
      <c r="C15" s="111">
        <f>'Calculo Activos'!E19/12</f>
        <v>2014375.925</v>
      </c>
      <c r="E15">
        <v>6</v>
      </c>
      <c r="F15" s="111">
        <f t="shared" si="2"/>
        <v>292186154.4000001</v>
      </c>
      <c r="G15" s="111">
        <f t="shared" si="0"/>
        <v>227223983.47068</v>
      </c>
      <c r="H15" s="111">
        <f t="shared" si="1"/>
        <v>-281451679.82407951</v>
      </c>
    </row>
    <row r="16" spans="2:8" x14ac:dyDescent="0.3">
      <c r="B16" t="s">
        <v>274</v>
      </c>
      <c r="C16" s="111">
        <f>'Calculo Activos'!E21</f>
        <v>2731343.9999999995</v>
      </c>
      <c r="E16">
        <v>7</v>
      </c>
      <c r="F16" s="111">
        <f t="shared" si="2"/>
        <v>292186154.4000001</v>
      </c>
      <c r="G16" s="111">
        <f t="shared" si="0"/>
        <v>227223983.47068</v>
      </c>
      <c r="H16" s="111">
        <f t="shared" si="1"/>
        <v>-216489508.89475942</v>
      </c>
    </row>
    <row r="17" spans="2:11" x14ac:dyDescent="0.3">
      <c r="B17" t="s">
        <v>270</v>
      </c>
      <c r="C17" s="111">
        <f>'Salarios e Ingresos Figuras'!C35</f>
        <v>27313439.999999996</v>
      </c>
      <c r="E17">
        <v>8</v>
      </c>
      <c r="F17" s="111">
        <f t="shared" si="2"/>
        <v>292186154.4000001</v>
      </c>
      <c r="G17" s="111">
        <f t="shared" si="0"/>
        <v>227223983.47068</v>
      </c>
      <c r="H17" s="111">
        <f t="shared" si="1"/>
        <v>-151527337.96543932</v>
      </c>
    </row>
    <row r="18" spans="2:11" x14ac:dyDescent="0.3">
      <c r="E18">
        <v>9</v>
      </c>
      <c r="F18" s="111">
        <f t="shared" si="2"/>
        <v>292186154.4000001</v>
      </c>
      <c r="G18" s="111">
        <f t="shared" si="0"/>
        <v>227223983.47068</v>
      </c>
      <c r="H18" s="111">
        <f t="shared" si="1"/>
        <v>-86565167.036119223</v>
      </c>
    </row>
    <row r="19" spans="2:11" x14ac:dyDescent="0.3">
      <c r="E19">
        <v>10</v>
      </c>
      <c r="F19" s="111">
        <f t="shared" si="2"/>
        <v>292186154.4000001</v>
      </c>
      <c r="G19" s="111">
        <f t="shared" si="0"/>
        <v>227223983.47068</v>
      </c>
      <c r="H19" s="111">
        <f t="shared" si="1"/>
        <v>-21602996.106799126</v>
      </c>
    </row>
    <row r="20" spans="2:11" x14ac:dyDescent="0.3">
      <c r="E20">
        <v>11</v>
      </c>
      <c r="F20" s="111">
        <f t="shared" si="2"/>
        <v>292186154.4000001</v>
      </c>
      <c r="G20" s="111">
        <f t="shared" si="0"/>
        <v>227223983.47068</v>
      </c>
      <c r="H20" s="111">
        <f t="shared" si="1"/>
        <v>43359174.822520971</v>
      </c>
    </row>
    <row r="21" spans="2:11" x14ac:dyDescent="0.3">
      <c r="B21" s="162">
        <f>IRR(H9:H106)</f>
        <v>9.8818016638083206E-2</v>
      </c>
      <c r="E21">
        <v>12</v>
      </c>
      <c r="F21" s="111">
        <f t="shared" si="2"/>
        <v>292186154.4000001</v>
      </c>
      <c r="G21" s="111">
        <f t="shared" si="0"/>
        <v>227223983.47068</v>
      </c>
      <c r="H21" s="111">
        <f t="shared" si="1"/>
        <v>108321345.75184107</v>
      </c>
    </row>
    <row r="22" spans="2:11" x14ac:dyDescent="0.3">
      <c r="E22">
        <v>13</v>
      </c>
      <c r="F22" s="111">
        <f t="shared" si="2"/>
        <v>292186154.4000001</v>
      </c>
      <c r="G22" s="111">
        <f>C$12+C$14+C$15+C$16+C$17</f>
        <v>254537423.47068</v>
      </c>
      <c r="H22" s="111">
        <f t="shared" si="1"/>
        <v>145970076.68116117</v>
      </c>
    </row>
    <row r="23" spans="2:11" x14ac:dyDescent="0.3">
      <c r="E23">
        <v>14</v>
      </c>
      <c r="F23" s="111">
        <f t="shared" si="2"/>
        <v>292186154.4000001</v>
      </c>
      <c r="G23" s="111">
        <f t="shared" si="0"/>
        <v>227223983.47068</v>
      </c>
      <c r="H23" s="111">
        <f t="shared" si="1"/>
        <v>210932247.61048126</v>
      </c>
    </row>
    <row r="24" spans="2:11" x14ac:dyDescent="0.3">
      <c r="E24">
        <v>15</v>
      </c>
      <c r="F24" s="111">
        <f t="shared" si="2"/>
        <v>292186154.4000001</v>
      </c>
      <c r="G24" s="111">
        <f t="shared" si="0"/>
        <v>227223983.47068</v>
      </c>
      <c r="H24" s="111">
        <f t="shared" si="1"/>
        <v>275894418.53980136</v>
      </c>
    </row>
    <row r="25" spans="2:11" x14ac:dyDescent="0.3">
      <c r="E25">
        <v>16</v>
      </c>
      <c r="F25" s="111">
        <f t="shared" si="2"/>
        <v>292186154.4000001</v>
      </c>
      <c r="G25" s="111">
        <f t="shared" si="0"/>
        <v>227223983.47068</v>
      </c>
      <c r="H25" s="111">
        <f t="shared" si="1"/>
        <v>340856589.46912146</v>
      </c>
      <c r="J25" t="s">
        <v>275</v>
      </c>
      <c r="K25" s="240">
        <f>IRR(H9:H106)</f>
        <v>9.8818016638083206E-2</v>
      </c>
    </row>
    <row r="26" spans="2:11" x14ac:dyDescent="0.3">
      <c r="E26">
        <v>17</v>
      </c>
      <c r="F26" s="111">
        <f t="shared" si="2"/>
        <v>292186154.4000001</v>
      </c>
      <c r="G26" s="111">
        <f t="shared" si="0"/>
        <v>227223983.47068</v>
      </c>
      <c r="H26" s="111">
        <f t="shared" si="1"/>
        <v>405818760.39844155</v>
      </c>
    </row>
    <row r="27" spans="2:11" x14ac:dyDescent="0.3">
      <c r="E27">
        <v>18</v>
      </c>
      <c r="F27" s="111">
        <f t="shared" si="2"/>
        <v>292186154.4000001</v>
      </c>
      <c r="G27" s="111">
        <f t="shared" si="0"/>
        <v>227223983.47068</v>
      </c>
      <c r="H27" s="111">
        <f t="shared" si="1"/>
        <v>470780931.32776165</v>
      </c>
    </row>
    <row r="28" spans="2:11" x14ac:dyDescent="0.3">
      <c r="E28">
        <v>19</v>
      </c>
      <c r="F28" s="111">
        <f t="shared" si="2"/>
        <v>292186154.4000001</v>
      </c>
      <c r="G28" s="111">
        <f t="shared" si="0"/>
        <v>227223983.47068</v>
      </c>
      <c r="H28" s="111">
        <f t="shared" si="1"/>
        <v>535743102.25708175</v>
      </c>
    </row>
    <row r="29" spans="2:11" x14ac:dyDescent="0.3">
      <c r="E29">
        <v>20</v>
      </c>
      <c r="F29" s="111">
        <f t="shared" si="2"/>
        <v>292186154.4000001</v>
      </c>
      <c r="G29" s="111">
        <f t="shared" si="0"/>
        <v>227223983.47068</v>
      </c>
      <c r="H29" s="111">
        <f t="shared" si="1"/>
        <v>600705273.18640184</v>
      </c>
    </row>
    <row r="30" spans="2:11" x14ac:dyDescent="0.3">
      <c r="E30">
        <v>21</v>
      </c>
      <c r="F30" s="111">
        <f t="shared" si="2"/>
        <v>292186154.4000001</v>
      </c>
      <c r="G30" s="111">
        <f t="shared" si="0"/>
        <v>227223983.47068</v>
      </c>
      <c r="H30" s="111">
        <f t="shared" si="1"/>
        <v>665667444.11572194</v>
      </c>
    </row>
    <row r="31" spans="2:11" x14ac:dyDescent="0.3">
      <c r="E31">
        <v>22</v>
      </c>
      <c r="F31" s="111">
        <f t="shared" si="2"/>
        <v>292186154.4000001</v>
      </c>
      <c r="G31" s="111">
        <f t="shared" si="0"/>
        <v>227223983.47068</v>
      </c>
      <c r="H31" s="111">
        <f t="shared" si="1"/>
        <v>730629615.04504204</v>
      </c>
    </row>
    <row r="32" spans="2:11" x14ac:dyDescent="0.3">
      <c r="E32">
        <v>23</v>
      </c>
      <c r="F32" s="111">
        <f t="shared" si="2"/>
        <v>292186154.4000001</v>
      </c>
      <c r="G32" s="111">
        <f t="shared" si="0"/>
        <v>227223983.47068</v>
      </c>
      <c r="H32" s="111">
        <f t="shared" si="1"/>
        <v>795591785.97436213</v>
      </c>
    </row>
    <row r="33" spans="5:8" x14ac:dyDescent="0.3">
      <c r="E33">
        <v>24</v>
      </c>
      <c r="F33" s="111">
        <f t="shared" si="2"/>
        <v>292186154.4000001</v>
      </c>
      <c r="G33" s="111">
        <f t="shared" si="0"/>
        <v>227223983.47068</v>
      </c>
      <c r="H33" s="111">
        <f t="shared" si="1"/>
        <v>860553956.90368223</v>
      </c>
    </row>
    <row r="34" spans="5:8" x14ac:dyDescent="0.3">
      <c r="E34">
        <v>25</v>
      </c>
      <c r="F34" s="111">
        <f t="shared" si="2"/>
        <v>292186154.4000001</v>
      </c>
      <c r="G34" s="111">
        <f>C$12+C$14+C$15+C$16+C$17</f>
        <v>254537423.47068</v>
      </c>
      <c r="H34" s="111">
        <f t="shared" si="1"/>
        <v>898202687.83300233</v>
      </c>
    </row>
    <row r="35" spans="5:8" x14ac:dyDescent="0.3">
      <c r="E35">
        <v>26</v>
      </c>
      <c r="F35" s="111">
        <f t="shared" si="2"/>
        <v>292186154.4000001</v>
      </c>
      <c r="G35" s="111">
        <f t="shared" si="0"/>
        <v>227223983.47068</v>
      </c>
      <c r="H35" s="111">
        <f t="shared" si="1"/>
        <v>963164858.76232243</v>
      </c>
    </row>
    <row r="36" spans="5:8" x14ac:dyDescent="0.3">
      <c r="E36">
        <v>27</v>
      </c>
      <c r="F36" s="111">
        <f t="shared" si="2"/>
        <v>292186154.4000001</v>
      </c>
      <c r="G36" s="111">
        <f t="shared" si="0"/>
        <v>227223983.47068</v>
      </c>
      <c r="H36" s="111">
        <f t="shared" si="1"/>
        <v>1028127029.6916425</v>
      </c>
    </row>
    <row r="37" spans="5:8" x14ac:dyDescent="0.3">
      <c r="E37">
        <v>28</v>
      </c>
      <c r="F37" s="111">
        <f t="shared" si="2"/>
        <v>292186154.4000001</v>
      </c>
      <c r="G37" s="111">
        <f t="shared" si="0"/>
        <v>227223983.47068</v>
      </c>
      <c r="H37" s="111">
        <f t="shared" si="1"/>
        <v>1093089200.6209626</v>
      </c>
    </row>
    <row r="38" spans="5:8" x14ac:dyDescent="0.3">
      <c r="E38">
        <v>29</v>
      </c>
      <c r="F38" s="111">
        <f t="shared" si="2"/>
        <v>292186154.4000001</v>
      </c>
      <c r="G38" s="111">
        <f t="shared" si="0"/>
        <v>227223983.47068</v>
      </c>
      <c r="H38" s="111">
        <f t="shared" si="1"/>
        <v>1158051371.5502827</v>
      </c>
    </row>
    <row r="39" spans="5:8" x14ac:dyDescent="0.3">
      <c r="E39">
        <v>30</v>
      </c>
      <c r="F39" s="111">
        <f t="shared" si="2"/>
        <v>292186154.4000001</v>
      </c>
      <c r="G39" s="111">
        <f t="shared" si="0"/>
        <v>227223983.47068</v>
      </c>
      <c r="H39" s="111">
        <f t="shared" si="1"/>
        <v>1223013542.4796028</v>
      </c>
    </row>
    <row r="40" spans="5:8" x14ac:dyDescent="0.3">
      <c r="E40">
        <v>31</v>
      </c>
      <c r="F40" s="111">
        <f t="shared" si="2"/>
        <v>292186154.4000001</v>
      </c>
      <c r="G40" s="111">
        <f t="shared" si="0"/>
        <v>227223983.47068</v>
      </c>
      <c r="H40" s="111">
        <f t="shared" si="1"/>
        <v>1287975713.4089229</v>
      </c>
    </row>
    <row r="41" spans="5:8" x14ac:dyDescent="0.3">
      <c r="E41">
        <v>32</v>
      </c>
      <c r="F41" s="111">
        <f t="shared" si="2"/>
        <v>292186154.4000001</v>
      </c>
      <c r="G41" s="111">
        <f t="shared" si="0"/>
        <v>227223983.47068</v>
      </c>
      <c r="H41" s="111">
        <f t="shared" si="1"/>
        <v>1352937884.338243</v>
      </c>
    </row>
    <row r="42" spans="5:8" x14ac:dyDescent="0.3">
      <c r="E42">
        <v>33</v>
      </c>
      <c r="F42" s="111">
        <f t="shared" si="2"/>
        <v>292186154.4000001</v>
      </c>
      <c r="G42" s="111">
        <f t="shared" si="0"/>
        <v>227223983.47068</v>
      </c>
      <c r="H42" s="111">
        <f t="shared" si="1"/>
        <v>1417900055.2675631</v>
      </c>
    </row>
    <row r="43" spans="5:8" x14ac:dyDescent="0.3">
      <c r="E43">
        <v>34</v>
      </c>
      <c r="F43" s="111">
        <f t="shared" si="2"/>
        <v>292186154.4000001</v>
      </c>
      <c r="G43" s="111">
        <f t="shared" si="0"/>
        <v>227223983.47068</v>
      </c>
      <c r="H43" s="111">
        <f t="shared" si="1"/>
        <v>1482862226.1968832</v>
      </c>
    </row>
    <row r="44" spans="5:8" x14ac:dyDescent="0.3">
      <c r="E44">
        <v>35</v>
      </c>
      <c r="F44" s="111">
        <f t="shared" si="2"/>
        <v>292186154.4000001</v>
      </c>
      <c r="G44" s="111">
        <f t="shared" si="0"/>
        <v>227223983.47068</v>
      </c>
      <c r="H44" s="111">
        <f t="shared" si="1"/>
        <v>1547824397.1262033</v>
      </c>
    </row>
    <row r="45" spans="5:8" x14ac:dyDescent="0.3">
      <c r="E45">
        <v>36</v>
      </c>
      <c r="F45" s="111">
        <f t="shared" si="2"/>
        <v>292186154.4000001</v>
      </c>
      <c r="G45" s="111">
        <f t="shared" si="0"/>
        <v>227223983.47068</v>
      </c>
      <c r="H45" s="111">
        <f t="shared" si="1"/>
        <v>1612786568.0555234</v>
      </c>
    </row>
    <row r="46" spans="5:8" x14ac:dyDescent="0.3">
      <c r="E46">
        <v>37</v>
      </c>
      <c r="F46" s="111">
        <f t="shared" si="2"/>
        <v>292186154.4000001</v>
      </c>
      <c r="G46" s="111">
        <f t="shared" ref="G46:G77" si="3">C$12+C$14+C$15+C$16+C$17</f>
        <v>254537423.47068</v>
      </c>
      <c r="H46" s="111">
        <f t="shared" si="1"/>
        <v>1650435298.9848435</v>
      </c>
    </row>
    <row r="47" spans="5:8" x14ac:dyDescent="0.3">
      <c r="E47">
        <v>38</v>
      </c>
      <c r="F47" s="111">
        <f t="shared" si="2"/>
        <v>292186154.4000001</v>
      </c>
      <c r="G47" s="111">
        <f t="shared" si="0"/>
        <v>227223983.47068</v>
      </c>
      <c r="H47" s="111">
        <f t="shared" si="1"/>
        <v>1715397469.9141636</v>
      </c>
    </row>
    <row r="48" spans="5:8" x14ac:dyDescent="0.3">
      <c r="E48">
        <v>39</v>
      </c>
      <c r="F48" s="111">
        <f t="shared" si="2"/>
        <v>292186154.4000001</v>
      </c>
      <c r="G48" s="111">
        <f t="shared" si="0"/>
        <v>227223983.47068</v>
      </c>
      <c r="H48" s="111">
        <f t="shared" si="1"/>
        <v>1780359640.8434837</v>
      </c>
    </row>
    <row r="49" spans="5:8" x14ac:dyDescent="0.3">
      <c r="E49">
        <v>40</v>
      </c>
      <c r="F49" s="111">
        <f t="shared" si="2"/>
        <v>292186154.4000001</v>
      </c>
      <c r="G49" s="111">
        <f t="shared" si="0"/>
        <v>227223983.47068</v>
      </c>
      <c r="H49" s="111">
        <f t="shared" si="1"/>
        <v>1845321811.7728038</v>
      </c>
    </row>
    <row r="50" spans="5:8" x14ac:dyDescent="0.3">
      <c r="E50">
        <v>41</v>
      </c>
      <c r="F50" s="111">
        <f t="shared" si="2"/>
        <v>292186154.4000001</v>
      </c>
      <c r="G50" s="111">
        <f t="shared" si="0"/>
        <v>227223983.47068</v>
      </c>
      <c r="H50" s="111">
        <f t="shared" si="1"/>
        <v>1910283982.7021239</v>
      </c>
    </row>
    <row r="51" spans="5:8" x14ac:dyDescent="0.3">
      <c r="E51">
        <v>42</v>
      </c>
      <c r="F51" s="111">
        <f t="shared" si="2"/>
        <v>292186154.4000001</v>
      </c>
      <c r="G51" s="111">
        <f t="shared" si="0"/>
        <v>227223983.47068</v>
      </c>
      <c r="H51" s="111">
        <f t="shared" si="1"/>
        <v>1975246153.631444</v>
      </c>
    </row>
    <row r="52" spans="5:8" x14ac:dyDescent="0.3">
      <c r="E52">
        <v>43</v>
      </c>
      <c r="F52" s="111">
        <f t="shared" si="2"/>
        <v>292186154.4000001</v>
      </c>
      <c r="G52" s="111">
        <f t="shared" si="0"/>
        <v>227223983.47068</v>
      </c>
      <c r="H52" s="111">
        <f t="shared" si="1"/>
        <v>2040208324.5607641</v>
      </c>
    </row>
    <row r="53" spans="5:8" x14ac:dyDescent="0.3">
      <c r="E53">
        <v>44</v>
      </c>
      <c r="F53" s="111">
        <f t="shared" si="2"/>
        <v>292186154.4000001</v>
      </c>
      <c r="G53" s="111">
        <f t="shared" si="0"/>
        <v>227223983.47068</v>
      </c>
      <c r="H53" s="111">
        <f t="shared" si="1"/>
        <v>2105170495.4900842</v>
      </c>
    </row>
    <row r="54" spans="5:8" x14ac:dyDescent="0.3">
      <c r="E54">
        <v>45</v>
      </c>
      <c r="F54" s="111">
        <f t="shared" si="2"/>
        <v>292186154.4000001</v>
      </c>
      <c r="G54" s="111">
        <f t="shared" si="0"/>
        <v>227223983.47068</v>
      </c>
      <c r="H54" s="111">
        <f t="shared" si="1"/>
        <v>2170132666.419404</v>
      </c>
    </row>
    <row r="55" spans="5:8" x14ac:dyDescent="0.3">
      <c r="E55">
        <v>46</v>
      </c>
      <c r="F55" s="111">
        <f t="shared" si="2"/>
        <v>292186154.4000001</v>
      </c>
      <c r="G55" s="111">
        <f t="shared" si="0"/>
        <v>227223983.47068</v>
      </c>
      <c r="H55" s="111">
        <f t="shared" si="1"/>
        <v>2235094837.3487244</v>
      </c>
    </row>
    <row r="56" spans="5:8" x14ac:dyDescent="0.3">
      <c r="E56">
        <v>47</v>
      </c>
      <c r="F56" s="111">
        <f t="shared" si="2"/>
        <v>292186154.4000001</v>
      </c>
      <c r="G56" s="111">
        <f t="shared" si="0"/>
        <v>227223983.47068</v>
      </c>
      <c r="H56" s="111">
        <f t="shared" si="1"/>
        <v>2300057008.2780447</v>
      </c>
    </row>
    <row r="57" spans="5:8" x14ac:dyDescent="0.3">
      <c r="E57">
        <v>48</v>
      </c>
      <c r="F57" s="111">
        <f t="shared" si="2"/>
        <v>292186154.4000001</v>
      </c>
      <c r="G57" s="111">
        <f t="shared" si="0"/>
        <v>227223983.47068</v>
      </c>
      <c r="H57" s="111">
        <f t="shared" si="1"/>
        <v>2365019179.207365</v>
      </c>
    </row>
    <row r="58" spans="5:8" x14ac:dyDescent="0.3">
      <c r="E58">
        <v>49</v>
      </c>
      <c r="F58" s="111">
        <f t="shared" si="2"/>
        <v>292186154.4000001</v>
      </c>
      <c r="G58" s="111">
        <f t="shared" ref="G58:G94" si="4">C$12+C$14+C$15+C$16+C$17</f>
        <v>254537423.47068</v>
      </c>
      <c r="H58" s="111">
        <f t="shared" si="1"/>
        <v>2402667910.1366854</v>
      </c>
    </row>
    <row r="59" spans="5:8" x14ac:dyDescent="0.3">
      <c r="E59">
        <v>50</v>
      </c>
      <c r="F59" s="111">
        <f t="shared" si="2"/>
        <v>292186154.4000001</v>
      </c>
      <c r="G59" s="111">
        <f t="shared" si="0"/>
        <v>227223983.47068</v>
      </c>
      <c r="H59" s="111">
        <f t="shared" si="1"/>
        <v>2467630081.0660057</v>
      </c>
    </row>
    <row r="60" spans="5:8" x14ac:dyDescent="0.3">
      <c r="E60">
        <v>51</v>
      </c>
      <c r="F60" s="111">
        <f t="shared" si="2"/>
        <v>292186154.4000001</v>
      </c>
      <c r="G60" s="111">
        <f t="shared" si="0"/>
        <v>227223983.47068</v>
      </c>
      <c r="H60" s="111">
        <f t="shared" si="1"/>
        <v>2532592251.995326</v>
      </c>
    </row>
    <row r="61" spans="5:8" x14ac:dyDescent="0.3">
      <c r="E61">
        <v>52</v>
      </c>
      <c r="F61" s="111">
        <f t="shared" si="2"/>
        <v>292186154.4000001</v>
      </c>
      <c r="G61" s="111">
        <f t="shared" si="0"/>
        <v>227223983.47068</v>
      </c>
      <c r="H61" s="111">
        <f t="shared" si="1"/>
        <v>2597554422.9246464</v>
      </c>
    </row>
    <row r="62" spans="5:8" x14ac:dyDescent="0.3">
      <c r="E62">
        <v>53</v>
      </c>
      <c r="F62" s="111">
        <f t="shared" si="2"/>
        <v>292186154.4000001</v>
      </c>
      <c r="G62" s="111">
        <f t="shared" si="0"/>
        <v>227223983.47068</v>
      </c>
      <c r="H62" s="111">
        <f t="shared" si="1"/>
        <v>2662516593.8539667</v>
      </c>
    </row>
    <row r="63" spans="5:8" x14ac:dyDescent="0.3">
      <c r="E63">
        <v>54</v>
      </c>
      <c r="F63" s="111">
        <f t="shared" si="2"/>
        <v>292186154.4000001</v>
      </c>
      <c r="G63" s="111">
        <f t="shared" si="0"/>
        <v>227223983.47068</v>
      </c>
      <c r="H63" s="111">
        <f t="shared" si="1"/>
        <v>2727478764.783287</v>
      </c>
    </row>
    <row r="64" spans="5:8" x14ac:dyDescent="0.3">
      <c r="E64">
        <v>55</v>
      </c>
      <c r="F64" s="111">
        <f t="shared" si="2"/>
        <v>292186154.4000001</v>
      </c>
      <c r="G64" s="111">
        <f t="shared" si="0"/>
        <v>227223983.47068</v>
      </c>
      <c r="H64" s="111">
        <f t="shared" si="1"/>
        <v>2792440935.7126074</v>
      </c>
    </row>
    <row r="65" spans="5:8" x14ac:dyDescent="0.3">
      <c r="E65">
        <v>56</v>
      </c>
      <c r="F65" s="111">
        <f t="shared" si="2"/>
        <v>292186154.4000001</v>
      </c>
      <c r="G65" s="111">
        <f t="shared" si="0"/>
        <v>227223983.47068</v>
      </c>
      <c r="H65" s="111">
        <f t="shared" si="1"/>
        <v>2857403106.6419277</v>
      </c>
    </row>
    <row r="66" spans="5:8" x14ac:dyDescent="0.3">
      <c r="E66">
        <v>57</v>
      </c>
      <c r="F66" s="111">
        <f t="shared" si="2"/>
        <v>292186154.4000001</v>
      </c>
      <c r="G66" s="111">
        <f t="shared" si="0"/>
        <v>227223983.47068</v>
      </c>
      <c r="H66" s="111">
        <f t="shared" si="1"/>
        <v>2922365277.5712481</v>
      </c>
    </row>
    <row r="67" spans="5:8" x14ac:dyDescent="0.3">
      <c r="E67">
        <v>58</v>
      </c>
      <c r="F67" s="111">
        <f t="shared" si="2"/>
        <v>292186154.4000001</v>
      </c>
      <c r="G67" s="111">
        <f t="shared" si="0"/>
        <v>227223983.47068</v>
      </c>
      <c r="H67" s="111">
        <f t="shared" si="1"/>
        <v>2987327448.5005684</v>
      </c>
    </row>
    <row r="68" spans="5:8" x14ac:dyDescent="0.3">
      <c r="E68">
        <v>59</v>
      </c>
      <c r="F68" s="111">
        <f t="shared" si="2"/>
        <v>292186154.4000001</v>
      </c>
      <c r="G68" s="111">
        <f t="shared" si="0"/>
        <v>227223983.47068</v>
      </c>
      <c r="H68" s="111">
        <f t="shared" si="1"/>
        <v>3052289619.4298887</v>
      </c>
    </row>
    <row r="69" spans="5:8" x14ac:dyDescent="0.3">
      <c r="E69">
        <v>60</v>
      </c>
      <c r="F69" s="111">
        <f t="shared" si="2"/>
        <v>292186154.4000001</v>
      </c>
      <c r="G69" s="111">
        <f t="shared" si="0"/>
        <v>227223983.47068</v>
      </c>
      <c r="H69" s="111">
        <f t="shared" si="1"/>
        <v>3117251790.3592091</v>
      </c>
    </row>
    <row r="70" spans="5:8" x14ac:dyDescent="0.3">
      <c r="E70">
        <v>61</v>
      </c>
      <c r="F70" s="111">
        <f t="shared" si="2"/>
        <v>292186154.4000001</v>
      </c>
      <c r="G70" s="111">
        <f t="shared" ref="G70:G94" si="5">C$12+C$14+C$15+C$16+C$17</f>
        <v>254537423.47068</v>
      </c>
      <c r="H70" s="111">
        <f t="shared" si="1"/>
        <v>3154900521.2885294</v>
      </c>
    </row>
    <row r="71" spans="5:8" x14ac:dyDescent="0.3">
      <c r="E71">
        <v>62</v>
      </c>
      <c r="F71" s="111">
        <f t="shared" si="2"/>
        <v>292186154.4000001</v>
      </c>
      <c r="G71" s="111">
        <f t="shared" si="0"/>
        <v>227223983.47068</v>
      </c>
      <c r="H71" s="111">
        <f t="shared" si="1"/>
        <v>3219862692.2178497</v>
      </c>
    </row>
    <row r="72" spans="5:8" x14ac:dyDescent="0.3">
      <c r="E72">
        <v>63</v>
      </c>
      <c r="F72" s="111">
        <f t="shared" si="2"/>
        <v>292186154.4000001</v>
      </c>
      <c r="G72" s="111">
        <f t="shared" si="0"/>
        <v>227223983.47068</v>
      </c>
      <c r="H72" s="111">
        <f t="shared" si="1"/>
        <v>3284824863.1471701</v>
      </c>
    </row>
    <row r="73" spans="5:8" x14ac:dyDescent="0.3">
      <c r="E73">
        <v>64</v>
      </c>
      <c r="F73" s="111">
        <f t="shared" si="2"/>
        <v>292186154.4000001</v>
      </c>
      <c r="G73" s="111">
        <f t="shared" si="0"/>
        <v>227223983.47068</v>
      </c>
      <c r="H73" s="111">
        <f t="shared" si="1"/>
        <v>3349787034.0764904</v>
      </c>
    </row>
    <row r="74" spans="5:8" x14ac:dyDescent="0.3">
      <c r="E74">
        <v>65</v>
      </c>
      <c r="F74" s="111">
        <f t="shared" si="2"/>
        <v>292186154.4000001</v>
      </c>
      <c r="G74" s="111">
        <f t="shared" si="0"/>
        <v>227223983.47068</v>
      </c>
      <c r="H74" s="111">
        <f t="shared" si="1"/>
        <v>3414749205.0058107</v>
      </c>
    </row>
    <row r="75" spans="5:8" x14ac:dyDescent="0.3">
      <c r="E75">
        <v>66</v>
      </c>
      <c r="F75" s="111">
        <f t="shared" si="2"/>
        <v>292186154.4000001</v>
      </c>
      <c r="G75" s="111">
        <f t="shared" ref="G75:G105" si="6">C$12+C$14+C$15+C$16</f>
        <v>227223983.47068</v>
      </c>
      <c r="H75" s="111">
        <f t="shared" ref="H75:H106" si="7">F75-G75+H74</f>
        <v>3479711375.9351311</v>
      </c>
    </row>
    <row r="76" spans="5:8" x14ac:dyDescent="0.3">
      <c r="E76">
        <v>67</v>
      </c>
      <c r="F76" s="111">
        <f t="shared" ref="F76:F106" si="8">C$3</f>
        <v>292186154.4000001</v>
      </c>
      <c r="G76" s="111">
        <f t="shared" si="6"/>
        <v>227223983.47068</v>
      </c>
      <c r="H76" s="111">
        <f t="shared" si="7"/>
        <v>3544673546.8644514</v>
      </c>
    </row>
    <row r="77" spans="5:8" x14ac:dyDescent="0.3">
      <c r="E77">
        <v>68</v>
      </c>
      <c r="F77" s="111">
        <f t="shared" si="8"/>
        <v>292186154.4000001</v>
      </c>
      <c r="G77" s="111">
        <f t="shared" si="6"/>
        <v>227223983.47068</v>
      </c>
      <c r="H77" s="111">
        <f t="shared" si="7"/>
        <v>3609635717.7937717</v>
      </c>
    </row>
    <row r="78" spans="5:8" x14ac:dyDescent="0.3">
      <c r="E78">
        <v>69</v>
      </c>
      <c r="F78" s="111">
        <f t="shared" si="8"/>
        <v>292186154.4000001</v>
      </c>
      <c r="G78" s="111">
        <f t="shared" si="6"/>
        <v>227223983.47068</v>
      </c>
      <c r="H78" s="111">
        <f t="shared" si="7"/>
        <v>3674597888.7230921</v>
      </c>
    </row>
    <row r="79" spans="5:8" x14ac:dyDescent="0.3">
      <c r="E79">
        <v>70</v>
      </c>
      <c r="F79" s="111">
        <f t="shared" si="8"/>
        <v>292186154.4000001</v>
      </c>
      <c r="G79" s="111">
        <f t="shared" si="6"/>
        <v>227223983.47068</v>
      </c>
      <c r="H79" s="111">
        <f t="shared" si="7"/>
        <v>3739560059.6524124</v>
      </c>
    </row>
    <row r="80" spans="5:8" x14ac:dyDescent="0.3">
      <c r="E80">
        <v>71</v>
      </c>
      <c r="F80" s="111">
        <f t="shared" si="8"/>
        <v>292186154.4000001</v>
      </c>
      <c r="G80" s="111">
        <f t="shared" si="6"/>
        <v>227223983.47068</v>
      </c>
      <c r="H80" s="111">
        <f t="shared" si="7"/>
        <v>3804522230.5817327</v>
      </c>
    </row>
    <row r="81" spans="5:8" x14ac:dyDescent="0.3">
      <c r="E81">
        <v>72</v>
      </c>
      <c r="F81" s="111">
        <f t="shared" si="8"/>
        <v>292186154.4000001</v>
      </c>
      <c r="G81" s="111">
        <f t="shared" si="6"/>
        <v>227223983.47068</v>
      </c>
      <c r="H81" s="111">
        <f t="shared" si="7"/>
        <v>3869484401.5110531</v>
      </c>
    </row>
    <row r="82" spans="5:8" x14ac:dyDescent="0.3">
      <c r="E82">
        <v>73</v>
      </c>
      <c r="F82" s="111">
        <f t="shared" si="8"/>
        <v>292186154.4000001</v>
      </c>
      <c r="G82" s="111">
        <f t="shared" ref="G82:G94" si="9">C$12+C$14+C$15+C$16+C$17</f>
        <v>254537423.47068</v>
      </c>
      <c r="H82" s="111">
        <f t="shared" si="7"/>
        <v>3907133132.4403734</v>
      </c>
    </row>
    <row r="83" spans="5:8" x14ac:dyDescent="0.3">
      <c r="E83">
        <v>74</v>
      </c>
      <c r="F83" s="111">
        <f t="shared" si="8"/>
        <v>292186154.4000001</v>
      </c>
      <c r="G83" s="111">
        <f t="shared" si="6"/>
        <v>227223983.47068</v>
      </c>
      <c r="H83" s="111">
        <f t="shared" si="7"/>
        <v>3972095303.3696938</v>
      </c>
    </row>
    <row r="84" spans="5:8" x14ac:dyDescent="0.3">
      <c r="E84">
        <v>75</v>
      </c>
      <c r="F84" s="111">
        <f t="shared" si="8"/>
        <v>292186154.4000001</v>
      </c>
      <c r="G84" s="111">
        <f t="shared" si="6"/>
        <v>227223983.47068</v>
      </c>
      <c r="H84" s="111">
        <f t="shared" si="7"/>
        <v>4037057474.2990141</v>
      </c>
    </row>
    <row r="85" spans="5:8" x14ac:dyDescent="0.3">
      <c r="E85">
        <v>76</v>
      </c>
      <c r="F85" s="111">
        <f t="shared" si="8"/>
        <v>292186154.4000001</v>
      </c>
      <c r="G85" s="111">
        <f t="shared" si="6"/>
        <v>227223983.47068</v>
      </c>
      <c r="H85" s="111">
        <f t="shared" si="7"/>
        <v>4102019645.2283344</v>
      </c>
    </row>
    <row r="86" spans="5:8" x14ac:dyDescent="0.3">
      <c r="E86">
        <v>77</v>
      </c>
      <c r="F86" s="111">
        <f t="shared" si="8"/>
        <v>292186154.4000001</v>
      </c>
      <c r="G86" s="111">
        <f t="shared" si="6"/>
        <v>227223983.47068</v>
      </c>
      <c r="H86" s="111">
        <f t="shared" si="7"/>
        <v>4166981816.1576548</v>
      </c>
    </row>
    <row r="87" spans="5:8" x14ac:dyDescent="0.3">
      <c r="E87">
        <v>78</v>
      </c>
      <c r="F87" s="111">
        <f t="shared" si="8"/>
        <v>292186154.4000001</v>
      </c>
      <c r="G87" s="111">
        <f t="shared" si="6"/>
        <v>227223983.47068</v>
      </c>
      <c r="H87" s="111">
        <f t="shared" si="7"/>
        <v>4231943987.0869751</v>
      </c>
    </row>
    <row r="88" spans="5:8" x14ac:dyDescent="0.3">
      <c r="E88">
        <v>79</v>
      </c>
      <c r="F88" s="111">
        <f t="shared" si="8"/>
        <v>292186154.4000001</v>
      </c>
      <c r="G88" s="111">
        <f t="shared" si="6"/>
        <v>227223983.47068</v>
      </c>
      <c r="H88" s="111">
        <f t="shared" si="7"/>
        <v>4296906158.0162954</v>
      </c>
    </row>
    <row r="89" spans="5:8" x14ac:dyDescent="0.3">
      <c r="E89">
        <v>80</v>
      </c>
      <c r="F89" s="111">
        <f t="shared" si="8"/>
        <v>292186154.4000001</v>
      </c>
      <c r="G89" s="111">
        <f t="shared" si="6"/>
        <v>227223983.47068</v>
      </c>
      <c r="H89" s="111">
        <f t="shared" si="7"/>
        <v>4361868328.9456158</v>
      </c>
    </row>
    <row r="90" spans="5:8" x14ac:dyDescent="0.3">
      <c r="E90">
        <v>81</v>
      </c>
      <c r="F90" s="111">
        <f t="shared" si="8"/>
        <v>292186154.4000001</v>
      </c>
      <c r="G90" s="111">
        <f t="shared" si="6"/>
        <v>227223983.47068</v>
      </c>
      <c r="H90" s="111">
        <f t="shared" si="7"/>
        <v>4426830499.8749361</v>
      </c>
    </row>
    <row r="91" spans="5:8" x14ac:dyDescent="0.3">
      <c r="E91">
        <v>82</v>
      </c>
      <c r="F91" s="111">
        <f t="shared" si="8"/>
        <v>292186154.4000001</v>
      </c>
      <c r="G91" s="111">
        <f t="shared" si="6"/>
        <v>227223983.47068</v>
      </c>
      <c r="H91" s="111">
        <f t="shared" si="7"/>
        <v>4491792670.8042564</v>
      </c>
    </row>
    <row r="92" spans="5:8" x14ac:dyDescent="0.3">
      <c r="E92">
        <v>83</v>
      </c>
      <c r="F92" s="111">
        <f t="shared" si="8"/>
        <v>292186154.4000001</v>
      </c>
      <c r="G92" s="111">
        <f t="shared" si="6"/>
        <v>227223983.47068</v>
      </c>
      <c r="H92" s="111">
        <f t="shared" si="7"/>
        <v>4556754841.7335768</v>
      </c>
    </row>
    <row r="93" spans="5:8" x14ac:dyDescent="0.3">
      <c r="E93">
        <v>84</v>
      </c>
      <c r="F93" s="111">
        <f t="shared" si="8"/>
        <v>292186154.4000001</v>
      </c>
      <c r="G93" s="111">
        <f t="shared" si="6"/>
        <v>227223983.47068</v>
      </c>
      <c r="H93" s="111">
        <f t="shared" si="7"/>
        <v>4621717012.6628971</v>
      </c>
    </row>
    <row r="94" spans="5:8" x14ac:dyDescent="0.3">
      <c r="E94">
        <v>85</v>
      </c>
      <c r="F94" s="111">
        <f t="shared" si="8"/>
        <v>292186154.4000001</v>
      </c>
      <c r="G94" s="111">
        <f t="shared" ref="G94:G106" si="10">C$12+C$14+C$15+C$16+C$17</f>
        <v>254537423.47068</v>
      </c>
      <c r="H94" s="111">
        <f t="shared" si="7"/>
        <v>4659365743.5922174</v>
      </c>
    </row>
    <row r="95" spans="5:8" x14ac:dyDescent="0.3">
      <c r="E95">
        <v>86</v>
      </c>
      <c r="F95" s="111">
        <f t="shared" si="8"/>
        <v>292186154.4000001</v>
      </c>
      <c r="G95" s="111">
        <f t="shared" si="6"/>
        <v>227223983.47068</v>
      </c>
      <c r="H95" s="111">
        <f t="shared" si="7"/>
        <v>4724327914.5215378</v>
      </c>
    </row>
    <row r="96" spans="5:8" x14ac:dyDescent="0.3">
      <c r="E96">
        <v>87</v>
      </c>
      <c r="F96" s="111">
        <f t="shared" si="8"/>
        <v>292186154.4000001</v>
      </c>
      <c r="G96" s="111">
        <f t="shared" si="6"/>
        <v>227223983.47068</v>
      </c>
      <c r="H96" s="111">
        <f t="shared" si="7"/>
        <v>4789290085.4508581</v>
      </c>
    </row>
    <row r="97" spans="5:8" x14ac:dyDescent="0.3">
      <c r="E97">
        <v>88</v>
      </c>
      <c r="F97" s="111">
        <f t="shared" si="8"/>
        <v>292186154.4000001</v>
      </c>
      <c r="G97" s="111">
        <f t="shared" si="6"/>
        <v>227223983.47068</v>
      </c>
      <c r="H97" s="111">
        <f t="shared" si="7"/>
        <v>4854252256.3801785</v>
      </c>
    </row>
    <row r="98" spans="5:8" x14ac:dyDescent="0.3">
      <c r="E98">
        <v>89</v>
      </c>
      <c r="F98" s="111">
        <f t="shared" si="8"/>
        <v>292186154.4000001</v>
      </c>
      <c r="G98" s="111">
        <f t="shared" si="6"/>
        <v>227223983.47068</v>
      </c>
      <c r="H98" s="111">
        <f t="shared" si="7"/>
        <v>4919214427.3094988</v>
      </c>
    </row>
    <row r="99" spans="5:8" x14ac:dyDescent="0.3">
      <c r="E99">
        <v>90</v>
      </c>
      <c r="F99" s="111">
        <f t="shared" si="8"/>
        <v>292186154.4000001</v>
      </c>
      <c r="G99" s="111">
        <f t="shared" si="6"/>
        <v>227223983.47068</v>
      </c>
      <c r="H99" s="111">
        <f t="shared" si="7"/>
        <v>4984176598.2388191</v>
      </c>
    </row>
    <row r="100" spans="5:8" x14ac:dyDescent="0.3">
      <c r="E100">
        <v>91</v>
      </c>
      <c r="F100" s="111">
        <f t="shared" si="8"/>
        <v>292186154.4000001</v>
      </c>
      <c r="G100" s="111">
        <f t="shared" si="6"/>
        <v>227223983.47068</v>
      </c>
      <c r="H100" s="111">
        <f t="shared" si="7"/>
        <v>5049138769.1681395</v>
      </c>
    </row>
    <row r="101" spans="5:8" x14ac:dyDescent="0.3">
      <c r="E101">
        <v>92</v>
      </c>
      <c r="F101" s="111">
        <f t="shared" si="8"/>
        <v>292186154.4000001</v>
      </c>
      <c r="G101" s="111">
        <f t="shared" si="6"/>
        <v>227223983.47068</v>
      </c>
      <c r="H101" s="111">
        <f t="shared" si="7"/>
        <v>5114100940.0974598</v>
      </c>
    </row>
    <row r="102" spans="5:8" x14ac:dyDescent="0.3">
      <c r="E102">
        <v>93</v>
      </c>
      <c r="F102" s="111">
        <f t="shared" si="8"/>
        <v>292186154.4000001</v>
      </c>
      <c r="G102" s="111">
        <f t="shared" si="6"/>
        <v>227223983.47068</v>
      </c>
      <c r="H102" s="111">
        <f t="shared" si="7"/>
        <v>5179063111.0267801</v>
      </c>
    </row>
    <row r="103" spans="5:8" x14ac:dyDescent="0.3">
      <c r="E103">
        <v>94</v>
      </c>
      <c r="F103" s="111">
        <f t="shared" si="8"/>
        <v>292186154.4000001</v>
      </c>
      <c r="G103" s="111">
        <f t="shared" si="6"/>
        <v>227223983.47068</v>
      </c>
      <c r="H103" s="111">
        <f t="shared" si="7"/>
        <v>5244025281.9561005</v>
      </c>
    </row>
    <row r="104" spans="5:8" x14ac:dyDescent="0.3">
      <c r="E104">
        <v>95</v>
      </c>
      <c r="F104" s="111">
        <f t="shared" si="8"/>
        <v>292186154.4000001</v>
      </c>
      <c r="G104" s="111">
        <f t="shared" si="6"/>
        <v>227223983.47068</v>
      </c>
      <c r="H104" s="111">
        <f t="shared" si="7"/>
        <v>5308987452.8854208</v>
      </c>
    </row>
    <row r="105" spans="5:8" x14ac:dyDescent="0.3">
      <c r="E105">
        <v>96</v>
      </c>
      <c r="F105" s="111">
        <f t="shared" si="8"/>
        <v>292186154.4000001</v>
      </c>
      <c r="G105" s="111">
        <f t="shared" si="6"/>
        <v>227223983.47068</v>
      </c>
      <c r="H105" s="111">
        <f t="shared" si="7"/>
        <v>5373949623.8147411</v>
      </c>
    </row>
    <row r="106" spans="5:8" x14ac:dyDescent="0.3">
      <c r="E106">
        <v>97</v>
      </c>
      <c r="F106" s="111">
        <f t="shared" si="8"/>
        <v>292186154.4000001</v>
      </c>
      <c r="G106" s="111">
        <f t="shared" si="10"/>
        <v>254537423.47068</v>
      </c>
      <c r="H106" s="111">
        <f t="shared" si="7"/>
        <v>5411598354.7440615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6518-8702-4BD3-8900-BA54D832887D}">
  <dimension ref="A1:CY35"/>
  <sheetViews>
    <sheetView topLeftCell="C25" zoomScaleNormal="100" workbookViewId="0">
      <selection activeCell="H20" sqref="H20"/>
    </sheetView>
  </sheetViews>
  <sheetFormatPr defaultRowHeight="14.4" x14ac:dyDescent="0.3"/>
  <cols>
    <col min="1" max="2" width="20" bestFit="1" customWidth="1"/>
    <col min="3" max="4" width="20" customWidth="1"/>
    <col min="5" max="5" width="16.44140625" bestFit="1" customWidth="1"/>
    <col min="6" max="14" width="18.109375" bestFit="1" customWidth="1"/>
    <col min="15" max="16" width="19.109375" bestFit="1" customWidth="1"/>
    <col min="17" max="18" width="18.109375" bestFit="1" customWidth="1"/>
    <col min="19" max="102" width="19.109375" bestFit="1" customWidth="1"/>
  </cols>
  <sheetData>
    <row r="1" spans="1:102" x14ac:dyDescent="0.3">
      <c r="E1" s="4" t="s">
        <v>279</v>
      </c>
      <c r="F1" s="4" t="s">
        <v>278</v>
      </c>
      <c r="G1" s="4" t="s">
        <v>280</v>
      </c>
      <c r="H1" s="4" t="s">
        <v>281</v>
      </c>
      <c r="I1" s="4" t="s">
        <v>282</v>
      </c>
      <c r="J1" s="4" t="s">
        <v>283</v>
      </c>
      <c r="K1" s="4" t="s">
        <v>284</v>
      </c>
      <c r="L1" s="4" t="s">
        <v>285</v>
      </c>
      <c r="M1" s="4" t="s">
        <v>286</v>
      </c>
      <c r="N1" s="4" t="s">
        <v>287</v>
      </c>
      <c r="O1" s="4" t="s">
        <v>288</v>
      </c>
      <c r="P1" s="4" t="s">
        <v>289</v>
      </c>
      <c r="Q1" s="4" t="s">
        <v>290</v>
      </c>
      <c r="R1" s="4" t="s">
        <v>291</v>
      </c>
      <c r="S1" s="4" t="s">
        <v>292</v>
      </c>
      <c r="T1" s="4" t="s">
        <v>293</v>
      </c>
      <c r="U1" s="4" t="s">
        <v>294</v>
      </c>
      <c r="V1" s="4" t="s">
        <v>295</v>
      </c>
      <c r="W1" s="4" t="s">
        <v>296</v>
      </c>
      <c r="X1" s="4" t="s">
        <v>297</v>
      </c>
      <c r="Y1" s="4" t="s">
        <v>298</v>
      </c>
      <c r="Z1" s="4" t="s">
        <v>299</v>
      </c>
      <c r="AA1" s="4" t="s">
        <v>300</v>
      </c>
      <c r="AB1" s="4" t="s">
        <v>301</v>
      </c>
      <c r="AC1" s="4" t="s">
        <v>302</v>
      </c>
      <c r="AD1" s="4" t="s">
        <v>303</v>
      </c>
      <c r="AE1" s="4" t="s">
        <v>304</v>
      </c>
      <c r="AF1" s="4" t="s">
        <v>305</v>
      </c>
      <c r="AG1" s="4" t="s">
        <v>306</v>
      </c>
      <c r="AH1" s="4" t="s">
        <v>307</v>
      </c>
      <c r="AI1" s="4" t="s">
        <v>308</v>
      </c>
      <c r="AJ1" s="4" t="s">
        <v>309</v>
      </c>
      <c r="AK1" s="4" t="s">
        <v>310</v>
      </c>
      <c r="AL1" s="4" t="s">
        <v>311</v>
      </c>
      <c r="AM1" s="4" t="s">
        <v>312</v>
      </c>
      <c r="AN1" s="4" t="s">
        <v>313</v>
      </c>
      <c r="AO1" s="4" t="s">
        <v>314</v>
      </c>
      <c r="AP1" s="4" t="s">
        <v>315</v>
      </c>
      <c r="AQ1" s="4" t="s">
        <v>316</v>
      </c>
      <c r="AR1" s="4" t="s">
        <v>317</v>
      </c>
      <c r="AS1" s="4" t="s">
        <v>318</v>
      </c>
      <c r="AT1" s="4" t="s">
        <v>319</v>
      </c>
      <c r="AU1" s="4" t="s">
        <v>320</v>
      </c>
      <c r="AV1" s="4" t="s">
        <v>321</v>
      </c>
      <c r="AW1" s="4" t="s">
        <v>322</v>
      </c>
      <c r="AX1" s="4" t="s">
        <v>323</v>
      </c>
      <c r="AY1" s="4" t="s">
        <v>324</v>
      </c>
      <c r="AZ1" s="4" t="s">
        <v>325</v>
      </c>
      <c r="BA1" s="4" t="s">
        <v>326</v>
      </c>
      <c r="BB1" s="4" t="s">
        <v>327</v>
      </c>
      <c r="BC1" s="4" t="s">
        <v>328</v>
      </c>
      <c r="BD1" s="4" t="s">
        <v>329</v>
      </c>
      <c r="BE1" s="4" t="s">
        <v>330</v>
      </c>
      <c r="BF1" s="4" t="s">
        <v>331</v>
      </c>
      <c r="BG1" s="4" t="s">
        <v>332</v>
      </c>
      <c r="BH1" s="4" t="s">
        <v>333</v>
      </c>
      <c r="BI1" s="4" t="s">
        <v>334</v>
      </c>
      <c r="BJ1" s="4" t="s">
        <v>335</v>
      </c>
      <c r="BK1" s="4" t="s">
        <v>336</v>
      </c>
      <c r="BL1" s="4" t="s">
        <v>337</v>
      </c>
      <c r="BM1" s="4" t="s">
        <v>338</v>
      </c>
      <c r="BN1" s="4" t="s">
        <v>339</v>
      </c>
      <c r="BO1" s="4" t="s">
        <v>340</v>
      </c>
      <c r="BP1" s="4" t="s">
        <v>341</v>
      </c>
      <c r="BQ1" s="4" t="s">
        <v>342</v>
      </c>
      <c r="BR1" s="4" t="s">
        <v>343</v>
      </c>
      <c r="BS1" s="4" t="s">
        <v>344</v>
      </c>
      <c r="BT1" s="4" t="s">
        <v>345</v>
      </c>
      <c r="BU1" s="4" t="s">
        <v>346</v>
      </c>
      <c r="BV1" s="4" t="s">
        <v>347</v>
      </c>
      <c r="BW1" s="4" t="s">
        <v>348</v>
      </c>
      <c r="BX1" s="4" t="s">
        <v>349</v>
      </c>
      <c r="BY1" s="4" t="s">
        <v>350</v>
      </c>
      <c r="BZ1" s="4" t="s">
        <v>351</v>
      </c>
      <c r="CA1" s="4" t="s">
        <v>352</v>
      </c>
      <c r="CB1" s="4" t="s">
        <v>353</v>
      </c>
      <c r="CC1" s="4" t="s">
        <v>354</v>
      </c>
      <c r="CD1" s="4" t="s">
        <v>355</v>
      </c>
      <c r="CE1" s="4" t="s">
        <v>356</v>
      </c>
      <c r="CF1" s="4" t="s">
        <v>357</v>
      </c>
      <c r="CG1" s="4" t="s">
        <v>358</v>
      </c>
      <c r="CH1" s="4" t="s">
        <v>359</v>
      </c>
      <c r="CI1" s="4" t="s">
        <v>360</v>
      </c>
      <c r="CJ1" s="4" t="s">
        <v>361</v>
      </c>
      <c r="CK1" s="4" t="s">
        <v>362</v>
      </c>
      <c r="CL1" s="4" t="s">
        <v>363</v>
      </c>
      <c r="CM1" s="4" t="s">
        <v>364</v>
      </c>
      <c r="CN1" s="4" t="s">
        <v>365</v>
      </c>
      <c r="CO1" s="4" t="s">
        <v>366</v>
      </c>
      <c r="CP1" s="4" t="s">
        <v>367</v>
      </c>
      <c r="CQ1" s="4" t="s">
        <v>368</v>
      </c>
      <c r="CR1" s="4" t="s">
        <v>369</v>
      </c>
      <c r="CS1" s="4" t="s">
        <v>370</v>
      </c>
      <c r="CT1" s="4" t="s">
        <v>371</v>
      </c>
      <c r="CU1" s="4" t="s">
        <v>372</v>
      </c>
      <c r="CV1" s="4" t="s">
        <v>373</v>
      </c>
      <c r="CW1" s="4" t="s">
        <v>374</v>
      </c>
      <c r="CX1" s="4" t="s">
        <v>375</v>
      </c>
    </row>
    <row r="2" spans="1:102" x14ac:dyDescent="0.3">
      <c r="A2" t="s">
        <v>276</v>
      </c>
      <c r="D2" t="s">
        <v>276</v>
      </c>
      <c r="E2" s="4"/>
      <c r="F2" s="125">
        <f>'Produccion proyectada'!$C4*35000</f>
        <v>514403568.00000042</v>
      </c>
      <c r="G2" s="125">
        <f>'Produccion proyectada'!$C5*35000</f>
        <v>158760000</v>
      </c>
      <c r="H2" s="125">
        <f>'Produccion proyectada'!$C6*35000</f>
        <v>222264000</v>
      </c>
      <c r="I2" s="125">
        <f>'Produccion proyectada'!$C7*35000</f>
        <v>1905120000</v>
      </c>
      <c r="J2" s="125">
        <f>'Produccion proyectada'!$C8*35000</f>
        <v>755718768.00000036</v>
      </c>
      <c r="K2" s="125">
        <f>'Produccion proyectada'!$C9*35000</f>
        <v>95256000</v>
      </c>
      <c r="L2" s="125">
        <f>'Produccion proyectada'!$C10*35000</f>
        <v>190512000</v>
      </c>
      <c r="M2" s="125">
        <f>'Produccion proyectada'!$C11*35000</f>
        <v>285768000</v>
      </c>
      <c r="N2" s="125">
        <f>'Produccion proyectada'!$C12*35000</f>
        <v>1016064000</v>
      </c>
      <c r="O2" s="125">
        <f>'Produccion proyectada'!$C13*35000</f>
        <v>254016000</v>
      </c>
      <c r="P2" s="125">
        <f>'Produccion proyectada'!$C14*35000</f>
        <v>508032000</v>
      </c>
      <c r="Q2" s="125">
        <f>'Produccion proyectada'!$C15*35000</f>
        <v>6794928000</v>
      </c>
      <c r="R2" s="125" cm="1">
        <f t="array" ref="R2">INDEX('Produccion proyectada'!$D$42:$J$53,'Flujo Ajustado'!R14,'Flujo Ajustado'!R13)*35000</f>
        <v>491484653.91997415</v>
      </c>
      <c r="S2" s="125" cm="1">
        <f t="array" ref="S2">INDEX('Produccion proyectada'!$D$42:$J$53,'Flujo Ajustado'!S14,'Flujo Ajustado'!S13)*35000</f>
        <v>151686552.17479953</v>
      </c>
      <c r="T2" s="125" cm="1">
        <f t="array" ref="T2">INDEX('Produccion proyectada'!$D$42:$J$53,'Flujo Ajustado'!T14,'Flujo Ajustado'!T13)*35000</f>
        <v>212361173.04471934</v>
      </c>
      <c r="U2" s="125" cm="1">
        <f t="array" ref="U2">INDEX('Produccion proyectada'!$D$42:$J$53,'Flujo Ajustado'!U14,'Flujo Ajustado'!U13)*35000</f>
        <v>1820238626.0975943</v>
      </c>
      <c r="V2" s="125" cm="1">
        <f t="array" ref="V2">INDEX('Produccion proyectada'!$D$42:$J$53,'Flujo Ajustado'!V14,'Flujo Ajustado'!V13)*35000</f>
        <v>722048213.2256695</v>
      </c>
      <c r="W2" s="125" cm="1">
        <f t="array" ref="W2">INDEX('Produccion proyectada'!$D$42:$J$53,'Flujo Ajustado'!W14,'Flujo Ajustado'!W13)*35000</f>
        <v>91011931.304879725</v>
      </c>
      <c r="X2" s="125" cm="1">
        <f t="array" ref="X2">INDEX('Produccion proyectada'!$D$42:$J$53,'Flujo Ajustado'!X14,'Flujo Ajustado'!X13)*35000</f>
        <v>182023862.60975945</v>
      </c>
      <c r="Y2" s="125" cm="1">
        <f t="array" ref="Y2">INDEX('Produccion proyectada'!$D$42:$J$53,'Flujo Ajustado'!Y14,'Flujo Ajustado'!Y13)*35000</f>
        <v>273035793.91463917</v>
      </c>
      <c r="Z2" s="125" cm="1">
        <f t="array" ref="Z2">INDEX('Produccion proyectada'!$D$42:$J$53,'Flujo Ajustado'!Z14,'Flujo Ajustado'!Z13)*35000</f>
        <v>970793933.91871691</v>
      </c>
      <c r="AA2" s="125" cm="1">
        <f t="array" ref="AA2">INDEX('Produccion proyectada'!$D$42:$J$53,'Flujo Ajustado'!AA14,'Flujo Ajustado'!AA13)*35000</f>
        <v>242698483.47967923</v>
      </c>
      <c r="AB2" s="125" cm="1">
        <f t="array" ref="AB2">INDEX('Produccion proyectada'!$D$42:$J$53,'Flujo Ajustado'!AB14,'Flujo Ajustado'!AB13)*35000</f>
        <v>485396966.95935845</v>
      </c>
      <c r="AC2" s="125" cm="1">
        <f t="array" ref="AC2">INDEX('Produccion proyectada'!$D$42:$J$53,'Flujo Ajustado'!AC14,'Flujo Ajustado'!AC13)*35000</f>
        <v>6492184433.0814209</v>
      </c>
      <c r="AD2" s="125" cm="1">
        <f t="array" ref="AD2">INDEX('Produccion proyectada'!$D$42:$J$53,'Flujo Ajustado'!AD14,'Flujo Ajustado'!AD13)*35000</f>
        <v>468567454.51279247</v>
      </c>
      <c r="AE2" s="125" cm="1">
        <f t="array" ref="AE2">INDEX('Produccion proyectada'!$D$42:$J$53,'Flujo Ajustado'!AE14,'Flujo Ajustado'!AE13)*35000</f>
        <v>144613633.54783511</v>
      </c>
      <c r="AF2" s="125" cm="1">
        <f t="array" ref="AF2">INDEX('Produccion proyectada'!$D$42:$J$53,'Flujo Ajustado'!AF14,'Flujo Ajustado'!AF13)*35000</f>
        <v>202459086.96696913</v>
      </c>
      <c r="AG2" s="125" cm="1">
        <f t="array" ref="AG2">INDEX('Produccion proyectada'!$D$42:$J$53,'Flujo Ajustado'!AG14,'Flujo Ajustado'!AG13)*35000</f>
        <v>1735363602.5740211</v>
      </c>
      <c r="AH2" s="125" cm="1">
        <f t="array" ref="AH2">INDEX('Produccion proyectada'!$D$42:$J$53,'Flujo Ajustado'!AH14,'Flujo Ajustado'!AH13)*35000</f>
        <v>688380177.50550175</v>
      </c>
      <c r="AI2" s="125" cm="1">
        <f t="array" ref="AI2">INDEX('Produccion proyectada'!$D$42:$J$53,'Flujo Ajustado'!AI14,'Flujo Ajustado'!AI13)*35000</f>
        <v>86768180.128701061</v>
      </c>
      <c r="AJ2" s="125" cm="1">
        <f t="array" ref="AJ2">INDEX('Produccion proyectada'!$D$42:$J$53,'Flujo Ajustado'!AJ14,'Flujo Ajustado'!AJ13)*35000</f>
        <v>173536360.25740212</v>
      </c>
      <c r="AK2" s="125" cm="1">
        <f t="array" ref="AK2">INDEX('Produccion proyectada'!$D$42:$J$53,'Flujo Ajustado'!AK14,'Flujo Ajustado'!AK13)*35000</f>
        <v>260304540.38610315</v>
      </c>
      <c r="AL2" s="125" cm="1">
        <f t="array" ref="AL2">INDEX('Produccion proyectada'!$D$42:$J$53,'Flujo Ajustado'!AL14,'Flujo Ajustado'!AL13)*35000</f>
        <v>925527254.70614457</v>
      </c>
      <c r="AM2" s="125" cm="1">
        <f t="array" ref="AM2">INDEX('Produccion proyectada'!$D$42:$J$53,'Flujo Ajustado'!AM14,'Flujo Ajustado'!AM13)*35000</f>
        <v>231381813.67653614</v>
      </c>
      <c r="AN2" s="125" cm="1">
        <f t="array" ref="AN2">INDEX('Produccion proyectada'!$D$42:$J$53,'Flujo Ajustado'!AN14,'Flujo Ajustado'!AN13)*35000</f>
        <v>462763627.35307229</v>
      </c>
      <c r="AO2" s="125" cm="1">
        <f t="array" ref="AO2">INDEX('Produccion proyectada'!$D$42:$J$53,'Flujo Ajustado'!AO14,'Flujo Ajustado'!AO13)*35000</f>
        <v>6189463515.8473415</v>
      </c>
      <c r="AP2" s="125" cm="1">
        <f t="array" ref="AP2">INDEX('Produccion proyectada'!$D$42:$J$53,'Flujo Ajustado'!AP14,'Flujo Ajustado'!AP13)*35000</f>
        <v>445650255.10561073</v>
      </c>
      <c r="AQ2" s="125" cm="1">
        <f t="array" ref="AQ2">INDEX('Produccion proyectada'!$D$42:$J$53,'Flujo Ajustado'!AQ14,'Flujo Ajustado'!AQ13)*35000</f>
        <v>137540714.92087063</v>
      </c>
      <c r="AR2" s="125" cm="1">
        <f t="array" ref="AR2">INDEX('Produccion proyectada'!$D$42:$J$53,'Flujo Ajustado'!AR14,'Flujo Ajustado'!AR13)*35000</f>
        <v>192557000.8892189</v>
      </c>
      <c r="AS2" s="125" cm="1">
        <f t="array" ref="AS2">INDEX('Produccion proyectada'!$D$42:$J$53,'Flujo Ajustado'!AS14,'Flujo Ajustado'!AS13)*35000</f>
        <v>1650488579.0504477</v>
      </c>
      <c r="AT2" s="125" cm="1">
        <f t="array" ref="AT2">INDEX('Produccion proyectada'!$D$42:$J$53,'Flujo Ajustado'!AT14,'Flujo Ajustado'!AT13)*35000</f>
        <v>654712141.78533411</v>
      </c>
      <c r="AU2" s="125" cm="1">
        <f t="array" ref="AU2">INDEX('Produccion proyectada'!$D$42:$J$53,'Flujo Ajustado'!AU14,'Flujo Ajustado'!AU13)*35000</f>
        <v>82524428.952522382</v>
      </c>
      <c r="AV2" s="125" cm="1">
        <f t="array" ref="AV2">INDEX('Produccion proyectada'!$D$42:$J$53,'Flujo Ajustado'!AV14,'Flujo Ajustado'!AV13)*35000</f>
        <v>165048857.90504476</v>
      </c>
      <c r="AW2" s="125" cm="1">
        <f t="array" ref="AW2">INDEX('Produccion proyectada'!$D$42:$J$53,'Flujo Ajustado'!AW14,'Flujo Ajustado'!AW13)*35000</f>
        <v>247573286.85756716</v>
      </c>
      <c r="AX2" s="125" cm="1">
        <f t="array" ref="AX2">INDEX('Produccion proyectada'!$D$42:$J$53,'Flujo Ajustado'!AX14,'Flujo Ajustado'!AX13)*35000</f>
        <v>880260575.49357212</v>
      </c>
      <c r="AY2" s="125" cm="1">
        <f t="array" ref="AY2">INDEX('Produccion proyectada'!$D$42:$J$53,'Flujo Ajustado'!AY14,'Flujo Ajustado'!AY13)*35000</f>
        <v>220065143.87339303</v>
      </c>
      <c r="AZ2" s="125" cm="1">
        <f t="array" ref="AZ2">INDEX('Produccion proyectada'!$D$42:$J$53,'Flujo Ajustado'!AZ14,'Flujo Ajustado'!AZ13)*35000</f>
        <v>440130287.74678606</v>
      </c>
      <c r="BA2" s="125" cm="1">
        <f t="array" ref="BA2">INDEX('Produccion proyectada'!$D$42:$J$53,'Flujo Ajustado'!BA14,'Flujo Ajustado'!BA13)*35000</f>
        <v>5886742598.6132631</v>
      </c>
      <c r="BB2" s="125" cm="1">
        <f t="array" ref="BB2">INDEX('Produccion proyectada'!$D$42:$J$53,'Flujo Ajustado'!BB14,'Flujo Ajustado'!BB13)*35000</f>
        <v>422733055.69842899</v>
      </c>
      <c r="BC2" s="125" cm="1">
        <f t="array" ref="BC2">INDEX('Produccion proyectada'!$D$42:$J$53,'Flujo Ajustado'!BC14,'Flujo Ajustado'!BC13)*35000</f>
        <v>130467796.2939062</v>
      </c>
      <c r="BD2" s="125" cm="1">
        <f t="array" ref="BD2">INDEX('Produccion proyectada'!$D$42:$J$53,'Flujo Ajustado'!BD14,'Flujo Ajustado'!BD13)*35000</f>
        <v>182654914.81146866</v>
      </c>
      <c r="BE2" s="125" cm="1">
        <f t="array" ref="BE2">INDEX('Produccion proyectada'!$D$42:$J$53,'Flujo Ajustado'!BE14,'Flujo Ajustado'!BE13)*35000</f>
        <v>1565613555.5268743</v>
      </c>
      <c r="BF2" s="125" cm="1">
        <f t="array" ref="BF2">INDEX('Produccion proyectada'!$D$42:$J$53,'Flujo Ajustado'!BF14,'Flujo Ajustado'!BF13)*35000</f>
        <v>621044106.06516635</v>
      </c>
      <c r="BG2" s="125" cm="1">
        <f t="array" ref="BG2">INDEX('Produccion proyectada'!$D$42:$J$53,'Flujo Ajustado'!BG14,'Flujo Ajustado'!BG13)*35000</f>
        <v>78280677.776343718</v>
      </c>
      <c r="BH2" s="125" cm="1">
        <f t="array" ref="BH2">INDEX('Produccion proyectada'!$D$42:$J$53,'Flujo Ajustado'!BH14,'Flujo Ajustado'!BH13)*35000</f>
        <v>156561355.55268744</v>
      </c>
      <c r="BI2" s="125" cm="1">
        <f t="array" ref="BI2">INDEX('Produccion proyectada'!$D$42:$J$53,'Flujo Ajustado'!BI14,'Flujo Ajustado'!BI13)*35000</f>
        <v>234842033.32903117</v>
      </c>
      <c r="BJ2" s="125" cm="1">
        <f t="array" ref="BJ2">INDEX('Produccion proyectada'!$D$42:$J$53,'Flujo Ajustado'!BJ14,'Flujo Ajustado'!BJ13)*35000</f>
        <v>834993896.28099966</v>
      </c>
      <c r="BK2" s="125" cm="1">
        <f t="array" ref="BK2">INDEX('Produccion proyectada'!$D$42:$J$53,'Flujo Ajustado'!BK14,'Flujo Ajustado'!BK13)*35000</f>
        <v>208748474.07024992</v>
      </c>
      <c r="BL2" s="125" cm="1">
        <f t="array" ref="BL2">INDEX('Produccion proyectada'!$D$42:$J$53,'Flujo Ajustado'!BL14,'Flujo Ajustado'!BL13)*35000</f>
        <v>417496948.14049983</v>
      </c>
      <c r="BM2" s="125" cm="1">
        <f t="array" ref="BM2">INDEX('Produccion proyectada'!$D$42:$J$53,'Flujo Ajustado'!BM14,'Flujo Ajustado'!BM13)*35000</f>
        <v>5584021681.3791866</v>
      </c>
      <c r="BN2" s="125" cm="1">
        <f t="array" ref="BN2">INDEX('Produccion proyectada'!$D$42:$J$53,'Flujo Ajustado'!BN14,'Flujo Ajustado'!BN13)*35000</f>
        <v>399815856.29124731</v>
      </c>
      <c r="BO2" s="125" cm="1">
        <f t="array" ref="BO2">INDEX('Produccion proyectada'!$D$42:$J$53,'Flujo Ajustado'!BO14,'Flujo Ajustado'!BO13)*35000</f>
        <v>123394877.66694178</v>
      </c>
      <c r="BP2" s="125" cm="1">
        <f t="array" ref="BP2">INDEX('Produccion proyectada'!$D$42:$J$53,'Flujo Ajustado'!BP14,'Flujo Ajustado'!BP13)*35000</f>
        <v>172752828.73371848</v>
      </c>
      <c r="BQ2" s="125" cm="1">
        <f t="array" ref="BQ2">INDEX('Produccion proyectada'!$D$42:$J$53,'Flujo Ajustado'!BQ14,'Flujo Ajustado'!BQ13)*35000</f>
        <v>1480738532.0033016</v>
      </c>
      <c r="BR2" s="125" cm="1">
        <f t="array" ref="BR2">INDEX('Produccion proyectada'!$D$42:$J$53,'Flujo Ajustado'!BR14,'Flujo Ajustado'!BR13)*35000</f>
        <v>587376070.34499884</v>
      </c>
      <c r="BS2" s="125" cm="1">
        <f t="array" ref="BS2">INDEX('Produccion proyectada'!$D$42:$J$53,'Flujo Ajustado'!BS14,'Flujo Ajustado'!BS13)*35000</f>
        <v>74036926.600165069</v>
      </c>
      <c r="BT2" s="125" cm="1">
        <f t="array" ref="BT2">INDEX('Produccion proyectada'!$D$42:$J$53,'Flujo Ajustado'!BT14,'Flujo Ajustado'!BT13)*35000</f>
        <v>148073853.20033014</v>
      </c>
      <c r="BU2" s="125" cm="1">
        <f t="array" ref="BU2">INDEX('Produccion proyectada'!$D$42:$J$53,'Flujo Ajustado'!BU14,'Flujo Ajustado'!BU13)*35000</f>
        <v>222110779.80049521</v>
      </c>
      <c r="BV2" s="125" cm="1">
        <f t="array" ref="BV2">INDEX('Produccion proyectada'!$D$42:$J$53,'Flujo Ajustado'!BV14,'Flujo Ajustado'!BV13)*35000</f>
        <v>789727217.06842744</v>
      </c>
      <c r="BW2" s="125" cm="1">
        <f t="array" ref="BW2">INDEX('Produccion proyectada'!$D$42:$J$53,'Flujo Ajustado'!BW14,'Flujo Ajustado'!BW13)*35000</f>
        <v>197431804.26710686</v>
      </c>
      <c r="BX2" s="125" cm="1">
        <f t="array" ref="BX2">INDEX('Produccion proyectada'!$D$42:$J$53,'Flujo Ajustado'!BX14,'Flujo Ajustado'!BX13)*35000</f>
        <v>394863608.53421372</v>
      </c>
      <c r="BY2" s="125" cm="1">
        <f t="array" ref="BY2">INDEX('Produccion proyectada'!$D$42:$J$53,'Flujo Ajustado'!BY14,'Flujo Ajustado'!BY13)*35000</f>
        <v>5281300764.1451092</v>
      </c>
      <c r="BZ2" s="125" cm="1">
        <f t="array" ref="BZ2">INDEX('Produccion proyectada'!$D$42:$J$53,'Flujo Ajustado'!BZ14,'Flujo Ajustado'!BZ13)*35000</f>
        <v>376898656.88406557</v>
      </c>
      <c r="CA2" s="125" cm="1">
        <f t="array" ref="CA2">INDEX('Produccion proyectada'!$D$42:$J$53,'Flujo Ajustado'!CA14,'Flujo Ajustado'!CA13)*35000</f>
        <v>116321959.03997734</v>
      </c>
      <c r="CB2" s="125" cm="1">
        <f t="array" ref="CB2">INDEX('Produccion proyectada'!$D$42:$J$53,'Flujo Ajustado'!CB14,'Flujo Ajustado'!CB13)*35000</f>
        <v>162850742.65596831</v>
      </c>
      <c r="CC2" s="125" cm="1">
        <f t="array" ref="CC2">INDEX('Produccion proyectada'!$D$42:$J$53,'Flujo Ajustado'!CC14,'Flujo Ajustado'!CC13)*35000</f>
        <v>1395863508.4797282</v>
      </c>
      <c r="CD2" s="125" cm="1">
        <f t="array" ref="CD2">INDEX('Produccion proyectada'!$D$42:$J$53,'Flujo Ajustado'!CD14,'Flujo Ajustado'!CD13)*35000</f>
        <v>553708034.62483108</v>
      </c>
      <c r="CE2" s="125" cm="1">
        <f t="array" ref="CE2">INDEX('Produccion proyectada'!$D$42:$J$53,'Flujo Ajustado'!CE14,'Flujo Ajustado'!CE13)*35000</f>
        <v>69793175.423986405</v>
      </c>
      <c r="CF2" s="125" cm="1">
        <f t="array" ref="CF2">INDEX('Produccion proyectada'!$D$42:$J$53,'Flujo Ajustado'!CF14,'Flujo Ajustado'!CF13)*35000</f>
        <v>139586350.84797281</v>
      </c>
      <c r="CG2" s="125" cm="1">
        <f t="array" ref="CG2">INDEX('Produccion proyectada'!$D$42:$J$53,'Flujo Ajustado'!CG14,'Flujo Ajustado'!CG13)*35000</f>
        <v>209379526.27195922</v>
      </c>
      <c r="CH2" s="125" cm="1">
        <f t="array" ref="CH2">INDEX('Produccion proyectada'!$D$42:$J$53,'Flujo Ajustado'!CH14,'Flujo Ajustado'!CH13)*35000</f>
        <v>744460537.85585487</v>
      </c>
      <c r="CI2" s="125" cm="1">
        <f t="array" ref="CI2">INDEX('Produccion proyectada'!$D$42:$J$53,'Flujo Ajustado'!CI14,'Flujo Ajustado'!CI13)*35000</f>
        <v>186115134.46396372</v>
      </c>
      <c r="CJ2" s="125" cm="1">
        <f t="array" ref="CJ2">INDEX('Produccion proyectada'!$D$42:$J$53,'Flujo Ajustado'!CJ14,'Flujo Ajustado'!CJ13)*35000</f>
        <v>372230268.92792743</v>
      </c>
      <c r="CK2" s="125" cm="1">
        <f t="array" ref="CK2">INDEX('Produccion proyectada'!$D$42:$J$53,'Flujo Ajustado'!CK14,'Flujo Ajustado'!CK13)*35000</f>
        <v>4978579846.9110298</v>
      </c>
      <c r="CL2" s="125" cm="1">
        <f t="array" ref="CL2">INDEX('Produccion proyectada'!$D$42:$J$53,'Flujo Ajustado'!CL14,'Flujo Ajustado'!CL13)*35000</f>
        <v>353982637.41507542</v>
      </c>
      <c r="CM2" s="125" cm="1">
        <f t="array" ref="CM2">INDEX('Produccion proyectada'!$D$42:$J$53,'Flujo Ajustado'!CM14,'Flujo Ajustado'!CM13)*35000</f>
        <v>109249404.57648094</v>
      </c>
      <c r="CN2" s="125" cm="1">
        <f t="array" ref="CN2">INDEX('Produccion proyectada'!$D$42:$J$53,'Flujo Ajustado'!CN14,'Flujo Ajustado'!CN13)*35000</f>
        <v>152949166.40707332</v>
      </c>
      <c r="CO2" s="125" cm="1">
        <f t="array" ref="CO2">INDEX('Produccion proyectada'!$D$42:$J$53,'Flujo Ajustado'!CO14,'Flujo Ajustado'!CO13)*35000</f>
        <v>1310992854.9177713</v>
      </c>
      <c r="CP2" s="125" cm="1">
        <f t="array" ref="CP2">INDEX('Produccion proyectada'!$D$42:$J$53,'Flujo Ajustado'!CP14,'Flujo Ajustado'!CP13)*35000</f>
        <v>520041732.37132639</v>
      </c>
      <c r="CQ2" s="125" cm="1">
        <f t="array" ref="CQ2">INDEX('Produccion proyectada'!$D$42:$J$53,'Flujo Ajustado'!CQ14,'Flujo Ajustado'!CQ13)*35000</f>
        <v>65549642.745888568</v>
      </c>
      <c r="CR2" s="125" cm="1">
        <f t="array" ref="CR2">INDEX('Produccion proyectada'!$D$42:$J$53,'Flujo Ajustado'!CR14,'Flujo Ajustado'!CR13)*35000</f>
        <v>131099285.49177714</v>
      </c>
      <c r="CS2" s="125" cm="1">
        <f t="array" ref="CS2">INDEX('Produccion proyectada'!$D$42:$J$53,'Flujo Ajustado'!CS14,'Flujo Ajustado'!CS13)*35000</f>
        <v>196648928.23766568</v>
      </c>
      <c r="CT2" s="125" cm="1">
        <f t="array" ref="CT2">INDEX('Produccion proyectada'!$D$42:$J$53,'Flujo Ajustado'!CT14,'Flujo Ajustado'!CT13)*35000</f>
        <v>699196189.28947806</v>
      </c>
      <c r="CU2" s="125" cm="1">
        <f t="array" ref="CU2">INDEX('Produccion proyectada'!$D$42:$J$53,'Flujo Ajustado'!CU14,'Flujo Ajustado'!CU13)*35000</f>
        <v>174799047.32236952</v>
      </c>
      <c r="CV2" s="125" cm="1">
        <f t="array" ref="CV2">INDEX('Produccion proyectada'!$D$42:$J$53,'Flujo Ajustado'!CV14,'Flujo Ajustado'!CV13)*35000</f>
        <v>349598094.64473903</v>
      </c>
      <c r="CW2" s="125" cm="1">
        <f t="array" ref="CW2">INDEX('Produccion proyectada'!$D$42:$J$53,'Flujo Ajustado'!CW14,'Flujo Ajustado'!CW13)*35000</f>
        <v>4675874515.8733845</v>
      </c>
      <c r="CX2" s="125">
        <f>CL2</f>
        <v>353982637.41507542</v>
      </c>
    </row>
    <row r="3" spans="1:102" x14ac:dyDescent="0.3">
      <c r="A3" t="s">
        <v>227</v>
      </c>
      <c r="D3" t="str">
        <f>A3</f>
        <v>Inversion inicial</v>
      </c>
      <c r="E3" s="125">
        <f>-'Salarios e Ingresos Figuras'!C40</f>
        <v>-379038551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</row>
    <row r="4" spans="1:102" x14ac:dyDescent="0.3">
      <c r="A4" t="s">
        <v>277</v>
      </c>
      <c r="D4" t="str">
        <f>A4</f>
        <v>Gastos operativos</v>
      </c>
      <c r="E4" s="4"/>
      <c r="F4" s="125">
        <f>$B$17</f>
        <v>30309111.545680001</v>
      </c>
      <c r="G4" s="125">
        <f t="shared" ref="G4:BR4" si="0">$B$17</f>
        <v>30309111.545680001</v>
      </c>
      <c r="H4" s="125">
        <f t="shared" si="0"/>
        <v>30309111.545680001</v>
      </c>
      <c r="I4" s="125">
        <f t="shared" si="0"/>
        <v>30309111.545680001</v>
      </c>
      <c r="J4" s="125">
        <f t="shared" si="0"/>
        <v>30309111.545680001</v>
      </c>
      <c r="K4" s="125">
        <f t="shared" si="0"/>
        <v>30309111.545680001</v>
      </c>
      <c r="L4" s="125">
        <f t="shared" si="0"/>
        <v>30309111.545680001</v>
      </c>
      <c r="M4" s="125">
        <f t="shared" si="0"/>
        <v>30309111.545680001</v>
      </c>
      <c r="N4" s="125">
        <f t="shared" si="0"/>
        <v>30309111.545680001</v>
      </c>
      <c r="O4" s="125">
        <f t="shared" si="0"/>
        <v>30309111.545680001</v>
      </c>
      <c r="P4" s="125">
        <f t="shared" si="0"/>
        <v>30309111.545680001</v>
      </c>
      <c r="Q4" s="125">
        <f t="shared" si="0"/>
        <v>30309111.545680001</v>
      </c>
      <c r="R4" s="125">
        <f t="shared" si="0"/>
        <v>30309111.545680001</v>
      </c>
      <c r="S4" s="125">
        <f t="shared" si="0"/>
        <v>30309111.545680001</v>
      </c>
      <c r="T4" s="125">
        <f t="shared" si="0"/>
        <v>30309111.545680001</v>
      </c>
      <c r="U4" s="125">
        <f t="shared" si="0"/>
        <v>30309111.545680001</v>
      </c>
      <c r="V4" s="125">
        <f t="shared" si="0"/>
        <v>30309111.545680001</v>
      </c>
      <c r="W4" s="125">
        <f t="shared" si="0"/>
        <v>30309111.545680001</v>
      </c>
      <c r="X4" s="125">
        <f t="shared" si="0"/>
        <v>30309111.545680001</v>
      </c>
      <c r="Y4" s="125">
        <f t="shared" si="0"/>
        <v>30309111.545680001</v>
      </c>
      <c r="Z4" s="125">
        <f t="shared" si="0"/>
        <v>30309111.545680001</v>
      </c>
      <c r="AA4" s="125">
        <f t="shared" si="0"/>
        <v>30309111.545680001</v>
      </c>
      <c r="AB4" s="125">
        <f t="shared" si="0"/>
        <v>30309111.545680001</v>
      </c>
      <c r="AC4" s="125">
        <f t="shared" si="0"/>
        <v>30309111.545680001</v>
      </c>
      <c r="AD4" s="125">
        <f t="shared" si="0"/>
        <v>30309111.545680001</v>
      </c>
      <c r="AE4" s="125">
        <f t="shared" si="0"/>
        <v>30309111.545680001</v>
      </c>
      <c r="AF4" s="125">
        <f t="shared" si="0"/>
        <v>30309111.545680001</v>
      </c>
      <c r="AG4" s="125">
        <f t="shared" si="0"/>
        <v>30309111.545680001</v>
      </c>
      <c r="AH4" s="125">
        <f t="shared" si="0"/>
        <v>30309111.545680001</v>
      </c>
      <c r="AI4" s="125">
        <f t="shared" si="0"/>
        <v>30309111.545680001</v>
      </c>
      <c r="AJ4" s="125">
        <f t="shared" si="0"/>
        <v>30309111.545680001</v>
      </c>
      <c r="AK4" s="125">
        <f t="shared" si="0"/>
        <v>30309111.545680001</v>
      </c>
      <c r="AL4" s="125">
        <f t="shared" si="0"/>
        <v>30309111.545680001</v>
      </c>
      <c r="AM4" s="125">
        <f t="shared" si="0"/>
        <v>30309111.545680001</v>
      </c>
      <c r="AN4" s="125">
        <f t="shared" si="0"/>
        <v>30309111.545680001</v>
      </c>
      <c r="AO4" s="125">
        <f t="shared" si="0"/>
        <v>30309111.545680001</v>
      </c>
      <c r="AP4" s="125">
        <f t="shared" si="0"/>
        <v>30309111.545680001</v>
      </c>
      <c r="AQ4" s="125">
        <f t="shared" si="0"/>
        <v>30309111.545680001</v>
      </c>
      <c r="AR4" s="125">
        <f t="shared" si="0"/>
        <v>30309111.545680001</v>
      </c>
      <c r="AS4" s="125">
        <f t="shared" si="0"/>
        <v>30309111.545680001</v>
      </c>
      <c r="AT4" s="125">
        <f t="shared" si="0"/>
        <v>30309111.545680001</v>
      </c>
      <c r="AU4" s="125">
        <f t="shared" si="0"/>
        <v>30309111.545680001</v>
      </c>
      <c r="AV4" s="125">
        <f t="shared" si="0"/>
        <v>30309111.545680001</v>
      </c>
      <c r="AW4" s="125">
        <f t="shared" si="0"/>
        <v>30309111.545680001</v>
      </c>
      <c r="AX4" s="125">
        <f t="shared" si="0"/>
        <v>30309111.545680001</v>
      </c>
      <c r="AY4" s="125">
        <f t="shared" si="0"/>
        <v>30309111.545680001</v>
      </c>
      <c r="AZ4" s="125">
        <f t="shared" si="0"/>
        <v>30309111.545680001</v>
      </c>
      <c r="BA4" s="125">
        <f t="shared" si="0"/>
        <v>30309111.545680001</v>
      </c>
      <c r="BB4" s="125">
        <f t="shared" si="0"/>
        <v>30309111.545680001</v>
      </c>
      <c r="BC4" s="125">
        <f t="shared" si="0"/>
        <v>30309111.545680001</v>
      </c>
      <c r="BD4" s="125">
        <f t="shared" si="0"/>
        <v>30309111.545680001</v>
      </c>
      <c r="BE4" s="125">
        <f t="shared" si="0"/>
        <v>30309111.545680001</v>
      </c>
      <c r="BF4" s="125">
        <f t="shared" si="0"/>
        <v>30309111.545680001</v>
      </c>
      <c r="BG4" s="125">
        <f t="shared" si="0"/>
        <v>30309111.545680001</v>
      </c>
      <c r="BH4" s="125">
        <f t="shared" si="0"/>
        <v>30309111.545680001</v>
      </c>
      <c r="BI4" s="125">
        <f t="shared" si="0"/>
        <v>30309111.545680001</v>
      </c>
      <c r="BJ4" s="125">
        <f t="shared" si="0"/>
        <v>30309111.545680001</v>
      </c>
      <c r="BK4" s="125">
        <f t="shared" si="0"/>
        <v>30309111.545680001</v>
      </c>
      <c r="BL4" s="125">
        <f t="shared" si="0"/>
        <v>30309111.545680001</v>
      </c>
      <c r="BM4" s="125">
        <f t="shared" si="0"/>
        <v>30309111.545680001</v>
      </c>
      <c r="BN4" s="125">
        <f t="shared" si="0"/>
        <v>30309111.545680001</v>
      </c>
      <c r="BO4" s="125">
        <f t="shared" si="0"/>
        <v>30309111.545680001</v>
      </c>
      <c r="BP4" s="125">
        <f t="shared" si="0"/>
        <v>30309111.545680001</v>
      </c>
      <c r="BQ4" s="125">
        <f t="shared" si="0"/>
        <v>30309111.545680001</v>
      </c>
      <c r="BR4" s="125">
        <f t="shared" si="0"/>
        <v>30309111.545680001</v>
      </c>
      <c r="BS4" s="125">
        <f t="shared" ref="BS4:CX4" si="1">$B$17</f>
        <v>30309111.545680001</v>
      </c>
      <c r="BT4" s="125">
        <f t="shared" si="1"/>
        <v>30309111.545680001</v>
      </c>
      <c r="BU4" s="125">
        <f t="shared" si="1"/>
        <v>30309111.545680001</v>
      </c>
      <c r="BV4" s="125">
        <f t="shared" si="1"/>
        <v>30309111.545680001</v>
      </c>
      <c r="BW4" s="125">
        <f t="shared" si="1"/>
        <v>30309111.545680001</v>
      </c>
      <c r="BX4" s="125">
        <f t="shared" si="1"/>
        <v>30309111.545680001</v>
      </c>
      <c r="BY4" s="125">
        <f t="shared" si="1"/>
        <v>30309111.545680001</v>
      </c>
      <c r="BZ4" s="125">
        <f t="shared" si="1"/>
        <v>30309111.545680001</v>
      </c>
      <c r="CA4" s="125">
        <f t="shared" si="1"/>
        <v>30309111.545680001</v>
      </c>
      <c r="CB4" s="125">
        <f t="shared" si="1"/>
        <v>30309111.545680001</v>
      </c>
      <c r="CC4" s="125">
        <f t="shared" si="1"/>
        <v>30309111.545680001</v>
      </c>
      <c r="CD4" s="125">
        <f t="shared" si="1"/>
        <v>30309111.545680001</v>
      </c>
      <c r="CE4" s="125">
        <f t="shared" si="1"/>
        <v>30309111.545680001</v>
      </c>
      <c r="CF4" s="125">
        <f t="shared" si="1"/>
        <v>30309111.545680001</v>
      </c>
      <c r="CG4" s="125">
        <f t="shared" si="1"/>
        <v>30309111.545680001</v>
      </c>
      <c r="CH4" s="125">
        <f t="shared" si="1"/>
        <v>30309111.545680001</v>
      </c>
      <c r="CI4" s="125">
        <f t="shared" si="1"/>
        <v>30309111.545680001</v>
      </c>
      <c r="CJ4" s="125">
        <f t="shared" si="1"/>
        <v>30309111.545680001</v>
      </c>
      <c r="CK4" s="125">
        <f t="shared" si="1"/>
        <v>30309111.545680001</v>
      </c>
      <c r="CL4" s="125">
        <f t="shared" si="1"/>
        <v>30309111.545680001</v>
      </c>
      <c r="CM4" s="125">
        <f t="shared" si="1"/>
        <v>30309111.545680001</v>
      </c>
      <c r="CN4" s="125">
        <f t="shared" si="1"/>
        <v>30309111.545680001</v>
      </c>
      <c r="CO4" s="125">
        <f t="shared" si="1"/>
        <v>30309111.545680001</v>
      </c>
      <c r="CP4" s="125">
        <f t="shared" si="1"/>
        <v>30309111.545680001</v>
      </c>
      <c r="CQ4" s="125">
        <f t="shared" si="1"/>
        <v>30309111.545680001</v>
      </c>
      <c r="CR4" s="125">
        <f t="shared" si="1"/>
        <v>30309111.545680001</v>
      </c>
      <c r="CS4" s="125">
        <f t="shared" si="1"/>
        <v>30309111.545680001</v>
      </c>
      <c r="CT4" s="125">
        <f t="shared" si="1"/>
        <v>30309111.545680001</v>
      </c>
      <c r="CU4" s="125">
        <f t="shared" si="1"/>
        <v>30309111.545680001</v>
      </c>
      <c r="CV4" s="125">
        <f t="shared" si="1"/>
        <v>30309111.545680001</v>
      </c>
      <c r="CW4" s="125">
        <f t="shared" si="1"/>
        <v>30309111.545680001</v>
      </c>
      <c r="CX4" s="125">
        <f t="shared" si="1"/>
        <v>30309111.545680001</v>
      </c>
    </row>
    <row r="5" spans="1:102" x14ac:dyDescent="0.3">
      <c r="A5" t="s">
        <v>396</v>
      </c>
      <c r="E5" s="4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125"/>
      <c r="AL5" s="125"/>
      <c r="AM5" s="125"/>
      <c r="AN5" s="125"/>
      <c r="AO5" s="125"/>
      <c r="AP5" s="125"/>
      <c r="AQ5" s="125"/>
      <c r="AR5" s="125"/>
      <c r="AS5" s="125"/>
      <c r="AT5" s="125"/>
      <c r="AU5" s="125"/>
      <c r="AV5" s="125"/>
      <c r="AW5" s="125"/>
      <c r="AX5" s="125"/>
      <c r="AY5" s="125"/>
      <c r="AZ5" s="125"/>
      <c r="BA5" s="125"/>
      <c r="BB5" s="125"/>
      <c r="BC5" s="125"/>
      <c r="BD5" s="125"/>
      <c r="BE5" s="125"/>
      <c r="BF5" s="125"/>
      <c r="BG5" s="125"/>
      <c r="BH5" s="125"/>
      <c r="BI5" s="125"/>
      <c r="BJ5" s="125"/>
      <c r="BK5" s="125"/>
      <c r="BL5" s="125"/>
      <c r="BM5" s="125"/>
      <c r="BN5" s="125"/>
      <c r="BO5" s="125"/>
      <c r="BP5" s="125"/>
      <c r="BQ5" s="125"/>
      <c r="BR5" s="125"/>
      <c r="BS5" s="125"/>
      <c r="BT5" s="125"/>
      <c r="BU5" s="125"/>
      <c r="BV5" s="125"/>
      <c r="BW5" s="125"/>
      <c r="BX5" s="125"/>
      <c r="BY5" s="125"/>
      <c r="BZ5" s="125"/>
      <c r="CA5" s="125"/>
      <c r="CB5" s="125"/>
      <c r="CC5" s="125"/>
      <c r="CD5" s="125"/>
      <c r="CE5" s="125"/>
      <c r="CF5" s="125"/>
      <c r="CG5" s="125"/>
      <c r="CH5" s="125"/>
      <c r="CI5" s="125"/>
      <c r="CJ5" s="125"/>
      <c r="CK5" s="125"/>
      <c r="CL5" s="125"/>
      <c r="CM5" s="125"/>
      <c r="CN5" s="125"/>
      <c r="CO5" s="125"/>
      <c r="CP5" s="125"/>
      <c r="CQ5" s="125"/>
      <c r="CR5" s="125"/>
      <c r="CS5" s="125"/>
      <c r="CT5" s="125"/>
      <c r="CU5" s="125"/>
      <c r="CV5" s="125"/>
      <c r="CW5" s="125"/>
      <c r="CX5" s="125"/>
    </row>
    <row r="6" spans="1:102" x14ac:dyDescent="0.3">
      <c r="A6" t="s">
        <v>110</v>
      </c>
      <c r="B6" s="100">
        <f>'Calculo Activos'!E4/12</f>
        <v>302399999.99999994</v>
      </c>
      <c r="C6" s="100"/>
      <c r="D6" s="100" t="str">
        <f>A6</f>
        <v>Pintura</v>
      </c>
      <c r="E6" s="4"/>
      <c r="F6" s="125" cm="1">
        <f t="array" ref="F6">INDEX('Produccion proyectada'!$C$42:$C$53,'Flujo Ajustado'!F14,'Flujo Ajustado'!F13)*'Salarios e Ingresos Figuras'!$H$18/100*'Salarios e Ingresos Figuras'!$H$17</f>
        <v>146972448.00000009</v>
      </c>
      <c r="G6" s="125" cm="1">
        <f t="array" ref="G6">INDEX('Produccion proyectada'!$C$42:$C$53,'Flujo Ajustado'!G14,'Flujo Ajustado'!G13)*'Salarios e Ingresos Figuras'!$H$18/100*'Salarios e Ingresos Figuras'!$H$17</f>
        <v>45360000</v>
      </c>
      <c r="H6" s="125" cm="1">
        <f t="array" ref="H6">INDEX('Produccion proyectada'!$C$42:$C$53,'Flujo Ajustado'!H14,'Flujo Ajustado'!H13)*'Salarios e Ingresos Figuras'!$H$18/100*'Salarios e Ingresos Figuras'!$H$17</f>
        <v>63504000</v>
      </c>
      <c r="I6" s="125" cm="1">
        <f t="array" ref="I6">INDEX('Produccion proyectada'!$C$42:$C$53,'Flujo Ajustado'!I14,'Flujo Ajustado'!I13)*'Salarios e Ingresos Figuras'!$H$18/100*'Salarios e Ingresos Figuras'!$H$17</f>
        <v>544320000</v>
      </c>
      <c r="J6" s="125" cm="1">
        <f t="array" ref="J6">INDEX('Produccion proyectada'!$C$42:$C$53,'Flujo Ajustado'!J14,'Flujo Ajustado'!J13)*'Salarios e Ingresos Figuras'!$H$18/100*'Salarios e Ingresos Figuras'!$H$17</f>
        <v>215919648.00000009</v>
      </c>
      <c r="K6" s="125" cm="1">
        <f t="array" ref="K6">INDEX('Produccion proyectada'!$C$42:$C$53,'Flujo Ajustado'!K14,'Flujo Ajustado'!K13)*'Salarios e Ingresos Figuras'!$H$18/100*'Salarios e Ingresos Figuras'!$H$17</f>
        <v>27215999.999999996</v>
      </c>
      <c r="L6" s="125" cm="1">
        <f t="array" ref="L6">INDEX('Produccion proyectada'!$C$42:$C$53,'Flujo Ajustado'!L14,'Flujo Ajustado'!L13)*'Salarios e Ingresos Figuras'!$H$18/100*'Salarios e Ingresos Figuras'!$H$17</f>
        <v>54431999.999999993</v>
      </c>
      <c r="M6" s="125" cm="1">
        <f t="array" ref="M6">INDEX('Produccion proyectada'!$C$42:$C$53,'Flujo Ajustado'!M14,'Flujo Ajustado'!M13)*'Salarios e Ingresos Figuras'!$H$18/100*'Salarios e Ingresos Figuras'!$H$17</f>
        <v>81648000</v>
      </c>
      <c r="N6" s="125" cm="1">
        <f t="array" ref="N6">INDEX('Produccion proyectada'!$C$42:$C$53,'Flujo Ajustado'!N14,'Flujo Ajustado'!N13)*'Salarios e Ingresos Figuras'!$H$18/100*'Salarios e Ingresos Figuras'!$H$17</f>
        <v>290304000.00000006</v>
      </c>
      <c r="O6" s="125" cm="1">
        <f t="array" ref="O6">INDEX('Produccion proyectada'!$C$42:$C$53,'Flujo Ajustado'!O14,'Flujo Ajustado'!O13)*'Salarios e Ingresos Figuras'!$H$18/100*'Salarios e Ingresos Figuras'!$H$17</f>
        <v>72576000.000000015</v>
      </c>
      <c r="P6" s="125" cm="1">
        <f t="array" ref="P6">INDEX('Produccion proyectada'!$C$42:$C$53,'Flujo Ajustado'!P14,'Flujo Ajustado'!P13)*'Salarios e Ingresos Figuras'!$H$18/100*'Salarios e Ingresos Figuras'!$H$17</f>
        <v>145152000.00000003</v>
      </c>
      <c r="Q6" s="125" cm="1">
        <f t="array" ref="Q6">INDEX('Produccion proyectada'!$C$42:$C$53,'Flujo Ajustado'!Q14,'Flujo Ajustado'!Q13)*'Salarios e Ingresos Figuras'!$H$18/100*'Salarios e Ingresos Figuras'!$H$17</f>
        <v>1941408000</v>
      </c>
      <c r="R6" s="125" cm="1">
        <f t="array" ref="R6">INDEX('Produccion proyectada'!$D$42:$J$53,'Flujo Ajustado'!R14,'Flujo Ajustado'!R13)*'Salarios e Ingresos Figuras'!$H$18/100*'Salarios e Ingresos Figuras'!$H$17</f>
        <v>140424186.83427835</v>
      </c>
      <c r="S6" s="125" cm="1">
        <f t="array" ref="S6">INDEX('Produccion proyectada'!$D$42:$J$53,'Flujo Ajustado'!S14,'Flujo Ajustado'!S13)*'Salarios e Ingresos Figuras'!$H$18/100*'Salarios e Ingresos Figuras'!$H$17</f>
        <v>43339014.907085583</v>
      </c>
      <c r="T6" s="125" cm="1">
        <f t="array" ref="T6">INDEX('Produccion proyectada'!$D$42:$J$53,'Flujo Ajustado'!T14,'Flujo Ajustado'!T13)*'Salarios e Ingresos Figuras'!$H$18/100*'Salarios e Ingresos Figuras'!$H$17</f>
        <v>60674620.869919807</v>
      </c>
      <c r="U6" s="125" cm="1">
        <f t="array" ref="U6">INDEX('Produccion proyectada'!$D$42:$J$53,'Flujo Ajustado'!U14,'Flujo Ajustado'!U13)*'Salarios e Ingresos Figuras'!$H$18/100*'Salarios e Ingresos Figuras'!$H$17</f>
        <v>520068178.88502687</v>
      </c>
      <c r="V6" s="125" cm="1">
        <f t="array" ref="V6">INDEX('Produccion proyectada'!$D$42:$J$53,'Flujo Ajustado'!V14,'Flujo Ajustado'!V13)*'Salarios e Ingresos Figuras'!$H$18/100*'Salarios e Ingresos Figuras'!$H$17</f>
        <v>206299489.4930484</v>
      </c>
      <c r="W6" s="125" cm="1">
        <f t="array" ref="W6">INDEX('Produccion proyectada'!$D$42:$J$53,'Flujo Ajustado'!W14,'Flujo Ajustado'!W13)*'Salarios e Ingresos Figuras'!$H$18/100*'Salarios e Ingresos Figuras'!$H$17</f>
        <v>26003408.944251351</v>
      </c>
      <c r="X6" s="125" cm="1">
        <f t="array" ref="X6">INDEX('Produccion proyectada'!$D$42:$J$53,'Flujo Ajustado'!X14,'Flujo Ajustado'!X13)*'Salarios e Ingresos Figuras'!$H$18/100*'Salarios e Ingresos Figuras'!$H$17</f>
        <v>52006817.888502702</v>
      </c>
      <c r="Y6" s="125" cm="1">
        <f t="array" ref="Y6">INDEX('Produccion proyectada'!$D$42:$J$53,'Flujo Ajustado'!Y14,'Flujo Ajustado'!Y13)*'Salarios e Ingresos Figuras'!$H$18/100*'Salarios e Ingresos Figuras'!$H$17</f>
        <v>78010226.832754061</v>
      </c>
      <c r="Z6" s="125" cm="1">
        <f t="array" ref="Z6">INDEX('Produccion proyectada'!$D$42:$J$53,'Flujo Ajustado'!Z14,'Flujo Ajustado'!Z13)*'Salarios e Ingresos Figuras'!$H$18/100*'Salarios e Ingresos Figuras'!$H$17</f>
        <v>277369695.4053477</v>
      </c>
      <c r="AA6" s="125" cm="1">
        <f t="array" ref="AA6">INDEX('Produccion proyectada'!$D$42:$J$53,'Flujo Ajustado'!AA14,'Flujo Ajustado'!AA13)*'Salarios e Ingresos Figuras'!$H$18/100*'Salarios e Ingresos Figuras'!$H$17</f>
        <v>69342423.851336926</v>
      </c>
      <c r="AB6" s="125" cm="1">
        <f t="array" ref="AB6">INDEX('Produccion proyectada'!$D$42:$J$53,'Flujo Ajustado'!AB14,'Flujo Ajustado'!AB13)*'Salarios e Ingresos Figuras'!$H$18/100*'Salarios e Ingresos Figuras'!$H$17</f>
        <v>138684847.70267385</v>
      </c>
      <c r="AC6" s="125" cm="1">
        <f t="array" ref="AC6">INDEX('Produccion proyectada'!$D$42:$J$53,'Flujo Ajustado'!AC14,'Flujo Ajustado'!AC13)*'Salarios e Ingresos Figuras'!$H$18/100*'Salarios e Ingresos Figuras'!$H$17</f>
        <v>1854909838.023263</v>
      </c>
      <c r="AD6" s="125" cm="1">
        <f t="array" ref="AD6">INDEX('Produccion proyectada'!$D$42:$J$53,'Flujo Ajustado'!AD14,'Flujo Ajustado'!AD13)*'Salarios e Ingresos Figuras'!$H$18/100*'Salarios e Ingresos Figuras'!$H$17</f>
        <v>133876415.57508357</v>
      </c>
      <c r="AE6" s="125" cm="1">
        <f t="array" ref="AE6">INDEX('Produccion proyectada'!$D$42:$J$53,'Flujo Ajustado'!AE14,'Flujo Ajustado'!AE13)*'Salarios e Ingresos Figuras'!$H$18/100*'Salarios e Ingresos Figuras'!$H$17</f>
        <v>41318181.013667174</v>
      </c>
      <c r="AF6" s="125" cm="1">
        <f t="array" ref="AF6">INDEX('Produccion proyectada'!$D$42:$J$53,'Flujo Ajustado'!AF14,'Flujo Ajustado'!AF13)*'Salarios e Ingresos Figuras'!$H$18/100*'Salarios e Ingresos Figuras'!$H$17</f>
        <v>57845453.419134036</v>
      </c>
      <c r="AG6" s="125" cm="1">
        <f t="array" ref="AG6">INDEX('Produccion proyectada'!$D$42:$J$53,'Flujo Ajustado'!AG14,'Flujo Ajustado'!AG13)*'Salarios e Ingresos Figuras'!$H$18/100*'Salarios e Ingresos Figuras'!$H$17</f>
        <v>495818172.16400599</v>
      </c>
      <c r="AH6" s="125" cm="1">
        <f t="array" ref="AH6">INDEX('Produccion proyectada'!$D$42:$J$53,'Flujo Ajustado'!AH14,'Flujo Ajustado'!AH13)*'Salarios e Ingresos Figuras'!$H$18/100*'Salarios e Ingresos Figuras'!$H$17</f>
        <v>196680050.71585765</v>
      </c>
      <c r="AI6" s="125" cm="1">
        <f t="array" ref="AI6">INDEX('Produccion proyectada'!$D$42:$J$53,'Flujo Ajustado'!AI14,'Flujo Ajustado'!AI13)*'Salarios e Ingresos Figuras'!$H$18/100*'Salarios e Ingresos Figuras'!$H$17</f>
        <v>24790908.6082003</v>
      </c>
      <c r="AJ6" s="125" cm="1">
        <f t="array" ref="AJ6">INDEX('Produccion proyectada'!$D$42:$J$53,'Flujo Ajustado'!AJ14,'Flujo Ajustado'!AJ13)*'Salarios e Ingresos Figuras'!$H$18/100*'Salarios e Ingresos Figuras'!$H$17</f>
        <v>49581817.216400601</v>
      </c>
      <c r="AK6" s="125" cm="1">
        <f t="array" ref="AK6">INDEX('Produccion proyectada'!$D$42:$J$53,'Flujo Ajustado'!AK14,'Flujo Ajustado'!AK13)*'Salarios e Ingresos Figuras'!$H$18/100*'Salarios e Ingresos Figuras'!$H$17</f>
        <v>74372725.824600905</v>
      </c>
      <c r="AL6" s="125" cm="1">
        <f t="array" ref="AL6">INDEX('Produccion proyectada'!$D$42:$J$53,'Flujo Ajustado'!AL14,'Flujo Ajustado'!AL13)*'Salarios e Ingresos Figuras'!$H$18/100*'Salarios e Ingresos Figuras'!$H$17</f>
        <v>264436358.48746988</v>
      </c>
      <c r="AM6" s="125" cm="1">
        <f t="array" ref="AM6">INDEX('Produccion proyectada'!$D$42:$J$53,'Flujo Ajustado'!AM14,'Flujo Ajustado'!AM13)*'Salarios e Ingresos Figuras'!$H$18/100*'Salarios e Ingresos Figuras'!$H$17</f>
        <v>66109089.62186747</v>
      </c>
      <c r="AN6" s="125" cm="1">
        <f t="array" ref="AN6">INDEX('Produccion proyectada'!$D$42:$J$53,'Flujo Ajustado'!AN14,'Flujo Ajustado'!AN13)*'Salarios e Ingresos Figuras'!$H$18/100*'Salarios e Ingresos Figuras'!$H$17</f>
        <v>132218179.24373494</v>
      </c>
      <c r="AO6" s="125" cm="1">
        <f t="array" ref="AO6">INDEX('Produccion proyectada'!$D$42:$J$53,'Flujo Ajustado'!AO14,'Flujo Ajustado'!AO13)*'Salarios e Ingresos Figuras'!$H$18/100*'Salarios e Ingresos Figuras'!$H$17</f>
        <v>1768418147.3849549</v>
      </c>
      <c r="AP6" s="125" cm="1">
        <f t="array" ref="AP6">INDEX('Produccion proyectada'!$D$42:$J$53,'Flujo Ajustado'!AP14,'Flujo Ajustado'!AP13)*'Salarios e Ingresos Figuras'!$H$18/100*'Salarios e Ingresos Figuras'!$H$17</f>
        <v>127328644.31588878</v>
      </c>
      <c r="AQ6" s="125" cm="1">
        <f t="array" ref="AQ6">INDEX('Produccion proyectada'!$D$42:$J$53,'Flujo Ajustado'!AQ14,'Flujo Ajustado'!AQ13)*'Salarios e Ingresos Figuras'!$H$18/100*'Salarios e Ingresos Figuras'!$H$17</f>
        <v>39297347.120248757</v>
      </c>
      <c r="AR6" s="125" cm="1">
        <f t="array" ref="AR6">INDEX('Produccion proyectada'!$D$42:$J$53,'Flujo Ajustado'!AR14,'Flujo Ajustado'!AR13)*'Salarios e Ingresos Figuras'!$H$18/100*'Salarios e Ingresos Figuras'!$H$17</f>
        <v>55016285.968348257</v>
      </c>
      <c r="AS6" s="125" cm="1">
        <f t="array" ref="AS6">INDEX('Produccion proyectada'!$D$42:$J$53,'Flujo Ajustado'!AS14,'Flujo Ajustado'!AS13)*'Salarios e Ingresos Figuras'!$H$18/100*'Salarios e Ingresos Figuras'!$H$17</f>
        <v>471568165.44298506</v>
      </c>
      <c r="AT6" s="125" cm="1">
        <f t="array" ref="AT6">INDEX('Produccion proyectada'!$D$42:$J$53,'Flujo Ajustado'!AT14,'Flujo Ajustado'!AT13)*'Salarios e Ingresos Figuras'!$H$18/100*'Salarios e Ingresos Figuras'!$H$17</f>
        <v>187060611.93866688</v>
      </c>
      <c r="AU6" s="125" cm="1">
        <f t="array" ref="AU6">INDEX('Produccion proyectada'!$D$42:$J$53,'Flujo Ajustado'!AU14,'Flujo Ajustado'!AU13)*'Salarios e Ingresos Figuras'!$H$18/100*'Salarios e Ingresos Figuras'!$H$17</f>
        <v>23578408.272149254</v>
      </c>
      <c r="AV6" s="125" cm="1">
        <f t="array" ref="AV6">INDEX('Produccion proyectada'!$D$42:$J$53,'Flujo Ajustado'!AV14,'Flujo Ajustado'!AV13)*'Salarios e Ingresos Figuras'!$H$18/100*'Salarios e Ingresos Figuras'!$H$17</f>
        <v>47156816.544298507</v>
      </c>
      <c r="AW6" s="125" cm="1">
        <f t="array" ref="AW6">INDEX('Produccion proyectada'!$D$42:$J$53,'Flujo Ajustado'!AW14,'Flujo Ajustado'!AW13)*'Salarios e Ingresos Figuras'!$H$18/100*'Salarios e Ingresos Figuras'!$H$17</f>
        <v>70735224.816447765</v>
      </c>
      <c r="AX6" s="125" cm="1">
        <f t="array" ref="AX6">INDEX('Produccion proyectada'!$D$42:$J$53,'Flujo Ajustado'!AX14,'Flujo Ajustado'!AX13)*'Salarios e Ingresos Figuras'!$H$18/100*'Salarios e Ingresos Figuras'!$H$17</f>
        <v>251503021.56959203</v>
      </c>
      <c r="AY6" s="125" cm="1">
        <f t="array" ref="AY6">INDEX('Produccion proyectada'!$D$42:$J$53,'Flujo Ajustado'!AY14,'Flujo Ajustado'!AY13)*'Salarios e Ingresos Figuras'!$H$18/100*'Salarios e Ingresos Figuras'!$H$17</f>
        <v>62875755.392398007</v>
      </c>
      <c r="AZ6" s="125" cm="1">
        <f t="array" ref="AZ6">INDEX('Produccion proyectada'!$D$42:$J$53,'Flujo Ajustado'!AZ14,'Flujo Ajustado'!AZ13)*'Salarios e Ingresos Figuras'!$H$18/100*'Salarios e Ingresos Figuras'!$H$17</f>
        <v>125751510.78479601</v>
      </c>
      <c r="BA6" s="125" cm="1">
        <f t="array" ref="BA6">INDEX('Produccion proyectada'!$D$42:$J$53,'Flujo Ajustado'!BA14,'Flujo Ajustado'!BA13)*'Salarios e Ingresos Figuras'!$H$18/100*'Salarios e Ingresos Figuras'!$H$17</f>
        <v>1681926456.7466466</v>
      </c>
      <c r="BB6" s="125" cm="1">
        <f t="array" ref="BB6">INDEX('Produccion proyectada'!$D$42:$J$53,'Flujo Ajustado'!BB14,'Flujo Ajustado'!BB13)*'Salarios e Ingresos Figuras'!$H$18/100*'Salarios e Ingresos Figuras'!$H$17</f>
        <v>120780873.056694</v>
      </c>
      <c r="BC6" s="125" cm="1">
        <f t="array" ref="BC6">INDEX('Produccion proyectada'!$D$42:$J$53,'Flujo Ajustado'!BC14,'Flujo Ajustado'!BC13)*'Salarios e Ingresos Figuras'!$H$18/100*'Salarios e Ingresos Figuras'!$H$17</f>
        <v>37276513.226830348</v>
      </c>
      <c r="BD6" s="125" cm="1">
        <f t="array" ref="BD6">INDEX('Produccion proyectada'!$D$42:$J$53,'Flujo Ajustado'!BD14,'Flujo Ajustado'!BD13)*'Salarios e Ingresos Figuras'!$H$18/100*'Salarios e Ingresos Figuras'!$H$17</f>
        <v>52187118.517562471</v>
      </c>
      <c r="BE6" s="125" cm="1">
        <f t="array" ref="BE6">INDEX('Produccion proyectada'!$D$42:$J$53,'Flujo Ajustado'!BE14,'Flujo Ajustado'!BE13)*'Salarios e Ingresos Figuras'!$H$18/100*'Salarios e Ingresos Figuras'!$H$17</f>
        <v>447318158.72196406</v>
      </c>
      <c r="BF6" s="125" cm="1">
        <f t="array" ref="BF6">INDEX('Produccion proyectada'!$D$42:$J$53,'Flujo Ajustado'!BF14,'Flujo Ajustado'!BF13)*'Salarios e Ingresos Figuras'!$H$18/100*'Salarios e Ingresos Figuras'!$H$17</f>
        <v>177441173.16147611</v>
      </c>
      <c r="BG6" s="125" cm="1">
        <f t="array" ref="BG6">INDEX('Produccion proyectada'!$D$42:$J$53,'Flujo Ajustado'!BG14,'Flujo Ajustado'!BG13)*'Salarios e Ingresos Figuras'!$H$18/100*'Salarios e Ingresos Figuras'!$H$17</f>
        <v>22365907.936098207</v>
      </c>
      <c r="BH6" s="125" cm="1">
        <f t="array" ref="BH6">INDEX('Produccion proyectada'!$D$42:$J$53,'Flujo Ajustado'!BH14,'Flujo Ajustado'!BH13)*'Salarios e Ingresos Figuras'!$H$18/100*'Salarios e Ingresos Figuras'!$H$17</f>
        <v>44731815.872196414</v>
      </c>
      <c r="BI6" s="125" cm="1">
        <f t="array" ref="BI6">INDEX('Produccion proyectada'!$D$42:$J$53,'Flujo Ajustado'!BI14,'Flujo Ajustado'!BI13)*'Salarios e Ingresos Figuras'!$H$18/100*'Salarios e Ingresos Figuras'!$H$17</f>
        <v>67097723.808294617</v>
      </c>
      <c r="BJ6" s="125" cm="1">
        <f t="array" ref="BJ6">INDEX('Produccion proyectada'!$D$42:$J$53,'Flujo Ajustado'!BJ14,'Flujo Ajustado'!BJ13)*'Salarios e Ingresos Figuras'!$H$18/100*'Salarios e Ingresos Figuras'!$H$17</f>
        <v>238569684.65171421</v>
      </c>
      <c r="BK6" s="125" cm="1">
        <f t="array" ref="BK6">INDEX('Produccion proyectada'!$D$42:$J$53,'Flujo Ajustado'!BK14,'Flujo Ajustado'!BK13)*'Salarios e Ingresos Figuras'!$H$18/100*'Salarios e Ingresos Figuras'!$H$17</f>
        <v>59642421.162928551</v>
      </c>
      <c r="BL6" s="125" cm="1">
        <f t="array" ref="BL6">INDEX('Produccion proyectada'!$D$42:$J$53,'Flujo Ajustado'!BL14,'Flujo Ajustado'!BL13)*'Salarios e Ingresos Figuras'!$H$18/100*'Salarios e Ingresos Figuras'!$H$17</f>
        <v>119284842.3258571</v>
      </c>
      <c r="BM6" s="125" cm="1">
        <f t="array" ref="BM6">INDEX('Produccion proyectada'!$D$42:$J$53,'Flujo Ajustado'!BM14,'Flujo Ajustado'!BM13)*'Salarios e Ingresos Figuras'!$H$18/100*'Salarios e Ingresos Figuras'!$H$17</f>
        <v>1595434766.1083388</v>
      </c>
      <c r="BN6" s="125" cm="1">
        <f t="array" ref="BN6">INDEX('Produccion proyectada'!$D$42:$J$53,'Flujo Ajustado'!BN14,'Flujo Ajustado'!BN13)*'Salarios e Ingresos Figuras'!$H$18/100*'Salarios e Ingresos Figuras'!$H$17</f>
        <v>114233101.79749924</v>
      </c>
      <c r="BO6" s="125" cm="1">
        <f t="array" ref="BO6">INDEX('Produccion proyectada'!$D$42:$J$53,'Flujo Ajustado'!BO14,'Flujo Ajustado'!BO13)*'Salarios e Ingresos Figuras'!$H$18/100*'Salarios e Ingresos Figuras'!$H$17</f>
        <v>35255679.333411932</v>
      </c>
      <c r="BP6" s="125" cm="1">
        <f t="array" ref="BP6">INDEX('Produccion proyectada'!$D$42:$J$53,'Flujo Ajustado'!BP14,'Flujo Ajustado'!BP13)*'Salarios e Ingresos Figuras'!$H$18/100*'Salarios e Ingresos Figuras'!$H$17</f>
        <v>49357951.066776715</v>
      </c>
      <c r="BQ6" s="125" cm="1">
        <f t="array" ref="BQ6">INDEX('Produccion proyectada'!$D$42:$J$53,'Flujo Ajustado'!BQ14,'Flujo Ajustado'!BQ13)*'Salarios e Ingresos Figuras'!$H$18/100*'Salarios e Ingresos Figuras'!$H$17</f>
        <v>423068152.0009433</v>
      </c>
      <c r="BR6" s="125" cm="1">
        <f t="array" ref="BR6">INDEX('Produccion proyectada'!$D$42:$J$53,'Flujo Ajustado'!BR14,'Flujo Ajustado'!BR13)*'Salarios e Ingresos Figuras'!$H$18/100*'Salarios e Ingresos Figuras'!$H$17</f>
        <v>167821734.38428539</v>
      </c>
      <c r="BS6" s="125" cm="1">
        <f t="array" ref="BS6">INDEX('Produccion proyectada'!$D$42:$J$53,'Flujo Ajustado'!BS14,'Flujo Ajustado'!BS13)*'Salarios e Ingresos Figuras'!$H$18/100*'Salarios e Ingresos Figuras'!$H$17</f>
        <v>21153407.600047164</v>
      </c>
      <c r="BT6" s="125" cm="1">
        <f t="array" ref="BT6">INDEX('Produccion proyectada'!$D$42:$J$53,'Flujo Ajustado'!BT14,'Flujo Ajustado'!BT13)*'Salarios e Ingresos Figuras'!$H$18/100*'Salarios e Ingresos Figuras'!$H$17</f>
        <v>42306815.200094327</v>
      </c>
      <c r="BU6" s="125" cm="1">
        <f t="array" ref="BU6">INDEX('Produccion proyectada'!$D$42:$J$53,'Flujo Ajustado'!BU14,'Flujo Ajustado'!BU13)*'Salarios e Ingresos Figuras'!$H$18/100*'Salarios e Ingresos Figuras'!$H$17</f>
        <v>63460222.800141491</v>
      </c>
      <c r="BV6" s="125" cm="1">
        <f t="array" ref="BV6">INDEX('Produccion proyectada'!$D$42:$J$53,'Flujo Ajustado'!BV14,'Flujo Ajustado'!BV13)*'Salarios e Ingresos Figuras'!$H$18/100*'Salarios e Ingresos Figuras'!$H$17</f>
        <v>225636347.73383641</v>
      </c>
      <c r="BW6" s="125" cm="1">
        <f t="array" ref="BW6">INDEX('Produccion proyectada'!$D$42:$J$53,'Flujo Ajustado'!BW14,'Flujo Ajustado'!BW13)*'Salarios e Ingresos Figuras'!$H$18/100*'Salarios e Ingresos Figuras'!$H$17</f>
        <v>56409086.933459103</v>
      </c>
      <c r="BX6" s="125" cm="1">
        <f t="array" ref="BX6">INDEX('Produccion proyectada'!$D$42:$J$53,'Flujo Ajustado'!BX14,'Flujo Ajustado'!BX13)*'Salarios e Ingresos Figuras'!$H$18/100*'Salarios e Ingresos Figuras'!$H$17</f>
        <v>112818173.86691821</v>
      </c>
      <c r="BY6" s="125" cm="1">
        <f t="array" ref="BY6">INDEX('Produccion proyectada'!$D$42:$J$53,'Flujo Ajustado'!BY14,'Flujo Ajustado'!BY13)*'Salarios e Ingresos Figuras'!$H$18/100*'Salarios e Ingresos Figuras'!$H$17</f>
        <v>1508943075.470031</v>
      </c>
      <c r="BZ6" s="125" cm="1">
        <f t="array" ref="BZ6">INDEX('Produccion proyectada'!$D$42:$J$53,'Flujo Ajustado'!BZ14,'Flujo Ajustado'!BZ13)*'Salarios e Ingresos Figuras'!$H$18/100*'Salarios e Ingresos Figuras'!$H$17</f>
        <v>107685330.53830445</v>
      </c>
      <c r="CA6" s="125" cm="1">
        <f t="array" ref="CA6">INDEX('Produccion proyectada'!$D$42:$J$53,'Flujo Ajustado'!CA14,'Flujo Ajustado'!CA13)*'Salarios e Ingresos Figuras'!$H$18/100*'Salarios e Ingresos Figuras'!$H$17</f>
        <v>33234845.439993527</v>
      </c>
      <c r="CB6" s="125" cm="1">
        <f t="array" ref="CB6">INDEX('Produccion proyectada'!$D$42:$J$53,'Flujo Ajustado'!CB14,'Flujo Ajustado'!CB13)*'Salarios e Ingresos Figuras'!$H$18/100*'Salarios e Ingresos Figuras'!$H$17</f>
        <v>46528783.615990937</v>
      </c>
      <c r="CC6" s="125" cm="1">
        <f t="array" ref="CC6">INDEX('Produccion proyectada'!$D$42:$J$53,'Flujo Ajustado'!CC14,'Flujo Ajustado'!CC13)*'Salarios e Ingresos Figuras'!$H$18/100*'Salarios e Ingresos Figuras'!$H$17</f>
        <v>398818145.27992231</v>
      </c>
      <c r="CD6" s="125" cm="1">
        <f t="array" ref="CD6">INDEX('Produccion proyectada'!$D$42:$J$53,'Flujo Ajustado'!CD14,'Flujo Ajustado'!CD13)*'Salarios e Ingresos Figuras'!$H$18/100*'Salarios e Ingresos Figuras'!$H$17</f>
        <v>158202295.60709462</v>
      </c>
      <c r="CE6" s="125" cm="1">
        <f t="array" ref="CE6">INDEX('Produccion proyectada'!$D$42:$J$53,'Flujo Ajustado'!CE14,'Flujo Ajustado'!CE13)*'Salarios e Ingresos Figuras'!$H$18/100*'Salarios e Ingresos Figuras'!$H$17</f>
        <v>19940907.263996117</v>
      </c>
      <c r="CF6" s="125" cm="1">
        <f t="array" ref="CF6">INDEX('Produccion proyectada'!$D$42:$J$53,'Flujo Ajustado'!CF14,'Flujo Ajustado'!CF13)*'Salarios e Ingresos Figuras'!$H$18/100*'Salarios e Ingresos Figuras'!$H$17</f>
        <v>39881814.527992234</v>
      </c>
      <c r="CG6" s="125" cm="1">
        <f t="array" ref="CG6">INDEX('Produccion proyectada'!$D$42:$J$53,'Flujo Ajustado'!CG14,'Flujo Ajustado'!CG13)*'Salarios e Ingresos Figuras'!$H$18/100*'Salarios e Ingresos Figuras'!$H$17</f>
        <v>59822721.79198835</v>
      </c>
      <c r="CH6" s="125" cm="1">
        <f t="array" ref="CH6">INDEX('Produccion proyectada'!$D$42:$J$53,'Flujo Ajustado'!CH14,'Flujo Ajustado'!CH13)*'Salarios e Ingresos Figuras'!$H$18/100*'Salarios e Ingresos Figuras'!$H$17</f>
        <v>212703010.81595856</v>
      </c>
      <c r="CI6" s="125" cm="1">
        <f t="array" ref="CI6">INDEX('Produccion proyectada'!$D$42:$J$53,'Flujo Ajustado'!CI14,'Flujo Ajustado'!CI13)*'Salarios e Ingresos Figuras'!$H$18/100*'Salarios e Ingresos Figuras'!$H$17</f>
        <v>53175752.70398964</v>
      </c>
      <c r="CJ6" s="125" cm="1">
        <f t="array" ref="CJ6">INDEX('Produccion proyectada'!$D$42:$J$53,'Flujo Ajustado'!CJ14,'Flujo Ajustado'!CJ13)*'Salarios e Ingresos Figuras'!$H$18/100*'Salarios e Ingresos Figuras'!$H$17</f>
        <v>106351505.40797928</v>
      </c>
      <c r="CK6" s="125" cm="1">
        <f t="array" ref="CK6">INDEX('Produccion proyectada'!$D$42:$J$53,'Flujo Ajustado'!CK14,'Flujo Ajustado'!CK13)*'Salarios e Ingresos Figuras'!$H$18/100*'Salarios e Ingresos Figuras'!$H$17</f>
        <v>1422451384.831723</v>
      </c>
      <c r="CL6" s="125" cm="1">
        <f t="array" ref="CL6">INDEX('Produccion proyectada'!$D$42:$J$53,'Flujo Ajustado'!CL14,'Flujo Ajustado'!CL13)*'Salarios e Ingresos Figuras'!$H$18/100*'Salarios e Ingresos Figuras'!$H$17</f>
        <v>101137896.40430728</v>
      </c>
      <c r="CM6" s="125" cm="1">
        <f t="array" ref="CM6">INDEX('Produccion proyectada'!$D$42:$J$53,'Flujo Ajustado'!CM14,'Flujo Ajustado'!CM13)*'Salarios e Ingresos Figuras'!$H$18/100*'Salarios e Ingresos Figuras'!$H$17</f>
        <v>31214115.593280267</v>
      </c>
      <c r="CN6" s="125" cm="1">
        <f t="array" ref="CN6">INDEX('Produccion proyectada'!$D$42:$J$53,'Flujo Ajustado'!CN14,'Flujo Ajustado'!CN13)*'Salarios e Ingresos Figuras'!$H$18/100*'Salarios e Ingresos Figuras'!$H$17</f>
        <v>43699761.830592379</v>
      </c>
      <c r="CO6" s="125" cm="1">
        <f t="array" ref="CO6">INDEX('Produccion proyectada'!$D$42:$J$53,'Flujo Ajustado'!CO14,'Flujo Ajustado'!CO13)*'Salarios e Ingresos Figuras'!$H$18/100*'Salarios e Ingresos Figuras'!$H$17</f>
        <v>374569387.11936325</v>
      </c>
      <c r="CP6" s="125" cm="1">
        <f t="array" ref="CP6">INDEX('Produccion proyectada'!$D$42:$J$53,'Flujo Ajustado'!CP14,'Flujo Ajustado'!CP13)*'Salarios e Ingresos Figuras'!$H$18/100*'Salarios e Ingresos Figuras'!$H$17</f>
        <v>148583352.10609326</v>
      </c>
      <c r="CQ6" s="125" cm="1">
        <f t="array" ref="CQ6">INDEX('Produccion proyectada'!$D$42:$J$53,'Flujo Ajustado'!CQ14,'Flujo Ajustado'!CQ13)*'Salarios e Ingresos Figuras'!$H$18/100*'Salarios e Ingresos Figuras'!$H$17</f>
        <v>18728469.355968162</v>
      </c>
      <c r="CR6" s="125" cm="1">
        <f t="array" ref="CR6">INDEX('Produccion proyectada'!$D$42:$J$53,'Flujo Ajustado'!CR14,'Flujo Ajustado'!CR13)*'Salarios e Ingresos Figuras'!$H$18/100*'Salarios e Ingresos Figuras'!$H$17</f>
        <v>37456938.711936325</v>
      </c>
      <c r="CS6" s="125" cm="1">
        <f t="array" ref="CS6">INDEX('Produccion proyectada'!$D$42:$J$53,'Flujo Ajustado'!CS14,'Flujo Ajustado'!CS13)*'Salarios e Ingresos Figuras'!$H$18/100*'Salarios e Ingresos Figuras'!$H$17</f>
        <v>56185408.06790448</v>
      </c>
      <c r="CT6" s="125" cm="1">
        <f t="array" ref="CT6">INDEX('Produccion proyectada'!$D$42:$J$53,'Flujo Ajustado'!CT14,'Flujo Ajustado'!CT13)*'Salarios e Ingresos Figuras'!$H$18/100*'Salarios e Ingresos Figuras'!$H$17</f>
        <v>199770339.7969937</v>
      </c>
      <c r="CU6" s="125" cm="1">
        <f t="array" ref="CU6">INDEX('Produccion proyectada'!$D$42:$J$53,'Flujo Ajustado'!CU14,'Flujo Ajustado'!CU13)*'Salarios e Ingresos Figuras'!$H$18/100*'Salarios e Ingresos Figuras'!$H$17</f>
        <v>49942584.949248426</v>
      </c>
      <c r="CV6" s="125" cm="1">
        <f t="array" ref="CV6">INDEX('Produccion proyectada'!$D$42:$J$53,'Flujo Ajustado'!CV14,'Flujo Ajustado'!CV13)*'Salarios e Ingresos Figuras'!$H$18/100*'Salarios e Ingresos Figuras'!$H$17</f>
        <v>99885169.898496851</v>
      </c>
      <c r="CW6" s="125" cm="1">
        <f t="array" ref="CW6">INDEX('Produccion proyectada'!$D$42:$J$53,'Flujo Ajustado'!CW14,'Flujo Ajustado'!CW13)*'Salarios e Ingresos Figuras'!$H$18/100*'Salarios e Ingresos Figuras'!$H$17</f>
        <v>1335964147.3923955</v>
      </c>
      <c r="CX6" s="125">
        <f>CL6</f>
        <v>101137896.40430728</v>
      </c>
    </row>
    <row r="7" spans="1:102" x14ac:dyDescent="0.3">
      <c r="A7" t="s">
        <v>387</v>
      </c>
      <c r="B7" s="100">
        <f>'Calculo Activos'!E5/12</f>
        <v>356663865.59999996</v>
      </c>
      <c r="C7" s="100"/>
      <c r="D7" s="100" t="str">
        <f>A7</f>
        <v>Piezas Polipropileno</v>
      </c>
      <c r="E7" s="4"/>
      <c r="F7" s="125" cm="1">
        <f t="array" ref="F7">INDEX('Produccion proyectada'!$C$42:$C$53,'Flujo Ajustado'!F14,'Flujo Ajustado'!F13)*'Salarios e Ingresos Figuras'!$F$3*'Salarios e Ingresos Figuras'!$H$15*'Salarios e Ingresos Figuras'!$H$16</f>
        <v>182469233.6409601</v>
      </c>
      <c r="G7" s="125" cm="1">
        <f t="array" ref="G7">INDEX('Produccion proyectada'!$C$42:$C$53,'Flujo Ajustado'!G14,'Flujo Ajustado'!G13)*'Salarios e Ingresos Figuras'!$F$3*'Salarios e Ingresos Figuras'!$H$15*'Salarios e Ingresos Figuras'!$H$16</f>
        <v>56315347.199999996</v>
      </c>
      <c r="H7" s="125" cm="1">
        <f t="array" ref="H7">INDEX('Produccion proyectada'!$C$42:$C$53,'Flujo Ajustado'!H14,'Flujo Ajustado'!H13)*'Salarios e Ingresos Figuras'!$F$3*'Salarios e Ingresos Figuras'!$H$15*'Salarios e Ingresos Figuras'!$H$16</f>
        <v>78841486.079999983</v>
      </c>
      <c r="I7" s="125" cm="1">
        <f t="array" ref="I7">INDEX('Produccion proyectada'!$C$42:$C$53,'Flujo Ajustado'!I14,'Flujo Ajustado'!I13)*'Salarios e Ingresos Figuras'!$F$3*'Salarios e Ingresos Figuras'!$H$15*'Salarios e Ingresos Figuras'!$H$16</f>
        <v>675784166.39999998</v>
      </c>
      <c r="J7" s="125" cm="1">
        <f t="array" ref="J7">INDEX('Produccion proyectada'!$C$42:$C$53,'Flujo Ajustado'!J14,'Flujo Ajustado'!J13)*'Salarios e Ingresos Figuras'!$F$3*'Salarios e Ingresos Figuras'!$H$15*'Salarios e Ingresos Figuras'!$H$16</f>
        <v>268068561.38496009</v>
      </c>
      <c r="K7" s="125" cm="1">
        <f t="array" ref="K7">INDEX('Produccion proyectada'!$C$42:$C$53,'Flujo Ajustado'!K14,'Flujo Ajustado'!K13)*'Salarios e Ingresos Figuras'!$F$3*'Salarios e Ingresos Figuras'!$H$15*'Salarios e Ingresos Figuras'!$H$16</f>
        <v>33789208.319999993</v>
      </c>
      <c r="L7" s="125" cm="1">
        <f t="array" ref="L7">INDEX('Produccion proyectada'!$C$42:$C$53,'Flujo Ajustado'!L14,'Flujo Ajustado'!L13)*'Salarios e Ingresos Figuras'!$F$3*'Salarios e Ingresos Figuras'!$H$15*'Salarios e Ingresos Figuras'!$H$16</f>
        <v>67578416.639999986</v>
      </c>
      <c r="M7" s="125" cm="1">
        <f t="array" ref="M7">INDEX('Produccion proyectada'!$C$42:$C$53,'Flujo Ajustado'!M14,'Flujo Ajustado'!M13)*'Salarios e Ingresos Figuras'!$F$3*'Salarios e Ingresos Figuras'!$H$15*'Salarios e Ingresos Figuras'!$H$16</f>
        <v>101367624.95999999</v>
      </c>
      <c r="N7" s="125" cm="1">
        <f t="array" ref="N7">INDEX('Produccion proyectada'!$C$42:$C$53,'Flujo Ajustado'!N14,'Flujo Ajustado'!N13)*'Salarios e Ingresos Figuras'!$F$3*'Salarios e Ingresos Figuras'!$H$15*'Salarios e Ingresos Figuras'!$H$16</f>
        <v>360418222.08000004</v>
      </c>
      <c r="O7" s="125" cm="1">
        <f t="array" ref="O7">INDEX('Produccion proyectada'!$C$42:$C$53,'Flujo Ajustado'!O14,'Flujo Ajustado'!O13)*'Salarios e Ingresos Figuras'!$F$3*'Salarios e Ingresos Figuras'!$H$15*'Salarios e Ingresos Figuras'!$H$16</f>
        <v>90104555.520000011</v>
      </c>
      <c r="P7" s="125" cm="1">
        <f t="array" ref="P7">INDEX('Produccion proyectada'!$C$42:$C$53,'Flujo Ajustado'!P14,'Flujo Ajustado'!P13)*'Salarios e Ingresos Figuras'!$F$3*'Salarios e Ingresos Figuras'!$H$15*'Salarios e Ingresos Figuras'!$H$16</f>
        <v>180209111.04000002</v>
      </c>
      <c r="Q7" s="125" cm="1">
        <f t="array" ref="Q7">INDEX('Produccion proyectada'!$C$42:$C$53,'Flujo Ajustado'!Q14,'Flujo Ajustado'!Q13)*'Salarios e Ingresos Figuras'!$F$3*'Salarios e Ingresos Figuras'!$H$15*'Salarios e Ingresos Figuras'!$H$16</f>
        <v>2410296860.1599994</v>
      </c>
      <c r="R7" s="125" cm="1">
        <f t="array" ref="R7">INDEX('Produccion proyectada'!$D$42:$J$53,'Flujo Ajustado'!R14,'Flujo Ajustado'!R13)*'Salarios e Ingresos Figuras'!$F$3*'Salarios e Ingresos Figuras'!$H$15*'Salarios e Ingresos Figuras'!$H$16</f>
        <v>174339436.43849322</v>
      </c>
      <c r="S7" s="125" cm="1">
        <f t="array" ref="S7">INDEX('Produccion proyectada'!$D$42:$J$53,'Flujo Ajustado'!S14,'Flujo Ajustado'!S13)*'Salarios e Ingresos Figuras'!$F$3*'Salarios e Ingresos Figuras'!$H$15*'Salarios e Ingresos Figuras'!$H$16</f>
        <v>53806253.78744489</v>
      </c>
      <c r="T7" s="125" cm="1">
        <f t="array" ref="T7">INDEX('Produccion proyectada'!$D$42:$J$53,'Flujo Ajustado'!T14,'Flujo Ajustado'!T13)*'Salarios e Ingresos Figuras'!$F$3*'Salarios e Ingresos Figuras'!$H$15*'Salarios e Ingresos Figuras'!$H$16</f>
        <v>75328755.302422836</v>
      </c>
      <c r="U7" s="125" cm="1">
        <f t="array" ref="U7">INDEX('Produccion proyectada'!$D$42:$J$53,'Flujo Ajustado'!U14,'Flujo Ajustado'!U13)*'Salarios e Ingresos Figuras'!$F$3*'Salarios e Ingresos Figuras'!$H$15*'Salarios e Ingresos Figuras'!$H$16</f>
        <v>645675045.44933856</v>
      </c>
      <c r="V7" s="125" cm="1">
        <f t="array" ref="V7">INDEX('Produccion proyectada'!$D$42:$J$53,'Flujo Ajustado'!V14,'Flujo Ajustado'!V13)*'Salarios e Ingresos Figuras'!$F$3*'Salarios e Ingresos Figuras'!$H$15*'Salarios e Ingresos Figuras'!$H$16</f>
        <v>256124942.19540945</v>
      </c>
      <c r="W7" s="125" cm="1">
        <f t="array" ref="W7">INDEX('Produccion proyectada'!$D$42:$J$53,'Flujo Ajustado'!W14,'Flujo Ajustado'!W13)*'Salarios e Ingresos Figuras'!$F$3*'Salarios e Ingresos Figuras'!$H$15*'Salarios e Ingresos Figuras'!$H$16</f>
        <v>32283752.272466935</v>
      </c>
      <c r="X7" s="125" cm="1">
        <f t="array" ref="X7">INDEX('Produccion proyectada'!$D$42:$J$53,'Flujo Ajustado'!X14,'Flujo Ajustado'!X13)*'Salarios e Ingresos Figuras'!$F$3*'Salarios e Ingresos Figuras'!$H$15*'Salarios e Ingresos Figuras'!$H$16</f>
        <v>64567504.54493387</v>
      </c>
      <c r="Y7" s="125" cm="1">
        <f t="array" ref="Y7">INDEX('Produccion proyectada'!$D$42:$J$53,'Flujo Ajustado'!Y14,'Flujo Ajustado'!Y13)*'Salarios e Ingresos Figuras'!$F$3*'Salarios e Ingresos Figuras'!$H$15*'Salarios e Ingresos Figuras'!$H$16</f>
        <v>96851256.817400798</v>
      </c>
      <c r="Z7" s="125" cm="1">
        <f t="array" ref="Z7">INDEX('Produccion proyectada'!$D$42:$J$53,'Flujo Ajustado'!Z14,'Flujo Ajustado'!Z13)*'Salarios e Ingresos Figuras'!$F$3*'Salarios e Ingresos Figuras'!$H$15*'Salarios e Ingresos Figuras'!$H$16</f>
        <v>344360024.23964721</v>
      </c>
      <c r="AA7" s="125" cm="1">
        <f t="array" ref="AA7">INDEX('Produccion proyectada'!$D$42:$J$53,'Flujo Ajustado'!AA14,'Flujo Ajustado'!AA13)*'Salarios e Ingresos Figuras'!$F$3*'Salarios e Ingresos Figuras'!$H$15*'Salarios e Ingresos Figuras'!$H$16</f>
        <v>86090006.059911802</v>
      </c>
      <c r="AB7" s="125" cm="1">
        <f t="array" ref="AB7">INDEX('Produccion proyectada'!$D$42:$J$53,'Flujo Ajustado'!AB14,'Flujo Ajustado'!AB13)*'Salarios e Ingresos Figuras'!$F$3*'Salarios e Ingresos Figuras'!$H$15*'Salarios e Ingresos Figuras'!$H$16</f>
        <v>172180012.1198236</v>
      </c>
      <c r="AC7" s="125" cm="1">
        <f t="array" ref="AC7">INDEX('Produccion proyectada'!$D$42:$J$53,'Flujo Ajustado'!AC14,'Flujo Ajustado'!AC13)*'Salarios e Ingresos Figuras'!$F$3*'Salarios e Ingresos Figuras'!$H$15*'Salarios e Ingresos Figuras'!$H$16</f>
        <v>2302907662.1026416</v>
      </c>
      <c r="AD7" s="125" cm="1">
        <f t="array" ref="AD7">INDEX('Produccion proyectada'!$D$42:$J$53,'Flujo Ajustado'!AD14,'Flujo Ajustado'!AD13)*'Salarios e Ingresos Figuras'!$F$3*'Salarios e Ingresos Figuras'!$H$15*'Salarios e Ingresos Figuras'!$H$16</f>
        <v>166210247.46477774</v>
      </c>
      <c r="AE7" s="125" cm="1">
        <f t="array" ref="AE7">INDEX('Produccion proyectada'!$D$42:$J$53,'Flujo Ajustado'!AE14,'Flujo Ajustado'!AE13)*'Salarios e Ingresos Figuras'!$F$3*'Salarios e Ingresos Figuras'!$H$15*'Salarios e Ingresos Figuras'!$H$16</f>
        <v>51297348.092088066</v>
      </c>
      <c r="AF7" s="125" cm="1">
        <f t="array" ref="AF7">INDEX('Produccion proyectada'!$D$42:$J$53,'Flujo Ajustado'!AF14,'Flujo Ajustado'!AF13)*'Salarios e Ingresos Figuras'!$F$3*'Salarios e Ingresos Figuras'!$H$15*'Salarios e Ingresos Figuras'!$H$16</f>
        <v>71816287.328923285</v>
      </c>
      <c r="AG7" s="125" cm="1">
        <f t="array" ref="AG7">INDEX('Produccion proyectada'!$D$42:$J$53,'Flujo Ajustado'!AG14,'Flujo Ajustado'!AG13)*'Salarios e Ingresos Figuras'!$F$3*'Salarios e Ingresos Figuras'!$H$15*'Salarios e Ingresos Figuras'!$H$16</f>
        <v>615568177.10505664</v>
      </c>
      <c r="AH7" s="125" cm="1">
        <f t="array" ref="AH7">INDEX('Produccion proyectada'!$D$42:$J$53,'Flujo Ajustado'!AH14,'Flujo Ajustado'!AH13)*'Salarios e Ingresos Figuras'!$F$3*'Salarios e Ingresos Figuras'!$H$15*'Salarios e Ingresos Figuras'!$H$16</f>
        <v>244182216.56475157</v>
      </c>
      <c r="AI7" s="125" cm="1">
        <f t="array" ref="AI7">INDEX('Produccion proyectada'!$D$42:$J$53,'Flujo Ajustado'!AI14,'Flujo Ajustado'!AI13)*'Salarios e Ingresos Figuras'!$F$3*'Salarios e Ingresos Figuras'!$H$15*'Salarios e Ingresos Figuras'!$H$16</f>
        <v>30778408.85525284</v>
      </c>
      <c r="AJ7" s="125" cm="1">
        <f t="array" ref="AJ7">INDEX('Produccion proyectada'!$D$42:$J$53,'Flujo Ajustado'!AJ14,'Flujo Ajustado'!AJ13)*'Salarios e Ingresos Figuras'!$F$3*'Salarios e Ingresos Figuras'!$H$15*'Salarios e Ingresos Figuras'!$H$16</f>
        <v>61556817.710505679</v>
      </c>
      <c r="AK7" s="125" cm="1">
        <f t="array" ref="AK7">INDEX('Produccion proyectada'!$D$42:$J$53,'Flujo Ajustado'!AK14,'Flujo Ajustado'!AK13)*'Salarios e Ingresos Figuras'!$F$3*'Salarios e Ingresos Figuras'!$H$15*'Salarios e Ingresos Figuras'!$H$16</f>
        <v>92335226.565758511</v>
      </c>
      <c r="AL7" s="125" cm="1">
        <f t="array" ref="AL7">INDEX('Produccion proyectada'!$D$42:$J$53,'Flujo Ajustado'!AL14,'Flujo Ajustado'!AL13)*'Salarios e Ingresos Figuras'!$F$3*'Salarios e Ingresos Figuras'!$H$15*'Salarios e Ingresos Figuras'!$H$16</f>
        <v>328303027.78936356</v>
      </c>
      <c r="AM7" s="125" cm="1">
        <f t="array" ref="AM7">INDEX('Produccion proyectada'!$D$42:$J$53,'Flujo Ajustado'!AM14,'Flujo Ajustado'!AM13)*'Salarios e Ingresos Figuras'!$F$3*'Salarios e Ingresos Figuras'!$H$15*'Salarios e Ingresos Figuras'!$H$16</f>
        <v>82075756.947340891</v>
      </c>
      <c r="AN7" s="125" cm="1">
        <f t="array" ref="AN7">INDEX('Produccion proyectada'!$D$42:$J$53,'Flujo Ajustado'!AN14,'Flujo Ajustado'!AN13)*'Salarios e Ingresos Figuras'!$F$3*'Salarios e Ingresos Figuras'!$H$15*'Salarios e Ingresos Figuras'!$H$16</f>
        <v>164151513.89468178</v>
      </c>
      <c r="AO7" s="125" cm="1">
        <f t="array" ref="AO7">INDEX('Produccion proyectada'!$D$42:$J$53,'Flujo Ajustado'!AO14,'Flujo Ajustado'!AO13)*'Salarios e Ingresos Figuras'!$F$3*'Salarios e Ingresos Figuras'!$H$15*'Salarios e Ingresos Figuras'!$H$16</f>
        <v>2195526498.3413687</v>
      </c>
      <c r="AP7" s="125" cm="1">
        <f t="array" ref="AP7">INDEX('Produccion proyectada'!$D$42:$J$53,'Flujo Ajustado'!AP14,'Flujo Ajustado'!AP13)*'Salarios e Ingresos Figuras'!$F$3*'Salarios e Ingresos Figuras'!$H$15*'Salarios e Ingresos Figuras'!$H$16</f>
        <v>158081058.49106219</v>
      </c>
      <c r="AQ7" s="125" cm="1">
        <f t="array" ref="AQ7">INDEX('Produccion proyectada'!$D$42:$J$53,'Flujo Ajustado'!AQ14,'Flujo Ajustado'!AQ13)*'Salarios e Ingresos Figuras'!$F$3*'Salarios e Ingresos Figuras'!$H$15*'Salarios e Ingresos Figuras'!$H$16</f>
        <v>48788442.396731228</v>
      </c>
      <c r="AR7" s="125" cm="1">
        <f t="array" ref="AR7">INDEX('Produccion proyectada'!$D$42:$J$53,'Flujo Ajustado'!AR14,'Flujo Ajustado'!AR13)*'Salarios e Ingresos Figuras'!$F$3*'Salarios e Ingresos Figuras'!$H$15*'Salarios e Ingresos Figuras'!$H$16</f>
        <v>68303819.355423734</v>
      </c>
      <c r="AS7" s="125" cm="1">
        <f t="array" ref="AS7">INDEX('Produccion proyectada'!$D$42:$J$53,'Flujo Ajustado'!AS14,'Flujo Ajustado'!AS13)*'Salarios e Ingresos Figuras'!$F$3*'Salarios e Ingresos Figuras'!$H$15*'Salarios e Ingresos Figuras'!$H$16</f>
        <v>585461308.76077485</v>
      </c>
      <c r="AT7" s="125" cm="1">
        <f t="array" ref="AT7">INDEX('Produccion proyectada'!$D$42:$J$53,'Flujo Ajustado'!AT14,'Flujo Ajustado'!AT13)*'Salarios e Ingresos Figuras'!$F$3*'Salarios e Ingresos Figuras'!$H$15*'Salarios e Ingresos Figuras'!$H$16</f>
        <v>232239490.93409371</v>
      </c>
      <c r="AU7" s="125" cm="1">
        <f t="array" ref="AU7">INDEX('Produccion proyectada'!$D$42:$J$53,'Flujo Ajustado'!AU14,'Flujo Ajustado'!AU13)*'Salarios e Ingresos Figuras'!$F$3*'Salarios e Ingresos Figuras'!$H$15*'Salarios e Ingresos Figuras'!$H$16</f>
        <v>29273065.43803874</v>
      </c>
      <c r="AV7" s="125" cm="1">
        <f t="array" ref="AV7">INDEX('Produccion proyectada'!$D$42:$J$53,'Flujo Ajustado'!AV14,'Flujo Ajustado'!AV13)*'Salarios e Ingresos Figuras'!$F$3*'Salarios e Ingresos Figuras'!$H$15*'Salarios e Ingresos Figuras'!$H$16</f>
        <v>58546130.876077481</v>
      </c>
      <c r="AW7" s="125" cm="1">
        <f t="array" ref="AW7">INDEX('Produccion proyectada'!$D$42:$J$53,'Flujo Ajustado'!AW14,'Flujo Ajustado'!AW13)*'Salarios e Ingresos Figuras'!$F$3*'Salarios e Ingresos Figuras'!$H$15*'Salarios e Ingresos Figuras'!$H$16</f>
        <v>87819196.31411621</v>
      </c>
      <c r="AX7" s="125" cm="1">
        <f t="array" ref="AX7">INDEX('Produccion proyectada'!$D$42:$J$53,'Flujo Ajustado'!AX14,'Flujo Ajustado'!AX13)*'Salarios e Ingresos Figuras'!$F$3*'Salarios e Ingresos Figuras'!$H$15*'Salarios e Ingresos Figuras'!$H$16</f>
        <v>312246031.33907992</v>
      </c>
      <c r="AY7" s="125" cm="1">
        <f t="array" ref="AY7">INDEX('Produccion proyectada'!$D$42:$J$53,'Flujo Ajustado'!AY14,'Flujo Ajustado'!AY13)*'Salarios e Ingresos Figuras'!$F$3*'Salarios e Ingresos Figuras'!$H$15*'Salarios e Ingresos Figuras'!$H$16</f>
        <v>78061507.834769979</v>
      </c>
      <c r="AZ7" s="125" cm="1">
        <f t="array" ref="AZ7">INDEX('Produccion proyectada'!$D$42:$J$53,'Flujo Ajustado'!AZ14,'Flujo Ajustado'!AZ13)*'Salarios e Ingresos Figuras'!$F$3*'Salarios e Ingresos Figuras'!$H$15*'Salarios e Ingresos Figuras'!$H$16</f>
        <v>156123015.66953996</v>
      </c>
      <c r="BA7" s="125" cm="1">
        <f t="array" ref="BA7">INDEX('Produccion proyectada'!$D$42:$J$53,'Flujo Ajustado'!BA14,'Flujo Ajustado'!BA13)*'Salarios e Ingresos Figuras'!$F$3*'Salarios e Ingresos Figuras'!$H$15*'Salarios e Ingresos Figuras'!$H$16</f>
        <v>2088145334.5800967</v>
      </c>
      <c r="BB7" s="125" cm="1">
        <f t="array" ref="BB7">INDEX('Produccion proyectada'!$D$42:$J$53,'Flujo Ajustado'!BB14,'Flujo Ajustado'!BB13)*'Salarios e Ingresos Figuras'!$F$3*'Salarios e Ingresos Figuras'!$H$15*'Salarios e Ingresos Figuras'!$H$16</f>
        <v>149951869.51734674</v>
      </c>
      <c r="BC7" s="125" cm="1">
        <f t="array" ref="BC7">INDEX('Produccion proyectada'!$D$42:$J$53,'Flujo Ajustado'!BC14,'Flujo Ajustado'!BC13)*'Salarios e Ingresos Figuras'!$F$3*'Salarios e Ingresos Figuras'!$H$15*'Salarios e Ingresos Figuras'!$H$16</f>
        <v>46279536.701374404</v>
      </c>
      <c r="BD7" s="125" cm="1">
        <f t="array" ref="BD7">INDEX('Produccion proyectada'!$D$42:$J$53,'Flujo Ajustado'!BD14,'Flujo Ajustado'!BD13)*'Salarios e Ingresos Figuras'!$F$3*'Salarios e Ingresos Figuras'!$H$15*'Salarios e Ingresos Figuras'!$H$16</f>
        <v>64791351.381924152</v>
      </c>
      <c r="BE7" s="125" cm="1">
        <f t="array" ref="BE7">INDEX('Produccion proyectada'!$D$42:$J$53,'Flujo Ajustado'!BE14,'Flujo Ajustado'!BE13)*'Salarios e Ingresos Figuras'!$F$3*'Salarios e Ingresos Figuras'!$H$15*'Salarios e Ingresos Figuras'!$H$16</f>
        <v>555354440.41649282</v>
      </c>
      <c r="BF7" s="125" cm="1">
        <f t="array" ref="BF7">INDEX('Produccion proyectada'!$D$42:$J$53,'Flujo Ajustado'!BF14,'Flujo Ajustado'!BF13)*'Salarios e Ingresos Figuras'!$F$3*'Salarios e Ingresos Figuras'!$H$15*'Salarios e Ingresos Figuras'!$H$16</f>
        <v>220296765.3034358</v>
      </c>
      <c r="BG7" s="125" cm="1">
        <f t="array" ref="BG7">INDEX('Produccion proyectada'!$D$42:$J$53,'Flujo Ajustado'!BG14,'Flujo Ajustado'!BG13)*'Salarios e Ingresos Figuras'!$F$3*'Salarios e Ingresos Figuras'!$H$15*'Salarios e Ingresos Figuras'!$H$16</f>
        <v>27767722.020824641</v>
      </c>
      <c r="BH7" s="125" cm="1">
        <f t="array" ref="BH7">INDEX('Produccion proyectada'!$D$42:$J$53,'Flujo Ajustado'!BH14,'Flujo Ajustado'!BH13)*'Salarios e Ingresos Figuras'!$F$3*'Salarios e Ingresos Figuras'!$H$15*'Salarios e Ingresos Figuras'!$H$16</f>
        <v>55535444.041649282</v>
      </c>
      <c r="BI7" s="125" cm="1">
        <f t="array" ref="BI7">INDEX('Produccion proyectada'!$D$42:$J$53,'Flujo Ajustado'!BI14,'Flujo Ajustado'!BI13)*'Salarios e Ingresos Figuras'!$F$3*'Salarios e Ingresos Figuras'!$H$15*'Salarios e Ingresos Figuras'!$H$16</f>
        <v>83303166.062473938</v>
      </c>
      <c r="BJ7" s="125" cm="1">
        <f t="array" ref="BJ7">INDEX('Produccion proyectada'!$D$42:$J$53,'Flujo Ajustado'!BJ14,'Flujo Ajustado'!BJ13)*'Salarios e Ingresos Figuras'!$F$3*'Salarios e Ingresos Figuras'!$H$15*'Salarios e Ingresos Figuras'!$H$16</f>
        <v>296189034.88879621</v>
      </c>
      <c r="BK7" s="125" cm="1">
        <f t="array" ref="BK7">INDEX('Produccion proyectada'!$D$42:$J$53,'Flujo Ajustado'!BK14,'Flujo Ajustado'!BK13)*'Salarios e Ingresos Figuras'!$F$3*'Salarios e Ingresos Figuras'!$H$15*'Salarios e Ingresos Figuras'!$H$16</f>
        <v>74047258.722199053</v>
      </c>
      <c r="BL7" s="125" cm="1">
        <f t="array" ref="BL7">INDEX('Produccion proyectada'!$D$42:$J$53,'Flujo Ajustado'!BL14,'Flujo Ajustado'!BL13)*'Salarios e Ingresos Figuras'!$F$3*'Salarios e Ingresos Figuras'!$H$15*'Salarios e Ingresos Figuras'!$H$16</f>
        <v>148094517.44439811</v>
      </c>
      <c r="BM7" s="125" cm="1">
        <f t="array" ref="BM7">INDEX('Produccion proyectada'!$D$42:$J$53,'Flujo Ajustado'!BM14,'Flujo Ajustado'!BM13)*'Salarios e Ingresos Figuras'!$F$3*'Salarios e Ingresos Figuras'!$H$15*'Salarios e Ingresos Figuras'!$H$16</f>
        <v>1980764170.8188248</v>
      </c>
      <c r="BN7" s="125" cm="1">
        <f t="array" ref="BN7">INDEX('Produccion proyectada'!$D$42:$J$53,'Flujo Ajustado'!BN14,'Flujo Ajustado'!BN13)*'Salarios e Ingresos Figuras'!$F$3*'Salarios e Ingresos Figuras'!$H$15*'Salarios e Ingresos Figuras'!$H$16</f>
        <v>141822680.54363123</v>
      </c>
      <c r="BO7" s="125" cm="1">
        <f t="array" ref="BO7">INDEX('Produccion proyectada'!$D$42:$J$53,'Flujo Ajustado'!BO14,'Flujo Ajustado'!BO13)*'Salarios e Ingresos Figuras'!$F$3*'Salarios e Ingresos Figuras'!$H$15*'Salarios e Ingresos Figuras'!$H$16</f>
        <v>43770631.006017581</v>
      </c>
      <c r="BP7" s="125" cm="1">
        <f t="array" ref="BP7">INDEX('Produccion proyectada'!$D$42:$J$53,'Flujo Ajustado'!BP14,'Flujo Ajustado'!BP13)*'Salarios e Ingresos Figuras'!$F$3*'Salarios e Ingresos Figuras'!$H$15*'Salarios e Ingresos Figuras'!$H$16</f>
        <v>61278883.408424623</v>
      </c>
      <c r="BQ7" s="125" cm="1">
        <f t="array" ref="BQ7">INDEX('Produccion proyectada'!$D$42:$J$53,'Flujo Ajustado'!BQ14,'Flujo Ajustado'!BQ13)*'Salarios e Ingresos Figuras'!$F$3*'Salarios e Ingresos Figuras'!$H$15*'Salarios e Ingresos Figuras'!$H$16</f>
        <v>525247572.07221103</v>
      </c>
      <c r="BR7" s="125" cm="1">
        <f t="array" ref="BR7">INDEX('Produccion proyectada'!$D$42:$J$53,'Flujo Ajustado'!BR14,'Flujo Ajustado'!BR13)*'Salarios e Ingresos Figuras'!$F$3*'Salarios e Ingresos Figuras'!$H$15*'Salarios e Ingresos Figuras'!$H$16</f>
        <v>208354039.67277795</v>
      </c>
      <c r="BS7" s="125" cm="1">
        <f t="array" ref="BS7">INDEX('Produccion proyectada'!$D$42:$J$53,'Flujo Ajustado'!BS14,'Flujo Ajustado'!BS13)*'Salarios e Ingresos Figuras'!$F$3*'Salarios e Ingresos Figuras'!$H$15*'Salarios e Ingresos Figuras'!$H$16</f>
        <v>26262378.603610553</v>
      </c>
      <c r="BT7" s="125" cm="1">
        <f t="array" ref="BT7">INDEX('Produccion proyectada'!$D$42:$J$53,'Flujo Ajustado'!BT14,'Flujo Ajustado'!BT13)*'Salarios e Ingresos Figuras'!$F$3*'Salarios e Ingresos Figuras'!$H$15*'Salarios e Ingresos Figuras'!$H$16</f>
        <v>52524757.207221106</v>
      </c>
      <c r="BU7" s="125" cm="1">
        <f t="array" ref="BU7">INDEX('Produccion proyectada'!$D$42:$J$53,'Flujo Ajustado'!BU14,'Flujo Ajustado'!BU13)*'Salarios e Ingresos Figuras'!$F$3*'Salarios e Ingresos Figuras'!$H$15*'Salarios e Ingresos Figuras'!$H$16</f>
        <v>78787135.810831651</v>
      </c>
      <c r="BV7" s="125" cm="1">
        <f t="array" ref="BV7">INDEX('Produccion proyectada'!$D$42:$J$53,'Flujo Ajustado'!BV14,'Flujo Ajustado'!BV13)*'Salarios e Ingresos Figuras'!$F$3*'Salarios e Ingresos Figuras'!$H$15*'Salarios e Ingresos Figuras'!$H$16</f>
        <v>280132038.43851256</v>
      </c>
      <c r="BW7" s="125" cm="1">
        <f t="array" ref="BW7">INDEX('Produccion proyectada'!$D$42:$J$53,'Flujo Ajustado'!BW14,'Flujo Ajustado'!BW13)*'Salarios e Ingresos Figuras'!$F$3*'Salarios e Ingresos Figuras'!$H$15*'Salarios e Ingresos Figuras'!$H$16</f>
        <v>70033009.609628141</v>
      </c>
      <c r="BX7" s="125" cm="1">
        <f t="array" ref="BX7">INDEX('Produccion proyectada'!$D$42:$J$53,'Flujo Ajustado'!BX14,'Flujo Ajustado'!BX13)*'Salarios e Ingresos Figuras'!$F$3*'Salarios e Ingresos Figuras'!$H$15*'Salarios e Ingresos Figuras'!$H$16</f>
        <v>140066019.21925628</v>
      </c>
      <c r="BY7" s="125" cm="1">
        <f t="array" ref="BY7">INDEX('Produccion proyectada'!$D$42:$J$53,'Flujo Ajustado'!BY14,'Flujo Ajustado'!BY13)*'Salarios e Ingresos Figuras'!$F$3*'Salarios e Ingresos Figuras'!$H$15*'Salarios e Ingresos Figuras'!$H$16</f>
        <v>1873383007.0575528</v>
      </c>
      <c r="BZ7" s="125" cm="1">
        <f t="array" ref="BZ7">INDEX('Produccion proyectada'!$D$42:$J$53,'Flujo Ajustado'!BZ14,'Flujo Ajustado'!BZ13)*'Salarios e Ingresos Figuras'!$F$3*'Salarios e Ingresos Figuras'!$H$15*'Salarios e Ingresos Figuras'!$H$16</f>
        <v>133693491.56991573</v>
      </c>
      <c r="CA7" s="125" cm="1">
        <f t="array" ref="CA7">INDEX('Produccion proyectada'!$D$42:$J$53,'Flujo Ajustado'!CA14,'Flujo Ajustado'!CA13)*'Salarios e Ingresos Figuras'!$F$3*'Salarios e Ingresos Figuras'!$H$15*'Salarios e Ingresos Figuras'!$H$16</f>
        <v>41261725.310660757</v>
      </c>
      <c r="CB7" s="125" cm="1">
        <f t="array" ref="CB7">INDEX('Produccion proyectada'!$D$42:$J$53,'Flujo Ajustado'!CB14,'Flujo Ajustado'!CB13)*'Salarios e Ingresos Figuras'!$F$3*'Salarios e Ingresos Figuras'!$H$15*'Salarios e Ingresos Figuras'!$H$16</f>
        <v>57766415.434925072</v>
      </c>
      <c r="CC7" s="125" cm="1">
        <f t="array" ref="CC7">INDEX('Produccion proyectada'!$D$42:$J$53,'Flujo Ajustado'!CC14,'Flujo Ajustado'!CC13)*'Salarios e Ingresos Figuras'!$F$3*'Salarios e Ingresos Figuras'!$H$15*'Salarios e Ingresos Figuras'!$H$16</f>
        <v>495140703.72792912</v>
      </c>
      <c r="CD7" s="125" cm="1">
        <f t="array" ref="CD7">INDEX('Produccion proyectada'!$D$42:$J$53,'Flujo Ajustado'!CD14,'Flujo Ajustado'!CD13)*'Salarios e Ingresos Figuras'!$F$3*'Salarios e Ingresos Figuras'!$H$15*'Salarios e Ingresos Figuras'!$H$16</f>
        <v>196411314.0421201</v>
      </c>
      <c r="CE7" s="125" cm="1">
        <f t="array" ref="CE7">INDEX('Produccion proyectada'!$D$42:$J$53,'Flujo Ajustado'!CE14,'Flujo Ajustado'!CE13)*'Salarios e Ingresos Figuras'!$F$3*'Salarios e Ingresos Figuras'!$H$15*'Salarios e Ingresos Figuras'!$H$16</f>
        <v>24757035.186396457</v>
      </c>
      <c r="CF7" s="125" cm="1">
        <f t="array" ref="CF7">INDEX('Produccion proyectada'!$D$42:$J$53,'Flujo Ajustado'!CF14,'Flujo Ajustado'!CF13)*'Salarios e Ingresos Figuras'!$F$3*'Salarios e Ingresos Figuras'!$H$15*'Salarios e Ingresos Figuras'!$H$16</f>
        <v>49514070.372792915</v>
      </c>
      <c r="CG7" s="125" cm="1">
        <f t="array" ref="CG7">INDEX('Produccion proyectada'!$D$42:$J$53,'Flujo Ajustado'!CG14,'Flujo Ajustado'!CG13)*'Salarios e Ingresos Figuras'!$F$3*'Salarios e Ingresos Figuras'!$H$15*'Salarios e Ingresos Figuras'!$H$16</f>
        <v>74271105.559189364</v>
      </c>
      <c r="CH7" s="125" cm="1">
        <f t="array" ref="CH7">INDEX('Produccion proyectada'!$D$42:$J$53,'Flujo Ajustado'!CH14,'Flujo Ajustado'!CH13)*'Salarios e Ingresos Figuras'!$F$3*'Salarios e Ingresos Figuras'!$H$15*'Salarios e Ingresos Figuras'!$H$16</f>
        <v>264075041.98822883</v>
      </c>
      <c r="CI7" s="125" cm="1">
        <f t="array" ref="CI7">INDEX('Produccion proyectada'!$D$42:$J$53,'Flujo Ajustado'!CI14,'Flujo Ajustado'!CI13)*'Salarios e Ingresos Figuras'!$F$3*'Salarios e Ingresos Figuras'!$H$15*'Salarios e Ingresos Figuras'!$H$16</f>
        <v>66018760.497057207</v>
      </c>
      <c r="CJ7" s="125" cm="1">
        <f t="array" ref="CJ7">INDEX('Produccion proyectada'!$D$42:$J$53,'Flujo Ajustado'!CJ14,'Flujo Ajustado'!CJ13)*'Salarios e Ingresos Figuras'!$F$3*'Salarios e Ingresos Figuras'!$H$15*'Salarios e Ingresos Figuras'!$H$16</f>
        <v>132037520.99411441</v>
      </c>
      <c r="CK7" s="125" cm="1">
        <f t="array" ref="CK7">INDEX('Produccion proyectada'!$D$42:$J$53,'Flujo Ajustado'!CK14,'Flujo Ajustado'!CK13)*'Salarios e Ingresos Figuras'!$F$3*'Salarios e Ingresos Figuras'!$H$15*'Salarios e Ingresos Figuras'!$H$16</f>
        <v>1766001843.2962804</v>
      </c>
      <c r="CL7" s="125" cm="1">
        <f t="array" ref="CL7">INDEX('Produccion proyectada'!$D$42:$J$53,'Flujo Ajustado'!CL14,'Flujo Ajustado'!CL13)*'Salarios e Ingresos Figuras'!$F$3*'Salarios e Ingresos Figuras'!$H$15*'Salarios e Ingresos Figuras'!$H$16</f>
        <v>125564721.14387555</v>
      </c>
      <c r="CM7" s="125" cm="1">
        <f t="array" ref="CM7">INDEX('Produccion proyectada'!$D$42:$J$53,'Flujo Ajustado'!CM14,'Flujo Ajustado'!CM13)*'Salarios e Ingresos Figuras'!$F$3*'Salarios e Ingresos Figuras'!$H$15*'Salarios e Ingresos Figuras'!$H$16</f>
        <v>38752948.791369319</v>
      </c>
      <c r="CN7" s="125" cm="1">
        <f t="array" ref="CN7">INDEX('Produccion proyectada'!$D$42:$J$53,'Flujo Ajustado'!CN14,'Flujo Ajustado'!CN13)*'Salarios e Ingresos Figuras'!$F$3*'Salarios e Ingresos Figuras'!$H$15*'Salarios e Ingresos Figuras'!$H$16</f>
        <v>54254128.307917044</v>
      </c>
      <c r="CO7" s="125" cm="1">
        <f t="array" ref="CO7">INDEX('Produccion proyectada'!$D$42:$J$53,'Flujo Ajustado'!CO14,'Flujo Ajustado'!CO13)*'Salarios e Ingresos Figuras'!$F$3*'Salarios e Ingresos Figuras'!$H$15*'Salarios e Ingresos Figuras'!$H$16</f>
        <v>465035385.49643183</v>
      </c>
      <c r="CP7" s="125" cm="1">
        <f t="array" ref="CP7">INDEX('Produccion proyectada'!$D$42:$J$53,'Flujo Ajustado'!CP14,'Flujo Ajustado'!CP13)*'Salarios e Ingresos Figuras'!$F$3*'Salarios e Ingresos Figuras'!$H$15*'Salarios e Ingresos Figuras'!$H$16</f>
        <v>184469203.30675691</v>
      </c>
      <c r="CQ7" s="125" cm="1">
        <f t="array" ref="CQ7">INDEX('Produccion proyectada'!$D$42:$J$53,'Flujo Ajustado'!CQ14,'Flujo Ajustado'!CQ13)*'Salarios e Ingresos Figuras'!$F$3*'Salarios e Ingresos Figuras'!$H$15*'Salarios e Ingresos Figuras'!$H$16</f>
        <v>23251769.274821587</v>
      </c>
      <c r="CR7" s="125" cm="1">
        <f t="array" ref="CR7">INDEX('Produccion proyectada'!$D$42:$J$53,'Flujo Ajustado'!CR14,'Flujo Ajustado'!CR13)*'Salarios e Ingresos Figuras'!$F$3*'Salarios e Ingresos Figuras'!$H$15*'Salarios e Ingresos Figuras'!$H$16</f>
        <v>46503538.549643174</v>
      </c>
      <c r="CS7" s="125" cm="1">
        <f t="array" ref="CS7">INDEX('Produccion proyectada'!$D$42:$J$53,'Flujo Ajustado'!CS14,'Flujo Ajustado'!CS13)*'Salarios e Ingresos Figuras'!$F$3*'Salarios e Ingresos Figuras'!$H$15*'Salarios e Ingresos Figuras'!$H$16</f>
        <v>69755307.824464753</v>
      </c>
      <c r="CT7" s="125" cm="1">
        <f t="array" ref="CT7">INDEX('Produccion proyectada'!$D$42:$J$53,'Flujo Ajustado'!CT14,'Flujo Ajustado'!CT13)*'Salarios e Ingresos Figuras'!$F$3*'Salarios e Ingresos Figuras'!$H$15*'Salarios e Ingresos Figuras'!$H$16</f>
        <v>248018872.26476362</v>
      </c>
      <c r="CU7" s="125" cm="1">
        <f t="array" ref="CU7">INDEX('Produccion proyectada'!$D$42:$J$53,'Flujo Ajustado'!CU14,'Flujo Ajustado'!CU13)*'Salarios e Ingresos Figuras'!$F$3*'Salarios e Ingresos Figuras'!$H$15*'Salarios e Ingresos Figuras'!$H$16</f>
        <v>62004718.066190906</v>
      </c>
      <c r="CV7" s="125" cm="1">
        <f t="array" ref="CV7">INDEX('Produccion proyectada'!$D$42:$J$53,'Flujo Ajustado'!CV14,'Flujo Ajustado'!CV13)*'Salarios e Ingresos Figuras'!$F$3*'Salarios e Ingresos Figuras'!$H$15*'Salarios e Ingresos Figuras'!$H$16</f>
        <v>124009436.13238181</v>
      </c>
      <c r="CW7" s="125" cm="1">
        <f t="array" ref="CW7">INDEX('Produccion proyectada'!$D$42:$J$53,'Flujo Ajustado'!CW14,'Flujo Ajustado'!CW13)*'Salarios e Ingresos Figuras'!$F$3*'Salarios e Ingresos Figuras'!$H$15*'Salarios e Ingresos Figuras'!$H$16</f>
        <v>1658626208.2706068</v>
      </c>
      <c r="CX7" s="125">
        <f>CL7</f>
        <v>125564721.14387555</v>
      </c>
    </row>
    <row r="8" spans="1:102" x14ac:dyDescent="0.3">
      <c r="A8" t="s">
        <v>397</v>
      </c>
      <c r="B8" s="100">
        <f>'Calculo Activos'!E6</f>
        <v>18622800</v>
      </c>
      <c r="C8" s="100"/>
      <c r="D8" s="100" t="str">
        <f>A8</f>
        <v>Anual Moldes Vol. Medio</v>
      </c>
      <c r="E8" s="125">
        <f>B8</f>
        <v>18622800</v>
      </c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>
        <f>E8</f>
        <v>18622800</v>
      </c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>
        <f>R8</f>
        <v>18622800</v>
      </c>
      <c r="AE8" s="125"/>
      <c r="AF8" s="125"/>
      <c r="AG8" s="125"/>
      <c r="AH8" s="125"/>
      <c r="AI8" s="125"/>
      <c r="AJ8" s="125"/>
      <c r="AK8" s="125"/>
      <c r="AL8" s="125"/>
      <c r="AM8" s="125"/>
      <c r="AN8" s="125"/>
      <c r="AO8" s="125"/>
      <c r="AP8" s="125">
        <f t="shared" ref="AP8" si="2">AD8</f>
        <v>18622800</v>
      </c>
      <c r="AQ8" s="125"/>
      <c r="AR8" s="125"/>
      <c r="AS8" s="125"/>
      <c r="AT8" s="125"/>
      <c r="AU8" s="125"/>
      <c r="AV8" s="125"/>
      <c r="AW8" s="125"/>
      <c r="AX8" s="125"/>
      <c r="AY8" s="125"/>
      <c r="AZ8" s="125"/>
      <c r="BA8" s="125"/>
      <c r="BB8" s="125">
        <f t="shared" ref="BB8" si="3">AP8</f>
        <v>18622800</v>
      </c>
      <c r="BC8" s="125"/>
      <c r="BD8" s="125"/>
      <c r="BE8" s="125"/>
      <c r="BF8" s="125"/>
      <c r="BG8" s="125"/>
      <c r="BH8" s="125"/>
      <c r="BI8" s="125"/>
      <c r="BJ8" s="125"/>
      <c r="BK8" s="125"/>
      <c r="BL8" s="125"/>
      <c r="BM8" s="125"/>
      <c r="BN8" s="125">
        <f t="shared" ref="BN8" si="4">BB8</f>
        <v>18622800</v>
      </c>
      <c r="BO8" s="125"/>
      <c r="BP8" s="125"/>
      <c r="BQ8" s="125"/>
      <c r="BR8" s="125"/>
      <c r="BS8" s="125"/>
      <c r="BT8" s="125"/>
      <c r="BU8" s="125"/>
      <c r="BV8" s="125"/>
      <c r="BW8" s="125"/>
      <c r="BX8" s="125"/>
      <c r="BY8" s="125"/>
      <c r="BZ8" s="125">
        <f t="shared" ref="BZ8" si="5">BN8</f>
        <v>18622800</v>
      </c>
      <c r="CA8" s="125"/>
      <c r="CB8" s="125"/>
      <c r="CC8" s="125"/>
      <c r="CD8" s="125"/>
      <c r="CE8" s="125"/>
      <c r="CF8" s="125"/>
      <c r="CG8" s="125"/>
      <c r="CH8" s="125"/>
      <c r="CI8" s="125"/>
      <c r="CJ8" s="125"/>
      <c r="CK8" s="125"/>
      <c r="CL8" s="125">
        <f t="shared" ref="CL8" si="6">BZ8</f>
        <v>18622800</v>
      </c>
      <c r="CM8" s="125"/>
      <c r="CN8" s="125"/>
      <c r="CO8" s="125"/>
      <c r="CP8" s="125"/>
      <c r="CQ8" s="125"/>
      <c r="CR8" s="125"/>
      <c r="CS8" s="125"/>
      <c r="CT8" s="125"/>
      <c r="CU8" s="125"/>
      <c r="CV8" s="125"/>
      <c r="CW8" s="125"/>
      <c r="CX8" s="125">
        <f t="shared" ref="CX8" si="7">CL8</f>
        <v>18622800</v>
      </c>
    </row>
    <row r="9" spans="1:102" x14ac:dyDescent="0.3">
      <c r="A9" t="s">
        <v>231</v>
      </c>
      <c r="B9" s="100">
        <f>'Calculo Activos'!E7/12</f>
        <v>51166080</v>
      </c>
      <c r="C9" s="100"/>
      <c r="D9" s="100" t="str">
        <f>A9</f>
        <v>Cajas</v>
      </c>
      <c r="E9" s="4"/>
      <c r="F9" s="125" cm="1">
        <f t="array" ref="F9">INDEX('Produccion proyectada'!$C$42:$C$53,'Flujo Ajustado'!F14,'Flujo Ajustado'!F13)*'Salarios e Ingresos Figuras'!$H$19</f>
        <v>24867738.201600019</v>
      </c>
      <c r="G9" s="125" cm="1">
        <f t="array" ref="G9">INDEX('Produccion proyectada'!$C$42:$C$53,'Flujo Ajustado'!G14,'Flujo Ajustado'!G13)*'Salarios e Ingresos Figuras'!$H$19</f>
        <v>7674912</v>
      </c>
      <c r="H9" s="125" cm="1">
        <f t="array" ref="H9">INDEX('Produccion proyectada'!$C$42:$C$53,'Flujo Ajustado'!H14,'Flujo Ajustado'!H13)*'Salarios e Ingresos Figuras'!$H$19</f>
        <v>10744876.799999999</v>
      </c>
      <c r="I9" s="125" cm="1">
        <f t="array" ref="I9">INDEX('Produccion proyectada'!$C$42:$C$53,'Flujo Ajustado'!I14,'Flujo Ajustado'!I13)*'Salarios e Ingresos Figuras'!$H$19</f>
        <v>92098944</v>
      </c>
      <c r="J9" s="125" cm="1">
        <f t="array" ref="J9">INDEX('Produccion proyectada'!$C$42:$C$53,'Flujo Ajustado'!J14,'Flujo Ajustado'!J13)*'Salarios e Ingresos Figuras'!$H$19</f>
        <v>36533604.441600017</v>
      </c>
      <c r="K9" s="125" cm="1">
        <f t="array" ref="K9">INDEX('Produccion proyectada'!$C$42:$C$53,'Flujo Ajustado'!K14,'Flujo Ajustado'!K13)*'Salarios e Ingresos Figuras'!$H$19</f>
        <v>4604947.2</v>
      </c>
      <c r="L9" s="125" cm="1">
        <f t="array" ref="L9">INDEX('Produccion proyectada'!$C$42:$C$53,'Flujo Ajustado'!L14,'Flujo Ajustado'!L13)*'Salarios e Ingresos Figuras'!$H$19</f>
        <v>9209894.4000000004</v>
      </c>
      <c r="M9" s="125" cm="1">
        <f t="array" ref="M9">INDEX('Produccion proyectada'!$C$42:$C$53,'Flujo Ajustado'!M14,'Flujo Ajustado'!M13)*'Salarios e Ingresos Figuras'!$H$19</f>
        <v>13814841.6</v>
      </c>
      <c r="N9" s="125" cm="1">
        <f t="array" ref="N9">INDEX('Produccion proyectada'!$C$42:$C$53,'Flujo Ajustado'!N14,'Flujo Ajustado'!N13)*'Salarios e Ingresos Figuras'!$H$19</f>
        <v>49119436.800000004</v>
      </c>
      <c r="O9" s="125" cm="1">
        <f t="array" ref="O9">INDEX('Produccion proyectada'!$C$42:$C$53,'Flujo Ajustado'!O14,'Flujo Ajustado'!O13)*'Salarios e Ingresos Figuras'!$H$19</f>
        <v>12279859.200000001</v>
      </c>
      <c r="P9" s="125" cm="1">
        <f t="array" ref="P9">INDEX('Produccion proyectada'!$C$42:$C$53,'Flujo Ajustado'!P14,'Flujo Ajustado'!P13)*'Salarios e Ingresos Figuras'!$H$19</f>
        <v>24559718.400000002</v>
      </c>
      <c r="Q9" s="125" cm="1">
        <f t="array" ref="Q9">INDEX('Produccion proyectada'!$C$42:$C$53,'Flujo Ajustado'!Q14,'Flujo Ajustado'!Q13)*'Salarios e Ingresos Figuras'!$H$19</f>
        <v>328486233.59999996</v>
      </c>
      <c r="R9" s="125" cm="1">
        <f t="array" ref="R9">INDEX('Produccion proyectada'!$D$42:$J$53,'Flujo Ajustado'!R14,'Flujo Ajustado'!R13)*'Salarios e Ingresos Figuras'!$H$19</f>
        <v>23759772.412359893</v>
      </c>
      <c r="S9" s="125" cm="1">
        <f t="array" ref="S9">INDEX('Produccion proyectada'!$D$42:$J$53,'Flujo Ajustado'!S14,'Flujo Ajustado'!S13)*'Salarios e Ingresos Figuras'!$H$19</f>
        <v>7332961.3222788805</v>
      </c>
      <c r="T9" s="125" cm="1">
        <f t="array" ref="T9">INDEX('Produccion proyectada'!$D$42:$J$53,'Flujo Ajustado'!T14,'Flujo Ajustado'!T13)*'Salarios e Ingresos Figuras'!$H$19</f>
        <v>10266145.851190431</v>
      </c>
      <c r="U9" s="125" cm="1">
        <f t="array" ref="U9">INDEX('Produccion proyectada'!$D$42:$J$53,'Flujo Ajustado'!U14,'Flujo Ajustado'!U13)*'Salarios e Ingresos Figuras'!$H$19</f>
        <v>87995535.867346555</v>
      </c>
      <c r="V9" s="125" cm="1">
        <f t="array" ref="V9">INDEX('Produccion proyectada'!$D$42:$J$53,'Flujo Ajustado'!V14,'Flujo Ajustado'!V13)*'Salarios e Ingresos Figuras'!$H$19</f>
        <v>34905873.622223794</v>
      </c>
      <c r="W9" s="125" cm="1">
        <f t="array" ref="W9">INDEX('Produccion proyectada'!$D$42:$J$53,'Flujo Ajustado'!W14,'Flujo Ajustado'!W13)*'Salarios e Ingresos Figuras'!$H$19</f>
        <v>4399776.7933673281</v>
      </c>
      <c r="X9" s="125" cm="1">
        <f t="array" ref="X9">INDEX('Produccion proyectada'!$D$42:$J$53,'Flujo Ajustado'!X14,'Flujo Ajustado'!X13)*'Salarios e Ingresos Figuras'!$H$19</f>
        <v>8799553.5867346562</v>
      </c>
      <c r="Y9" s="125" cm="1">
        <f t="array" ref="Y9">INDEX('Produccion proyectada'!$D$42:$J$53,'Flujo Ajustado'!Y14,'Flujo Ajustado'!Y13)*'Salarios e Ingresos Figuras'!$H$19</f>
        <v>13199330.380101986</v>
      </c>
      <c r="Z9" s="125" cm="1">
        <f t="array" ref="Z9">INDEX('Produccion proyectada'!$D$42:$J$53,'Flujo Ajustado'!Z14,'Flujo Ajustado'!Z13)*'Salarios e Ingresos Figuras'!$H$19</f>
        <v>46930952.462584831</v>
      </c>
      <c r="AA9" s="125" cm="1">
        <f t="array" ref="AA9">INDEX('Produccion proyectada'!$D$42:$J$53,'Flujo Ajustado'!AA14,'Flujo Ajustado'!AA13)*'Salarios e Ingresos Figuras'!$H$19</f>
        <v>11732738.115646208</v>
      </c>
      <c r="AB9" s="125" cm="1">
        <f t="array" ref="AB9">INDEX('Produccion proyectada'!$D$42:$J$53,'Flujo Ajustado'!AB14,'Flujo Ajustado'!AB13)*'Salarios e Ingresos Figuras'!$H$19</f>
        <v>23465476.231292415</v>
      </c>
      <c r="AC9" s="125" cm="1">
        <f t="array" ref="AC9">INDEX('Produccion proyectada'!$D$42:$J$53,'Flujo Ajustado'!AC14,'Flujo Ajustado'!AC13)*'Salarios e Ingresos Figuras'!$H$19</f>
        <v>313850744.59353614</v>
      </c>
      <c r="AD9" s="125" cm="1">
        <f t="array" ref="AD9">INDEX('Produccion proyectada'!$D$42:$J$53,'Flujo Ajustado'!AD14,'Flujo Ajustado'!AD13)*'Salarios e Ingresos Figuras'!$H$19</f>
        <v>22651889.515304137</v>
      </c>
      <c r="AE9" s="125" cm="1">
        <f t="array" ref="AE9">INDEX('Produccion proyectada'!$D$42:$J$53,'Flujo Ajustado'!AE14,'Flujo Ajustado'!AE13)*'Salarios e Ingresos Figuras'!$H$19</f>
        <v>6991036.2275124853</v>
      </c>
      <c r="AF9" s="125" cm="1">
        <f t="array" ref="AF9">INDEX('Produccion proyectada'!$D$42:$J$53,'Flujo Ajustado'!AF14,'Flujo Ajustado'!AF13)*'Salarios e Ingresos Figuras'!$H$19</f>
        <v>9787450.7185174786</v>
      </c>
      <c r="AG9" s="125" cm="1">
        <f t="array" ref="AG9">INDEX('Produccion proyectada'!$D$42:$J$53,'Flujo Ajustado'!AG14,'Flujo Ajustado'!AG13)*'Salarios e Ingresos Figuras'!$H$19</f>
        <v>83892434.73014982</v>
      </c>
      <c r="AH9" s="125" cm="1">
        <f t="array" ref="AH9">INDEX('Produccion proyectada'!$D$42:$J$53,'Flujo Ajustado'!AH14,'Flujo Ajustado'!AH13)*'Salarios e Ingresos Figuras'!$H$19</f>
        <v>33278264.581123114</v>
      </c>
      <c r="AI9" s="125" cm="1">
        <f t="array" ref="AI9">INDEX('Produccion proyectada'!$D$42:$J$53,'Flujo Ajustado'!AI14,'Flujo Ajustado'!AI13)*'Salarios e Ingresos Figuras'!$H$19</f>
        <v>4194621.7365074912</v>
      </c>
      <c r="AJ9" s="125" cm="1">
        <f t="array" ref="AJ9">INDEX('Produccion proyectada'!$D$42:$J$53,'Flujo Ajustado'!AJ14,'Flujo Ajustado'!AJ13)*'Salarios e Ingresos Figuras'!$H$19</f>
        <v>8389243.4730149824</v>
      </c>
      <c r="AK9" s="125" cm="1">
        <f t="array" ref="AK9">INDEX('Produccion proyectada'!$D$42:$J$53,'Flujo Ajustado'!AK14,'Flujo Ajustado'!AK13)*'Salarios e Ingresos Figuras'!$H$19</f>
        <v>12583865.209522473</v>
      </c>
      <c r="AL9" s="125" cm="1">
        <f t="array" ref="AL9">INDEX('Produccion proyectada'!$D$42:$J$53,'Flujo Ajustado'!AL14,'Flujo Ajustado'!AL13)*'Salarios e Ingresos Figuras'!$H$19</f>
        <v>44742631.856079906</v>
      </c>
      <c r="AM9" s="125" cm="1">
        <f t="array" ref="AM9">INDEX('Produccion proyectada'!$D$42:$J$53,'Flujo Ajustado'!AM14,'Flujo Ajustado'!AM13)*'Salarios e Ingresos Figuras'!$H$19</f>
        <v>11185657.964019977</v>
      </c>
      <c r="AN9" s="125" cm="1">
        <f t="array" ref="AN9">INDEX('Produccion proyectada'!$D$42:$J$53,'Flujo Ajustado'!AN14,'Flujo Ajustado'!AN13)*'Salarios e Ingresos Figuras'!$H$19</f>
        <v>22371315.928039953</v>
      </c>
      <c r="AO9" s="125" cm="1">
        <f t="array" ref="AO9">INDEX('Produccion proyectada'!$D$42:$J$53,'Flujo Ajustado'!AO14,'Flujo Ajustado'!AO13)*'Salarios e Ingresos Figuras'!$H$19</f>
        <v>299216350.53753436</v>
      </c>
      <c r="AP9" s="125" cm="1">
        <f t="array" ref="AP9">INDEX('Produccion proyectada'!$D$42:$J$53,'Flujo Ajustado'!AP14,'Flujo Ajustado'!AP13)*'Salarios e Ingresos Figuras'!$H$19</f>
        <v>21544006.618248381</v>
      </c>
      <c r="AQ9" s="125" cm="1">
        <f t="array" ref="AQ9">INDEX('Produccion proyectada'!$D$42:$J$53,'Flujo Ajustado'!AQ14,'Flujo Ajustado'!AQ13)*'Salarios e Ingresos Figuras'!$H$19</f>
        <v>6649111.1327460892</v>
      </c>
      <c r="AR9" s="125" cm="1">
        <f t="array" ref="AR9">INDEX('Produccion proyectada'!$D$42:$J$53,'Flujo Ajustado'!AR14,'Flujo Ajustado'!AR13)*'Salarios e Ingresos Figuras'!$H$19</f>
        <v>9308755.5858445242</v>
      </c>
      <c r="AS9" s="125" cm="1">
        <f t="array" ref="AS9">INDEX('Produccion proyectada'!$D$42:$J$53,'Flujo Ajustado'!AS14,'Flujo Ajustado'!AS13)*'Salarios e Ingresos Figuras'!$H$19</f>
        <v>79789333.592953071</v>
      </c>
      <c r="AT9" s="125" cm="1">
        <f t="array" ref="AT9">INDEX('Produccion proyectada'!$D$42:$J$53,'Flujo Ajustado'!AT14,'Flujo Ajustado'!AT13)*'Salarios e Ingresos Figuras'!$H$19</f>
        <v>31650655.540022437</v>
      </c>
      <c r="AU9" s="125" cm="1">
        <f t="array" ref="AU9">INDEX('Produccion proyectada'!$D$42:$J$53,'Flujo Ajustado'!AU14,'Flujo Ajustado'!AU13)*'Salarios e Ingresos Figuras'!$H$19</f>
        <v>3989466.6796476538</v>
      </c>
      <c r="AV9" s="125" cm="1">
        <f t="array" ref="AV9">INDEX('Produccion proyectada'!$D$42:$J$53,'Flujo Ajustado'!AV14,'Flujo Ajustado'!AV13)*'Salarios e Ingresos Figuras'!$H$19</f>
        <v>7978933.3592953077</v>
      </c>
      <c r="AW9" s="125" cm="1">
        <f t="array" ref="AW9">INDEX('Produccion proyectada'!$D$42:$J$53,'Flujo Ajustado'!AW14,'Flujo Ajustado'!AW13)*'Salarios e Ingresos Figuras'!$H$19</f>
        <v>11968400.038942961</v>
      </c>
      <c r="AX9" s="125" cm="1">
        <f t="array" ref="AX9">INDEX('Produccion proyectada'!$D$42:$J$53,'Flujo Ajustado'!AX14,'Flujo Ajustado'!AX13)*'Salarios e Ingresos Figuras'!$H$19</f>
        <v>42554311.249574967</v>
      </c>
      <c r="AY9" s="125" cm="1">
        <f t="array" ref="AY9">INDEX('Produccion proyectada'!$D$42:$J$53,'Flujo Ajustado'!AY14,'Flujo Ajustado'!AY13)*'Salarios e Ingresos Figuras'!$H$19</f>
        <v>10638577.812393742</v>
      </c>
      <c r="AZ9" s="125" cm="1">
        <f t="array" ref="AZ9">INDEX('Produccion proyectada'!$D$42:$J$53,'Flujo Ajustado'!AZ14,'Flujo Ajustado'!AZ13)*'Salarios e Ingresos Figuras'!$H$19</f>
        <v>21277155.624787483</v>
      </c>
      <c r="BA9" s="125" cm="1">
        <f t="array" ref="BA9">INDEX('Produccion proyectada'!$D$42:$J$53,'Flujo Ajustado'!BA14,'Flujo Ajustado'!BA13)*'Salarios e Ingresos Figuras'!$H$19</f>
        <v>284581956.48153263</v>
      </c>
      <c r="BB9" s="125" cm="1">
        <f t="array" ref="BB9">INDEX('Produccion proyectada'!$D$42:$J$53,'Flujo Ajustado'!BB14,'Flujo Ajustado'!BB13)*'Salarios e Ingresos Figuras'!$H$19</f>
        <v>20436123.721192624</v>
      </c>
      <c r="BC9" s="125" cm="1">
        <f t="array" ref="BC9">INDEX('Produccion proyectada'!$D$42:$J$53,'Flujo Ajustado'!BC14,'Flujo Ajustado'!BC13)*'Salarios e Ingresos Figuras'!$H$19</f>
        <v>6307186.0379796941</v>
      </c>
      <c r="BD9" s="125" cm="1">
        <f t="array" ref="BD9">INDEX('Produccion proyectada'!$D$42:$J$53,'Flujo Ajustado'!BD14,'Flujo Ajustado'!BD13)*'Salarios e Ingresos Figuras'!$H$19</f>
        <v>8830060.4531715717</v>
      </c>
      <c r="BE9" s="125" cm="1">
        <f t="array" ref="BE9">INDEX('Produccion proyectada'!$D$42:$J$53,'Flujo Ajustado'!BE14,'Flujo Ajustado'!BE13)*'Salarios e Ingresos Figuras'!$H$19</f>
        <v>75686232.455756322</v>
      </c>
      <c r="BF9" s="125" cm="1">
        <f t="array" ref="BF9">INDEX('Produccion proyectada'!$D$42:$J$53,'Flujo Ajustado'!BF14,'Flujo Ajustado'!BF13)*'Salarios e Ingresos Figuras'!$H$19</f>
        <v>30023046.498921756</v>
      </c>
      <c r="BG9" s="125" cm="1">
        <f t="array" ref="BG9">INDEX('Produccion proyectada'!$D$42:$J$53,'Flujo Ajustado'!BG14,'Flujo Ajustado'!BG13)*'Salarios e Ingresos Figuras'!$H$19</f>
        <v>3784311.6227878164</v>
      </c>
      <c r="BH9" s="125" cm="1">
        <f t="array" ref="BH9">INDEX('Produccion proyectada'!$D$42:$J$53,'Flujo Ajustado'!BH14,'Flujo Ajustado'!BH13)*'Salarios e Ingresos Figuras'!$H$19</f>
        <v>7568623.2455756329</v>
      </c>
      <c r="BI9" s="125" cm="1">
        <f t="array" ref="BI9">INDEX('Produccion proyectada'!$D$42:$J$53,'Flujo Ajustado'!BI14,'Flujo Ajustado'!BI13)*'Salarios e Ingresos Figuras'!$H$19</f>
        <v>11352934.868363449</v>
      </c>
      <c r="BJ9" s="125" cm="1">
        <f t="array" ref="BJ9">INDEX('Produccion proyectada'!$D$42:$J$53,'Flujo Ajustado'!BJ14,'Flujo Ajustado'!BJ13)*'Salarios e Ingresos Figuras'!$H$19</f>
        <v>40365990.643070042</v>
      </c>
      <c r="BK9" s="125" cm="1">
        <f t="array" ref="BK9">INDEX('Produccion proyectada'!$D$42:$J$53,'Flujo Ajustado'!BK14,'Flujo Ajustado'!BK13)*'Salarios e Ingresos Figuras'!$H$19</f>
        <v>10091497.660767511</v>
      </c>
      <c r="BL9" s="125" cm="1">
        <f t="array" ref="BL9">INDEX('Produccion proyectada'!$D$42:$J$53,'Flujo Ajustado'!BL14,'Flujo Ajustado'!BL13)*'Salarios e Ingresos Figuras'!$H$19</f>
        <v>20182995.321535021</v>
      </c>
      <c r="BM9" s="125" cm="1">
        <f t="array" ref="BM9">INDEX('Produccion proyectada'!$D$42:$J$53,'Flujo Ajustado'!BM14,'Flujo Ajustado'!BM13)*'Salarios e Ingresos Figuras'!$H$19</f>
        <v>269947562.42553097</v>
      </c>
      <c r="BN9" s="125" cm="1">
        <f t="array" ref="BN9">INDEX('Produccion proyectada'!$D$42:$J$53,'Flujo Ajustado'!BN14,'Flujo Ajustado'!BN13)*'Salarios e Ingresos Figuras'!$H$19</f>
        <v>19328240.824136872</v>
      </c>
      <c r="BO9" s="125" cm="1">
        <f t="array" ref="BO9">INDEX('Produccion proyectada'!$D$42:$J$53,'Flujo Ajustado'!BO14,'Flujo Ajustado'!BO13)*'Salarios e Ingresos Figuras'!$H$19</f>
        <v>5965260.9432132998</v>
      </c>
      <c r="BP9" s="125" cm="1">
        <f t="array" ref="BP9">INDEX('Produccion proyectada'!$D$42:$J$53,'Flujo Ajustado'!BP14,'Flujo Ajustado'!BP13)*'Salarios e Ingresos Figuras'!$H$19</f>
        <v>8351365.3204986202</v>
      </c>
      <c r="BQ9" s="125" cm="1">
        <f t="array" ref="BQ9">INDEX('Produccion proyectada'!$D$42:$J$53,'Flujo Ajustado'!BQ14,'Flujo Ajustado'!BQ13)*'Salarios e Ingresos Figuras'!$H$19</f>
        <v>71583131.318559602</v>
      </c>
      <c r="BR9" s="125" cm="1">
        <f t="array" ref="BR9">INDEX('Produccion proyectada'!$D$42:$J$53,'Flujo Ajustado'!BR14,'Flujo Ajustado'!BR13)*'Salarios e Ingresos Figuras'!$H$19</f>
        <v>28395437.457821086</v>
      </c>
      <c r="BS9" s="125" cm="1">
        <f t="array" ref="BS9">INDEX('Produccion proyectada'!$D$42:$J$53,'Flujo Ajustado'!BS14,'Flujo Ajustado'!BS13)*'Salarios e Ingresos Figuras'!$H$19</f>
        <v>3579156.56592798</v>
      </c>
      <c r="BT9" s="125" cm="1">
        <f t="array" ref="BT9">INDEX('Produccion proyectada'!$D$42:$J$53,'Flujo Ajustado'!BT14,'Flujo Ajustado'!BT13)*'Salarios e Ingresos Figuras'!$H$19</f>
        <v>7158313.13185596</v>
      </c>
      <c r="BU9" s="125" cm="1">
        <f t="array" ref="BU9">INDEX('Produccion proyectada'!$D$42:$J$53,'Flujo Ajustado'!BU14,'Flujo Ajustado'!BU13)*'Salarios e Ingresos Figuras'!$H$19</f>
        <v>10737469.69778394</v>
      </c>
      <c r="BV9" s="125" cm="1">
        <f t="array" ref="BV9">INDEX('Produccion proyectada'!$D$42:$J$53,'Flujo Ajustado'!BV14,'Flujo Ajustado'!BV13)*'Salarios e Ingresos Figuras'!$H$19</f>
        <v>38177670.036565118</v>
      </c>
      <c r="BW9" s="125" cm="1">
        <f t="array" ref="BW9">INDEX('Produccion proyectada'!$D$42:$J$53,'Flujo Ajustado'!BW14,'Flujo Ajustado'!BW13)*'Salarios e Ingresos Figuras'!$H$19</f>
        <v>9544417.5091412794</v>
      </c>
      <c r="BX9" s="125" cm="1">
        <f t="array" ref="BX9">INDEX('Produccion proyectada'!$D$42:$J$53,'Flujo Ajustado'!BX14,'Flujo Ajustado'!BX13)*'Salarios e Ingresos Figuras'!$H$19</f>
        <v>19088835.018282559</v>
      </c>
      <c r="BY9" s="125" cm="1">
        <f t="array" ref="BY9">INDEX('Produccion proyectada'!$D$42:$J$53,'Flujo Ajustado'!BY14,'Flujo Ajustado'!BY13)*'Salarios e Ingresos Figuras'!$H$19</f>
        <v>255313168.36952928</v>
      </c>
      <c r="BZ9" s="125" cm="1">
        <f t="array" ref="BZ9">INDEX('Produccion proyectada'!$D$42:$J$53,'Flujo Ajustado'!BZ14,'Flujo Ajustado'!BZ13)*'Salarios e Ingresos Figuras'!$H$19</f>
        <v>18220357.927081112</v>
      </c>
      <c r="CA9" s="125" cm="1">
        <f t="array" ref="CA9">INDEX('Produccion proyectada'!$D$42:$J$53,'Flujo Ajustado'!CA14,'Flujo Ajustado'!CA13)*'Salarios e Ingresos Figuras'!$H$19</f>
        <v>5623335.8484469047</v>
      </c>
      <c r="CB9" s="125" cm="1">
        <f t="array" ref="CB9">INDEX('Produccion proyectada'!$D$42:$J$53,'Flujo Ajustado'!CB14,'Flujo Ajustado'!CB13)*'Salarios e Ingresos Figuras'!$H$19</f>
        <v>7872670.1878256677</v>
      </c>
      <c r="CC9" s="125" cm="1">
        <f t="array" ref="CC9">INDEX('Produccion proyectada'!$D$42:$J$53,'Flujo Ajustado'!CC14,'Flujo Ajustado'!CC13)*'Salarios e Ingresos Figuras'!$H$19</f>
        <v>67480030.181362852</v>
      </c>
      <c r="CD9" s="125" cm="1">
        <f t="array" ref="CD9">INDEX('Produccion proyectada'!$D$42:$J$53,'Flujo Ajustado'!CD14,'Flujo Ajustado'!CD13)*'Salarios e Ingresos Figuras'!$H$19</f>
        <v>26767828.416720405</v>
      </c>
      <c r="CE9" s="125" cm="1">
        <f t="array" ref="CE9">INDEX('Produccion proyectada'!$D$42:$J$53,'Flujo Ajustado'!CE14,'Flujo Ajustado'!CE13)*'Salarios e Ingresos Figuras'!$H$19</f>
        <v>3374001.5090681431</v>
      </c>
      <c r="CF9" s="125" cm="1">
        <f t="array" ref="CF9">INDEX('Produccion proyectada'!$D$42:$J$53,'Flujo Ajustado'!CF14,'Flujo Ajustado'!CF13)*'Salarios e Ingresos Figuras'!$H$19</f>
        <v>6748003.0181362862</v>
      </c>
      <c r="CG9" s="125" cm="1">
        <f t="array" ref="CG9">INDEX('Produccion proyectada'!$D$42:$J$53,'Flujo Ajustado'!CG14,'Flujo Ajustado'!CG13)*'Salarios e Ingresos Figuras'!$H$19</f>
        <v>10122004.52720443</v>
      </c>
      <c r="CH9" s="125" cm="1">
        <f t="array" ref="CH9">INDEX('Produccion proyectada'!$D$42:$J$53,'Flujo Ajustado'!CH14,'Flujo Ajustado'!CH13)*'Salarios e Ingresos Figuras'!$H$19</f>
        <v>35989349.430060185</v>
      </c>
      <c r="CI9" s="125" cm="1">
        <f t="array" ref="CI9">INDEX('Produccion proyectada'!$D$42:$J$53,'Flujo Ajustado'!CI14,'Flujo Ajustado'!CI13)*'Salarios e Ingresos Figuras'!$H$19</f>
        <v>8997337.3575150464</v>
      </c>
      <c r="CJ9" s="125" cm="1">
        <f t="array" ref="CJ9">INDEX('Produccion proyectada'!$D$42:$J$53,'Flujo Ajustado'!CJ14,'Flujo Ajustado'!CJ13)*'Salarios e Ingresos Figuras'!$H$19</f>
        <v>17994674.715030093</v>
      </c>
      <c r="CK9" s="125" cm="1">
        <f t="array" ref="CK9">INDEX('Produccion proyectada'!$D$42:$J$53,'Flujo Ajustado'!CK14,'Flujo Ajustado'!CK13)*'Salarios e Ingresos Figuras'!$H$19</f>
        <v>240678774.31352749</v>
      </c>
      <c r="CL9" s="125" cm="1">
        <f t="array" ref="CL9">INDEX('Produccion proyectada'!$D$42:$J$53,'Flujo Ajustado'!CL14,'Flujo Ajustado'!CL13)*'Salarios e Ingresos Figuras'!$H$19</f>
        <v>17112532.071608789</v>
      </c>
      <c r="CM9" s="125" cm="1">
        <f t="array" ref="CM9">INDEX('Produccion proyectada'!$D$42:$J$53,'Flujo Ajustado'!CM14,'Flujo Ajustado'!CM13)*'Salarios e Ingresos Figuras'!$H$19</f>
        <v>5281428.3583830213</v>
      </c>
      <c r="CN9" s="125" cm="1">
        <f t="array" ref="CN9">INDEX('Produccion proyectada'!$D$42:$J$53,'Flujo Ajustado'!CN14,'Flujo Ajustado'!CN13)*'Salarios e Ingresos Figuras'!$H$19</f>
        <v>7393999.7017362304</v>
      </c>
      <c r="CO9" s="125" cm="1">
        <f t="array" ref="CO9">INDEX('Produccion proyectada'!$D$42:$J$53,'Flujo Ajustado'!CO14,'Flujo Ajustado'!CO13)*'Salarios e Ingresos Figuras'!$H$19</f>
        <v>63377140.30059626</v>
      </c>
      <c r="CP9" s="125" cm="1">
        <f t="array" ref="CP9">INDEX('Produccion proyectada'!$D$42:$J$53,'Flujo Ajustado'!CP14,'Flujo Ajustado'!CP13)*'Salarios e Ingresos Figuras'!$H$19</f>
        <v>25140303.176350981</v>
      </c>
      <c r="CQ9" s="125" cm="1">
        <f t="array" ref="CQ9">INDEX('Produccion proyectada'!$D$42:$J$53,'Flujo Ajustado'!CQ14,'Flujo Ajustado'!CQ13)*'Salarios e Ingresos Figuras'!$H$19</f>
        <v>3168857.0150298127</v>
      </c>
      <c r="CR9" s="125" cm="1">
        <f t="array" ref="CR9">INDEX('Produccion proyectada'!$D$42:$J$53,'Flujo Ajustado'!CR14,'Flujo Ajustado'!CR13)*'Salarios e Ingresos Figuras'!$H$19</f>
        <v>6337714.0300596254</v>
      </c>
      <c r="CS9" s="125" cm="1">
        <f t="array" ref="CS9">INDEX('Produccion proyectada'!$D$42:$J$53,'Flujo Ajustado'!CS14,'Flujo Ajustado'!CS13)*'Salarios e Ingresos Figuras'!$H$19</f>
        <v>9506571.0450894386</v>
      </c>
      <c r="CT9" s="125" cm="1">
        <f t="array" ref="CT9">INDEX('Produccion proyectada'!$D$42:$J$53,'Flujo Ajustado'!CT14,'Flujo Ajustado'!CT13)*'Salarios e Ingresos Figuras'!$H$19</f>
        <v>33801141.493651338</v>
      </c>
      <c r="CU9" s="125" cm="1">
        <f t="array" ref="CU9">INDEX('Produccion proyectada'!$D$42:$J$53,'Flujo Ajustado'!CU14,'Flujo Ajustado'!CU13)*'Salarios e Ingresos Figuras'!$H$19</f>
        <v>8450285.3734128345</v>
      </c>
      <c r="CV9" s="125" cm="1">
        <f t="array" ref="CV9">INDEX('Produccion proyectada'!$D$42:$J$53,'Flujo Ajustado'!CV14,'Flujo Ajustado'!CV13)*'Salarios e Ingresos Figuras'!$H$19</f>
        <v>16900570.746825669</v>
      </c>
      <c r="CW9" s="125" cm="1">
        <f t="array" ref="CW9">INDEX('Produccion proyectada'!$D$42:$J$53,'Flujo Ajustado'!CW14,'Flujo Ajustado'!CW13)*'Salarios e Ingresos Figuras'!$H$19</f>
        <v>226045133.73879331</v>
      </c>
      <c r="CX9" s="125">
        <f>CL9</f>
        <v>17112532.071608789</v>
      </c>
    </row>
    <row r="10" spans="1:102" x14ac:dyDescent="0.3">
      <c r="B10" s="100"/>
      <c r="C10" s="100"/>
      <c r="D10" s="100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1"/>
      <c r="AY10" s="111"/>
      <c r="AZ10" s="111"/>
      <c r="BA10" s="111"/>
      <c r="BB10" s="111"/>
      <c r="BC10" s="111"/>
      <c r="BD10" s="111"/>
      <c r="BE10" s="111"/>
      <c r="BF10" s="111"/>
      <c r="BG10" s="111"/>
      <c r="BH10" s="111"/>
      <c r="BI10" s="111"/>
      <c r="BJ10" s="111"/>
      <c r="BK10" s="111"/>
      <c r="BL10" s="111"/>
      <c r="BM10" s="111"/>
      <c r="BN10" s="111"/>
      <c r="BO10" s="111"/>
      <c r="BP10" s="111"/>
      <c r="BQ10" s="111"/>
      <c r="BR10" s="111"/>
      <c r="BS10" s="111"/>
      <c r="BT10" s="111"/>
      <c r="BU10" s="111"/>
      <c r="BV10" s="111"/>
      <c r="BW10" s="111"/>
      <c r="BX10" s="111"/>
      <c r="BY10" s="111"/>
      <c r="BZ10" s="111"/>
      <c r="CA10" s="111"/>
      <c r="CB10" s="111"/>
      <c r="CC10" s="111"/>
      <c r="CD10" s="111"/>
      <c r="CE10" s="111"/>
      <c r="CF10" s="111"/>
      <c r="CG10" s="111"/>
      <c r="CH10" s="111"/>
      <c r="CI10" s="111"/>
      <c r="CJ10" s="111"/>
      <c r="CK10" s="111"/>
      <c r="CL10" s="111"/>
      <c r="CM10" s="111"/>
      <c r="CN10" s="111"/>
      <c r="CO10" s="111"/>
      <c r="CP10" s="111"/>
      <c r="CQ10" s="111"/>
      <c r="CR10" s="111"/>
      <c r="CS10" s="111"/>
      <c r="CT10" s="111"/>
      <c r="CU10" s="111"/>
      <c r="CV10" s="111"/>
      <c r="CW10" s="111"/>
      <c r="CX10" s="111"/>
    </row>
    <row r="11" spans="1:102" x14ac:dyDescent="0.3">
      <c r="A11" t="s">
        <v>277</v>
      </c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Q11" s="111"/>
      <c r="AR11" s="111"/>
      <c r="AS11" s="111"/>
      <c r="AT11" s="111"/>
      <c r="AU11" s="111"/>
      <c r="AV11" s="111"/>
      <c r="AW11" s="111"/>
      <c r="AX11" s="111"/>
      <c r="AY11" s="111"/>
      <c r="AZ11" s="111"/>
      <c r="BA11" s="111"/>
      <c r="BB11" s="111"/>
      <c r="BC11" s="111"/>
      <c r="BD11" s="111"/>
      <c r="BE11" s="111"/>
      <c r="BF11" s="111"/>
      <c r="BG11" s="111"/>
      <c r="BH11" s="111"/>
      <c r="BI11" s="111"/>
      <c r="BJ11" s="111"/>
      <c r="BK11" s="111"/>
      <c r="BL11" s="111"/>
      <c r="BM11" s="111"/>
      <c r="BN11" s="111"/>
      <c r="BO11" s="111"/>
      <c r="BP11" s="111"/>
      <c r="BQ11" s="111"/>
      <c r="BR11" s="111"/>
      <c r="BS11" s="111"/>
      <c r="BT11" s="111"/>
      <c r="BU11" s="111"/>
      <c r="BV11" s="111"/>
      <c r="BW11" s="111"/>
      <c r="BX11" s="111"/>
      <c r="BY11" s="111"/>
      <c r="BZ11" s="111"/>
      <c r="CA11" s="111"/>
      <c r="CB11" s="111"/>
      <c r="CC11" s="111"/>
      <c r="CD11" s="111"/>
      <c r="CE11" s="111"/>
      <c r="CF11" s="111"/>
      <c r="CG11" s="111"/>
      <c r="CH11" s="111"/>
      <c r="CI11" s="111"/>
      <c r="CJ11" s="111"/>
      <c r="CK11" s="111"/>
      <c r="CL11" s="111"/>
      <c r="CM11" s="111"/>
      <c r="CN11" s="111"/>
      <c r="CO11" s="111"/>
      <c r="CP11" s="111"/>
      <c r="CQ11" s="111"/>
      <c r="CR11" s="111"/>
      <c r="CS11" s="111"/>
      <c r="CT11" s="111"/>
      <c r="CU11" s="111"/>
      <c r="CV11" s="111"/>
      <c r="CW11" s="111"/>
      <c r="CX11" s="111"/>
    </row>
    <row r="12" spans="1:102" x14ac:dyDescent="0.3">
      <c r="A12" t="s">
        <v>229</v>
      </c>
      <c r="B12" s="111">
        <f>'Calculo Activos'!E10/12</f>
        <v>531575.51568000007</v>
      </c>
      <c r="C12" s="111"/>
      <c r="D12" s="111"/>
    </row>
    <row r="13" spans="1:102" x14ac:dyDescent="0.3">
      <c r="A13" t="s">
        <v>228</v>
      </c>
      <c r="B13" s="111">
        <f>'Salarios e Ingresos Figuras'!H30</f>
        <v>1900000</v>
      </c>
      <c r="C13" s="111"/>
      <c r="D13" s="111"/>
      <c r="F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4</v>
      </c>
      <c r="BC13">
        <v>4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4</v>
      </c>
      <c r="BL13">
        <v>4</v>
      </c>
      <c r="BM13">
        <v>4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5</v>
      </c>
      <c r="BY13">
        <v>5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7</v>
      </c>
      <c r="CM13">
        <v>7</v>
      </c>
      <c r="CN13">
        <v>7</v>
      </c>
      <c r="CO13">
        <v>7</v>
      </c>
      <c r="CP13">
        <v>7</v>
      </c>
      <c r="CQ13">
        <v>7</v>
      </c>
      <c r="CR13">
        <v>7</v>
      </c>
      <c r="CS13">
        <v>7</v>
      </c>
      <c r="CT13">
        <v>7</v>
      </c>
      <c r="CU13">
        <v>7</v>
      </c>
      <c r="CV13">
        <v>7</v>
      </c>
      <c r="CW13">
        <v>7</v>
      </c>
    </row>
    <row r="14" spans="1:102" x14ac:dyDescent="0.3">
      <c r="A14" t="s">
        <v>230</v>
      </c>
      <c r="B14" s="100">
        <f>'Flujo de caja'!E4+'Flujo de caja'!F4</f>
        <v>54201.03</v>
      </c>
      <c r="C14" s="100"/>
      <c r="D14" s="100"/>
      <c r="F14">
        <v>1</v>
      </c>
      <c r="G14">
        <v>2</v>
      </c>
      <c r="H14">
        <v>3</v>
      </c>
      <c r="I14">
        <v>4</v>
      </c>
      <c r="J14">
        <v>5</v>
      </c>
      <c r="K14">
        <v>6</v>
      </c>
      <c r="L14">
        <v>7</v>
      </c>
      <c r="M14">
        <v>8</v>
      </c>
      <c r="N14">
        <v>9</v>
      </c>
      <c r="O14">
        <v>10</v>
      </c>
      <c r="P14">
        <v>11</v>
      </c>
      <c r="Q14">
        <v>12</v>
      </c>
      <c r="R14">
        <v>1</v>
      </c>
      <c r="S14">
        <v>2</v>
      </c>
      <c r="T14">
        <v>3</v>
      </c>
      <c r="U14">
        <v>4</v>
      </c>
      <c r="V14">
        <v>5</v>
      </c>
      <c r="W14">
        <v>6</v>
      </c>
      <c r="X14">
        <v>7</v>
      </c>
      <c r="Y14">
        <v>8</v>
      </c>
      <c r="Z14">
        <v>9</v>
      </c>
      <c r="AA14">
        <v>10</v>
      </c>
      <c r="AB14">
        <v>11</v>
      </c>
      <c r="AC14">
        <v>12</v>
      </c>
      <c r="AD14">
        <v>1</v>
      </c>
      <c r="AE14">
        <v>2</v>
      </c>
      <c r="AF14">
        <v>3</v>
      </c>
      <c r="AG14">
        <v>4</v>
      </c>
      <c r="AH14">
        <v>5</v>
      </c>
      <c r="AI14">
        <v>6</v>
      </c>
      <c r="AJ14">
        <v>7</v>
      </c>
      <c r="AK14">
        <v>8</v>
      </c>
      <c r="AL14">
        <v>9</v>
      </c>
      <c r="AM14">
        <v>10</v>
      </c>
      <c r="AN14">
        <v>11</v>
      </c>
      <c r="AO14">
        <v>12</v>
      </c>
      <c r="AP14">
        <v>1</v>
      </c>
      <c r="AQ14">
        <v>2</v>
      </c>
      <c r="AR14">
        <v>3</v>
      </c>
      <c r="AS14">
        <v>4</v>
      </c>
      <c r="AT14">
        <v>5</v>
      </c>
      <c r="AU14">
        <v>6</v>
      </c>
      <c r="AV14">
        <v>7</v>
      </c>
      <c r="AW14">
        <v>8</v>
      </c>
      <c r="AX14">
        <v>9</v>
      </c>
      <c r="AY14">
        <v>10</v>
      </c>
      <c r="AZ14">
        <v>11</v>
      </c>
      <c r="BA14">
        <v>12</v>
      </c>
      <c r="BB14">
        <v>1</v>
      </c>
      <c r="BC14">
        <v>2</v>
      </c>
      <c r="BD14">
        <v>3</v>
      </c>
      <c r="BE14">
        <v>4</v>
      </c>
      <c r="BF14">
        <v>5</v>
      </c>
      <c r="BG14">
        <v>6</v>
      </c>
      <c r="BH14">
        <v>7</v>
      </c>
      <c r="BI14">
        <v>8</v>
      </c>
      <c r="BJ14">
        <v>9</v>
      </c>
      <c r="BK14">
        <v>10</v>
      </c>
      <c r="BL14">
        <v>11</v>
      </c>
      <c r="BM14">
        <v>12</v>
      </c>
      <c r="BN14">
        <v>1</v>
      </c>
      <c r="BO14">
        <v>2</v>
      </c>
      <c r="BP14">
        <v>3</v>
      </c>
      <c r="BQ14">
        <v>4</v>
      </c>
      <c r="BR14">
        <v>5</v>
      </c>
      <c r="BS14">
        <v>6</v>
      </c>
      <c r="BT14">
        <v>7</v>
      </c>
      <c r="BU14">
        <v>8</v>
      </c>
      <c r="BV14">
        <v>9</v>
      </c>
      <c r="BW14">
        <v>10</v>
      </c>
      <c r="BX14">
        <v>11</v>
      </c>
      <c r="BY14">
        <v>12</v>
      </c>
      <c r="BZ14">
        <v>1</v>
      </c>
      <c r="CA14">
        <v>2</v>
      </c>
      <c r="CB14">
        <v>3</v>
      </c>
      <c r="CC14">
        <v>4</v>
      </c>
      <c r="CD14">
        <v>5</v>
      </c>
      <c r="CE14">
        <v>6</v>
      </c>
      <c r="CF14">
        <v>7</v>
      </c>
      <c r="CG14">
        <v>8</v>
      </c>
      <c r="CH14">
        <v>9</v>
      </c>
      <c r="CI14">
        <v>10</v>
      </c>
      <c r="CJ14">
        <v>11</v>
      </c>
      <c r="CK14">
        <v>12</v>
      </c>
      <c r="CL14">
        <v>1</v>
      </c>
      <c r="CM14">
        <v>2</v>
      </c>
      <c r="CN14">
        <v>3</v>
      </c>
      <c r="CO14">
        <v>4</v>
      </c>
      <c r="CP14">
        <v>5</v>
      </c>
      <c r="CQ14">
        <v>6</v>
      </c>
      <c r="CR14">
        <v>7</v>
      </c>
      <c r="CS14">
        <v>8</v>
      </c>
      <c r="CT14">
        <v>9</v>
      </c>
      <c r="CU14">
        <v>10</v>
      </c>
      <c r="CV14">
        <v>11</v>
      </c>
      <c r="CW14">
        <v>12</v>
      </c>
    </row>
    <row r="15" spans="1:102" x14ac:dyDescent="0.3">
      <c r="A15" t="s">
        <v>207</v>
      </c>
      <c r="B15" s="111">
        <f>'Salarios e Ingresos Figuras'!H69</f>
        <v>27323335</v>
      </c>
      <c r="C15" s="111"/>
      <c r="D15" s="111"/>
    </row>
    <row r="16" spans="1:102" x14ac:dyDescent="0.3">
      <c r="A16" t="s">
        <v>267</v>
      </c>
      <c r="B16" s="100">
        <v>500000</v>
      </c>
      <c r="C16" s="100"/>
      <c r="D16" s="100"/>
      <c r="F16" cm="1">
        <f t="array" ref="F16">INDEX('Produccion proyectada'!$C$42:$C$53,'Flujo Ajustado'!F14,'Flujo Ajustado'!F13)</f>
        <v>14697.244800000011</v>
      </c>
      <c r="G16" cm="1">
        <f t="array" ref="G16">INDEX('Produccion proyectada'!$C$42:$C$53,'Flujo Ajustado'!G14,'Flujo Ajustado'!G13)</f>
        <v>4536</v>
      </c>
      <c r="H16" cm="1">
        <f t="array" ref="H16">INDEX('Produccion proyectada'!$C$42:$C$53,'Flujo Ajustado'!H14,'Flujo Ajustado'!H13)</f>
        <v>6350.4</v>
      </c>
      <c r="R16" cm="1">
        <f t="array" ref="R16">INDEX('Produccion proyectada'!$D$42:$J$53,'Flujo Ajustado'!R14,'Flujo Ajustado'!R13)</f>
        <v>14042.418683427833</v>
      </c>
      <c r="S16" cm="1">
        <f t="array" ref="S16">INDEX('Produccion proyectada'!$D$42:$J$53,'Flujo Ajustado'!S14,'Flujo Ajustado'!S13)</f>
        <v>4333.9014907085584</v>
      </c>
      <c r="T16" cm="1">
        <f t="array" ref="T16">INDEX('Produccion proyectada'!$D$42:$J$53,'Flujo Ajustado'!T14,'Flujo Ajustado'!T13)</f>
        <v>6067.4620869919809</v>
      </c>
    </row>
    <row r="17" spans="1:103" x14ac:dyDescent="0.3">
      <c r="A17" t="s">
        <v>269</v>
      </c>
      <c r="B17" s="111">
        <f>SUM(B12:B16)</f>
        <v>30309111.545680001</v>
      </c>
      <c r="C17" s="111"/>
      <c r="D17" s="111"/>
      <c r="R17" s="100" cm="1">
        <f t="array" ref="R17">INDEX('Produccion proyectada'!$D$42:$J$53,'Flujo Ajustado'!R14,'Flujo Ajustado'!R13)*'Salarios e Ingresos Figuras'!H19</f>
        <v>23759772.412359893</v>
      </c>
    </row>
    <row r="18" spans="1:103" x14ac:dyDescent="0.3">
      <c r="A18" t="s">
        <v>272</v>
      </c>
      <c r="B18" s="100">
        <f>('Calculo Activos'!E23-'Calculo Activos'!E24)/12</f>
        <v>192169152</v>
      </c>
      <c r="C18" s="100"/>
      <c r="D18" s="100"/>
    </row>
    <row r="19" spans="1:103" x14ac:dyDescent="0.3">
      <c r="A19" t="s">
        <v>380</v>
      </c>
      <c r="B19" s="244">
        <v>0.19</v>
      </c>
      <c r="C19" s="244"/>
      <c r="D19" s="244" t="str">
        <f>A19</f>
        <v>iva</v>
      </c>
      <c r="F19" s="111">
        <f>F$2*$B19</f>
        <v>97736677.920000076</v>
      </c>
      <c r="G19" s="111">
        <f>G$2*$B19</f>
        <v>30164400</v>
      </c>
      <c r="H19" s="111">
        <f t="shared" ref="H19:BS19" si="8">H$2*$B19</f>
        <v>42230160</v>
      </c>
      <c r="I19" s="111">
        <f t="shared" si="8"/>
        <v>361972800</v>
      </c>
      <c r="J19" s="111">
        <f t="shared" si="8"/>
        <v>143586565.92000008</v>
      </c>
      <c r="K19" s="111">
        <f t="shared" si="8"/>
        <v>18098640</v>
      </c>
      <c r="L19" s="111">
        <f t="shared" si="8"/>
        <v>36197280</v>
      </c>
      <c r="M19" s="111">
        <f t="shared" si="8"/>
        <v>54295920</v>
      </c>
      <c r="N19" s="111">
        <f t="shared" si="8"/>
        <v>193052160</v>
      </c>
      <c r="O19" s="111">
        <f t="shared" si="8"/>
        <v>48263040</v>
      </c>
      <c r="P19" s="111">
        <f t="shared" si="8"/>
        <v>96526080</v>
      </c>
      <c r="Q19" s="111">
        <f t="shared" si="8"/>
        <v>1291036320</v>
      </c>
      <c r="R19" s="111">
        <f t="shared" si="8"/>
        <v>93382084.244795084</v>
      </c>
      <c r="S19" s="111">
        <f t="shared" si="8"/>
        <v>28820444.913211912</v>
      </c>
      <c r="T19" s="111">
        <f t="shared" si="8"/>
        <v>40348622.878496677</v>
      </c>
      <c r="U19" s="111">
        <f t="shared" si="8"/>
        <v>345845338.95854294</v>
      </c>
      <c r="V19" s="111">
        <f t="shared" si="8"/>
        <v>137189160.5128772</v>
      </c>
      <c r="W19" s="111">
        <f t="shared" si="8"/>
        <v>17292266.947927147</v>
      </c>
      <c r="X19" s="111">
        <f t="shared" si="8"/>
        <v>34584533.895854294</v>
      </c>
      <c r="Y19" s="111">
        <f t="shared" si="8"/>
        <v>51876800.843781441</v>
      </c>
      <c r="Z19" s="111">
        <f t="shared" si="8"/>
        <v>184450847.44455621</v>
      </c>
      <c r="AA19" s="111">
        <f t="shared" si="8"/>
        <v>46112711.861139052</v>
      </c>
      <c r="AB19" s="111">
        <f t="shared" si="8"/>
        <v>92225423.722278103</v>
      </c>
      <c r="AC19" s="111">
        <f t="shared" si="8"/>
        <v>1233515042.28547</v>
      </c>
      <c r="AD19" s="111">
        <f t="shared" si="8"/>
        <v>89027816.357430577</v>
      </c>
      <c r="AE19" s="111">
        <f t="shared" si="8"/>
        <v>27476590.374088671</v>
      </c>
      <c r="AF19" s="111">
        <f t="shared" si="8"/>
        <v>38467226.523724139</v>
      </c>
      <c r="AG19" s="111">
        <f t="shared" si="8"/>
        <v>329719084.48906404</v>
      </c>
      <c r="AH19" s="111">
        <f t="shared" si="8"/>
        <v>130792233.72604534</v>
      </c>
      <c r="AI19" s="111">
        <f t="shared" si="8"/>
        <v>16485954.224453202</v>
      </c>
      <c r="AJ19" s="111">
        <f t="shared" si="8"/>
        <v>32971908.448906403</v>
      </c>
      <c r="AK19" s="111">
        <f t="shared" si="8"/>
        <v>49457862.673359603</v>
      </c>
      <c r="AL19" s="111">
        <f t="shared" si="8"/>
        <v>175850178.39416748</v>
      </c>
      <c r="AM19" s="111">
        <f t="shared" si="8"/>
        <v>43962544.598541871</v>
      </c>
      <c r="AN19" s="111">
        <f t="shared" si="8"/>
        <v>87925089.197083741</v>
      </c>
      <c r="AO19" s="111">
        <f t="shared" si="8"/>
        <v>1175998068.0109949</v>
      </c>
      <c r="AP19" s="111">
        <f t="shared" si="8"/>
        <v>84673548.470066041</v>
      </c>
      <c r="AQ19" s="111">
        <f t="shared" si="8"/>
        <v>26132735.834965419</v>
      </c>
      <c r="AR19" s="111">
        <f t="shared" si="8"/>
        <v>36585830.168951593</v>
      </c>
      <c r="AS19" s="111">
        <f t="shared" si="8"/>
        <v>313592830.01958507</v>
      </c>
      <c r="AT19" s="111">
        <f t="shared" si="8"/>
        <v>124395306.93921348</v>
      </c>
      <c r="AU19" s="111">
        <f t="shared" si="8"/>
        <v>15679641.500979252</v>
      </c>
      <c r="AV19" s="111">
        <f t="shared" si="8"/>
        <v>31359283.001958504</v>
      </c>
      <c r="AW19" s="111">
        <f t="shared" si="8"/>
        <v>47038924.502937764</v>
      </c>
      <c r="AX19" s="111">
        <f t="shared" si="8"/>
        <v>167249509.3437787</v>
      </c>
      <c r="AY19" s="111">
        <f t="shared" si="8"/>
        <v>41812377.335944675</v>
      </c>
      <c r="AZ19" s="111">
        <f t="shared" si="8"/>
        <v>83624754.67188935</v>
      </c>
      <c r="BA19" s="111">
        <f t="shared" si="8"/>
        <v>1118481093.7365201</v>
      </c>
      <c r="BB19" s="111">
        <f t="shared" si="8"/>
        <v>80319280.582701504</v>
      </c>
      <c r="BC19" s="111">
        <f t="shared" si="8"/>
        <v>24788881.295842178</v>
      </c>
      <c r="BD19" s="111">
        <f t="shared" si="8"/>
        <v>34704433.814179048</v>
      </c>
      <c r="BE19" s="111">
        <f t="shared" si="8"/>
        <v>297466575.55010611</v>
      </c>
      <c r="BF19" s="111">
        <f t="shared" si="8"/>
        <v>117998380.15238161</v>
      </c>
      <c r="BG19" s="111">
        <f t="shared" si="8"/>
        <v>14873328.777505307</v>
      </c>
      <c r="BH19" s="111">
        <f t="shared" si="8"/>
        <v>29746657.555010613</v>
      </c>
      <c r="BI19" s="111">
        <f t="shared" si="8"/>
        <v>44619986.332515925</v>
      </c>
      <c r="BJ19" s="111">
        <f t="shared" si="8"/>
        <v>158648840.29338995</v>
      </c>
      <c r="BK19" s="111">
        <f t="shared" si="8"/>
        <v>39662210.073347487</v>
      </c>
      <c r="BL19" s="111">
        <f t="shared" si="8"/>
        <v>79324420.146694973</v>
      </c>
      <c r="BM19" s="111">
        <f t="shared" si="8"/>
        <v>1060964119.4620454</v>
      </c>
      <c r="BN19" s="111">
        <f t="shared" si="8"/>
        <v>75965012.695336983</v>
      </c>
      <c r="BO19" s="111">
        <f t="shared" si="8"/>
        <v>23445026.756718937</v>
      </c>
      <c r="BP19" s="111">
        <f t="shared" si="8"/>
        <v>32823037.459406514</v>
      </c>
      <c r="BQ19" s="111">
        <f t="shared" si="8"/>
        <v>281340321.08062732</v>
      </c>
      <c r="BR19" s="111">
        <f t="shared" si="8"/>
        <v>111601453.36554977</v>
      </c>
      <c r="BS19" s="111">
        <f t="shared" si="8"/>
        <v>14067016.054031363</v>
      </c>
      <c r="BT19" s="111">
        <f t="shared" ref="BT19:CX19" si="9">BT$2*$B19</f>
        <v>28134032.108062726</v>
      </c>
      <c r="BU19" s="111">
        <f t="shared" si="9"/>
        <v>42201048.162094086</v>
      </c>
      <c r="BV19" s="111">
        <f t="shared" si="9"/>
        <v>150048171.24300122</v>
      </c>
      <c r="BW19" s="111">
        <f t="shared" si="9"/>
        <v>37512042.810750306</v>
      </c>
      <c r="BX19" s="111">
        <f t="shared" si="9"/>
        <v>75024085.621500611</v>
      </c>
      <c r="BY19" s="111">
        <f t="shared" si="9"/>
        <v>1003447145.1875708</v>
      </c>
      <c r="BZ19" s="111">
        <f t="shared" si="9"/>
        <v>71610744.807972461</v>
      </c>
      <c r="CA19" s="111">
        <f t="shared" si="9"/>
        <v>22101172.217595696</v>
      </c>
      <c r="CB19" s="111">
        <f t="shared" si="9"/>
        <v>30941641.104633979</v>
      </c>
      <c r="CC19" s="111">
        <f t="shared" si="9"/>
        <v>265214066.61114836</v>
      </c>
      <c r="CD19" s="111">
        <f t="shared" si="9"/>
        <v>105204526.5787179</v>
      </c>
      <c r="CE19" s="111">
        <f t="shared" si="9"/>
        <v>13260703.330557417</v>
      </c>
      <c r="CF19" s="111">
        <f t="shared" si="9"/>
        <v>26521406.661114834</v>
      </c>
      <c r="CG19" s="111">
        <f t="shared" si="9"/>
        <v>39782109.991672255</v>
      </c>
      <c r="CH19" s="111">
        <f t="shared" si="9"/>
        <v>141447502.19261244</v>
      </c>
      <c r="CI19" s="111">
        <f t="shared" si="9"/>
        <v>35361875.54815311</v>
      </c>
      <c r="CJ19" s="111">
        <f t="shared" si="9"/>
        <v>70723751.09630622</v>
      </c>
      <c r="CK19" s="111">
        <f t="shared" si="9"/>
        <v>945930170.91309571</v>
      </c>
      <c r="CL19" s="111">
        <f t="shared" si="9"/>
        <v>67256701.108864337</v>
      </c>
      <c r="CM19" s="111">
        <f t="shared" si="9"/>
        <v>20757386.869531378</v>
      </c>
      <c r="CN19" s="111">
        <f t="shared" si="9"/>
        <v>29060341.617343932</v>
      </c>
      <c r="CO19" s="111">
        <f t="shared" si="9"/>
        <v>249088642.43437657</v>
      </c>
      <c r="CP19" s="111">
        <f t="shared" si="9"/>
        <v>98807929.150552019</v>
      </c>
      <c r="CQ19" s="111">
        <f t="shared" si="9"/>
        <v>12454432.121718828</v>
      </c>
      <c r="CR19" s="111">
        <f t="shared" si="9"/>
        <v>24908864.243437655</v>
      </c>
      <c r="CS19" s="111">
        <f t="shared" si="9"/>
        <v>37363296.365156479</v>
      </c>
      <c r="CT19" s="111">
        <f t="shared" si="9"/>
        <v>132847275.96500084</v>
      </c>
      <c r="CU19" s="111">
        <f t="shared" si="9"/>
        <v>33211818.99125021</v>
      </c>
      <c r="CV19" s="111">
        <f t="shared" si="9"/>
        <v>66423637.982500419</v>
      </c>
      <c r="CW19" s="111">
        <f t="shared" si="9"/>
        <v>888416158.01594305</v>
      </c>
      <c r="CX19" s="111">
        <f t="shared" si="9"/>
        <v>67256701.108864337</v>
      </c>
    </row>
    <row r="20" spans="1:103" x14ac:dyDescent="0.3">
      <c r="A20" t="s">
        <v>381</v>
      </c>
      <c r="B20" s="245">
        <v>1.4E-2</v>
      </c>
      <c r="C20" s="244"/>
      <c r="D20" s="244" t="s">
        <v>381</v>
      </c>
      <c r="F20" s="111">
        <f>F4*$B$20</f>
        <v>424327.56163952005</v>
      </c>
      <c r="G20" s="111">
        <f t="shared" ref="G20:BR20" si="10">G4*$B$20</f>
        <v>424327.56163952005</v>
      </c>
      <c r="H20" s="111">
        <f t="shared" si="10"/>
        <v>424327.56163952005</v>
      </c>
      <c r="I20" s="111">
        <f t="shared" si="10"/>
        <v>424327.56163952005</v>
      </c>
      <c r="J20" s="111">
        <f t="shared" si="10"/>
        <v>424327.56163952005</v>
      </c>
      <c r="K20" s="111">
        <f t="shared" si="10"/>
        <v>424327.56163952005</v>
      </c>
      <c r="L20" s="111">
        <f t="shared" si="10"/>
        <v>424327.56163952005</v>
      </c>
      <c r="M20" s="111">
        <f t="shared" si="10"/>
        <v>424327.56163952005</v>
      </c>
      <c r="N20" s="111">
        <f t="shared" si="10"/>
        <v>424327.56163952005</v>
      </c>
      <c r="O20" s="111">
        <f t="shared" si="10"/>
        <v>424327.56163952005</v>
      </c>
      <c r="P20" s="111">
        <f t="shared" si="10"/>
        <v>424327.56163952005</v>
      </c>
      <c r="Q20" s="111">
        <f t="shared" si="10"/>
        <v>424327.56163952005</v>
      </c>
      <c r="R20" s="111">
        <f t="shared" si="10"/>
        <v>424327.56163952005</v>
      </c>
      <c r="S20" s="111">
        <f t="shared" si="10"/>
        <v>424327.56163952005</v>
      </c>
      <c r="T20" s="111">
        <f t="shared" si="10"/>
        <v>424327.56163952005</v>
      </c>
      <c r="U20" s="111">
        <f t="shared" si="10"/>
        <v>424327.56163952005</v>
      </c>
      <c r="V20" s="111">
        <f t="shared" si="10"/>
        <v>424327.56163952005</v>
      </c>
      <c r="W20" s="111">
        <f t="shared" si="10"/>
        <v>424327.56163952005</v>
      </c>
      <c r="X20" s="111">
        <f t="shared" si="10"/>
        <v>424327.56163952005</v>
      </c>
      <c r="Y20" s="111">
        <f t="shared" si="10"/>
        <v>424327.56163952005</v>
      </c>
      <c r="Z20" s="111">
        <f t="shared" si="10"/>
        <v>424327.56163952005</v>
      </c>
      <c r="AA20" s="111">
        <f t="shared" si="10"/>
        <v>424327.56163952005</v>
      </c>
      <c r="AB20" s="111">
        <f t="shared" si="10"/>
        <v>424327.56163952005</v>
      </c>
      <c r="AC20" s="111">
        <f t="shared" si="10"/>
        <v>424327.56163952005</v>
      </c>
      <c r="AD20" s="111">
        <f t="shared" si="10"/>
        <v>424327.56163952005</v>
      </c>
      <c r="AE20" s="111">
        <f t="shared" si="10"/>
        <v>424327.56163952005</v>
      </c>
      <c r="AF20" s="111">
        <f t="shared" si="10"/>
        <v>424327.56163952005</v>
      </c>
      <c r="AG20" s="111">
        <f t="shared" si="10"/>
        <v>424327.56163952005</v>
      </c>
      <c r="AH20" s="111">
        <f t="shared" si="10"/>
        <v>424327.56163952005</v>
      </c>
      <c r="AI20" s="111">
        <f t="shared" si="10"/>
        <v>424327.56163952005</v>
      </c>
      <c r="AJ20" s="111">
        <f t="shared" si="10"/>
        <v>424327.56163952005</v>
      </c>
      <c r="AK20" s="111">
        <f t="shared" si="10"/>
        <v>424327.56163952005</v>
      </c>
      <c r="AL20" s="111">
        <f t="shared" si="10"/>
        <v>424327.56163952005</v>
      </c>
      <c r="AM20" s="111">
        <f t="shared" si="10"/>
        <v>424327.56163952005</v>
      </c>
      <c r="AN20" s="111">
        <f t="shared" si="10"/>
        <v>424327.56163952005</v>
      </c>
      <c r="AO20" s="111">
        <f t="shared" si="10"/>
        <v>424327.56163952005</v>
      </c>
      <c r="AP20" s="111">
        <f t="shared" si="10"/>
        <v>424327.56163952005</v>
      </c>
      <c r="AQ20" s="111">
        <f t="shared" si="10"/>
        <v>424327.56163952005</v>
      </c>
      <c r="AR20" s="111">
        <f t="shared" si="10"/>
        <v>424327.56163952005</v>
      </c>
      <c r="AS20" s="111">
        <f t="shared" si="10"/>
        <v>424327.56163952005</v>
      </c>
      <c r="AT20" s="111">
        <f t="shared" si="10"/>
        <v>424327.56163952005</v>
      </c>
      <c r="AU20" s="111">
        <f t="shared" si="10"/>
        <v>424327.56163952005</v>
      </c>
      <c r="AV20" s="111">
        <f t="shared" si="10"/>
        <v>424327.56163952005</v>
      </c>
      <c r="AW20" s="111">
        <f t="shared" si="10"/>
        <v>424327.56163952005</v>
      </c>
      <c r="AX20" s="111">
        <f t="shared" si="10"/>
        <v>424327.56163952005</v>
      </c>
      <c r="AY20" s="111">
        <f t="shared" si="10"/>
        <v>424327.56163952005</v>
      </c>
      <c r="AZ20" s="111">
        <f t="shared" si="10"/>
        <v>424327.56163952005</v>
      </c>
      <c r="BA20" s="111">
        <f t="shared" si="10"/>
        <v>424327.56163952005</v>
      </c>
      <c r="BB20" s="111">
        <f t="shared" si="10"/>
        <v>424327.56163952005</v>
      </c>
      <c r="BC20" s="111">
        <f t="shared" si="10"/>
        <v>424327.56163952005</v>
      </c>
      <c r="BD20" s="111">
        <f t="shared" si="10"/>
        <v>424327.56163952005</v>
      </c>
      <c r="BE20" s="111">
        <f t="shared" si="10"/>
        <v>424327.56163952005</v>
      </c>
      <c r="BF20" s="111">
        <f t="shared" si="10"/>
        <v>424327.56163952005</v>
      </c>
      <c r="BG20" s="111">
        <f t="shared" si="10"/>
        <v>424327.56163952005</v>
      </c>
      <c r="BH20" s="111">
        <f t="shared" si="10"/>
        <v>424327.56163952005</v>
      </c>
      <c r="BI20" s="111">
        <f t="shared" si="10"/>
        <v>424327.56163952005</v>
      </c>
      <c r="BJ20" s="111">
        <f t="shared" si="10"/>
        <v>424327.56163952005</v>
      </c>
      <c r="BK20" s="111">
        <f t="shared" si="10"/>
        <v>424327.56163952005</v>
      </c>
      <c r="BL20" s="111">
        <f t="shared" si="10"/>
        <v>424327.56163952005</v>
      </c>
      <c r="BM20" s="111">
        <f t="shared" si="10"/>
        <v>424327.56163952005</v>
      </c>
      <c r="BN20" s="111">
        <f t="shared" si="10"/>
        <v>424327.56163952005</v>
      </c>
      <c r="BO20" s="111">
        <f t="shared" si="10"/>
        <v>424327.56163952005</v>
      </c>
      <c r="BP20" s="111">
        <f t="shared" si="10"/>
        <v>424327.56163952005</v>
      </c>
      <c r="BQ20" s="111">
        <f t="shared" si="10"/>
        <v>424327.56163952005</v>
      </c>
      <c r="BR20" s="111">
        <f t="shared" si="10"/>
        <v>424327.56163952005</v>
      </c>
      <c r="BS20" s="111">
        <f t="shared" ref="BS20:CX20" si="11">BS4*$B$20</f>
        <v>424327.56163952005</v>
      </c>
      <c r="BT20" s="111">
        <f t="shared" si="11"/>
        <v>424327.56163952005</v>
      </c>
      <c r="BU20" s="111">
        <f t="shared" si="11"/>
        <v>424327.56163952005</v>
      </c>
      <c r="BV20" s="111">
        <f t="shared" si="11"/>
        <v>424327.56163952005</v>
      </c>
      <c r="BW20" s="111">
        <f t="shared" si="11"/>
        <v>424327.56163952005</v>
      </c>
      <c r="BX20" s="111">
        <f t="shared" si="11"/>
        <v>424327.56163952005</v>
      </c>
      <c r="BY20" s="111">
        <f t="shared" si="11"/>
        <v>424327.56163952005</v>
      </c>
      <c r="BZ20" s="111">
        <f t="shared" si="11"/>
        <v>424327.56163952005</v>
      </c>
      <c r="CA20" s="111">
        <f t="shared" si="11"/>
        <v>424327.56163952005</v>
      </c>
      <c r="CB20" s="111">
        <f t="shared" si="11"/>
        <v>424327.56163952005</v>
      </c>
      <c r="CC20" s="111">
        <f t="shared" si="11"/>
        <v>424327.56163952005</v>
      </c>
      <c r="CD20" s="111">
        <f t="shared" si="11"/>
        <v>424327.56163952005</v>
      </c>
      <c r="CE20" s="111">
        <f t="shared" si="11"/>
        <v>424327.56163952005</v>
      </c>
      <c r="CF20" s="111">
        <f t="shared" si="11"/>
        <v>424327.56163952005</v>
      </c>
      <c r="CG20" s="111">
        <f t="shared" si="11"/>
        <v>424327.56163952005</v>
      </c>
      <c r="CH20" s="111">
        <f t="shared" si="11"/>
        <v>424327.56163952005</v>
      </c>
      <c r="CI20" s="111">
        <f t="shared" si="11"/>
        <v>424327.56163952005</v>
      </c>
      <c r="CJ20" s="111">
        <f t="shared" si="11"/>
        <v>424327.56163952005</v>
      </c>
      <c r="CK20" s="111">
        <f t="shared" si="11"/>
        <v>424327.56163952005</v>
      </c>
      <c r="CL20" s="111">
        <f t="shared" si="11"/>
        <v>424327.56163952005</v>
      </c>
      <c r="CM20" s="111">
        <f t="shared" si="11"/>
        <v>424327.56163952005</v>
      </c>
      <c r="CN20" s="111">
        <f t="shared" si="11"/>
        <v>424327.56163952005</v>
      </c>
      <c r="CO20" s="111">
        <f t="shared" si="11"/>
        <v>424327.56163952005</v>
      </c>
      <c r="CP20" s="111">
        <f t="shared" si="11"/>
        <v>424327.56163952005</v>
      </c>
      <c r="CQ20" s="111">
        <f t="shared" si="11"/>
        <v>424327.56163952005</v>
      </c>
      <c r="CR20" s="111">
        <f t="shared" si="11"/>
        <v>424327.56163952005</v>
      </c>
      <c r="CS20" s="111">
        <f t="shared" si="11"/>
        <v>424327.56163952005</v>
      </c>
      <c r="CT20" s="111">
        <f t="shared" si="11"/>
        <v>424327.56163952005</v>
      </c>
      <c r="CU20" s="111">
        <f t="shared" si="11"/>
        <v>424327.56163952005</v>
      </c>
      <c r="CV20" s="111">
        <f t="shared" si="11"/>
        <v>424327.56163952005</v>
      </c>
      <c r="CW20" s="111">
        <f t="shared" si="11"/>
        <v>424327.56163952005</v>
      </c>
      <c r="CX20" s="111">
        <f t="shared" si="11"/>
        <v>424327.56163952005</v>
      </c>
    </row>
    <row r="21" spans="1:103" x14ac:dyDescent="0.3">
      <c r="A21" t="s">
        <v>273</v>
      </c>
      <c r="B21" s="111">
        <f>'Calculo Activos'!E19/12</f>
        <v>2014375.925</v>
      </c>
      <c r="C21" s="111"/>
      <c r="D21" s="111"/>
    </row>
    <row r="22" spans="1:103" x14ac:dyDescent="0.3">
      <c r="A22" t="s">
        <v>274</v>
      </c>
      <c r="B22" s="111">
        <f>'Calculo Activos'!E21</f>
        <v>2731343.9999999995</v>
      </c>
      <c r="C22" s="111"/>
      <c r="D22" s="111"/>
    </row>
    <row r="23" spans="1:103" x14ac:dyDescent="0.3">
      <c r="A23" t="s">
        <v>270</v>
      </c>
      <c r="B23" s="111">
        <f>'Salarios e Ingresos Figuras'!C35</f>
        <v>27313439.999999996</v>
      </c>
      <c r="C23" s="111"/>
      <c r="D23" s="111"/>
    </row>
    <row r="24" spans="1:103" x14ac:dyDescent="0.3">
      <c r="A24" t="s">
        <v>376</v>
      </c>
      <c r="B24" s="100">
        <f>'Calculo Activos'!E24</f>
        <v>770576804.78796029</v>
      </c>
      <c r="C24" s="100"/>
      <c r="D24" s="100"/>
    </row>
    <row r="26" spans="1:103" x14ac:dyDescent="0.3">
      <c r="D26" s="4" t="s">
        <v>96</v>
      </c>
      <c r="E26" s="4">
        <v>0</v>
      </c>
      <c r="F26" s="4">
        <v>1</v>
      </c>
      <c r="G26" s="4">
        <v>2</v>
      </c>
      <c r="H26" s="4">
        <v>3</v>
      </c>
      <c r="I26" s="4">
        <v>4</v>
      </c>
      <c r="J26" s="4">
        <v>5</v>
      </c>
      <c r="K26" s="4">
        <v>6</v>
      </c>
      <c r="L26" s="4">
        <v>7</v>
      </c>
      <c r="M26" s="4">
        <v>8</v>
      </c>
      <c r="N26" s="4">
        <v>9</v>
      </c>
      <c r="O26" s="4">
        <v>10</v>
      </c>
      <c r="P26" s="4">
        <v>11</v>
      </c>
      <c r="Q26" s="4">
        <v>12</v>
      </c>
      <c r="R26" s="4">
        <v>13</v>
      </c>
      <c r="S26" s="4">
        <v>14</v>
      </c>
      <c r="T26" s="4">
        <v>15</v>
      </c>
      <c r="U26" s="4">
        <v>16</v>
      </c>
      <c r="V26" s="4">
        <v>17</v>
      </c>
      <c r="W26" s="4">
        <v>18</v>
      </c>
      <c r="X26" s="4">
        <v>19</v>
      </c>
      <c r="Y26" s="4">
        <v>20</v>
      </c>
      <c r="Z26" s="4">
        <v>21</v>
      </c>
      <c r="AA26" s="4">
        <v>22</v>
      </c>
      <c r="AB26" s="4">
        <v>23</v>
      </c>
      <c r="AC26" s="4">
        <v>24</v>
      </c>
      <c r="AD26" s="4">
        <v>25</v>
      </c>
      <c r="AE26" s="4">
        <v>26</v>
      </c>
      <c r="AF26" s="4">
        <v>27</v>
      </c>
      <c r="AG26" s="4">
        <v>28</v>
      </c>
      <c r="AH26" s="4">
        <v>29</v>
      </c>
      <c r="AI26" s="4">
        <v>30</v>
      </c>
      <c r="AJ26" s="4">
        <v>31</v>
      </c>
      <c r="AK26" s="4">
        <v>32</v>
      </c>
      <c r="AL26" s="4">
        <v>33</v>
      </c>
      <c r="AM26" s="4">
        <v>34</v>
      </c>
      <c r="AN26" s="4">
        <v>35</v>
      </c>
      <c r="AO26" s="4">
        <v>36</v>
      </c>
      <c r="AP26" s="4">
        <v>37</v>
      </c>
      <c r="AQ26" s="4">
        <v>38</v>
      </c>
      <c r="AR26" s="4">
        <v>39</v>
      </c>
      <c r="AS26" s="4">
        <v>40</v>
      </c>
      <c r="AT26" s="4">
        <v>41</v>
      </c>
      <c r="AU26" s="4">
        <v>42</v>
      </c>
      <c r="AV26" s="4">
        <v>43</v>
      </c>
      <c r="AW26" s="4">
        <v>44</v>
      </c>
      <c r="AX26" s="4">
        <v>45</v>
      </c>
      <c r="AY26" s="4">
        <v>46</v>
      </c>
      <c r="AZ26" s="4">
        <v>47</v>
      </c>
      <c r="BA26" s="4">
        <v>48</v>
      </c>
      <c r="BB26" s="4">
        <v>49</v>
      </c>
      <c r="BC26" s="4">
        <v>50</v>
      </c>
      <c r="BD26" s="4">
        <v>51</v>
      </c>
      <c r="BE26" s="4">
        <v>52</v>
      </c>
      <c r="BF26" s="4">
        <v>53</v>
      </c>
      <c r="BG26" s="4">
        <v>54</v>
      </c>
      <c r="BH26" s="4">
        <v>55</v>
      </c>
      <c r="BI26" s="4">
        <v>56</v>
      </c>
      <c r="BJ26" s="4">
        <v>57</v>
      </c>
      <c r="BK26" s="4">
        <v>58</v>
      </c>
      <c r="BL26" s="4">
        <v>59</v>
      </c>
      <c r="BM26" s="4">
        <v>60</v>
      </c>
      <c r="BN26" s="4">
        <v>61</v>
      </c>
      <c r="BO26" s="4">
        <v>62</v>
      </c>
      <c r="BP26" s="4">
        <v>63</v>
      </c>
      <c r="BQ26" s="4">
        <v>64</v>
      </c>
      <c r="BR26" s="4">
        <v>65</v>
      </c>
      <c r="BS26" s="4">
        <v>66</v>
      </c>
      <c r="BT26" s="4">
        <v>67</v>
      </c>
      <c r="BU26" s="4">
        <v>68</v>
      </c>
      <c r="BV26" s="4">
        <v>69</v>
      </c>
      <c r="BW26" s="4">
        <v>70</v>
      </c>
      <c r="BX26" s="4">
        <v>71</v>
      </c>
      <c r="BY26" s="4">
        <v>72</v>
      </c>
      <c r="BZ26" s="4">
        <v>73</v>
      </c>
      <c r="CA26" s="4">
        <v>74</v>
      </c>
      <c r="CB26" s="4">
        <v>75</v>
      </c>
      <c r="CC26" s="4">
        <v>76</v>
      </c>
      <c r="CD26" s="4">
        <v>77</v>
      </c>
      <c r="CE26" s="4">
        <v>78</v>
      </c>
      <c r="CF26" s="4">
        <v>79</v>
      </c>
      <c r="CG26" s="4">
        <v>80</v>
      </c>
      <c r="CH26" s="4">
        <v>81</v>
      </c>
      <c r="CI26" s="4">
        <v>82</v>
      </c>
      <c r="CJ26" s="4">
        <v>83</v>
      </c>
      <c r="CK26" s="4">
        <v>84</v>
      </c>
      <c r="CL26" s="4">
        <v>85</v>
      </c>
      <c r="CM26" s="4">
        <v>86</v>
      </c>
      <c r="CN26" s="4">
        <v>87</v>
      </c>
      <c r="CO26" s="4">
        <v>88</v>
      </c>
      <c r="CP26" s="4">
        <v>89</v>
      </c>
      <c r="CQ26" s="4">
        <v>90</v>
      </c>
      <c r="CR26" s="4">
        <v>91</v>
      </c>
      <c r="CS26" s="4">
        <v>92</v>
      </c>
      <c r="CT26" s="4">
        <v>93</v>
      </c>
      <c r="CU26" s="4">
        <v>94</v>
      </c>
      <c r="CV26" s="4">
        <v>95</v>
      </c>
      <c r="CW26" s="4">
        <v>96</v>
      </c>
      <c r="CX26" s="4">
        <v>97</v>
      </c>
    </row>
    <row r="27" spans="1:103" x14ac:dyDescent="0.3">
      <c r="D27" s="4" t="s">
        <v>377</v>
      </c>
      <c r="E27" s="125">
        <f>E3-E8</f>
        <v>-397661351</v>
      </c>
      <c r="F27" s="125">
        <f>F2-F4-SUM(F6:F9)-F19-F20</f>
        <v>31624031.130120602</v>
      </c>
      <c r="G27" s="125">
        <f t="shared" ref="G27:BR27" si="12">G2-G4-SUM(G6:G9)-G19-G20</f>
        <v>-11488098.307319509</v>
      </c>
      <c r="H27" s="125">
        <f t="shared" si="12"/>
        <v>-3789961.9873195016</v>
      </c>
      <c r="I27" s="125">
        <f t="shared" si="12"/>
        <v>200210650.49268034</v>
      </c>
      <c r="J27" s="125">
        <f t="shared" si="12"/>
        <v>60876949.146120518</v>
      </c>
      <c r="K27" s="125">
        <f t="shared" si="12"/>
        <v>-19186234.627319518</v>
      </c>
      <c r="L27" s="125">
        <f t="shared" si="12"/>
        <v>-7639030.1473194985</v>
      </c>
      <c r="M27" s="125">
        <f t="shared" si="12"/>
        <v>3908174.3326805211</v>
      </c>
      <c r="N27" s="125">
        <f t="shared" si="12"/>
        <v>92436742.012680322</v>
      </c>
      <c r="O27" s="125">
        <f t="shared" si="12"/>
        <v>59106.172680464864</v>
      </c>
      <c r="P27" s="125">
        <f t="shared" si="12"/>
        <v>30851651.452680435</v>
      </c>
      <c r="Q27" s="125">
        <f t="shared" si="12"/>
        <v>792967147.13268018</v>
      </c>
      <c r="R27" s="125">
        <f t="shared" si="12"/>
        <v>10222934.882728068</v>
      </c>
      <c r="S27" s="125">
        <f t="shared" si="12"/>
        <v>-12345561.86254126</v>
      </c>
      <c r="T27" s="125">
        <f t="shared" si="12"/>
        <v>-4990410.9646299211</v>
      </c>
      <c r="U27" s="125">
        <f t="shared" si="12"/>
        <v>189921087.83001986</v>
      </c>
      <c r="V27" s="125">
        <f t="shared" si="12"/>
        <v>56795308.294791102</v>
      </c>
      <c r="W27" s="125">
        <f t="shared" si="12"/>
        <v>-19700712.760452557</v>
      </c>
      <c r="X27" s="125">
        <f t="shared" si="12"/>
        <v>-8667986.4135855753</v>
      </c>
      <c r="Y27" s="125">
        <f t="shared" si="12"/>
        <v>2364739.9332813895</v>
      </c>
      <c r="Z27" s="125">
        <f t="shared" si="12"/>
        <v>86948975.25926131</v>
      </c>
      <c r="AA27" s="125">
        <f t="shared" si="12"/>
        <v>-1312835.5156742882</v>
      </c>
      <c r="AB27" s="125">
        <f t="shared" si="12"/>
        <v>28107768.075970929</v>
      </c>
      <c r="AC27" s="125">
        <f t="shared" si="12"/>
        <v>756267706.96919084</v>
      </c>
      <c r="AD27" s="125">
        <f t="shared" si="12"/>
        <v>7444846.4928769143</v>
      </c>
      <c r="AE27" s="125">
        <f t="shared" si="12"/>
        <v>-13202961.266840799</v>
      </c>
      <c r="AF27" s="125">
        <f t="shared" si="12"/>
        <v>-6190770.1306493012</v>
      </c>
      <c r="AG27" s="125">
        <f t="shared" si="12"/>
        <v>179632294.97842523</v>
      </c>
      <c r="AH27" s="125">
        <f t="shared" si="12"/>
        <v>52713972.81040448</v>
      </c>
      <c r="AI27" s="125">
        <f t="shared" si="12"/>
        <v>-20215152.403032299</v>
      </c>
      <c r="AJ27" s="125">
        <f t="shared" si="12"/>
        <v>-9696865.6987450551</v>
      </c>
      <c r="AK27" s="125">
        <f t="shared" si="12"/>
        <v>821421.00554215652</v>
      </c>
      <c r="AL27" s="125">
        <f t="shared" si="12"/>
        <v>81461619.071744174</v>
      </c>
      <c r="AM27" s="125">
        <f t="shared" si="12"/>
        <v>-2684674.562553572</v>
      </c>
      <c r="AN27" s="125">
        <f t="shared" si="12"/>
        <v>25364089.982212361</v>
      </c>
      <c r="AO27" s="125">
        <f t="shared" si="12"/>
        <v>719571012.46516919</v>
      </c>
      <c r="AP27" s="125">
        <f t="shared" si="12"/>
        <v>4666758.1030257912</v>
      </c>
      <c r="AQ27" s="125">
        <f t="shared" si="12"/>
        <v>-14060360.671140386</v>
      </c>
      <c r="AR27" s="125">
        <f t="shared" si="12"/>
        <v>-7391129.2966687335</v>
      </c>
      <c r="AS27" s="125">
        <f t="shared" si="12"/>
        <v>169343502.12683019</v>
      </c>
      <c r="AT27" s="125">
        <f t="shared" si="12"/>
        <v>48632637.326018035</v>
      </c>
      <c r="AU27" s="125">
        <f t="shared" si="12"/>
        <v>-20729592.045612041</v>
      </c>
      <c r="AV27" s="125">
        <f t="shared" si="12"/>
        <v>-10725744.983904572</v>
      </c>
      <c r="AW27" s="125">
        <f t="shared" si="12"/>
        <v>-721897.92219707626</v>
      </c>
      <c r="AX27" s="125">
        <f t="shared" si="12"/>
        <v>75974262.884226859</v>
      </c>
      <c r="AY27" s="125">
        <f t="shared" si="12"/>
        <v>-4056513.6094329306</v>
      </c>
      <c r="AZ27" s="125">
        <f t="shared" si="12"/>
        <v>22620411.888453703</v>
      </c>
      <c r="BA27" s="125">
        <f t="shared" si="12"/>
        <v>682874317.96114779</v>
      </c>
      <c r="BB27" s="125">
        <f t="shared" si="12"/>
        <v>1888669.7131746088</v>
      </c>
      <c r="BC27" s="125">
        <f t="shared" si="12"/>
        <v>-14917760.075439939</v>
      </c>
      <c r="BD27" s="125">
        <f t="shared" si="12"/>
        <v>-8591488.4626880903</v>
      </c>
      <c r="BE27" s="125">
        <f t="shared" si="12"/>
        <v>159054709.27523538</v>
      </c>
      <c r="BF27" s="125">
        <f t="shared" si="12"/>
        <v>44551301.841631487</v>
      </c>
      <c r="BG27" s="125">
        <f t="shared" si="12"/>
        <v>-21244031.688191775</v>
      </c>
      <c r="BH27" s="125">
        <f t="shared" si="12"/>
        <v>-11754624.269064022</v>
      </c>
      <c r="BI27" s="125">
        <f t="shared" si="12"/>
        <v>-2265216.8499362492</v>
      </c>
      <c r="BJ27" s="125">
        <f t="shared" si="12"/>
        <v>70486906.696709752</v>
      </c>
      <c r="BK27" s="125">
        <f t="shared" si="12"/>
        <v>-5428352.6563121779</v>
      </c>
      <c r="BL27" s="125">
        <f t="shared" si="12"/>
        <v>19876733.79469515</v>
      </c>
      <c r="BM27" s="125">
        <f t="shared" si="12"/>
        <v>646177623.45712709</v>
      </c>
      <c r="BN27" s="125">
        <f t="shared" si="12"/>
        <v>-889418.67667652923</v>
      </c>
      <c r="BO27" s="125">
        <f t="shared" si="12"/>
        <v>-15775159.479739493</v>
      </c>
      <c r="BP27" s="125">
        <f t="shared" si="12"/>
        <v>-9791847.6287075188</v>
      </c>
      <c r="BQ27" s="125">
        <f t="shared" si="12"/>
        <v>148765916.42364076</v>
      </c>
      <c r="BR27" s="125">
        <f t="shared" si="12"/>
        <v>40469966.357245088</v>
      </c>
      <c r="BS27" s="125">
        <f t="shared" ref="BS27:CY27" si="13">BS2-BS4-SUM(BS6:BS9)-BS19-BS20</f>
        <v>-21758471.330771517</v>
      </c>
      <c r="BT27" s="125">
        <f t="shared" si="13"/>
        <v>-12783503.554223506</v>
      </c>
      <c r="BU27" s="125">
        <f t="shared" si="13"/>
        <v>-3808535.777675482</v>
      </c>
      <c r="BV27" s="125">
        <f t="shared" si="13"/>
        <v>64999550.509192616</v>
      </c>
      <c r="BW27" s="125">
        <f t="shared" si="13"/>
        <v>-6800191.7031914918</v>
      </c>
      <c r="BX27" s="125">
        <f t="shared" si="13"/>
        <v>17133055.700936582</v>
      </c>
      <c r="BY27" s="125">
        <f t="shared" si="13"/>
        <v>609480928.95310545</v>
      </c>
      <c r="BZ27" s="125">
        <f t="shared" si="13"/>
        <v>-3667507.066527667</v>
      </c>
      <c r="CA27" s="125">
        <f t="shared" si="13"/>
        <v>-16632558.884039061</v>
      </c>
      <c r="CB27" s="125">
        <f t="shared" si="13"/>
        <v>-10992206.794726873</v>
      </c>
      <c r="CC27" s="125">
        <f t="shared" si="13"/>
        <v>138477123.57204607</v>
      </c>
      <c r="CD27" s="125">
        <f t="shared" si="13"/>
        <v>36388630.872858539</v>
      </c>
      <c r="CE27" s="125">
        <f t="shared" si="13"/>
        <v>-22272910.973351255</v>
      </c>
      <c r="CF27" s="125">
        <f t="shared" si="13"/>
        <v>-13812382.839382986</v>
      </c>
      <c r="CG27" s="125">
        <f t="shared" si="13"/>
        <v>-5351854.7054147227</v>
      </c>
      <c r="CH27" s="125">
        <f t="shared" si="13"/>
        <v>59512194.321675241</v>
      </c>
      <c r="CI27" s="125">
        <f t="shared" si="13"/>
        <v>-8172030.7500708355</v>
      </c>
      <c r="CJ27" s="125">
        <f t="shared" si="13"/>
        <v>14389377.607177896</v>
      </c>
      <c r="CK27" s="125">
        <f t="shared" si="13"/>
        <v>572784234.44908381</v>
      </c>
      <c r="CL27" s="125">
        <f t="shared" si="13"/>
        <v>-6445452.4209000496</v>
      </c>
      <c r="CM27" s="125">
        <f t="shared" si="13"/>
        <v>-17489914.143402565</v>
      </c>
      <c r="CN27" s="125">
        <f t="shared" si="13"/>
        <v>-12192504.157835783</v>
      </c>
      <c r="CO27" s="125">
        <f t="shared" si="13"/>
        <v>128188860.45968384</v>
      </c>
      <c r="CP27" s="125">
        <f t="shared" si="13"/>
        <v>32307505.524253767</v>
      </c>
      <c r="CQ27" s="125">
        <f t="shared" si="13"/>
        <v>-22787324.128969342</v>
      </c>
      <c r="CR27" s="125">
        <f t="shared" si="13"/>
        <v>-14841209.150619159</v>
      </c>
      <c r="CS27" s="125">
        <f t="shared" si="13"/>
        <v>-6895094.1722690267</v>
      </c>
      <c r="CT27" s="125">
        <f t="shared" si="13"/>
        <v>54025120.661749005</v>
      </c>
      <c r="CU27" s="125">
        <f t="shared" si="13"/>
        <v>-9543799.1650523636</v>
      </c>
      <c r="CV27" s="125">
        <f t="shared" si="13"/>
        <v>11645840.777214779</v>
      </c>
      <c r="CW27" s="125">
        <f t="shared" si="13"/>
        <v>536089429.34832644</v>
      </c>
      <c r="CX27" s="125">
        <f t="shared" si="13"/>
        <v>-6445452.4209000496</v>
      </c>
      <c r="CY27" s="125"/>
    </row>
    <row r="28" spans="1:103" x14ac:dyDescent="0.3">
      <c r="D28" s="4" t="s">
        <v>384</v>
      </c>
      <c r="E28" s="125">
        <f>E27</f>
        <v>-397661351</v>
      </c>
      <c r="F28" s="125">
        <f>E28+F27</f>
        <v>-366037319.86987942</v>
      </c>
      <c r="G28" s="125">
        <f t="shared" ref="G28:M28" si="14">F28+G27</f>
        <v>-377525418.17719895</v>
      </c>
      <c r="H28" s="125">
        <f t="shared" si="14"/>
        <v>-381315380.16451848</v>
      </c>
      <c r="I28" s="125">
        <f t="shared" si="14"/>
        <v>-181104729.67183813</v>
      </c>
      <c r="J28" s="125">
        <f t="shared" si="14"/>
        <v>-120227780.52571762</v>
      </c>
      <c r="K28" s="125">
        <f t="shared" si="14"/>
        <v>-139414015.15303713</v>
      </c>
      <c r="L28" s="125">
        <f t="shared" si="14"/>
        <v>-147053045.30035663</v>
      </c>
      <c r="M28" s="125">
        <f t="shared" si="14"/>
        <v>-143144870.9676761</v>
      </c>
      <c r="N28" s="125">
        <f t="shared" ref="N28" si="15">M28+N27</f>
        <v>-50708128.954995781</v>
      </c>
      <c r="O28" s="125">
        <f t="shared" ref="O28" si="16">N28+O27</f>
        <v>-50649022.782315314</v>
      </c>
      <c r="P28" s="125">
        <f t="shared" ref="P28" si="17">O28+P27</f>
        <v>-19797371.329634879</v>
      </c>
      <c r="Q28" s="125">
        <f t="shared" ref="Q28" si="18">P28+Q27</f>
        <v>773169775.80304527</v>
      </c>
      <c r="R28" s="125">
        <f t="shared" ref="R28" si="19">Q28+R27</f>
        <v>783392710.68577337</v>
      </c>
      <c r="S28" s="125">
        <f t="shared" ref="S28" si="20">R28+S27</f>
        <v>771047148.82323205</v>
      </c>
      <c r="T28" s="125">
        <f t="shared" ref="T28" si="21">S28+T27</f>
        <v>766056737.85860217</v>
      </c>
      <c r="U28" s="125">
        <f t="shared" ref="U28" si="22">T28+U27</f>
        <v>955977825.688622</v>
      </c>
      <c r="V28" s="125">
        <f t="shared" ref="V28" si="23">U28+V27</f>
        <v>1012773133.9834131</v>
      </c>
      <c r="W28" s="125">
        <f t="shared" ref="W28" si="24">V28+W27</f>
        <v>993072421.22296059</v>
      </c>
      <c r="X28" s="125">
        <f t="shared" ref="X28" si="25">W28+X27</f>
        <v>984404434.80937505</v>
      </c>
      <c r="Y28" s="125">
        <f t="shared" ref="Y28" si="26">X28+Y27</f>
        <v>986769174.74265647</v>
      </c>
      <c r="Z28" s="125">
        <f t="shared" ref="Z28" si="27">Y28+Z27</f>
        <v>1073718150.0019178</v>
      </c>
      <c r="AA28" s="125">
        <f t="shared" ref="AA28" si="28">Z28+AA27</f>
        <v>1072405314.4862436</v>
      </c>
      <c r="AB28" s="125">
        <f t="shared" ref="AB28" si="29">AA28+AB27</f>
        <v>1100513082.5622146</v>
      </c>
      <c r="AC28" s="125">
        <f t="shared" ref="AC28" si="30">AB28+AC27</f>
        <v>1856780789.5314054</v>
      </c>
      <c r="AD28" s="125">
        <f t="shared" ref="AD28" si="31">AC28+AD27</f>
        <v>1864225636.0242825</v>
      </c>
      <c r="AE28" s="125">
        <f t="shared" ref="AE28" si="32">AD28+AE27</f>
        <v>1851022674.7574418</v>
      </c>
      <c r="AF28" s="125">
        <f t="shared" ref="AF28" si="33">AE28+AF27</f>
        <v>1844831904.6267924</v>
      </c>
      <c r="AG28" s="125">
        <f t="shared" ref="AG28" si="34">AF28+AG27</f>
        <v>2024464199.6052177</v>
      </c>
      <c r="AH28" s="125">
        <f t="shared" ref="AH28" si="35">AG28+AH27</f>
        <v>2077178172.4156222</v>
      </c>
      <c r="AI28" s="125">
        <f t="shared" ref="AI28" si="36">AH28+AI27</f>
        <v>2056963020.0125899</v>
      </c>
      <c r="AJ28" s="125">
        <f t="shared" ref="AJ28" si="37">AI28+AJ27</f>
        <v>2047266154.3138449</v>
      </c>
      <c r="AK28" s="125">
        <f t="shared" ref="AK28" si="38">AJ28+AK27</f>
        <v>2048087575.319387</v>
      </c>
      <c r="AL28" s="125">
        <f t="shared" ref="AL28" si="39">AK28+AL27</f>
        <v>2129549194.3911312</v>
      </c>
      <c r="AM28" s="125">
        <f t="shared" ref="AM28" si="40">AL28+AM27</f>
        <v>2126864519.8285775</v>
      </c>
      <c r="AN28" s="125">
        <f t="shared" ref="AN28" si="41">AM28+AN27</f>
        <v>2152228609.8107901</v>
      </c>
      <c r="AO28" s="125">
        <f t="shared" ref="AO28" si="42">AN28+AO27</f>
        <v>2871799622.275959</v>
      </c>
      <c r="AP28" s="125">
        <f t="shared" ref="AP28" si="43">AO28+AP27</f>
        <v>2876466380.3789849</v>
      </c>
      <c r="AQ28" s="125">
        <f t="shared" ref="AQ28" si="44">AP28+AQ27</f>
        <v>2862406019.7078447</v>
      </c>
      <c r="AR28" s="125">
        <f t="shared" ref="AR28" si="45">AQ28+AR27</f>
        <v>2855014890.4111762</v>
      </c>
      <c r="AS28" s="125">
        <f t="shared" ref="AS28" si="46">AR28+AS27</f>
        <v>3024358392.5380063</v>
      </c>
      <c r="AT28" s="125">
        <f t="shared" ref="AT28" si="47">AS28+AT27</f>
        <v>3072991029.8640242</v>
      </c>
      <c r="AU28" s="125">
        <f t="shared" ref="AU28" si="48">AT28+AU27</f>
        <v>3052261437.8184123</v>
      </c>
      <c r="AV28" s="125">
        <f t="shared" ref="AV28" si="49">AU28+AV27</f>
        <v>3041535692.8345079</v>
      </c>
      <c r="AW28" s="125">
        <f t="shared" ref="AW28" si="50">AV28+AW27</f>
        <v>3040813794.9123111</v>
      </c>
      <c r="AX28" s="125">
        <f t="shared" ref="AX28" si="51">AW28+AX27</f>
        <v>3116788057.7965379</v>
      </c>
      <c r="AY28" s="125">
        <f t="shared" ref="AY28" si="52">AX28+AY27</f>
        <v>3112731544.1871052</v>
      </c>
      <c r="AZ28" s="125">
        <f t="shared" ref="AZ28" si="53">AY28+AZ27</f>
        <v>3135351956.0755587</v>
      </c>
      <c r="BA28" s="125">
        <f t="shared" ref="BA28" si="54">AZ28+BA27</f>
        <v>3818226274.0367064</v>
      </c>
      <c r="BB28" s="125">
        <f t="shared" ref="BB28" si="55">BA28+BB27</f>
        <v>3820114943.7498813</v>
      </c>
      <c r="BC28" s="125">
        <f t="shared" ref="BC28" si="56">BB28+BC27</f>
        <v>3805197183.6744413</v>
      </c>
      <c r="BD28" s="125">
        <f t="shared" ref="BD28" si="57">BC28+BD27</f>
        <v>3796605695.2117534</v>
      </c>
      <c r="BE28" s="125">
        <f t="shared" ref="BE28" si="58">BD28+BE27</f>
        <v>3955660404.4869885</v>
      </c>
      <c r="BF28" s="125">
        <f t="shared" ref="BF28" si="59">BE28+BF27</f>
        <v>4000211706.32862</v>
      </c>
      <c r="BG28" s="125">
        <f t="shared" ref="BG28" si="60">BF28+BG27</f>
        <v>3978967674.6404281</v>
      </c>
      <c r="BH28" s="125">
        <f t="shared" ref="BH28" si="61">BG28+BH27</f>
        <v>3967213050.3713641</v>
      </c>
      <c r="BI28" s="125">
        <f t="shared" ref="BI28" si="62">BH28+BI27</f>
        <v>3964947833.5214276</v>
      </c>
      <c r="BJ28" s="125">
        <f t="shared" ref="BJ28" si="63">BI28+BJ27</f>
        <v>4035434740.2181373</v>
      </c>
      <c r="BK28" s="125">
        <f t="shared" ref="BK28" si="64">BJ28+BK27</f>
        <v>4030006387.5618253</v>
      </c>
      <c r="BL28" s="125">
        <f t="shared" ref="BL28" si="65">BK28+BL27</f>
        <v>4049883121.3565207</v>
      </c>
      <c r="BM28" s="125">
        <f t="shared" ref="BM28" si="66">BL28+BM27</f>
        <v>4696060744.8136482</v>
      </c>
      <c r="BN28" s="125">
        <f t="shared" ref="BN28" si="67">BM28+BN27</f>
        <v>4695171326.1369715</v>
      </c>
      <c r="BO28" s="125">
        <f t="shared" ref="BO28" si="68">BN28+BO27</f>
        <v>4679396166.6572323</v>
      </c>
      <c r="BP28" s="125">
        <f t="shared" ref="BP28" si="69">BO28+BP27</f>
        <v>4669604319.0285244</v>
      </c>
      <c r="BQ28" s="125">
        <f t="shared" ref="BQ28" si="70">BP28+BQ27</f>
        <v>4818370235.4521656</v>
      </c>
      <c r="BR28" s="125">
        <f t="shared" ref="BR28" si="71">BQ28+BR27</f>
        <v>4858840201.809411</v>
      </c>
      <c r="BS28" s="125">
        <f t="shared" ref="BS28" si="72">BR28+BS27</f>
        <v>4837081730.4786396</v>
      </c>
      <c r="BT28" s="125">
        <f t="shared" ref="BT28" si="73">BS28+BT27</f>
        <v>4824298226.9244165</v>
      </c>
      <c r="BU28" s="125">
        <f t="shared" ref="BU28" si="74">BT28+BU27</f>
        <v>4820489691.1467409</v>
      </c>
      <c r="BV28" s="125">
        <f t="shared" ref="BV28" si="75">BU28+BV27</f>
        <v>4885489241.6559334</v>
      </c>
      <c r="BW28" s="125">
        <f t="shared" ref="BW28" si="76">BV28+BW27</f>
        <v>4878689049.9527416</v>
      </c>
      <c r="BX28" s="125">
        <f t="shared" ref="BX28" si="77">BW28+BX27</f>
        <v>4895822105.6536779</v>
      </c>
      <c r="BY28" s="125">
        <f t="shared" ref="BY28" si="78">BX28+BY27</f>
        <v>5505303034.6067829</v>
      </c>
      <c r="BZ28" s="125">
        <f t="shared" ref="BZ28" si="79">BY28+BZ27</f>
        <v>5501635527.5402555</v>
      </c>
      <c r="CA28" s="125">
        <f t="shared" ref="CA28" si="80">BZ28+CA27</f>
        <v>5485002968.6562166</v>
      </c>
      <c r="CB28" s="125">
        <f t="shared" ref="CB28" si="81">CA28+CB27</f>
        <v>5474010761.8614893</v>
      </c>
      <c r="CC28" s="125">
        <f t="shared" ref="CC28" si="82">CB28+CC27</f>
        <v>5612487885.4335356</v>
      </c>
      <c r="CD28" s="125">
        <f t="shared" ref="CD28" si="83">CC28+CD27</f>
        <v>5648876516.3063946</v>
      </c>
      <c r="CE28" s="125">
        <f t="shared" ref="CE28" si="84">CD28+CE27</f>
        <v>5626603605.3330431</v>
      </c>
      <c r="CF28" s="125">
        <f t="shared" ref="CF28" si="85">CE28+CF27</f>
        <v>5612791222.49366</v>
      </c>
      <c r="CG28" s="125">
        <f t="shared" ref="CG28" si="86">CF28+CG27</f>
        <v>5607439367.7882452</v>
      </c>
      <c r="CH28" s="125">
        <f t="shared" ref="CH28" si="87">CG28+CH27</f>
        <v>5666951562.1099205</v>
      </c>
      <c r="CI28" s="125">
        <f t="shared" ref="CI28" si="88">CH28+CI27</f>
        <v>5658779531.3598499</v>
      </c>
      <c r="CJ28" s="125">
        <f t="shared" ref="CJ28" si="89">CI28+CJ27</f>
        <v>5673168908.9670277</v>
      </c>
      <c r="CK28" s="125">
        <f t="shared" ref="CK28" si="90">CJ28+CK27</f>
        <v>6245953143.416111</v>
      </c>
      <c r="CL28" s="125">
        <f t="shared" ref="CL28" si="91">CK28+CL27</f>
        <v>6239507690.9952106</v>
      </c>
      <c r="CM28" s="125">
        <f t="shared" ref="CM28" si="92">CL28+CM27</f>
        <v>6222017776.8518085</v>
      </c>
      <c r="CN28" s="125">
        <f t="shared" ref="CN28" si="93">CM28+CN27</f>
        <v>6209825272.6939726</v>
      </c>
      <c r="CO28" s="125">
        <f t="shared" ref="CO28" si="94">CN28+CO27</f>
        <v>6338014133.153656</v>
      </c>
      <c r="CP28" s="125">
        <f t="shared" ref="CP28" si="95">CO28+CP27</f>
        <v>6370321638.6779099</v>
      </c>
      <c r="CQ28" s="125">
        <f t="shared" ref="CQ28" si="96">CP28+CQ27</f>
        <v>6347534314.5489407</v>
      </c>
      <c r="CR28" s="125">
        <f t="shared" ref="CR28" si="97">CQ28+CR27</f>
        <v>6332693105.3983212</v>
      </c>
      <c r="CS28" s="125">
        <f t="shared" ref="CS28" si="98">CR28+CS27</f>
        <v>6325798011.2260523</v>
      </c>
      <c r="CT28" s="125">
        <f t="shared" ref="CT28" si="99">CS28+CT27</f>
        <v>6379823131.8878012</v>
      </c>
      <c r="CU28" s="125">
        <f t="shared" ref="CU28" si="100">CT28+CU27</f>
        <v>6370279332.7227488</v>
      </c>
      <c r="CV28" s="125">
        <f t="shared" ref="CV28" si="101">CU28+CV27</f>
        <v>6381925173.4999638</v>
      </c>
      <c r="CW28" s="125">
        <f t="shared" ref="CW28" si="102">CV28+CW27</f>
        <v>6918014602.8482904</v>
      </c>
      <c r="CX28" s="125">
        <f t="shared" ref="CX28" si="103">CW28+CX27</f>
        <v>6911569150.4273901</v>
      </c>
    </row>
    <row r="30" spans="1:103" x14ac:dyDescent="0.3">
      <c r="B30" t="s">
        <v>378</v>
      </c>
      <c r="C30" s="240">
        <f>IRR(E27:CX27)</f>
        <v>0.15028285317298584</v>
      </c>
    </row>
    <row r="31" spans="1:103" x14ac:dyDescent="0.3">
      <c r="B31" t="s">
        <v>382</v>
      </c>
      <c r="C31" t="s">
        <v>399</v>
      </c>
      <c r="D31" t="s">
        <v>400</v>
      </c>
    </row>
    <row r="32" spans="1:103" x14ac:dyDescent="0.3">
      <c r="B32" t="s">
        <v>398</v>
      </c>
      <c r="C32" s="108">
        <f>(W28+E28)/-(E28)</f>
        <v>1.4972817165301051</v>
      </c>
      <c r="D32" t="s">
        <v>405</v>
      </c>
    </row>
    <row r="33" spans="2:4" x14ac:dyDescent="0.3">
      <c r="B33" t="s">
        <v>401</v>
      </c>
      <c r="C33" s="257">
        <f>NPV(0.12,F27:CX27)+E27</f>
        <v>138815292.94301748</v>
      </c>
      <c r="D33" t="s">
        <v>402</v>
      </c>
    </row>
    <row r="35" spans="2:4" x14ac:dyDescent="0.3">
      <c r="B35" t="s">
        <v>404</v>
      </c>
      <c r="C35" s="258">
        <v>5.8999999999999997E-2</v>
      </c>
      <c r="D35" t="s">
        <v>403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3B59-38CD-4716-9820-9C1BDE643913}">
  <dimension ref="A1:M27"/>
  <sheetViews>
    <sheetView tabSelected="1" zoomScale="94" workbookViewId="0">
      <selection activeCell="G15" sqref="G15"/>
    </sheetView>
  </sheetViews>
  <sheetFormatPr defaultColWidth="11.5546875" defaultRowHeight="14.4" x14ac:dyDescent="0.3"/>
  <cols>
    <col min="1" max="1" width="13.88671875" bestFit="1" customWidth="1"/>
    <col min="2" max="2" width="18.88671875" bestFit="1" customWidth="1"/>
    <col min="3" max="4" width="18.88671875" customWidth="1"/>
    <col min="5" max="5" width="30.88671875" bestFit="1" customWidth="1"/>
    <col min="7" max="7" width="18.5546875" bestFit="1" customWidth="1"/>
  </cols>
  <sheetData>
    <row r="1" spans="1:13" ht="15" thickBot="1" x14ac:dyDescent="0.35">
      <c r="A1" s="238" t="s">
        <v>218</v>
      </c>
      <c r="B1" s="239"/>
      <c r="C1" s="182" t="s">
        <v>139</v>
      </c>
      <c r="D1" s="182" t="s">
        <v>90</v>
      </c>
      <c r="E1" s="183" t="s">
        <v>252</v>
      </c>
    </row>
    <row r="2" spans="1:13" x14ac:dyDescent="0.3">
      <c r="A2" s="168" t="s">
        <v>108</v>
      </c>
      <c r="B2" s="135"/>
      <c r="C2" s="135"/>
      <c r="D2" s="135"/>
      <c r="E2" s="169">
        <f>('Salarios e Ingresos Figuras'!C6*'Salarios e Ingresos Figuras'!C11+'Salarios e Ingresos Figuras'!F6*'Salarios e Ingresos Figuras'!F11+'Salarios e Ingresos Figuras'!I11*'Salarios e Ingresos Figuras'!I6)*12</f>
        <v>12047616000</v>
      </c>
      <c r="H2" t="s">
        <v>117</v>
      </c>
      <c r="I2" t="s">
        <v>118</v>
      </c>
    </row>
    <row r="3" spans="1:13" x14ac:dyDescent="0.3">
      <c r="A3" s="112" t="s">
        <v>109</v>
      </c>
      <c r="E3" s="170">
        <f>SUM(E4:E7)</f>
        <v>8541382147.1999989</v>
      </c>
      <c r="I3" t="s">
        <v>137</v>
      </c>
      <c r="J3">
        <v>4138.3999999999996</v>
      </c>
    </row>
    <row r="4" spans="1:13" x14ac:dyDescent="0.3">
      <c r="A4" s="112"/>
      <c r="B4" t="s">
        <v>110</v>
      </c>
      <c r="C4" s="165">
        <f>'Salarios e Ingresos Figuras'!H17</f>
        <v>125000</v>
      </c>
      <c r="D4" s="63">
        <f>('Salarios e Ingresos Figuras'!C8+'Salarios e Ingresos Figuras'!F8+'Salarios e Ingresos Figuras'!I8)*12</f>
        <v>29030.399999999998</v>
      </c>
      <c r="E4" s="170">
        <f>C4*D4</f>
        <v>3628799999.9999995</v>
      </c>
      <c r="G4" s="111">
        <f>('Salarios e Ingresos Figuras'!C9+'Salarios e Ingresos Figuras'!F9+'Salarios e Ingresos Figuras'!I9)*12</f>
        <v>3628800000</v>
      </c>
    </row>
    <row r="5" spans="1:13" x14ac:dyDescent="0.3">
      <c r="A5" s="112"/>
      <c r="B5" t="s">
        <v>387</v>
      </c>
      <c r="C5" s="99">
        <f>'Salarios e Ingresos Figuras'!H15*'Salarios e Ingresos Figuras'!H16</f>
        <v>2069.1999999999998</v>
      </c>
      <c r="D5">
        <f>('Salarios e Ingresos Figuras'!C6*'Salarios e Ingresos Figuras'!C3+'Salarios e Ingresos Figuras'!F6*'Salarios e Ingresos Figuras'!F3+'Salarios e Ingresos Figuras'!I6*'Salarios e Ingresos Figuras'!I3)*12</f>
        <v>2068416</v>
      </c>
      <c r="E5" s="170">
        <f>C5*D5</f>
        <v>4279966387.1999998</v>
      </c>
      <c r="G5">
        <f>'Calculo Takt'!L22*6</f>
        <v>181440</v>
      </c>
      <c r="H5">
        <f>G5*6</f>
        <v>1088640</v>
      </c>
      <c r="J5">
        <f>('Salarios e Ingresos Figuras'!C6*'Salarios e Ingresos Figuras'!C3+'Salarios e Ingresos Figuras'!F6*'Salarios e Ingresos Figuras'!F3+'Salarios e Ingresos Figuras'!I6*'Salarios e Ingresos Figuras'!I3)*12</f>
        <v>2068416</v>
      </c>
    </row>
    <row r="6" spans="1:13" x14ac:dyDescent="0.3">
      <c r="A6" s="112"/>
      <c r="B6" t="s">
        <v>136</v>
      </c>
      <c r="C6" s="99">
        <f>4500*J3</f>
        <v>18622800</v>
      </c>
      <c r="D6">
        <v>1</v>
      </c>
      <c r="E6" s="170">
        <f>D6*C6</f>
        <v>18622800</v>
      </c>
    </row>
    <row r="7" spans="1:13" x14ac:dyDescent="0.3">
      <c r="A7" s="112"/>
      <c r="B7" t="s">
        <v>231</v>
      </c>
      <c r="C7" s="99">
        <f>'Salarios e Ingresos Figuras'!H19</f>
        <v>1692</v>
      </c>
      <c r="D7">
        <f>'Calculo Takt'!K22</f>
        <v>362880</v>
      </c>
      <c r="E7" s="170">
        <f>D7*C7</f>
        <v>613992960</v>
      </c>
      <c r="G7" t="s">
        <v>379</v>
      </c>
    </row>
    <row r="8" spans="1:13" x14ac:dyDescent="0.3">
      <c r="A8" s="171" t="s">
        <v>112</v>
      </c>
      <c r="B8" s="166" t="s">
        <v>254</v>
      </c>
      <c r="C8" s="167"/>
      <c r="D8" s="166"/>
      <c r="E8" s="172">
        <f>E2-E3</f>
        <v>3506233852.8000011</v>
      </c>
      <c r="G8" s="184">
        <f>E17/E2</f>
        <v>0.25807687381900629</v>
      </c>
    </row>
    <row r="9" spans="1:13" x14ac:dyDescent="0.3">
      <c r="A9" s="112" t="s">
        <v>113</v>
      </c>
      <c r="C9" s="99"/>
      <c r="E9" s="136">
        <f>SUM(E10:E16)</f>
        <v>397022778.54816002</v>
      </c>
    </row>
    <row r="10" spans="1:13" x14ac:dyDescent="0.3">
      <c r="A10" s="112"/>
      <c r="B10" t="s">
        <v>111</v>
      </c>
      <c r="C10" s="99"/>
      <c r="E10" s="136">
        <f>'Salarios e Ingresos Figuras'!E52*12</f>
        <v>6378906.1881600004</v>
      </c>
    </row>
    <row r="11" spans="1:13" x14ac:dyDescent="0.3">
      <c r="A11" s="112"/>
      <c r="B11" t="s">
        <v>114</v>
      </c>
      <c r="C11" s="99"/>
      <c r="E11" s="136">
        <f>'Flujo de caja'!C9*12</f>
        <v>650412.36</v>
      </c>
      <c r="G11" s="99" t="s">
        <v>265</v>
      </c>
    </row>
    <row r="12" spans="1:13" x14ac:dyDescent="0.3">
      <c r="A12" s="112"/>
      <c r="B12" t="s">
        <v>115</v>
      </c>
      <c r="C12" s="99"/>
      <c r="E12" s="136">
        <f>'Salarios e Ingresos Figuras'!H69*12-E13</f>
        <v>291859980</v>
      </c>
      <c r="G12" s="184">
        <f>E27/E2</f>
        <v>4.731716518754508E-4</v>
      </c>
    </row>
    <row r="13" spans="1:13" x14ac:dyDescent="0.3">
      <c r="A13" s="112"/>
      <c r="B13" t="s">
        <v>116</v>
      </c>
      <c r="C13" s="99"/>
      <c r="E13" s="136">
        <f>'Salarios e Ingresos Figuras'!D76*'Salarios e Ingresos Figuras'!G68*12</f>
        <v>36020040</v>
      </c>
    </row>
    <row r="14" spans="1:13" x14ac:dyDescent="0.3">
      <c r="A14" s="112"/>
      <c r="B14" t="s">
        <v>228</v>
      </c>
      <c r="C14" s="99"/>
      <c r="E14" s="136">
        <f>'Flujo de caja'!C8*12</f>
        <v>22800000</v>
      </c>
      <c r="M14">
        <f>587/5000</f>
        <v>0.1174</v>
      </c>
    </row>
    <row r="15" spans="1:13" x14ac:dyDescent="0.3">
      <c r="A15" s="112"/>
      <c r="B15" t="s">
        <v>239</v>
      </c>
      <c r="C15" s="99"/>
      <c r="E15" s="136">
        <f>'Salarios e Ingresos Figuras'!C35</f>
        <v>27313439.999999996</v>
      </c>
    </row>
    <row r="16" spans="1:13" x14ac:dyDescent="0.3">
      <c r="A16" s="112"/>
      <c r="B16" t="s">
        <v>119</v>
      </c>
      <c r="C16" s="99"/>
      <c r="E16" s="113">
        <f>1000000*12</f>
        <v>12000000</v>
      </c>
    </row>
    <row r="17" spans="1:7" x14ac:dyDescent="0.3">
      <c r="A17" s="173" t="s">
        <v>240</v>
      </c>
      <c r="B17" s="174" t="s">
        <v>254</v>
      </c>
      <c r="C17" s="174"/>
      <c r="D17" s="174"/>
      <c r="E17" s="175">
        <f>E8-E10-E11-E12-E13-E14-E16-E15</f>
        <v>3109211074.2518411</v>
      </c>
    </row>
    <row r="18" spans="1:7" x14ac:dyDescent="0.3">
      <c r="A18" s="176" t="s">
        <v>241</v>
      </c>
      <c r="B18" s="161"/>
      <c r="C18" s="161"/>
      <c r="D18" s="161"/>
      <c r="E18" s="177"/>
    </row>
    <row r="19" spans="1:7" x14ac:dyDescent="0.3">
      <c r="A19" s="168"/>
      <c r="B19" s="135" t="s">
        <v>153</v>
      </c>
      <c r="C19" s="135"/>
      <c r="D19" s="135"/>
      <c r="E19" s="178">
        <f>('Flujo de caja'!C4-'Salarios e Ingresos Figuras'!C39-'Salarios e Ingresos Figuras'!C37-'Salarios e Ingresos Figuras'!C35)/10</f>
        <v>24172511.100000001</v>
      </c>
      <c r="G19" t="s">
        <v>251</v>
      </c>
    </row>
    <row r="20" spans="1:7" x14ac:dyDescent="0.3">
      <c r="A20" s="176" t="s">
        <v>243</v>
      </c>
      <c r="B20" s="161"/>
      <c r="C20" s="161"/>
      <c r="D20" s="161"/>
      <c r="E20" s="177"/>
    </row>
    <row r="21" spans="1:7" x14ac:dyDescent="0.3">
      <c r="A21" s="168"/>
      <c r="B21" s="135" t="s">
        <v>239</v>
      </c>
      <c r="C21" s="135"/>
      <c r="D21" s="135"/>
      <c r="E21" s="178">
        <f>E15/10</f>
        <v>2731343.9999999995</v>
      </c>
    </row>
    <row r="22" spans="1:7" x14ac:dyDescent="0.3">
      <c r="A22" s="173" t="s">
        <v>244</v>
      </c>
      <c r="B22" s="174" t="s">
        <v>254</v>
      </c>
      <c r="C22" s="174"/>
      <c r="D22" s="174"/>
      <c r="E22" s="175">
        <f>E17-E19-E21</f>
        <v>3082307219.1518412</v>
      </c>
    </row>
    <row r="23" spans="1:7" x14ac:dyDescent="0.3">
      <c r="A23" s="176" t="s">
        <v>238</v>
      </c>
      <c r="B23" s="161"/>
      <c r="C23" s="161"/>
      <c r="D23" s="161"/>
      <c r="E23" s="186">
        <f>SUM(E24:E26)</f>
        <v>3076606628.7879601</v>
      </c>
    </row>
    <row r="24" spans="1:7" x14ac:dyDescent="0.3">
      <c r="A24" s="112"/>
      <c r="B24" t="s">
        <v>242</v>
      </c>
      <c r="C24" s="162">
        <v>0.25</v>
      </c>
      <c r="E24" s="170">
        <f>E22*C24</f>
        <v>770576804.78796029</v>
      </c>
      <c r="G24" t="s">
        <v>246</v>
      </c>
    </row>
    <row r="25" spans="1:7" x14ac:dyDescent="0.3">
      <c r="A25" s="112"/>
      <c r="B25" t="s">
        <v>247</v>
      </c>
      <c r="C25" s="163">
        <v>1.4E-2</v>
      </c>
      <c r="E25" s="170">
        <f>C25*E2</f>
        <v>168666624</v>
      </c>
      <c r="G25" t="s">
        <v>245</v>
      </c>
    </row>
    <row r="26" spans="1:7" x14ac:dyDescent="0.3">
      <c r="A26" s="168"/>
      <c r="B26" s="135" t="s">
        <v>248</v>
      </c>
      <c r="C26" s="164">
        <v>0.19</v>
      </c>
      <c r="D26" s="135">
        <f>'Calculo Takt'!K22</f>
        <v>362880</v>
      </c>
      <c r="E26" s="169">
        <f>31000*C26*D26</f>
        <v>2137363200</v>
      </c>
      <c r="G26" t="s">
        <v>249</v>
      </c>
    </row>
    <row r="27" spans="1:7" ht="15" thickBot="1" x14ac:dyDescent="0.35">
      <c r="A27" s="179" t="s">
        <v>250</v>
      </c>
      <c r="B27" s="180" t="s">
        <v>254</v>
      </c>
      <c r="C27" s="180"/>
      <c r="D27" s="180"/>
      <c r="E27" s="181">
        <f>E22-E24-E25-E26</f>
        <v>5700590.3638811111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Empresas Col. Figuras</vt:lpstr>
      <vt:lpstr>Produccion proyectada</vt:lpstr>
      <vt:lpstr>Calculo Takt</vt:lpstr>
      <vt:lpstr>Salarios e Ingresos Figuras</vt:lpstr>
      <vt:lpstr>Flujo de caja</vt:lpstr>
      <vt:lpstr>Flujo Ajustado</vt:lpstr>
      <vt:lpstr>Calculo Activos</vt:lpstr>
      <vt:lpstr>'Empresas Col. Figuras'!Print_Area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hernandez</dc:creator>
  <cp:lastModifiedBy>andres hernandez</cp:lastModifiedBy>
  <cp:lastPrinted>2025-01-19T21:13:01Z</cp:lastPrinted>
  <dcterms:created xsi:type="dcterms:W3CDTF">2025-01-18T20:55:50Z</dcterms:created>
  <dcterms:modified xsi:type="dcterms:W3CDTF">2025-03-02T21:03:13Z</dcterms:modified>
</cp:coreProperties>
</file>