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kh\Google Drive\McGill\GradeSchool\TA\PHYS102 - Revamp Project\New Labs\Lab 1 - Capacitance\"/>
    </mc:Choice>
  </mc:AlternateContent>
  <xr:revisionPtr revIDLastSave="0" documentId="10_ncr:100000_{6AA5936F-882D-4839-B72B-E18C13E8FDF3}" xr6:coauthVersionLast="31" xr6:coauthVersionMax="32" xr10:uidLastSave="{00000000-0000-0000-0000-000000000000}"/>
  <bookViews>
    <workbookView xWindow="0" yWindow="0" windowWidth="23040" windowHeight="8530" xr2:uid="{4433C36C-71C2-4442-8E6A-C2AA0B105D28}"/>
  </bookViews>
  <sheets>
    <sheet name="Area" sheetId="1" r:id="rId1"/>
    <sheet name="Distanc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0" i="1"/>
  <c r="I9" i="2" l="1"/>
  <c r="J9" i="2" s="1"/>
  <c r="J8" i="2"/>
  <c r="J10" i="2"/>
  <c r="J11" i="2"/>
  <c r="J12" i="2"/>
  <c r="J7" i="2"/>
  <c r="I8" i="2"/>
  <c r="I10" i="2"/>
  <c r="I11" i="2"/>
  <c r="I12" i="2"/>
  <c r="I7" i="2"/>
  <c r="B7" i="2"/>
  <c r="I2" i="2"/>
  <c r="J3" i="1" l="1"/>
  <c r="J4" i="1"/>
  <c r="J5" i="1"/>
  <c r="J6" i="1"/>
  <c r="J7" i="1"/>
  <c r="J9" i="1"/>
  <c r="J2" i="1"/>
  <c r="Q2" i="1"/>
  <c r="E3" i="1"/>
  <c r="R3" i="1" s="1"/>
  <c r="R4" i="1"/>
  <c r="R5" i="1"/>
  <c r="R6" i="1"/>
  <c r="R7" i="1"/>
  <c r="R9" i="1"/>
  <c r="R2" i="1"/>
  <c r="Q3" i="1"/>
  <c r="Q4" i="1"/>
  <c r="Q5" i="1"/>
  <c r="Q6" i="1"/>
  <c r="Q7" i="1"/>
  <c r="Q9" i="1"/>
  <c r="P3" i="1"/>
  <c r="P4" i="1"/>
  <c r="P5" i="1"/>
  <c r="P6" i="1"/>
  <c r="P7" i="1"/>
  <c r="P9" i="1"/>
  <c r="P2" i="1"/>
  <c r="N2" i="1"/>
  <c r="L2" i="1"/>
  <c r="N3" i="1"/>
  <c r="N4" i="1"/>
  <c r="N5" i="1"/>
  <c r="N6" i="1"/>
  <c r="N7" i="1"/>
  <c r="N9" i="1"/>
  <c r="M3" i="1"/>
  <c r="M4" i="1"/>
  <c r="M5" i="1"/>
  <c r="M6" i="1"/>
  <c r="M7" i="1"/>
  <c r="M9" i="1"/>
  <c r="M2" i="1"/>
  <c r="L3" i="1"/>
  <c r="L4" i="1"/>
  <c r="L5" i="1"/>
  <c r="L6" i="1"/>
  <c r="L7" i="1"/>
  <c r="L9" i="1"/>
  <c r="I2" i="1"/>
  <c r="E2" i="1"/>
  <c r="E8" i="2" l="1"/>
  <c r="E9" i="2"/>
  <c r="E10" i="2"/>
  <c r="E11" i="2"/>
  <c r="E12" i="2"/>
  <c r="E7" i="2"/>
  <c r="C8" i="2"/>
  <c r="C9" i="2"/>
  <c r="C10" i="2"/>
  <c r="C11" i="2"/>
  <c r="C12" i="2"/>
  <c r="C7" i="2"/>
  <c r="H15" i="1"/>
  <c r="H16" i="1" s="1"/>
  <c r="H17" i="1" s="1"/>
  <c r="H18" i="1" s="1"/>
  <c r="H19" i="1" s="1"/>
  <c r="I3" i="1"/>
  <c r="I4" i="1"/>
  <c r="I5" i="1"/>
  <c r="I6" i="1"/>
  <c r="I7" i="1"/>
  <c r="I9" i="1"/>
  <c r="D2" i="1"/>
  <c r="H3" i="1"/>
  <c r="H4" i="1"/>
  <c r="H5" i="1"/>
  <c r="H6" i="1"/>
  <c r="H7" i="1"/>
  <c r="H9" i="1"/>
  <c r="E2" i="2"/>
  <c r="F2" i="2"/>
  <c r="B14" i="1"/>
  <c r="A14" i="1"/>
  <c r="H20" i="1" l="1"/>
  <c r="H21" i="1"/>
  <c r="H2" i="1"/>
  <c r="B12" i="2" l="1"/>
  <c r="D12" i="2" s="1"/>
  <c r="D11" i="2"/>
  <c r="B8" i="2"/>
  <c r="D8" i="2" s="1"/>
  <c r="B9" i="2"/>
  <c r="D9" i="2" s="1"/>
  <c r="B10" i="2"/>
  <c r="D10" i="2" s="1"/>
  <c r="B11" i="2"/>
  <c r="D7" i="2"/>
  <c r="E4" i="1"/>
  <c r="E5" i="1"/>
  <c r="E6" i="1"/>
  <c r="E7" i="1"/>
  <c r="E8" i="1"/>
  <c r="E9" i="1"/>
  <c r="G5" i="1"/>
  <c r="I14" i="1"/>
  <c r="I15" i="1" s="1"/>
  <c r="I16" i="1" s="1"/>
  <c r="I17" i="1" s="1"/>
  <c r="I18" i="1" s="1"/>
  <c r="I19" i="1" s="1"/>
  <c r="D3" i="1"/>
  <c r="D4" i="1"/>
  <c r="D5" i="1"/>
  <c r="D6" i="1"/>
  <c r="D7" i="1"/>
  <c r="D8" i="1"/>
  <c r="D9" i="1"/>
  <c r="I20" i="1" l="1"/>
  <c r="I21" i="1"/>
</calcChain>
</file>

<file path=xl/sharedStrings.xml><?xml version="1.0" encoding="utf-8"?>
<sst xmlns="http://schemas.openxmlformats.org/spreadsheetml/2006/main" count="31" uniqueCount="30">
  <si>
    <t>L</t>
  </si>
  <si>
    <t>W</t>
  </si>
  <si>
    <t>Error Length</t>
  </si>
  <si>
    <t>Err Area</t>
  </si>
  <si>
    <t>C</t>
  </si>
  <si>
    <t>C (nF)</t>
  </si>
  <si>
    <t>L (mm)</t>
  </si>
  <si>
    <t>W (mm)</t>
  </si>
  <si>
    <t>Area (m)</t>
  </si>
  <si>
    <t>Err C</t>
  </si>
  <si>
    <t>Err L</t>
  </si>
  <si>
    <t>Err Layer</t>
  </si>
  <si>
    <t>Layer Thick</t>
  </si>
  <si>
    <t>Layers</t>
  </si>
  <si>
    <t>Distance</t>
  </si>
  <si>
    <t>Err Dist</t>
  </si>
  <si>
    <t>1/r</t>
  </si>
  <si>
    <t>Err 1/r</t>
  </si>
  <si>
    <t>Eps</t>
  </si>
  <si>
    <t>Err Eps</t>
  </si>
  <si>
    <t>Notes: Width &lt;= 200</t>
  </si>
  <si>
    <t>r</t>
  </si>
  <si>
    <t>Err r</t>
  </si>
  <si>
    <t>Avg Eps</t>
  </si>
  <si>
    <t>Error alt</t>
  </si>
  <si>
    <t>Error propagation exponential test 1</t>
  </si>
  <si>
    <t>Error propagation exponential test 2</t>
  </si>
  <si>
    <t>C/A</t>
  </si>
  <si>
    <t>Err C/A</t>
  </si>
  <si>
    <t>From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</si>
</sst>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Epsilon</a:t>
            </a:r>
            <a:r>
              <a:rPr lang="en-CA" sz="2000" baseline="0"/>
              <a:t> vs Area</a:t>
            </a:r>
            <a:endParaRPr lang="en-CA" sz="2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43583367868491"/>
          <c:y val="0.1113612420419766"/>
          <c:w val="0.7286597596353086"/>
          <c:h val="0.71976155445967194"/>
        </c:manualLayout>
      </c:layout>
      <c:scatterChart>
        <c:scatterStyle val="lineMarker"/>
        <c:varyColors val="0"/>
        <c:ser>
          <c:idx val="2"/>
          <c:order val="0"/>
          <c:tx>
            <c:v>Epsilon Data</c:v>
          </c:tx>
          <c:spPr>
            <a:ln>
              <a:noFill/>
            </a:ln>
          </c:spPr>
          <c:errBars>
            <c:errDir val="x"/>
            <c:errBarType val="both"/>
            <c:errValType val="cust"/>
            <c:noEndCap val="0"/>
            <c:plus>
              <c:numRef>
                <c:f>Area!$E$2:$E$9</c:f>
                <c:numCache>
                  <c:formatCode>General</c:formatCode>
                  <c:ptCount val="8"/>
                  <c:pt idx="0">
                    <c:v>1.0040916292848974E-4</c:v>
                  </c:pt>
                  <c:pt idx="1">
                    <c:v>1.5556349186104045E-4</c:v>
                  </c:pt>
                  <c:pt idx="2">
                    <c:v>1.9798989873223333E-4</c:v>
                  </c:pt>
                  <c:pt idx="3">
                    <c:v>2.3405341270744164E-4</c:v>
                  </c:pt>
                  <c:pt idx="4">
                    <c:v>2.6445793616376874E-4</c:v>
                  </c:pt>
                  <c:pt idx="5">
                    <c:v>2.7435743110038047E-4</c:v>
                  </c:pt>
                  <c:pt idx="6">
                    <c:v>3.0405591591021542E-4</c:v>
                  </c:pt>
                  <c:pt idx="7">
                    <c:v>3.3600595232822887E-4</c:v>
                  </c:pt>
                </c:numCache>
              </c:numRef>
            </c:plus>
            <c:minus>
              <c:numRef>
                <c:f>Area!$E$2:$E$9</c:f>
                <c:numCache>
                  <c:formatCode>General</c:formatCode>
                  <c:ptCount val="8"/>
                  <c:pt idx="0">
                    <c:v>1.0040916292848974E-4</c:v>
                  </c:pt>
                  <c:pt idx="1">
                    <c:v>1.5556349186104045E-4</c:v>
                  </c:pt>
                  <c:pt idx="2">
                    <c:v>1.9798989873223333E-4</c:v>
                  </c:pt>
                  <c:pt idx="3">
                    <c:v>2.3405341270744164E-4</c:v>
                  </c:pt>
                  <c:pt idx="4">
                    <c:v>2.6445793616376874E-4</c:v>
                  </c:pt>
                  <c:pt idx="5">
                    <c:v>2.7435743110038047E-4</c:v>
                  </c:pt>
                  <c:pt idx="6">
                    <c:v>3.0405591591021542E-4</c:v>
                  </c:pt>
                  <c:pt idx="7">
                    <c:v>3.3600595232822887E-4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Area!$I$2:$I$9</c:f>
                <c:numCache>
                  <c:formatCode>General</c:formatCode>
                  <c:ptCount val="8"/>
                  <c:pt idx="0">
                    <c:v>8.2172306299562266E-13</c:v>
                  </c:pt>
                  <c:pt idx="1">
                    <c:v>3.8016528925619844E-13</c:v>
                  </c:pt>
                  <c:pt idx="2">
                    <c:v>2.7012806408938405E-13</c:v>
                  </c:pt>
                  <c:pt idx="3">
                    <c:v>2.1337159314368251E-13</c:v>
                  </c:pt>
                  <c:pt idx="4">
                    <c:v>2.7700075037900181E-13</c:v>
                  </c:pt>
                  <c:pt idx="5">
                    <c:v>1.9300583390794153E-13</c:v>
                  </c:pt>
                  <c:pt idx="7">
                    <c:v>1.8698277266509376E-13</c:v>
                  </c:pt>
                </c:numCache>
              </c:numRef>
            </c:plus>
            <c:minus>
              <c:numRef>
                <c:f>Area!$I$2:$I$9</c:f>
                <c:numCache>
                  <c:formatCode>General</c:formatCode>
                  <c:ptCount val="8"/>
                  <c:pt idx="0">
                    <c:v>8.2172306299562266E-13</c:v>
                  </c:pt>
                  <c:pt idx="1">
                    <c:v>3.8016528925619844E-13</c:v>
                  </c:pt>
                  <c:pt idx="2">
                    <c:v>2.7012806408938405E-13</c:v>
                  </c:pt>
                  <c:pt idx="3">
                    <c:v>2.1337159314368251E-13</c:v>
                  </c:pt>
                  <c:pt idx="4">
                    <c:v>2.7700075037900181E-13</c:v>
                  </c:pt>
                  <c:pt idx="5">
                    <c:v>1.9300583390794153E-13</c:v>
                  </c:pt>
                  <c:pt idx="7">
                    <c:v>1.8698277266509376E-13</c:v>
                  </c:pt>
                </c:numCache>
              </c:numRef>
            </c:minus>
            <c:spPr>
              <a:ln w="15875"/>
            </c:spPr>
          </c:errBars>
          <c:xVal>
            <c:numRef>
              <c:f>Area!$D$2:$D$9</c:f>
              <c:numCache>
                <c:formatCode>General</c:formatCode>
                <c:ptCount val="8"/>
                <c:pt idx="0">
                  <c:v>5.0409999999999995E-3</c:v>
                </c:pt>
                <c:pt idx="1">
                  <c:v>1.21E-2</c:v>
                </c:pt>
                <c:pt idx="2">
                  <c:v>1.9599999999999999E-2</c:v>
                </c:pt>
                <c:pt idx="3">
                  <c:v>2.7389999999999998E-2</c:v>
                </c:pt>
                <c:pt idx="4">
                  <c:v>3.4969E-2</c:v>
                </c:pt>
                <c:pt idx="5">
                  <c:v>3.7635999999999996E-2</c:v>
                </c:pt>
                <c:pt idx="6">
                  <c:v>4.6224999999999995E-2</c:v>
                </c:pt>
                <c:pt idx="7">
                  <c:v>5.3999999999999999E-2</c:v>
                </c:pt>
              </c:numCache>
            </c:numRef>
          </c:xVal>
          <c:yVal>
            <c:numRef>
              <c:f>Area!$H$2:$H$9</c:f>
              <c:numCache>
                <c:formatCode>General</c:formatCode>
                <c:ptCount val="8"/>
                <c:pt idx="0">
                  <c:v>3.9674667724657811E-12</c:v>
                </c:pt>
                <c:pt idx="1">
                  <c:v>3.636363636363637E-12</c:v>
                </c:pt>
                <c:pt idx="2">
                  <c:v>3.4693877551020407E-12</c:v>
                </c:pt>
                <c:pt idx="3">
                  <c:v>3.0668127053669226E-12</c:v>
                </c:pt>
                <c:pt idx="4">
                  <c:v>3.0884497697961051E-12</c:v>
                </c:pt>
                <c:pt idx="5">
                  <c:v>3.1884366032522061E-12</c:v>
                </c:pt>
                <c:pt idx="7">
                  <c:v>3.4074074074074073E-12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4D-43A0-B409-5B3314614BDE}"/>
            </c:ext>
          </c:extLst>
        </c:ser>
        <c:ser>
          <c:idx val="3"/>
          <c:order val="1"/>
          <c:tx>
            <c:v>Epsilon Average</c:v>
          </c:tx>
          <c:spPr>
            <a:ln w="25400"/>
          </c:spPr>
          <c:xVal>
            <c:numRef>
              <c:f>Area!$D$2:$D$9</c:f>
              <c:numCache>
                <c:formatCode>General</c:formatCode>
                <c:ptCount val="8"/>
                <c:pt idx="0">
                  <c:v>5.0409999999999995E-3</c:v>
                </c:pt>
                <c:pt idx="1">
                  <c:v>1.21E-2</c:v>
                </c:pt>
                <c:pt idx="2">
                  <c:v>1.9599999999999999E-2</c:v>
                </c:pt>
                <c:pt idx="3">
                  <c:v>2.7389999999999998E-2</c:v>
                </c:pt>
                <c:pt idx="4">
                  <c:v>3.4969E-2</c:v>
                </c:pt>
                <c:pt idx="5">
                  <c:v>3.7635999999999996E-2</c:v>
                </c:pt>
                <c:pt idx="6">
                  <c:v>4.6224999999999995E-2</c:v>
                </c:pt>
                <c:pt idx="7">
                  <c:v>5.3999999999999999E-2</c:v>
                </c:pt>
              </c:numCache>
            </c:numRef>
          </c:xVal>
          <c:yVal>
            <c:numRef>
              <c:f>Area!$H$14:$H$21</c:f>
              <c:numCache>
                <c:formatCode>General</c:formatCode>
                <c:ptCount val="8"/>
                <c:pt idx="0">
                  <c:v>3.4034749499648713E-12</c:v>
                </c:pt>
                <c:pt idx="1">
                  <c:v>3.4034749499648713E-12</c:v>
                </c:pt>
                <c:pt idx="2">
                  <c:v>3.4034749499648713E-12</c:v>
                </c:pt>
                <c:pt idx="3">
                  <c:v>3.4034749499648713E-12</c:v>
                </c:pt>
                <c:pt idx="4">
                  <c:v>3.4034749499648713E-12</c:v>
                </c:pt>
                <c:pt idx="5">
                  <c:v>3.4034749499648713E-12</c:v>
                </c:pt>
                <c:pt idx="6">
                  <c:v>3.4034749499648713E-12</c:v>
                </c:pt>
                <c:pt idx="7">
                  <c:v>3.4034749499648713E-12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4D-43A0-B409-5B3314614BDE}"/>
            </c:ext>
          </c:extLst>
        </c:ser>
        <c:ser>
          <c:idx val="0"/>
          <c:order val="2"/>
          <c:tx>
            <c:v>Epsilon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715465483707468"/>
                  <c:y val="0.275462711356180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R² = 0.4235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Area!$E$2:$E$9</c:f>
                <c:numCache>
                  <c:formatCode>General</c:formatCode>
                  <c:ptCount val="8"/>
                  <c:pt idx="0">
                    <c:v>1.0040916292848974E-4</c:v>
                  </c:pt>
                  <c:pt idx="1">
                    <c:v>1.5556349186104045E-4</c:v>
                  </c:pt>
                  <c:pt idx="2">
                    <c:v>1.9798989873223333E-4</c:v>
                  </c:pt>
                  <c:pt idx="3">
                    <c:v>2.3405341270744164E-4</c:v>
                  </c:pt>
                  <c:pt idx="4">
                    <c:v>2.6445793616376874E-4</c:v>
                  </c:pt>
                  <c:pt idx="5">
                    <c:v>2.7435743110038047E-4</c:v>
                  </c:pt>
                  <c:pt idx="6">
                    <c:v>3.0405591591021542E-4</c:v>
                  </c:pt>
                  <c:pt idx="7">
                    <c:v>3.3600595232822887E-4</c:v>
                  </c:pt>
                </c:numCache>
              </c:numRef>
            </c:plus>
            <c:minus>
              <c:numRef>
                <c:f>Area!$E$2:$E$9</c:f>
                <c:numCache>
                  <c:formatCode>General</c:formatCode>
                  <c:ptCount val="8"/>
                  <c:pt idx="0">
                    <c:v>1.0040916292848974E-4</c:v>
                  </c:pt>
                  <c:pt idx="1">
                    <c:v>1.5556349186104045E-4</c:v>
                  </c:pt>
                  <c:pt idx="2">
                    <c:v>1.9798989873223333E-4</c:v>
                  </c:pt>
                  <c:pt idx="3">
                    <c:v>2.3405341270744164E-4</c:v>
                  </c:pt>
                  <c:pt idx="4">
                    <c:v>2.6445793616376874E-4</c:v>
                  </c:pt>
                  <c:pt idx="5">
                    <c:v>2.7435743110038047E-4</c:v>
                  </c:pt>
                  <c:pt idx="6">
                    <c:v>3.0405591591021542E-4</c:v>
                  </c:pt>
                  <c:pt idx="7">
                    <c:v>3.3600595232822887E-4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Area!$I$2:$I$9</c:f>
                <c:numCache>
                  <c:formatCode>General</c:formatCode>
                  <c:ptCount val="8"/>
                  <c:pt idx="0">
                    <c:v>8.2172306299562266E-13</c:v>
                  </c:pt>
                  <c:pt idx="1">
                    <c:v>3.8016528925619844E-13</c:v>
                  </c:pt>
                  <c:pt idx="2">
                    <c:v>2.7012806408938405E-13</c:v>
                  </c:pt>
                  <c:pt idx="3">
                    <c:v>2.1337159314368251E-13</c:v>
                  </c:pt>
                  <c:pt idx="4">
                    <c:v>2.7700075037900181E-13</c:v>
                  </c:pt>
                  <c:pt idx="5">
                    <c:v>1.9300583390794153E-13</c:v>
                  </c:pt>
                  <c:pt idx="7">
                    <c:v>1.8698277266509376E-13</c:v>
                  </c:pt>
                </c:numCache>
              </c:numRef>
            </c:plus>
            <c:minus>
              <c:numRef>
                <c:f>Area!$I$2:$I$9</c:f>
                <c:numCache>
                  <c:formatCode>General</c:formatCode>
                  <c:ptCount val="8"/>
                  <c:pt idx="0">
                    <c:v>8.2172306299562266E-13</c:v>
                  </c:pt>
                  <c:pt idx="1">
                    <c:v>3.8016528925619844E-13</c:v>
                  </c:pt>
                  <c:pt idx="2">
                    <c:v>2.7012806408938405E-13</c:v>
                  </c:pt>
                  <c:pt idx="3">
                    <c:v>2.1337159314368251E-13</c:v>
                  </c:pt>
                  <c:pt idx="4">
                    <c:v>2.7700075037900181E-13</c:v>
                  </c:pt>
                  <c:pt idx="5">
                    <c:v>1.9300583390794153E-13</c:v>
                  </c:pt>
                  <c:pt idx="7">
                    <c:v>1.8698277266509376E-13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Area!$D$2:$D$9</c:f>
              <c:numCache>
                <c:formatCode>General</c:formatCode>
                <c:ptCount val="8"/>
                <c:pt idx="0">
                  <c:v>5.0409999999999995E-3</c:v>
                </c:pt>
                <c:pt idx="1">
                  <c:v>1.21E-2</c:v>
                </c:pt>
                <c:pt idx="2">
                  <c:v>1.9599999999999999E-2</c:v>
                </c:pt>
                <c:pt idx="3">
                  <c:v>2.7389999999999998E-2</c:v>
                </c:pt>
                <c:pt idx="4">
                  <c:v>3.4969E-2</c:v>
                </c:pt>
                <c:pt idx="5">
                  <c:v>3.7635999999999996E-2</c:v>
                </c:pt>
                <c:pt idx="6">
                  <c:v>4.6224999999999995E-2</c:v>
                </c:pt>
                <c:pt idx="7">
                  <c:v>5.3999999999999999E-2</c:v>
                </c:pt>
              </c:numCache>
            </c:numRef>
          </c:xVal>
          <c:yVal>
            <c:numRef>
              <c:f>Area!$H$2:$H$9</c:f>
              <c:numCache>
                <c:formatCode>General</c:formatCode>
                <c:ptCount val="8"/>
                <c:pt idx="0">
                  <c:v>3.9674667724657811E-12</c:v>
                </c:pt>
                <c:pt idx="1">
                  <c:v>3.636363636363637E-12</c:v>
                </c:pt>
                <c:pt idx="2">
                  <c:v>3.4693877551020407E-12</c:v>
                </c:pt>
                <c:pt idx="3">
                  <c:v>3.0668127053669226E-12</c:v>
                </c:pt>
                <c:pt idx="4">
                  <c:v>3.0884497697961051E-12</c:v>
                </c:pt>
                <c:pt idx="5">
                  <c:v>3.1884366032522061E-12</c:v>
                </c:pt>
                <c:pt idx="7">
                  <c:v>3.4074074074074073E-12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4D-43A0-B409-5B3314614BDE}"/>
            </c:ext>
          </c:extLst>
        </c:ser>
        <c:ser>
          <c:idx val="1"/>
          <c:order val="3"/>
          <c:tx>
            <c:v>Epsilon Average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Area!$D$2:$D$9</c:f>
              <c:numCache>
                <c:formatCode>General</c:formatCode>
                <c:ptCount val="8"/>
                <c:pt idx="0">
                  <c:v>5.0409999999999995E-3</c:v>
                </c:pt>
                <c:pt idx="1">
                  <c:v>1.21E-2</c:v>
                </c:pt>
                <c:pt idx="2">
                  <c:v>1.9599999999999999E-2</c:v>
                </c:pt>
                <c:pt idx="3">
                  <c:v>2.7389999999999998E-2</c:v>
                </c:pt>
                <c:pt idx="4">
                  <c:v>3.4969E-2</c:v>
                </c:pt>
                <c:pt idx="5">
                  <c:v>3.7635999999999996E-2</c:v>
                </c:pt>
                <c:pt idx="6">
                  <c:v>4.6224999999999995E-2</c:v>
                </c:pt>
                <c:pt idx="7">
                  <c:v>5.3999999999999999E-2</c:v>
                </c:pt>
              </c:numCache>
            </c:numRef>
          </c:xVal>
          <c:yVal>
            <c:numRef>
              <c:f>Area!$H$14:$H$21</c:f>
              <c:numCache>
                <c:formatCode>General</c:formatCode>
                <c:ptCount val="8"/>
                <c:pt idx="0">
                  <c:v>3.4034749499648713E-12</c:v>
                </c:pt>
                <c:pt idx="1">
                  <c:v>3.4034749499648713E-12</c:v>
                </c:pt>
                <c:pt idx="2">
                  <c:v>3.4034749499648713E-12</c:v>
                </c:pt>
                <c:pt idx="3">
                  <c:v>3.4034749499648713E-12</c:v>
                </c:pt>
                <c:pt idx="4">
                  <c:v>3.4034749499648713E-12</c:v>
                </c:pt>
                <c:pt idx="5">
                  <c:v>3.4034749499648713E-12</c:v>
                </c:pt>
                <c:pt idx="6">
                  <c:v>3.4034749499648713E-12</c:v>
                </c:pt>
                <c:pt idx="7">
                  <c:v>3.4034749499648713E-12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4D-43A0-B409-5B3314614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429672"/>
        <c:axId val="594425080"/>
      </c:scatterChart>
      <c:valAx>
        <c:axId val="59442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Area [m^2]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5080"/>
        <c:crosses val="autoZero"/>
        <c:crossBetween val="midCat"/>
      </c:valAx>
      <c:valAx>
        <c:axId val="59442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Relative</a:t>
                </a:r>
                <a:r>
                  <a:rPr lang="en-CA" sz="1600" baseline="0"/>
                  <a:t> Permittiivity</a:t>
                </a:r>
                <a:r>
                  <a:rPr lang="en-CA" sz="1600"/>
                  <a:t> [F/m]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9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060436524381823"/>
          <c:y val="0.15862741319306675"/>
          <c:w val="0.1188693189667081"/>
          <c:h val="0.53232049964624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Capacitance</a:t>
            </a:r>
            <a:r>
              <a:rPr lang="en-CA" sz="2000" baseline="0"/>
              <a:t> vs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Capacitance Data vs Area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182194424278528E-2"/>
                  <c:y val="-1.23852364839937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Area!$E$2:$E$9</c:f>
                <c:numCache>
                  <c:formatCode>General</c:formatCode>
                  <c:ptCount val="8"/>
                  <c:pt idx="0">
                    <c:v>1.0040916292848974E-4</c:v>
                  </c:pt>
                  <c:pt idx="1">
                    <c:v>1.5556349186104045E-4</c:v>
                  </c:pt>
                  <c:pt idx="2">
                    <c:v>1.9798989873223333E-4</c:v>
                  </c:pt>
                  <c:pt idx="3">
                    <c:v>2.3405341270744164E-4</c:v>
                  </c:pt>
                  <c:pt idx="4">
                    <c:v>2.6445793616376874E-4</c:v>
                  </c:pt>
                  <c:pt idx="5">
                    <c:v>2.7435743110038047E-4</c:v>
                  </c:pt>
                  <c:pt idx="6">
                    <c:v>3.0405591591021542E-4</c:v>
                  </c:pt>
                  <c:pt idx="7">
                    <c:v>3.3600595232822887E-4</c:v>
                  </c:pt>
                </c:numCache>
              </c:numRef>
            </c:plus>
            <c:minus>
              <c:numRef>
                <c:f>Area!$E$2:$E$9</c:f>
                <c:numCache>
                  <c:formatCode>General</c:formatCode>
                  <c:ptCount val="8"/>
                  <c:pt idx="0">
                    <c:v>1.0040916292848974E-4</c:v>
                  </c:pt>
                  <c:pt idx="1">
                    <c:v>1.5556349186104045E-4</c:v>
                  </c:pt>
                  <c:pt idx="2">
                    <c:v>1.9798989873223333E-4</c:v>
                  </c:pt>
                  <c:pt idx="3">
                    <c:v>2.3405341270744164E-4</c:v>
                  </c:pt>
                  <c:pt idx="4">
                    <c:v>2.6445793616376874E-4</c:v>
                  </c:pt>
                  <c:pt idx="5">
                    <c:v>2.7435743110038047E-4</c:v>
                  </c:pt>
                  <c:pt idx="6">
                    <c:v>3.0405591591021542E-4</c:v>
                  </c:pt>
                  <c:pt idx="7">
                    <c:v>3.3600595232822887E-4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Area!$G$2:$G$9</c:f>
                <c:numCache>
                  <c:formatCode>General</c:formatCode>
                  <c:ptCount val="8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0.2</c:v>
                  </c:pt>
                  <c:pt idx="5">
                    <c:v>0.1</c:v>
                  </c:pt>
                  <c:pt idx="6">
                    <c:v>0.1</c:v>
                  </c:pt>
                  <c:pt idx="7">
                    <c:v>0.1</c:v>
                  </c:pt>
                </c:numCache>
              </c:numRef>
            </c:plus>
            <c:minus>
              <c:numRef>
                <c:f>Area!$G$2:$G$9</c:f>
                <c:numCache>
                  <c:formatCode>General</c:formatCode>
                  <c:ptCount val="8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0.2</c:v>
                  </c:pt>
                  <c:pt idx="5">
                    <c:v>0.1</c:v>
                  </c:pt>
                  <c:pt idx="6">
                    <c:v>0.1</c:v>
                  </c:pt>
                  <c:pt idx="7">
                    <c:v>0.1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Area!$D$2:$D$9</c:f>
              <c:numCache>
                <c:formatCode>General</c:formatCode>
                <c:ptCount val="8"/>
                <c:pt idx="0">
                  <c:v>5.0409999999999995E-3</c:v>
                </c:pt>
                <c:pt idx="1">
                  <c:v>1.21E-2</c:v>
                </c:pt>
                <c:pt idx="2">
                  <c:v>1.9599999999999999E-2</c:v>
                </c:pt>
                <c:pt idx="3">
                  <c:v>2.7389999999999998E-2</c:v>
                </c:pt>
                <c:pt idx="4">
                  <c:v>3.4969E-2</c:v>
                </c:pt>
                <c:pt idx="5">
                  <c:v>3.7635999999999996E-2</c:v>
                </c:pt>
                <c:pt idx="6">
                  <c:v>4.6224999999999995E-2</c:v>
                </c:pt>
                <c:pt idx="7">
                  <c:v>5.3999999999999999E-2</c:v>
                </c:pt>
              </c:numCache>
            </c:numRef>
          </c:xVal>
          <c:yVal>
            <c:numRef>
              <c:f>Area!$F$2:$F$9</c:f>
              <c:numCache>
                <c:formatCode>General</c:formatCode>
                <c:ptCount val="8"/>
                <c:pt idx="0">
                  <c:v>0.5</c:v>
                </c:pt>
                <c:pt idx="1">
                  <c:v>1.1000000000000001</c:v>
                </c:pt>
                <c:pt idx="2">
                  <c:v>1.7</c:v>
                </c:pt>
                <c:pt idx="3">
                  <c:v>2.1</c:v>
                </c:pt>
                <c:pt idx="4">
                  <c:v>2.7</c:v>
                </c:pt>
                <c:pt idx="5">
                  <c:v>3</c:v>
                </c:pt>
                <c:pt idx="7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D-4105-8767-E7E51E14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31200"/>
        <c:axId val="589032840"/>
      </c:scatterChart>
      <c:valAx>
        <c:axId val="58903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Area 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32840"/>
        <c:crosses val="autoZero"/>
        <c:crossBetween val="midCat"/>
      </c:valAx>
      <c:valAx>
        <c:axId val="5890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Capacitance (nF)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3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C vs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3181977252843394E-2"/>
                  <c:y val="-0.12996026538349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Distance!$G$7:$G$12</c:f>
                <c:numCache>
                  <c:formatCode>General</c:formatCode>
                  <c:ptCount val="6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0.1</c:v>
                  </c:pt>
                </c:numCache>
              </c:numRef>
            </c:plus>
            <c:minus>
              <c:numRef>
                <c:f>Distance!$G$7:$G$12</c:f>
                <c:numCache>
                  <c:formatCode>General</c:formatCode>
                  <c:ptCount val="6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Distance!$B$7:$B$12</c:f>
              <c:numCache>
                <c:formatCode>General</c:formatCode>
                <c:ptCount val="6"/>
                <c:pt idx="0">
                  <c:v>3.9999999999999996E-5</c:v>
                </c:pt>
                <c:pt idx="1">
                  <c:v>7.9999999999999993E-5</c:v>
                </c:pt>
                <c:pt idx="2">
                  <c:v>1.1999999999999999E-4</c:v>
                </c:pt>
                <c:pt idx="3">
                  <c:v>1.5999999999999999E-4</c:v>
                </c:pt>
                <c:pt idx="4">
                  <c:v>1.9999999999999998E-4</c:v>
                </c:pt>
                <c:pt idx="5">
                  <c:v>2.3999999999999998E-4</c:v>
                </c:pt>
              </c:numCache>
            </c:numRef>
          </c:xVal>
          <c:yVal>
            <c:numRef>
              <c:f>Distance!$F$7:$F$12</c:f>
              <c:numCache>
                <c:formatCode>General</c:formatCode>
                <c:ptCount val="6"/>
                <c:pt idx="0">
                  <c:v>5</c:v>
                </c:pt>
                <c:pt idx="1">
                  <c:v>3.8</c:v>
                </c:pt>
                <c:pt idx="2">
                  <c:v>2.9</c:v>
                </c:pt>
                <c:pt idx="3">
                  <c:v>2.4</c:v>
                </c:pt>
                <c:pt idx="4">
                  <c:v>2</c:v>
                </c:pt>
                <c:pt idx="5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1-4BDE-AA88-472A6F5E3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38088"/>
        <c:axId val="587843200"/>
      </c:scatterChart>
      <c:valAx>
        <c:axId val="58903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43200"/>
        <c:crosses val="autoZero"/>
        <c:crossBetween val="midCat"/>
      </c:valAx>
      <c:valAx>
        <c:axId val="5878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Capacitance</a:t>
                </a:r>
                <a:r>
                  <a:rPr lang="en-CA" sz="1400" baseline="0"/>
                  <a:t> (F)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3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C vs 1/r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549125109361329"/>
                  <c:y val="0.309732064741907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Distance!$G$7:$G$12</c:f>
                <c:numCache>
                  <c:formatCode>General</c:formatCode>
                  <c:ptCount val="6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0.1</c:v>
                  </c:pt>
                </c:numCache>
              </c:numRef>
            </c:plus>
            <c:minus>
              <c:numRef>
                <c:f>Distance!$G$7:$G$12</c:f>
                <c:numCache>
                  <c:formatCode>General</c:formatCode>
                  <c:ptCount val="6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Distance!$D$7:$D$13</c:f>
              <c:numCache>
                <c:formatCode>General</c:formatCode>
                <c:ptCount val="7"/>
                <c:pt idx="0">
                  <c:v>25000.000000000004</c:v>
                </c:pt>
                <c:pt idx="1">
                  <c:v>12500.000000000002</c:v>
                </c:pt>
                <c:pt idx="2">
                  <c:v>8333.3333333333339</c:v>
                </c:pt>
                <c:pt idx="3">
                  <c:v>6250.0000000000009</c:v>
                </c:pt>
                <c:pt idx="4">
                  <c:v>5000</c:v>
                </c:pt>
                <c:pt idx="5">
                  <c:v>4166.666666666667</c:v>
                </c:pt>
              </c:numCache>
            </c:numRef>
          </c:xVal>
          <c:yVal>
            <c:numRef>
              <c:f>Distance!$F$7:$F$13</c:f>
              <c:numCache>
                <c:formatCode>General</c:formatCode>
                <c:ptCount val="7"/>
                <c:pt idx="0">
                  <c:v>5</c:v>
                </c:pt>
                <c:pt idx="1">
                  <c:v>3.8</c:v>
                </c:pt>
                <c:pt idx="2">
                  <c:v>2.9</c:v>
                </c:pt>
                <c:pt idx="3">
                  <c:v>2.4</c:v>
                </c:pt>
                <c:pt idx="4">
                  <c:v>2</c:v>
                </c:pt>
                <c:pt idx="5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1-4503-998B-7E8F3AA79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173808"/>
        <c:axId val="587175120"/>
      </c:scatterChart>
      <c:valAx>
        <c:axId val="58717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75120"/>
        <c:crosses val="autoZero"/>
        <c:crossBetween val="midCat"/>
      </c:valAx>
      <c:valAx>
        <c:axId val="5871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7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C/A</a:t>
            </a:r>
            <a:r>
              <a:rPr lang="en-CA" baseline="0"/>
              <a:t> vs 1/r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First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624903688948191E-2"/>
                  <c:y val="-1.3249324673831829E-2"/>
                </c:manualLayout>
              </c:layout>
              <c:numFmt formatCode="0.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Distance!$J$7:$J$9</c:f>
                <c:numCache>
                  <c:formatCode>General</c:formatCode>
                  <c:ptCount val="3"/>
                  <c:pt idx="0">
                    <c:v>3.057291308719941E-9</c:v>
                  </c:pt>
                  <c:pt idx="1">
                    <c:v>2.975420000188218E-9</c:v>
                  </c:pt>
                  <c:pt idx="2">
                    <c:v>2.9276428477819008E-9</c:v>
                  </c:pt>
                </c:numCache>
              </c:numRef>
            </c:plus>
            <c:minus>
              <c:numRef>
                <c:f>Distance!$J$7:$J$9</c:f>
                <c:numCache>
                  <c:formatCode>General</c:formatCode>
                  <c:ptCount val="3"/>
                  <c:pt idx="0">
                    <c:v>3.057291308719941E-9</c:v>
                  </c:pt>
                  <c:pt idx="1">
                    <c:v>2.975420000188218E-9</c:v>
                  </c:pt>
                  <c:pt idx="2">
                    <c:v>2.9276428477819008E-9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Distance!$D$7:$D$9</c:f>
              <c:numCache>
                <c:formatCode>General</c:formatCode>
                <c:ptCount val="3"/>
                <c:pt idx="0">
                  <c:v>25000.000000000004</c:v>
                </c:pt>
                <c:pt idx="1">
                  <c:v>12500.000000000002</c:v>
                </c:pt>
                <c:pt idx="2">
                  <c:v>8333.3333333333339</c:v>
                </c:pt>
              </c:numCache>
            </c:numRef>
          </c:xVal>
          <c:yVal>
            <c:numRef>
              <c:f>Distance!$I$7:$I$9</c:f>
              <c:numCache>
                <c:formatCode>General</c:formatCode>
                <c:ptCount val="3"/>
                <c:pt idx="0">
                  <c:v>1.4298378563870857E-7</c:v>
                </c:pt>
                <c:pt idx="1">
                  <c:v>1.0866767708541852E-7</c:v>
                </c:pt>
                <c:pt idx="2">
                  <c:v>8.2930595670450973E-8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DE-4CDA-89EF-A15831C59A21}"/>
            </c:ext>
          </c:extLst>
        </c:ser>
        <c:ser>
          <c:idx val="2"/>
          <c:order val="1"/>
          <c:tx>
            <c:v>Last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865972600680469E-3"/>
                  <c:y val="-6.56828936528919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Distance!$J$10:$J$12</c:f>
                <c:numCache>
                  <c:formatCode>General</c:formatCode>
                  <c:ptCount val="3"/>
                  <c:pt idx="0">
                    <c:v>2.9063978457825162E-9</c:v>
                  </c:pt>
                  <c:pt idx="1">
                    <c:v>2.8922017178083397E-9</c:v>
                  </c:pt>
                  <c:pt idx="2">
                    <c:v>2.8832125353649383E-9</c:v>
                  </c:pt>
                </c:numCache>
              </c:numRef>
            </c:plus>
            <c:minus>
              <c:numRef>
                <c:f>Distance!$J$10:$J$12</c:f>
                <c:numCache>
                  <c:formatCode>General</c:formatCode>
                  <c:ptCount val="3"/>
                  <c:pt idx="0">
                    <c:v>2.9063978457825162E-9</c:v>
                  </c:pt>
                  <c:pt idx="1">
                    <c:v>2.8922017178083397E-9</c:v>
                  </c:pt>
                  <c:pt idx="2">
                    <c:v>2.8832125353649383E-9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Distance!$D$10:$D$12</c:f>
              <c:numCache>
                <c:formatCode>General</c:formatCode>
                <c:ptCount val="3"/>
                <c:pt idx="0">
                  <c:v>6250.0000000000009</c:v>
                </c:pt>
                <c:pt idx="1">
                  <c:v>5000</c:v>
                </c:pt>
                <c:pt idx="2">
                  <c:v>4166.666666666667</c:v>
                </c:pt>
              </c:numCache>
            </c:numRef>
          </c:xVal>
          <c:yVal>
            <c:numRef>
              <c:f>Distance!$I$10:$I$12</c:f>
              <c:numCache>
                <c:formatCode>General</c:formatCode>
                <c:ptCount val="3"/>
                <c:pt idx="0">
                  <c:v>6.8632217106580113E-8</c:v>
                </c:pt>
                <c:pt idx="1">
                  <c:v>5.7193514255483434E-8</c:v>
                </c:pt>
                <c:pt idx="2">
                  <c:v>4.8614487117160916E-8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DE-4CDA-89EF-A15831C59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89816"/>
        <c:axId val="577683584"/>
      </c:scatterChart>
      <c:valAx>
        <c:axId val="57768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1/r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83584"/>
        <c:crosses val="autoZero"/>
        <c:crossBetween val="midCat"/>
      </c:valAx>
      <c:valAx>
        <c:axId val="5776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C/A (F/m^2)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8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506730</xdr:colOff>
      <xdr:row>38</xdr:row>
      <xdr:rowOff>21590</xdr:rowOff>
    </xdr:from>
    <xdr:to>
      <xdr:col>12</xdr:col>
      <xdr:colOff>613410</xdr:colOff>
      <xdr:row>62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0A1C12-5824-4F64-98DE-78D3466E5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13</xdr:row>
      <xdr:rowOff>53340</xdr:rowOff>
    </xdr:from>
    <xdr:to>
      <xdr:col>19</xdr:col>
      <xdr:colOff>457200</xdr:colOff>
      <xdr:row>34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DF9C23-D3D2-48F7-A714-3109DEDC8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21</xdr:row>
      <xdr:rowOff>83820</xdr:rowOff>
    </xdr:from>
    <xdr:to>
      <xdr:col>11</xdr:col>
      <xdr:colOff>464820</xdr:colOff>
      <xdr:row>45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0329E3-9DC7-4C12-8301-770C50F26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350520</xdr:colOff>
      <xdr:row>5</xdr:row>
      <xdr:rowOff>91440</xdr:rowOff>
    </xdr:from>
    <xdr:to>
      <xdr:col>23</xdr:col>
      <xdr:colOff>0</xdr:colOff>
      <xdr:row>30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E86F49-CA74-41D4-803E-10C437C15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20</xdr:row>
      <xdr:rowOff>30480</xdr:rowOff>
    </xdr:from>
    <xdr:to>
      <xdr:col>12</xdr:col>
      <xdr:colOff>426720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B1471C-F57D-4E1A-B1D3-AF5F01994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4DDC-E02D-40CE-9ED2-5944757CD74E}">
  <dimension ref="A1:R21"/>
  <sheetViews>
    <sheetView tabSelected="1" topLeftCell="A38" zoomScale="85" zoomScaleNormal="85" workbookViewId="0">
      <selection activeCell="N48" sqref="N48"/>
    </sheetView>
  </sheetViews>
  <sheetFormatPr defaultRowHeight="14.5" x14ac:dyDescent="0.35"/>
  <cols>
    <col min="6" max="6" width="12" bestFit="1" customWidth="1"/>
    <col min="8" max="14" width="12" bestFit="1" customWidth="1"/>
    <col min="16" max="18" width="12" bestFit="1" customWidth="1"/>
  </cols>
  <sheetData>
    <row r="1" spans="1:18" x14ac:dyDescent="0.35">
      <c r="A1" t="s">
        <v>2</v>
      </c>
      <c r="B1" t="s">
        <v>6</v>
      </c>
      <c r="C1" t="s">
        <v>7</v>
      </c>
      <c r="D1" t="s">
        <v>8</v>
      </c>
      <c r="E1" t="s">
        <v>3</v>
      </c>
      <c r="F1" t="s">
        <v>5</v>
      </c>
      <c r="G1" t="s">
        <v>9</v>
      </c>
      <c r="H1" t="s">
        <v>18</v>
      </c>
      <c r="I1" t="s">
        <v>19</v>
      </c>
      <c r="J1" t="s">
        <v>24</v>
      </c>
      <c r="L1" t="s">
        <v>25</v>
      </c>
      <c r="P1" t="s">
        <v>26</v>
      </c>
    </row>
    <row r="2" spans="1:18" x14ac:dyDescent="0.35">
      <c r="A2">
        <v>1</v>
      </c>
      <c r="B2">
        <v>71</v>
      </c>
      <c r="C2">
        <v>71</v>
      </c>
      <c r="D2">
        <f>B2*C2 * 10^(-6)</f>
        <v>5.0409999999999995E-3</v>
      </c>
      <c r="E2">
        <f>SQRT(((10^(-3))*B2*10^(-3))^2+((10^(-3))*C2*10^(-3))^2)</f>
        <v>1.0040916292848974E-4</v>
      </c>
      <c r="F2">
        <v>0.5</v>
      </c>
      <c r="G2">
        <v>0.1</v>
      </c>
      <c r="H2">
        <f>F2*10^(-9)/D2*($A$14)</f>
        <v>3.9674667724657811E-12</v>
      </c>
      <c r="I2">
        <f>SQRT((E2)^2 *(F2*10^(-9)*$A$14/D2^2)^2 + ($B$14)^2 * (F2*10^(-9)/D2)^2+(G2*10^(-9))^2*($A$14/D2)^2)</f>
        <v>8.2172306299562266E-13</v>
      </c>
      <c r="J2">
        <f>G2*10^(-9)*$B$14/(E2)*(2/3)^3</f>
        <v>5.9017780380723847E-13</v>
      </c>
      <c r="L2">
        <f>F2*10^(-9)*$A$14*EXP(-D2)</f>
        <v>1.989943369034664E-14</v>
      </c>
      <c r="M2">
        <f>SQRT((G2*10^(-9)*$A$14*EXP(-D2))^2+($B$14*F2*10^(-9)*EXP(-D2))^2+(E2*F2*10^(-9)*$A$14*EXP(-D2))^2)</f>
        <v>4.1023738363534058E-15</v>
      </c>
      <c r="N2">
        <f>10*G2*10^(-9)*$B$14*EXP(-E2)</f>
        <v>1.9997991917558056E-15</v>
      </c>
      <c r="P2">
        <f>F2*10^(-9)*$A$14*EXP(D2*1000)</f>
        <v>3.092491246033512E-12</v>
      </c>
      <c r="Q2">
        <f>SQRT((G2*10^(-9)*$A$14*EXP(D2*1000))^2+($B$14*F2*10^(-9)*EXP(D2*1000))^2+(E2*F2*10^(-9)*$A$14*EXP(D2*1000))^2)</f>
        <v>6.3753347830366475E-13</v>
      </c>
      <c r="R2">
        <f>10*G2*10^(-9)*$B$14*EXP(E2*1000)</f>
        <v>2.2112464111365936E-15</v>
      </c>
    </row>
    <row r="3" spans="1:18" x14ac:dyDescent="0.35">
      <c r="A3">
        <v>1</v>
      </c>
      <c r="B3">
        <v>110</v>
      </c>
      <c r="C3">
        <v>110</v>
      </c>
      <c r="D3">
        <f t="shared" ref="D3:D9" si="0">B3*C3 * 10^(-6)</f>
        <v>1.21E-2</v>
      </c>
      <c r="E3">
        <f>SQRT(((10^(-3))*B3*10^(-3))^2+((10^(-3))*C3*10^(-3))^2)</f>
        <v>1.5556349186104045E-4</v>
      </c>
      <c r="F3">
        <v>1.1000000000000001</v>
      </c>
      <c r="G3">
        <v>0.1</v>
      </c>
      <c r="H3">
        <f t="shared" ref="H3:H9" si="1">F3*10^(-9)/D3*($A$14)</f>
        <v>3.636363636363637E-12</v>
      </c>
      <c r="I3">
        <f t="shared" ref="I3:I9" si="2">SQRT((E3)^2 *(F3*10^(-9)*$A$14/D3^2)^2 + ($B$14)^2 * (F3*10^(-9)/D3)^2+(G3*10^(-9))^2*($A$14/D3)^2)</f>
        <v>3.8016528925619844E-13</v>
      </c>
      <c r="J3">
        <f t="shared" ref="J3:J9" si="3">G3*10^(-9)*$B$14/(E3)*(2/3)^3</f>
        <v>3.8093294609376301E-13</v>
      </c>
      <c r="L3">
        <f t="shared" ref="L3:L9" si="4">F3*10^(-9)*$A$14*EXP(-D3)</f>
        <v>4.3470808067756888E-14</v>
      </c>
      <c r="M3">
        <f t="shared" ref="M3:M9" si="5">SQRT((G3*10^(-9)*$A$14*EXP(-D3))^2+($B$14*F3*10^(-9)*EXP(-D3))^2+(E3*F3*10^(-9)*$A$14*EXP(-D3))^2)</f>
        <v>4.5101852700765243E-15</v>
      </c>
      <c r="N3">
        <f t="shared" ref="N3:N9" si="6">10*G3*10^(-9)*$B$14*EXP(-E3)</f>
        <v>1.9996888972150234E-15</v>
      </c>
      <c r="P3">
        <f t="shared" ref="P3:P9" si="7">F3*10^(-9)*$A$14*EXP(D3*1000)</f>
        <v>7.914361939165045E-9</v>
      </c>
      <c r="Q3">
        <f t="shared" ref="Q3:Q9" si="8">SQRT((G3*10^(-9)*$A$14*EXP(D3*1000))^2+($B$14*F3*10^(-9)*EXP(D3*1000))^2+(E3*F3*10^(-9)*$A$14*EXP(D3*1000))^2)</f>
        <v>8.2113124247516094E-10</v>
      </c>
      <c r="R3">
        <f t="shared" ref="R3:R9" si="9">10*G3*10^(-9)*$B$14*EXP(E3*1000)</f>
        <v>2.3366322245533729E-15</v>
      </c>
    </row>
    <row r="4" spans="1:18" x14ac:dyDescent="0.35">
      <c r="A4">
        <v>1</v>
      </c>
      <c r="B4">
        <v>140</v>
      </c>
      <c r="C4">
        <v>140</v>
      </c>
      <c r="D4">
        <f t="shared" si="0"/>
        <v>1.9599999999999999E-2</v>
      </c>
      <c r="E4">
        <f t="shared" ref="E4:E9" si="10">SQRT(((10^(-3))*B4*10^(-3))^2+((10^(-3))*C4*10^(-3))^2)</f>
        <v>1.9798989873223333E-4</v>
      </c>
      <c r="F4">
        <v>1.7</v>
      </c>
      <c r="G4">
        <v>0.1</v>
      </c>
      <c r="H4">
        <f t="shared" si="1"/>
        <v>3.4693877551020407E-12</v>
      </c>
      <c r="I4">
        <f t="shared" si="2"/>
        <v>2.7012806408938405E-13</v>
      </c>
      <c r="J4">
        <f t="shared" si="3"/>
        <v>2.9930445764509942E-13</v>
      </c>
      <c r="L4">
        <f t="shared" si="4"/>
        <v>6.6680176521765129E-14</v>
      </c>
      <c r="M4">
        <f t="shared" si="5"/>
        <v>5.1478853131249527E-15</v>
      </c>
      <c r="N4">
        <f t="shared" si="6"/>
        <v>1.9996040593999487E-15</v>
      </c>
      <c r="P4">
        <f t="shared" si="7"/>
        <v>2.2114685016294633E-5</v>
      </c>
      <c r="Q4">
        <f t="shared" si="8"/>
        <v>1.7073119499407402E-6</v>
      </c>
      <c r="R4">
        <f t="shared" si="9"/>
        <v>2.4379001616365878E-15</v>
      </c>
    </row>
    <row r="5" spans="1:18" x14ac:dyDescent="0.35">
      <c r="A5">
        <v>1</v>
      </c>
      <c r="B5">
        <v>165</v>
      </c>
      <c r="C5">
        <v>166</v>
      </c>
      <c r="D5">
        <f t="shared" si="0"/>
        <v>2.7389999999999998E-2</v>
      </c>
      <c r="E5">
        <f t="shared" si="10"/>
        <v>2.3405341270744164E-4</v>
      </c>
      <c r="F5">
        <v>2.1</v>
      </c>
      <c r="G5">
        <f>0.1</f>
        <v>0.1</v>
      </c>
      <c r="H5">
        <f t="shared" si="1"/>
        <v>3.0668127053669226E-12</v>
      </c>
      <c r="I5">
        <f t="shared" si="2"/>
        <v>2.1337159314368251E-13</v>
      </c>
      <c r="J5">
        <f t="shared" si="3"/>
        <v>2.5318690538954545E-13</v>
      </c>
      <c r="L5">
        <f t="shared" si="4"/>
        <v>8.1730463190989973E-14</v>
      </c>
      <c r="M5">
        <f t="shared" si="5"/>
        <v>5.643326308561236E-15</v>
      </c>
      <c r="N5">
        <f t="shared" si="6"/>
        <v>1.9995319479513117E-15</v>
      </c>
      <c r="P5">
        <f t="shared" si="7"/>
        <v>6.6009302754184054E-2</v>
      </c>
      <c r="Q5">
        <f t="shared" si="8"/>
        <v>4.5578113753249414E-3</v>
      </c>
      <c r="R5">
        <f t="shared" si="9"/>
        <v>2.5274239773678382E-15</v>
      </c>
    </row>
    <row r="6" spans="1:18" x14ac:dyDescent="0.35">
      <c r="A6">
        <v>1</v>
      </c>
      <c r="B6">
        <v>187</v>
      </c>
      <c r="C6">
        <v>187</v>
      </c>
      <c r="D6">
        <f t="shared" si="0"/>
        <v>3.4969E-2</v>
      </c>
      <c r="E6">
        <f t="shared" si="10"/>
        <v>2.6445793616376874E-4</v>
      </c>
      <c r="F6">
        <v>2.7</v>
      </c>
      <c r="G6">
        <v>0.2</v>
      </c>
      <c r="H6">
        <f t="shared" si="1"/>
        <v>3.0884497697961051E-12</v>
      </c>
      <c r="I6">
        <f t="shared" si="2"/>
        <v>2.7700075037900181E-13</v>
      </c>
      <c r="J6">
        <f t="shared" si="3"/>
        <v>4.4815640716913299E-13</v>
      </c>
      <c r="L6">
        <f t="shared" si="4"/>
        <v>1.0428861785286045E-13</v>
      </c>
      <c r="M6">
        <f t="shared" si="5"/>
        <v>9.3202979842540476E-15</v>
      </c>
      <c r="N6">
        <f t="shared" si="6"/>
        <v>3.9989423081190154E-15</v>
      </c>
      <c r="P6">
        <f t="shared" si="7"/>
        <v>166.06094046348795</v>
      </c>
      <c r="Q6">
        <f t="shared" si="8"/>
        <v>14.840904794124915</v>
      </c>
      <c r="R6">
        <f t="shared" si="9"/>
        <v>5.2108984977777139E-15</v>
      </c>
    </row>
    <row r="7" spans="1:18" x14ac:dyDescent="0.35">
      <c r="A7">
        <v>1</v>
      </c>
      <c r="B7">
        <v>194</v>
      </c>
      <c r="C7">
        <v>194</v>
      </c>
      <c r="D7">
        <f t="shared" si="0"/>
        <v>3.7635999999999996E-2</v>
      </c>
      <c r="E7">
        <f t="shared" si="10"/>
        <v>2.7435743110038047E-4</v>
      </c>
      <c r="F7">
        <v>3</v>
      </c>
      <c r="G7">
        <v>0.1</v>
      </c>
      <c r="H7">
        <f t="shared" si="1"/>
        <v>3.1884366032522061E-12</v>
      </c>
      <c r="I7">
        <f t="shared" si="2"/>
        <v>1.9300583390794153E-13</v>
      </c>
      <c r="J7">
        <f t="shared" si="3"/>
        <v>2.1599290757893776E-13</v>
      </c>
      <c r="L7">
        <f t="shared" si="4"/>
        <v>1.1556761186246757E-13</v>
      </c>
      <c r="M7">
        <f t="shared" si="5"/>
        <v>6.9448215522726472E-15</v>
      </c>
      <c r="N7">
        <f t="shared" si="6"/>
        <v>1.9994513604029162E-15</v>
      </c>
      <c r="P7">
        <f t="shared" si="7"/>
        <v>2656.3687774019172</v>
      </c>
      <c r="Q7">
        <f t="shared" si="8"/>
        <v>159.62956090188328</v>
      </c>
      <c r="R7">
        <f t="shared" si="9"/>
        <v>2.6313699698733586E-15</v>
      </c>
    </row>
    <row r="8" spans="1:18" x14ac:dyDescent="0.35">
      <c r="A8">
        <v>1</v>
      </c>
      <c r="B8">
        <v>215</v>
      </c>
      <c r="C8">
        <v>215</v>
      </c>
      <c r="D8">
        <f t="shared" si="0"/>
        <v>4.6224999999999995E-2</v>
      </c>
      <c r="E8">
        <f t="shared" si="10"/>
        <v>3.0405591591021542E-4</v>
      </c>
      <c r="G8">
        <v>0.1</v>
      </c>
    </row>
    <row r="9" spans="1:18" x14ac:dyDescent="0.35">
      <c r="A9">
        <v>1</v>
      </c>
      <c r="B9">
        <v>200</v>
      </c>
      <c r="C9">
        <v>270</v>
      </c>
      <c r="D9">
        <f t="shared" si="0"/>
        <v>5.3999999999999999E-2</v>
      </c>
      <c r="E9">
        <f t="shared" si="10"/>
        <v>3.3600595232822887E-4</v>
      </c>
      <c r="F9">
        <v>4.5999999999999996</v>
      </c>
      <c r="G9">
        <v>0.1</v>
      </c>
      <c r="H9">
        <f t="shared" si="1"/>
        <v>3.4074074074074073E-12</v>
      </c>
      <c r="I9">
        <f t="shared" si="2"/>
        <v>1.8698277266509376E-13</v>
      </c>
      <c r="J9">
        <f t="shared" si="3"/>
        <v>1.7636371870392224E-13</v>
      </c>
      <c r="L9">
        <f t="shared" si="4"/>
        <v>1.7432750759633086E-13</v>
      </c>
      <c r="M9">
        <f t="shared" si="5"/>
        <v>9.5047710306340484E-15</v>
      </c>
      <c r="N9">
        <f t="shared" si="6"/>
        <v>1.9993281009826998E-15</v>
      </c>
      <c r="P9">
        <f t="shared" si="7"/>
        <v>52085860780.254364</v>
      </c>
      <c r="Q9">
        <f t="shared" si="8"/>
        <v>2839851194.3173075</v>
      </c>
      <c r="R9">
        <f t="shared" si="9"/>
        <v>2.7986947083217987E-15</v>
      </c>
    </row>
    <row r="10" spans="1:18" x14ac:dyDescent="0.35">
      <c r="G10" t="s">
        <v>29</v>
      </c>
      <c r="H10">
        <f>80.874*10^(-9)*A14</f>
        <v>3.2349599999999998E-12</v>
      </c>
    </row>
    <row r="13" spans="1:18" x14ac:dyDescent="0.35">
      <c r="A13" t="s">
        <v>21</v>
      </c>
      <c r="B13" t="s">
        <v>22</v>
      </c>
    </row>
    <row r="14" spans="1:18" x14ac:dyDescent="0.35">
      <c r="A14">
        <f>40*10^(-6)</f>
        <v>3.9999999999999996E-5</v>
      </c>
      <c r="B14">
        <f>2*10^(-6)</f>
        <v>1.9999999999999999E-6</v>
      </c>
      <c r="G14" t="s">
        <v>23</v>
      </c>
      <c r="H14">
        <f>AVERAGE(H2:H9)</f>
        <v>3.4034749499648713E-12</v>
      </c>
      <c r="I14">
        <f>AVERAGE(I2:I9)</f>
        <v>3.3462533806241778E-13</v>
      </c>
    </row>
    <row r="15" spans="1:18" x14ac:dyDescent="0.35">
      <c r="H15">
        <f>H14</f>
        <v>3.4034749499648713E-12</v>
      </c>
      <c r="I15">
        <f>I14</f>
        <v>3.3462533806241778E-13</v>
      </c>
    </row>
    <row r="16" spans="1:18" x14ac:dyDescent="0.35">
      <c r="H16">
        <f t="shared" ref="H16:H20" si="11">H15</f>
        <v>3.4034749499648713E-12</v>
      </c>
      <c r="I16">
        <f t="shared" ref="I16:I20" si="12">I15</f>
        <v>3.3462533806241778E-13</v>
      </c>
    </row>
    <row r="17" spans="1:9" x14ac:dyDescent="0.35">
      <c r="H17">
        <f t="shared" si="11"/>
        <v>3.4034749499648713E-12</v>
      </c>
      <c r="I17">
        <f t="shared" si="12"/>
        <v>3.3462533806241778E-13</v>
      </c>
    </row>
    <row r="18" spans="1:9" x14ac:dyDescent="0.35">
      <c r="H18">
        <f t="shared" si="11"/>
        <v>3.4034749499648713E-12</v>
      </c>
      <c r="I18">
        <f t="shared" si="12"/>
        <v>3.3462533806241778E-13</v>
      </c>
    </row>
    <row r="19" spans="1:9" x14ac:dyDescent="0.35">
      <c r="A19" t="s">
        <v>20</v>
      </c>
      <c r="H19">
        <f t="shared" si="11"/>
        <v>3.4034749499648713E-12</v>
      </c>
      <c r="I19">
        <f t="shared" si="12"/>
        <v>3.3462533806241778E-13</v>
      </c>
    </row>
    <row r="20" spans="1:9" x14ac:dyDescent="0.35">
      <c r="H20">
        <f t="shared" si="11"/>
        <v>3.4034749499648713E-12</v>
      </c>
      <c r="I20">
        <f t="shared" si="12"/>
        <v>3.3462533806241778E-13</v>
      </c>
    </row>
    <row r="21" spans="1:9" x14ac:dyDescent="0.35">
      <c r="H21">
        <f>H19</f>
        <v>3.4034749499648713E-12</v>
      </c>
      <c r="I21">
        <f>I19</f>
        <v>3.3462533806241778E-13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5FFEC-E2B3-455F-B8F6-1BECF60A4951}">
  <dimension ref="A1:J14"/>
  <sheetViews>
    <sheetView topLeftCell="A20" workbookViewId="0">
      <selection activeCell="J18" sqref="J18"/>
    </sheetView>
  </sheetViews>
  <sheetFormatPr defaultRowHeight="14.5" x14ac:dyDescent="0.35"/>
  <cols>
    <col min="9" max="9" width="12.6328125" bestFit="1" customWidth="1"/>
    <col min="10" max="10" width="12" bestFit="1" customWidth="1"/>
  </cols>
  <sheetData>
    <row r="1" spans="1:10" x14ac:dyDescent="0.35">
      <c r="A1" t="s">
        <v>10</v>
      </c>
      <c r="B1" t="s">
        <v>0</v>
      </c>
      <c r="C1" t="s">
        <v>1</v>
      </c>
      <c r="E1" t="s">
        <v>11</v>
      </c>
      <c r="F1" t="s">
        <v>12</v>
      </c>
    </row>
    <row r="2" spans="1:10" x14ac:dyDescent="0.35">
      <c r="A2">
        <v>1</v>
      </c>
      <c r="B2">
        <v>187</v>
      </c>
      <c r="C2">
        <v>187</v>
      </c>
      <c r="E2">
        <f>2*10^(-6)</f>
        <v>1.9999999999999999E-6</v>
      </c>
      <c r="F2">
        <f>40*10^(-6)</f>
        <v>3.9999999999999996E-5</v>
      </c>
      <c r="I2">
        <f>B2*C2*10^(-6)</f>
        <v>3.4969E-2</v>
      </c>
      <c r="J2">
        <v>2.6445793616376874E-4</v>
      </c>
    </row>
    <row r="6" spans="1:10" x14ac:dyDescent="0.35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4</v>
      </c>
      <c r="G6" t="s">
        <v>9</v>
      </c>
      <c r="I6" t="s">
        <v>27</v>
      </c>
      <c r="J6" t="s">
        <v>28</v>
      </c>
    </row>
    <row r="7" spans="1:10" x14ac:dyDescent="0.35">
      <c r="A7">
        <v>1</v>
      </c>
      <c r="B7">
        <f>A7*$F$2</f>
        <v>3.9999999999999996E-5</v>
      </c>
      <c r="C7">
        <f>$F$2*A7</f>
        <v>3.9999999999999996E-5</v>
      </c>
      <c r="D7">
        <f>1/B7</f>
        <v>25000.000000000004</v>
      </c>
      <c r="E7">
        <f>$F$2/B7^2</f>
        <v>25000.000000000004</v>
      </c>
      <c r="F7">
        <v>5</v>
      </c>
      <c r="G7">
        <v>0.1</v>
      </c>
      <c r="I7">
        <f>F7*10^(-9)/$I$2</f>
        <v>1.4298378563870857E-7</v>
      </c>
      <c r="J7">
        <f>SQRT((G7*10^(-9)/$I$2)^2 +($J$2*I7/$I$2)^2)</f>
        <v>3.057291308719941E-9</v>
      </c>
    </row>
    <row r="8" spans="1:10" x14ac:dyDescent="0.35">
      <c r="A8">
        <v>2</v>
      </c>
      <c r="B8">
        <f t="shared" ref="B8:B12" si="0">A8*$F$2</f>
        <v>7.9999999999999993E-5</v>
      </c>
      <c r="C8">
        <f t="shared" ref="C8:C12" si="1">$F$2*A8</f>
        <v>7.9999999999999993E-5</v>
      </c>
      <c r="D8">
        <f t="shared" ref="D8:D12" si="2">1/B8</f>
        <v>12500.000000000002</v>
      </c>
      <c r="E8">
        <f t="shared" ref="E8:E12" si="3">$F$2/B8^2</f>
        <v>6250.0000000000009</v>
      </c>
      <c r="F8">
        <v>3.8</v>
      </c>
      <c r="G8">
        <v>0.1</v>
      </c>
      <c r="I8">
        <f t="shared" ref="I8:I12" si="4">F8*10^(-9)/$I$2</f>
        <v>1.0866767708541852E-7</v>
      </c>
      <c r="J8">
        <f t="shared" ref="J8:J12" si="5">SQRT((G8*10^(-9)/$I$2)^2 +($J$2*I8/$I$2)^2)</f>
        <v>2.975420000188218E-9</v>
      </c>
    </row>
    <row r="9" spans="1:10" x14ac:dyDescent="0.35">
      <c r="A9">
        <v>3</v>
      </c>
      <c r="B9">
        <f t="shared" si="0"/>
        <v>1.1999999999999999E-4</v>
      </c>
      <c r="C9">
        <f t="shared" si="1"/>
        <v>1.1999999999999999E-4</v>
      </c>
      <c r="D9">
        <f t="shared" si="2"/>
        <v>8333.3333333333339</v>
      </c>
      <c r="E9">
        <f t="shared" si="3"/>
        <v>2777.7777777777778</v>
      </c>
      <c r="F9">
        <v>2.9</v>
      </c>
      <c r="G9">
        <v>0.1</v>
      </c>
      <c r="I9">
        <f>(F9+0)*10^(-9)/$I$2</f>
        <v>8.2930595670450973E-8</v>
      </c>
      <c r="J9">
        <f t="shared" si="5"/>
        <v>2.9276428477819008E-9</v>
      </c>
    </row>
    <row r="10" spans="1:10" x14ac:dyDescent="0.35">
      <c r="A10">
        <v>4</v>
      </c>
      <c r="B10">
        <f t="shared" si="0"/>
        <v>1.5999999999999999E-4</v>
      </c>
      <c r="C10">
        <f t="shared" si="1"/>
        <v>1.5999999999999999E-4</v>
      </c>
      <c r="D10">
        <f t="shared" si="2"/>
        <v>6250.0000000000009</v>
      </c>
      <c r="E10">
        <f t="shared" si="3"/>
        <v>1562.5000000000002</v>
      </c>
      <c r="F10">
        <v>2.4</v>
      </c>
      <c r="G10">
        <v>0.1</v>
      </c>
      <c r="I10">
        <f t="shared" si="4"/>
        <v>6.8632217106580113E-8</v>
      </c>
      <c r="J10">
        <f t="shared" si="5"/>
        <v>2.9063978457825162E-9</v>
      </c>
    </row>
    <row r="11" spans="1:10" x14ac:dyDescent="0.35">
      <c r="A11">
        <v>5</v>
      </c>
      <c r="B11">
        <f t="shared" si="0"/>
        <v>1.9999999999999998E-4</v>
      </c>
      <c r="C11">
        <f t="shared" si="1"/>
        <v>1.9999999999999998E-4</v>
      </c>
      <c r="D11">
        <f t="shared" si="2"/>
        <v>5000</v>
      </c>
      <c r="E11">
        <f t="shared" si="3"/>
        <v>1000.0000000000001</v>
      </c>
      <c r="F11">
        <v>2</v>
      </c>
      <c r="G11">
        <v>0.1</v>
      </c>
      <c r="I11">
        <f t="shared" si="4"/>
        <v>5.7193514255483434E-8</v>
      </c>
      <c r="J11">
        <f t="shared" si="5"/>
        <v>2.8922017178083397E-9</v>
      </c>
    </row>
    <row r="12" spans="1:10" x14ac:dyDescent="0.35">
      <c r="A12">
        <v>6</v>
      </c>
      <c r="B12">
        <f t="shared" si="0"/>
        <v>2.3999999999999998E-4</v>
      </c>
      <c r="C12">
        <f t="shared" si="1"/>
        <v>2.3999999999999998E-4</v>
      </c>
      <c r="D12">
        <f t="shared" si="2"/>
        <v>4166.666666666667</v>
      </c>
      <c r="E12">
        <f t="shared" si="3"/>
        <v>694.44444444444446</v>
      </c>
      <c r="F12">
        <v>1.7</v>
      </c>
      <c r="G12">
        <v>0.1</v>
      </c>
      <c r="I12">
        <f t="shared" si="4"/>
        <v>4.8614487117160916E-8</v>
      </c>
      <c r="J12">
        <f t="shared" si="5"/>
        <v>2.8832125353649383E-9</v>
      </c>
    </row>
    <row r="14" spans="1:10" x14ac:dyDescent="0.35">
      <c r="E14">
        <v>9.5999999999999992E-3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</vt:lpstr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Anh-Khoi Trinh</dc:creator>
  <cp:lastModifiedBy>Anh-Khoi Trinh</cp:lastModifiedBy>
  <dcterms:created xsi:type="dcterms:W3CDTF">2018-04-25T14:19:08Z</dcterms:created>
  <dcterms:modified xsi:type="dcterms:W3CDTF">2018-10-21T19:00:25Z</dcterms:modified>
</cp:coreProperties>
</file>