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975" windowHeight="12120" firstSheet="1" activeTab="4"/>
  </bookViews>
  <sheets>
    <sheet name="Answer Report 1" sheetId="8" r:id="rId1"/>
    <sheet name="Answer Report 2" sheetId="11" r:id="rId2"/>
    <sheet name="Sensitivity Report 2" sheetId="12" r:id="rId3"/>
    <sheet name="Limits Report 2" sheetId="13" r:id="rId4"/>
    <sheet name="Example 5.2" sheetId="1" r:id="rId5"/>
  </sheets>
  <definedNames>
    <definedName name="_xlnm.Print_Area" localSheetId="4">'Example 5.2'!$A$1:$O$24</definedName>
    <definedName name="_xlnm.Print_Titles" localSheetId="4">'Example 5.2'!$A:$B</definedName>
    <definedName name="solver_adj" localSheetId="4" hidden="1">'Example 5.2'!$K$3:$K$7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100</definedName>
    <definedName name="solver_lhs1" localSheetId="4" hidden="1">'Example 5.2'!$K$3:$K$7</definedName>
    <definedName name="solver_lhs2" localSheetId="4" hidden="1">'Example 5.2'!$D$13</definedName>
    <definedName name="solver_lhs3" localSheetId="4" hidden="1">'Example 5.2'!$K$3:$K$7</definedName>
    <definedName name="solver_lhs4" localSheetId="4" hidden="1">'Example 5.2'!$M$11</definedName>
    <definedName name="solver_lhs5" localSheetId="4" hidden="1">'Example 5.2'!$N$11</definedName>
    <definedName name="solver_lhs6" localSheetId="4" hidden="1">'Example 5.2'!$O$11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6</definedName>
    <definedName name="solver_nwt" localSheetId="4" hidden="1">1</definedName>
    <definedName name="solver_opt" localSheetId="4" hidden="1">'Example 5.2'!$L$11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el3" localSheetId="4" hidden="1">3</definedName>
    <definedName name="solver_rel4" localSheetId="4" hidden="1">1</definedName>
    <definedName name="solver_rel5" localSheetId="4" hidden="1">1</definedName>
    <definedName name="solver_rel6" localSheetId="4" hidden="1">1</definedName>
    <definedName name="solver_rhs1" localSheetId="4" hidden="1">'Example 5.2'!$C$3:$C$7</definedName>
    <definedName name="solver_rhs2" localSheetId="4" hidden="1">'Example 5.2'!$D$12</definedName>
    <definedName name="solver_rhs3" localSheetId="4" hidden="1">100</definedName>
    <definedName name="solver_rhs4" localSheetId="4" hidden="1">(0.05)^2</definedName>
    <definedName name="solver_rhs5" localSheetId="4" hidden="1">(0.03)^2</definedName>
    <definedName name="solver_rhs6" localSheetId="4" hidden="1">(0.03)^2</definedName>
    <definedName name="solver_rlx" localSheetId="4" hidden="1">1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tim" localSheetId="4" hidden="1">100</definedName>
    <definedName name="solver_tol" localSheetId="4" hidden="1">0.05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45621"/>
</workbook>
</file>

<file path=xl/calcChain.xml><?xml version="1.0" encoding="utf-8"?>
<calcChain xmlns="http://schemas.openxmlformats.org/spreadsheetml/2006/main">
  <c r="A23" i="1" l="1"/>
  <c r="A19" i="1" a="1"/>
  <c r="A19" i="1" s="1"/>
  <c r="A17" i="1" a="1"/>
  <c r="A17" i="1" s="1"/>
  <c r="A16" i="1"/>
  <c r="K9" i="1"/>
  <c r="C9" i="1"/>
  <c r="G3" i="1"/>
  <c r="G4" i="1"/>
  <c r="G5" i="1"/>
  <c r="G6" i="1"/>
  <c r="L6" i="1" s="1"/>
  <c r="G7" i="1"/>
  <c r="E9" i="1" a="1"/>
  <c r="O3" i="1"/>
  <c r="O4" i="1"/>
  <c r="O5" i="1"/>
  <c r="O6" i="1"/>
  <c r="O7" i="1"/>
  <c r="J9" i="1" a="1"/>
  <c r="J9" i="1" s="1"/>
  <c r="J10" i="1" s="1"/>
  <c r="N3" i="1"/>
  <c r="N4" i="1"/>
  <c r="N5" i="1"/>
  <c r="N6" i="1"/>
  <c r="N7" i="1"/>
  <c r="I9" i="1" a="1"/>
  <c r="H3" i="1"/>
  <c r="M3" i="1" s="1"/>
  <c r="H4" i="1"/>
  <c r="M4" i="1" s="1"/>
  <c r="H5" i="1"/>
  <c r="M5" i="1" s="1"/>
  <c r="H6" i="1"/>
  <c r="M6" i="1" s="1"/>
  <c r="H7" i="1"/>
  <c r="M7" i="1" s="1"/>
  <c r="F9" i="1" a="1"/>
  <c r="F9" i="1" s="1"/>
  <c r="F10" i="1" s="1"/>
  <c r="D13" i="1" a="1"/>
  <c r="D13" i="1" s="1"/>
  <c r="A22" i="1" s="1"/>
  <c r="L3" i="1"/>
  <c r="L4" i="1"/>
  <c r="L5" i="1"/>
  <c r="L7" i="1"/>
  <c r="I9" i="1"/>
  <c r="E9" i="1"/>
  <c r="E10" i="1" l="1"/>
  <c r="N9" i="1"/>
  <c r="N11" i="1" s="1"/>
  <c r="N12" i="1" s="1"/>
  <c r="L9" i="1"/>
  <c r="L11" i="1" s="1"/>
  <c r="L12" i="1" s="1"/>
  <c r="O9" i="1"/>
  <c r="O11" i="1" s="1"/>
  <c r="M9" i="1"/>
  <c r="M11" i="1" s="1"/>
  <c r="I10" i="1"/>
  <c r="A21" i="1" l="1"/>
  <c r="A15" i="1"/>
  <c r="O12" i="1"/>
  <c r="A18" i="1"/>
  <c r="A20" i="1"/>
  <c r="M12" i="1"/>
</calcChain>
</file>

<file path=xl/sharedStrings.xml><?xml version="1.0" encoding="utf-8"?>
<sst xmlns="http://schemas.openxmlformats.org/spreadsheetml/2006/main" count="301" uniqueCount="105">
  <si>
    <t>Population means</t>
  </si>
  <si>
    <t>Population standard dev.</t>
  </si>
  <si>
    <t>Population proportion</t>
  </si>
  <si>
    <t>h</t>
  </si>
  <si>
    <t>Sector</t>
  </si>
  <si>
    <t>Establishments Nh</t>
  </si>
  <si>
    <t>ch</t>
  </si>
  <si>
    <t>Revenue (millions)</t>
  </si>
  <si>
    <t>Employees</t>
  </si>
  <si>
    <t>Claimed research credit</t>
  </si>
  <si>
    <t>Had offshore affiliates</t>
  </si>
  <si>
    <t>nh</t>
  </si>
  <si>
    <t>Revenue   Nh*(Nh/nh - 1) * Sh^2</t>
  </si>
  <si>
    <t>Employees  Nh*(Nh/nh - 1) * Sh^2</t>
  </si>
  <si>
    <t>Research credit  Nh*(Nh/nh - 1) * Sh^2</t>
  </si>
  <si>
    <t>Offshore Nh*(Nh/nh - 1) * Sh^2</t>
  </si>
  <si>
    <t>Manufacturing</t>
  </si>
  <si>
    <t>Retail</t>
  </si>
  <si>
    <t>Wholesale</t>
  </si>
  <si>
    <t>Service</t>
  </si>
  <si>
    <t>Finance</t>
  </si>
  <si>
    <t>Pop Total</t>
  </si>
  <si>
    <t>Pop Mean</t>
  </si>
  <si>
    <t>relvariance of t.hat</t>
  </si>
  <si>
    <t>Budget</t>
  </si>
  <si>
    <t>CV of t.hat</t>
  </si>
  <si>
    <t>Total sample cost</t>
  </si>
  <si>
    <t>Worksheet: [Example 5.2.Solver.xlsx]Example 5.2</t>
  </si>
  <si>
    <t>Cell</t>
  </si>
  <si>
    <t>Name</t>
  </si>
  <si>
    <t>Original Value</t>
  </si>
  <si>
    <t>Final Value</t>
  </si>
  <si>
    <t>Constraints</t>
  </si>
  <si>
    <t>Cell Value</t>
  </si>
  <si>
    <t>Formula</t>
  </si>
  <si>
    <t>Status</t>
  </si>
  <si>
    <t>Slack</t>
  </si>
  <si>
    <t>$L$11</t>
  </si>
  <si>
    <t>relvariance of t.hat Revenue   Nh*(Nh/nh - 1) * Sh^2</t>
  </si>
  <si>
    <t>$K$3</t>
  </si>
  <si>
    <t>Manufacturing nh</t>
  </si>
  <si>
    <t>$K$4</t>
  </si>
  <si>
    <t>Retail nh</t>
  </si>
  <si>
    <t>$K$5</t>
  </si>
  <si>
    <t>Wholesale nh</t>
  </si>
  <si>
    <t>$K$6</t>
  </si>
  <si>
    <t>Service nh</t>
  </si>
  <si>
    <t>$K$7</t>
  </si>
  <si>
    <t>Finance nh</t>
  </si>
  <si>
    <t>$O$11</t>
  </si>
  <si>
    <t>relvariance of t.hat Offshore Nh*(Nh/nh - 1) * Sh^2</t>
  </si>
  <si>
    <t>$O$11&lt;=(0.03)^2</t>
  </si>
  <si>
    <t>Binding</t>
  </si>
  <si>
    <t>$M$11</t>
  </si>
  <si>
    <t>relvariance of t.hat Employees  Nh*(Nh/nh - 1) * Sh^2</t>
  </si>
  <si>
    <t>$M$11&lt;=(0.05)^2</t>
  </si>
  <si>
    <t>Not Binding</t>
  </si>
  <si>
    <t>$N$11</t>
  </si>
  <si>
    <t>relvariance of t.hat Research credit  Nh*(Nh/nh - 1) * Sh^2</t>
  </si>
  <si>
    <t>$N$11&lt;=(0.03)^2</t>
  </si>
  <si>
    <t>$D$13</t>
  </si>
  <si>
    <t>Total sample cost ch</t>
  </si>
  <si>
    <t>$D$13&lt;=$D$12</t>
  </si>
  <si>
    <t>$K$3&lt;=$C$3</t>
  </si>
  <si>
    <t>$K$4&lt;=$C$4</t>
  </si>
  <si>
    <t>$K$5&lt;=$C$5</t>
  </si>
  <si>
    <t>$K$6&lt;=$C$6</t>
  </si>
  <si>
    <t>$K$7&lt;=$C$7</t>
  </si>
  <si>
    <t>$K$3&gt;=100</t>
  </si>
  <si>
    <t>$K$4&gt;=100</t>
  </si>
  <si>
    <t>$K$5&gt;=100</t>
  </si>
  <si>
    <t>$K$6&gt;=100</t>
  </si>
  <si>
    <t>$K$7&gt;=100</t>
  </si>
  <si>
    <t>Final</t>
  </si>
  <si>
    <t>Value</t>
  </si>
  <si>
    <t>Reduced</t>
  </si>
  <si>
    <t>Gradient</t>
  </si>
  <si>
    <t>Lagrange</t>
  </si>
  <si>
    <t>Multiplier</t>
  </si>
  <si>
    <t>Microsoft Excel 14.0 Answer Report</t>
  </si>
  <si>
    <t>Report Created: 1/13/2012 9:32:25 AM</t>
  </si>
  <si>
    <t>Result: Solver has converged to the current solution.  All Constraints are satisfied.</t>
  </si>
  <si>
    <t>Solver Engine</t>
  </si>
  <si>
    <t>Engine: GRG Nonlinear</t>
  </si>
  <si>
    <t>Solution Time: 0.063 Seconds.</t>
  </si>
  <si>
    <t>Iterations: 19 Subproblems: 0</t>
  </si>
  <si>
    <t>Solver Options</t>
  </si>
  <si>
    <t>Max Time 100 sec,  Iterations 100, Precision 0.000001</t>
  </si>
  <si>
    <t xml:space="preserve"> Convergence 0.0001, Population Size 100, Random Seed 0, Derivatives Forward, Require Bounds</t>
  </si>
  <si>
    <t>Max Subproblems Unlimited, Max Integer Sols Unlimited, Integer Tolerance 5%, Solve Without Integer Constraints</t>
  </si>
  <si>
    <t>Objective Cell (Min)</t>
  </si>
  <si>
    <t>Variable Cells</t>
  </si>
  <si>
    <t>Integer</t>
  </si>
  <si>
    <t>Contin</t>
  </si>
  <si>
    <t>Microsoft Excel 14.0 Sensitivity Report</t>
  </si>
  <si>
    <t>Microsoft Excel 14.0 Limits Report</t>
  </si>
  <si>
    <t>Objective</t>
  </si>
  <si>
    <t>Variable</t>
  </si>
  <si>
    <t>Lower</t>
  </si>
  <si>
    <t>Limit</t>
  </si>
  <si>
    <t>Result</t>
  </si>
  <si>
    <t>Upper</t>
  </si>
  <si>
    <t>Report Created: 3/21/2012 8:50:43 PM</t>
  </si>
  <si>
    <t>Solution Time: 0.14 Seconds.</t>
  </si>
  <si>
    <t>Iterations: 35 Subproblems: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</si>
</sst>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&quot;$&quot;* #,##0_);_(&quot;$&quot;* \(#,##0\);_(&quot;$&quot;* &quot;-&quot;??_);_(@_)"/>
    <numFmt numFmtId="167" formatCode="0.000"/>
    <numFmt numFmtId="168" formatCode="0.00000000"/>
    <numFmt numFmtId="169" formatCode="0.0000"/>
    <numFmt numFmtId="170" formatCode="0.00000"/>
    <numFmt numFmtId="171" formatCode="0.00000E+00"/>
    <numFmt numFmtId="172" formatCode="0.00000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0"/>
      <name val="Verdana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10" xfId="0" applyFill="1" applyBorder="1" applyAlignment="1"/>
    <xf numFmtId="0" fontId="0" fillId="0" borderId="11" xfId="0" applyFill="1" applyBorder="1" applyAlignment="1"/>
    <xf numFmtId="168" fontId="0" fillId="0" borderId="10" xfId="0" applyNumberFormat="1" applyFill="1" applyBorder="1" applyAlignment="1"/>
    <xf numFmtId="164" fontId="0" fillId="0" borderId="11" xfId="0" applyNumberFormat="1" applyFill="1" applyBorder="1" applyAlignment="1"/>
    <xf numFmtId="164" fontId="0" fillId="0" borderId="10" xfId="0" applyNumberFormat="1" applyFill="1" applyBorder="1" applyAlignment="1"/>
    <xf numFmtId="172" fontId="0" fillId="0" borderId="11" xfId="0" applyNumberFormat="1" applyFill="1" applyBorder="1" applyAlignment="1"/>
    <xf numFmtId="166" fontId="0" fillId="0" borderId="11" xfId="0" applyNumberFormat="1" applyFill="1" applyBorder="1" applyAlignment="1"/>
    <xf numFmtId="0" fontId="4" fillId="0" borderId="9" xfId="0" applyFont="1" applyFill="1" applyBorder="1" applyAlignment="1">
      <alignment horizontal="center"/>
    </xf>
    <xf numFmtId="7" fontId="0" fillId="0" borderId="11" xfId="0" applyNumberFormat="1" applyFill="1" applyBorder="1" applyAlignment="1"/>
    <xf numFmtId="0" fontId="5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64" fontId="5" fillId="0" borderId="0" xfId="1" applyNumberFormat="1" applyFont="1"/>
    <xf numFmtId="165" fontId="5" fillId="0" borderId="0" xfId="0" applyNumberFormat="1" applyFont="1"/>
    <xf numFmtId="2" fontId="5" fillId="0" borderId="0" xfId="0" applyNumberFormat="1" applyFont="1"/>
    <xf numFmtId="164" fontId="5" fillId="0" borderId="3" xfId="1" applyNumberFormat="1" applyFont="1" applyBorder="1"/>
    <xf numFmtId="43" fontId="5" fillId="0" borderId="0" xfId="0" applyNumberFormat="1" applyFont="1"/>
    <xf numFmtId="164" fontId="5" fillId="0" borderId="4" xfId="1" applyNumberFormat="1" applyFont="1" applyBorder="1"/>
    <xf numFmtId="164" fontId="5" fillId="0" borderId="1" xfId="1" applyNumberFormat="1" applyFont="1" applyBorder="1"/>
    <xf numFmtId="43" fontId="5" fillId="0" borderId="1" xfId="1" applyNumberFormat="1" applyFont="1" applyBorder="1"/>
    <xf numFmtId="164" fontId="5" fillId="0" borderId="5" xfId="1" applyNumberFormat="1" applyFont="1" applyBorder="1"/>
    <xf numFmtId="1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72" fontId="5" fillId="0" borderId="0" xfId="0" applyNumberFormat="1" applyFont="1"/>
    <xf numFmtId="166" fontId="5" fillId="0" borderId="0" xfId="2" applyNumberFormat="1" applyFont="1"/>
    <xf numFmtId="170" fontId="5" fillId="0" borderId="0" xfId="0" applyNumberFormat="1" applyFont="1"/>
    <xf numFmtId="169" fontId="5" fillId="0" borderId="0" xfId="0" applyNumberFormat="1" applyFont="1"/>
    <xf numFmtId="171" fontId="5" fillId="0" borderId="0" xfId="0" applyNumberFormat="1" applyFont="1"/>
    <xf numFmtId="0" fontId="5" fillId="0" borderId="6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>
      <selection activeCell="E16" sqref="E16"/>
    </sheetView>
  </sheetViews>
  <sheetFormatPr defaultRowHeight="12.75" x14ac:dyDescent="0.2"/>
  <cols>
    <col min="1" max="1" width="2.28515625" customWidth="1"/>
    <col min="2" max="2" width="6.5703125" customWidth="1"/>
    <col min="3" max="3" width="49.5703125" customWidth="1"/>
    <col min="4" max="4" width="14.28515625" bestFit="1" customWidth="1"/>
    <col min="5" max="5" width="15.42578125" bestFit="1" customWidth="1"/>
    <col min="6" max="6" width="10.5703125" customWidth="1"/>
    <col min="7" max="7" width="12" bestFit="1" customWidth="1"/>
  </cols>
  <sheetData>
    <row r="1" spans="1:5" x14ac:dyDescent="0.2">
      <c r="A1" s="1" t="s">
        <v>79</v>
      </c>
    </row>
    <row r="2" spans="1:5" x14ac:dyDescent="0.2">
      <c r="A2" s="1" t="s">
        <v>27</v>
      </c>
    </row>
    <row r="3" spans="1:5" x14ac:dyDescent="0.2">
      <c r="A3" s="1" t="s">
        <v>80</v>
      </c>
    </row>
    <row r="4" spans="1:5" x14ac:dyDescent="0.2">
      <c r="A4" s="1" t="s">
        <v>81</v>
      </c>
    </row>
    <row r="5" spans="1:5" x14ac:dyDescent="0.2">
      <c r="A5" s="1" t="s">
        <v>82</v>
      </c>
    </row>
    <row r="6" spans="1:5" x14ac:dyDescent="0.2">
      <c r="A6" s="1"/>
      <c r="B6" t="s">
        <v>83</v>
      </c>
    </row>
    <row r="7" spans="1:5" x14ac:dyDescent="0.2">
      <c r="A7" s="1"/>
      <c r="B7" t="s">
        <v>84</v>
      </c>
    </row>
    <row r="8" spans="1:5" x14ac:dyDescent="0.2">
      <c r="A8" s="1"/>
      <c r="B8" t="s">
        <v>85</v>
      </c>
    </row>
    <row r="9" spans="1:5" x14ac:dyDescent="0.2">
      <c r="A9" s="1" t="s">
        <v>86</v>
      </c>
    </row>
    <row r="10" spans="1:5" x14ac:dyDescent="0.2">
      <c r="B10" t="s">
        <v>87</v>
      </c>
    </row>
    <row r="11" spans="1:5" x14ac:dyDescent="0.2">
      <c r="B11" t="s">
        <v>88</v>
      </c>
    </row>
    <row r="12" spans="1:5" x14ac:dyDescent="0.2">
      <c r="B12" t="s">
        <v>89</v>
      </c>
    </row>
    <row r="14" spans="1:5" ht="13.5" thickBot="1" x14ac:dyDescent="0.25">
      <c r="A14" t="s">
        <v>90</v>
      </c>
    </row>
    <row r="15" spans="1:5" ht="13.5" thickBot="1" x14ac:dyDescent="0.25">
      <c r="B15" s="9" t="s">
        <v>28</v>
      </c>
      <c r="C15" s="9" t="s">
        <v>29</v>
      </c>
      <c r="D15" s="9" t="s">
        <v>30</v>
      </c>
      <c r="E15" s="9" t="s">
        <v>31</v>
      </c>
    </row>
    <row r="16" spans="1:5" ht="13.5" thickBot="1" x14ac:dyDescent="0.25">
      <c r="B16" s="2" t="s">
        <v>37</v>
      </c>
      <c r="C16" s="2" t="s">
        <v>38</v>
      </c>
      <c r="D16" s="4">
        <v>1.2986905157338689E-2</v>
      </c>
      <c r="E16" s="4">
        <v>2.1669530407248997E-3</v>
      </c>
    </row>
    <row r="19" spans="1:7" ht="13.5" thickBot="1" x14ac:dyDescent="0.25">
      <c r="A19" t="s">
        <v>91</v>
      </c>
    </row>
    <row r="20" spans="1:7" ht="13.5" thickBot="1" x14ac:dyDescent="0.25">
      <c r="B20" s="9" t="s">
        <v>28</v>
      </c>
      <c r="C20" s="9" t="s">
        <v>29</v>
      </c>
      <c r="D20" s="9" t="s">
        <v>30</v>
      </c>
      <c r="E20" s="9" t="s">
        <v>31</v>
      </c>
      <c r="F20" s="9" t="s">
        <v>92</v>
      </c>
    </row>
    <row r="21" spans="1:7" x14ac:dyDescent="0.2">
      <c r="B21" s="3" t="s">
        <v>39</v>
      </c>
      <c r="C21" s="3" t="s">
        <v>40</v>
      </c>
      <c r="D21" s="5">
        <v>100</v>
      </c>
      <c r="E21" s="5">
        <v>412.57000532959387</v>
      </c>
      <c r="F21" s="3" t="s">
        <v>93</v>
      </c>
    </row>
    <row r="22" spans="1:7" x14ac:dyDescent="0.2">
      <c r="B22" s="3" t="s">
        <v>41</v>
      </c>
      <c r="C22" s="3" t="s">
        <v>42</v>
      </c>
      <c r="D22" s="5">
        <v>100</v>
      </c>
      <c r="E22" s="5">
        <v>316.82932415015165</v>
      </c>
      <c r="F22" s="3" t="s">
        <v>93</v>
      </c>
    </row>
    <row r="23" spans="1:7" x14ac:dyDescent="0.2">
      <c r="B23" s="3" t="s">
        <v>43</v>
      </c>
      <c r="C23" s="3" t="s">
        <v>44</v>
      </c>
      <c r="D23" s="5">
        <v>100</v>
      </c>
      <c r="E23" s="5">
        <v>118.69755445777187</v>
      </c>
      <c r="F23" s="3" t="s">
        <v>93</v>
      </c>
    </row>
    <row r="24" spans="1:7" x14ac:dyDescent="0.2">
      <c r="B24" s="3" t="s">
        <v>45</v>
      </c>
      <c r="C24" s="3" t="s">
        <v>46</v>
      </c>
      <c r="D24" s="5">
        <v>100</v>
      </c>
      <c r="E24" s="5">
        <v>1399.6246446149996</v>
      </c>
      <c r="F24" s="3" t="s">
        <v>93</v>
      </c>
    </row>
    <row r="25" spans="1:7" ht="13.5" thickBot="1" x14ac:dyDescent="0.25">
      <c r="B25" s="2" t="s">
        <v>47</v>
      </c>
      <c r="C25" s="2" t="s">
        <v>48</v>
      </c>
      <c r="D25" s="6">
        <v>100</v>
      </c>
      <c r="E25" s="6">
        <v>597.8882070430999</v>
      </c>
      <c r="F25" s="2" t="s">
        <v>93</v>
      </c>
    </row>
    <row r="28" spans="1:7" ht="13.5" thickBot="1" x14ac:dyDescent="0.25">
      <c r="A28" t="s">
        <v>32</v>
      </c>
    </row>
    <row r="29" spans="1:7" ht="13.5" thickBot="1" x14ac:dyDescent="0.25">
      <c r="B29" s="9" t="s">
        <v>28</v>
      </c>
      <c r="C29" s="9" t="s">
        <v>29</v>
      </c>
      <c r="D29" s="9" t="s">
        <v>33</v>
      </c>
      <c r="E29" s="9" t="s">
        <v>34</v>
      </c>
      <c r="F29" s="9" t="s">
        <v>35</v>
      </c>
      <c r="G29" s="9" t="s">
        <v>36</v>
      </c>
    </row>
    <row r="30" spans="1:7" x14ac:dyDescent="0.2">
      <c r="B30" s="3" t="s">
        <v>60</v>
      </c>
      <c r="C30" s="3" t="s">
        <v>61</v>
      </c>
      <c r="D30" s="8">
        <v>300000</v>
      </c>
      <c r="E30" s="3" t="s">
        <v>62</v>
      </c>
      <c r="F30" s="3" t="s">
        <v>52</v>
      </c>
      <c r="G30" s="3">
        <v>0</v>
      </c>
    </row>
    <row r="31" spans="1:7" x14ac:dyDescent="0.2">
      <c r="B31" s="3" t="s">
        <v>53</v>
      </c>
      <c r="C31" s="3" t="s">
        <v>54</v>
      </c>
      <c r="D31" s="7">
        <v>5.7134057597691898E-4</v>
      </c>
      <c r="E31" s="3" t="s">
        <v>55</v>
      </c>
      <c r="F31" s="3" t="s">
        <v>56</v>
      </c>
      <c r="G31" s="3">
        <v>1.9286594240230815E-3</v>
      </c>
    </row>
    <row r="32" spans="1:7" x14ac:dyDescent="0.2">
      <c r="B32" s="3" t="s">
        <v>57</v>
      </c>
      <c r="C32" s="3" t="s">
        <v>58</v>
      </c>
      <c r="D32" s="7">
        <v>4.3714723393609124E-4</v>
      </c>
      <c r="E32" s="3" t="s">
        <v>59</v>
      </c>
      <c r="F32" s="3" t="s">
        <v>56</v>
      </c>
      <c r="G32" s="3">
        <v>4.6285276606390874E-4</v>
      </c>
    </row>
    <row r="33" spans="2:7" x14ac:dyDescent="0.2">
      <c r="B33" s="3" t="s">
        <v>49</v>
      </c>
      <c r="C33" s="3" t="s">
        <v>50</v>
      </c>
      <c r="D33" s="7">
        <v>9.0099961851607309E-4</v>
      </c>
      <c r="E33" s="3" t="s">
        <v>51</v>
      </c>
      <c r="F33" s="3" t="s">
        <v>52</v>
      </c>
      <c r="G33" s="3">
        <v>0</v>
      </c>
    </row>
    <row r="34" spans="2:7" x14ac:dyDescent="0.2">
      <c r="B34" s="3" t="s">
        <v>39</v>
      </c>
      <c r="C34" s="3" t="s">
        <v>40</v>
      </c>
      <c r="D34" s="5">
        <v>412.57000532959387</v>
      </c>
      <c r="E34" s="3" t="s">
        <v>63</v>
      </c>
      <c r="F34" s="3" t="s">
        <v>56</v>
      </c>
      <c r="G34" s="3">
        <v>5808.4299946704059</v>
      </c>
    </row>
    <row r="35" spans="2:7" x14ac:dyDescent="0.2">
      <c r="B35" s="3" t="s">
        <v>41</v>
      </c>
      <c r="C35" s="3" t="s">
        <v>42</v>
      </c>
      <c r="D35" s="5">
        <v>316.82932415015165</v>
      </c>
      <c r="E35" s="3" t="s">
        <v>64</v>
      </c>
      <c r="F35" s="3" t="s">
        <v>56</v>
      </c>
      <c r="G35" s="3">
        <v>11421.170675849848</v>
      </c>
    </row>
    <row r="36" spans="2:7" x14ac:dyDescent="0.2">
      <c r="B36" s="3" t="s">
        <v>43</v>
      </c>
      <c r="C36" s="3" t="s">
        <v>44</v>
      </c>
      <c r="D36" s="5">
        <v>118.69755445777187</v>
      </c>
      <c r="E36" s="3" t="s">
        <v>65</v>
      </c>
      <c r="F36" s="3" t="s">
        <v>56</v>
      </c>
      <c r="G36" s="3">
        <v>4214.3024455422283</v>
      </c>
    </row>
    <row r="37" spans="2:7" x14ac:dyDescent="0.2">
      <c r="B37" s="3" t="s">
        <v>45</v>
      </c>
      <c r="C37" s="3" t="s">
        <v>46</v>
      </c>
      <c r="D37" s="5">
        <v>1399.6246446149996</v>
      </c>
      <c r="E37" s="3" t="s">
        <v>66</v>
      </c>
      <c r="F37" s="3" t="s">
        <v>56</v>
      </c>
      <c r="G37" s="3">
        <v>21409.375355385</v>
      </c>
    </row>
    <row r="38" spans="2:7" x14ac:dyDescent="0.2">
      <c r="B38" s="3" t="s">
        <v>47</v>
      </c>
      <c r="C38" s="3" t="s">
        <v>48</v>
      </c>
      <c r="D38" s="5">
        <v>597.8882070430999</v>
      </c>
      <c r="E38" s="3" t="s">
        <v>67</v>
      </c>
      <c r="F38" s="3" t="s">
        <v>56</v>
      </c>
      <c r="G38" s="3">
        <v>4869.1117929569</v>
      </c>
    </row>
    <row r="39" spans="2:7" x14ac:dyDescent="0.2">
      <c r="B39" s="3" t="s">
        <v>39</v>
      </c>
      <c r="C39" s="3" t="s">
        <v>40</v>
      </c>
      <c r="D39" s="5">
        <v>412.57000532959387</v>
      </c>
      <c r="E39" s="3" t="s">
        <v>68</v>
      </c>
      <c r="F39" s="3" t="s">
        <v>56</v>
      </c>
      <c r="G39" s="5">
        <v>312.57000532959387</v>
      </c>
    </row>
    <row r="40" spans="2:7" x14ac:dyDescent="0.2">
      <c r="B40" s="3" t="s">
        <v>41</v>
      </c>
      <c r="C40" s="3" t="s">
        <v>42</v>
      </c>
      <c r="D40" s="5">
        <v>316.82932415015165</v>
      </c>
      <c r="E40" s="3" t="s">
        <v>69</v>
      </c>
      <c r="F40" s="3" t="s">
        <v>56</v>
      </c>
      <c r="G40" s="5">
        <v>216.82932415015165</v>
      </c>
    </row>
    <row r="41" spans="2:7" x14ac:dyDescent="0.2">
      <c r="B41" s="3" t="s">
        <v>43</v>
      </c>
      <c r="C41" s="3" t="s">
        <v>44</v>
      </c>
      <c r="D41" s="5">
        <v>118.69755445777187</v>
      </c>
      <c r="E41" s="3" t="s">
        <v>70</v>
      </c>
      <c r="F41" s="3" t="s">
        <v>56</v>
      </c>
      <c r="G41" s="5">
        <v>18.697554457771872</v>
      </c>
    </row>
    <row r="42" spans="2:7" x14ac:dyDescent="0.2">
      <c r="B42" s="3" t="s">
        <v>45</v>
      </c>
      <c r="C42" s="3" t="s">
        <v>46</v>
      </c>
      <c r="D42" s="5">
        <v>1399.6246446149996</v>
      </c>
      <c r="E42" s="3" t="s">
        <v>71</v>
      </c>
      <c r="F42" s="3" t="s">
        <v>56</v>
      </c>
      <c r="G42" s="5">
        <v>1299.6246446149996</v>
      </c>
    </row>
    <row r="43" spans="2:7" ht="13.5" thickBot="1" x14ac:dyDescent="0.25">
      <c r="B43" s="2" t="s">
        <v>47</v>
      </c>
      <c r="C43" s="2" t="s">
        <v>48</v>
      </c>
      <c r="D43" s="6">
        <v>597.8882070430999</v>
      </c>
      <c r="E43" s="2" t="s">
        <v>72</v>
      </c>
      <c r="F43" s="2" t="s">
        <v>56</v>
      </c>
      <c r="G43" s="6">
        <v>497.8882070430999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opLeftCell="A4" workbookViewId="0"/>
  </sheetViews>
  <sheetFormatPr defaultRowHeight="12.75" x14ac:dyDescent="0.2"/>
  <cols>
    <col min="1" max="1" width="2.28515625" customWidth="1"/>
    <col min="2" max="2" width="6.5703125" customWidth="1"/>
    <col min="3" max="3" width="49.5703125" customWidth="1"/>
    <col min="4" max="4" width="14.28515625" bestFit="1" customWidth="1"/>
    <col min="5" max="5" width="15.42578125" bestFit="1" customWidth="1"/>
    <col min="6" max="6" width="10.5703125" customWidth="1"/>
    <col min="7" max="7" width="12" bestFit="1" customWidth="1"/>
  </cols>
  <sheetData>
    <row r="1" spans="1:5" x14ac:dyDescent="0.2">
      <c r="A1" s="1" t="s">
        <v>79</v>
      </c>
    </row>
    <row r="2" spans="1:5" x14ac:dyDescent="0.2">
      <c r="A2" s="1" t="s">
        <v>27</v>
      </c>
    </row>
    <row r="3" spans="1:5" x14ac:dyDescent="0.2">
      <c r="A3" s="1" t="s">
        <v>102</v>
      </c>
    </row>
    <row r="4" spans="1:5" x14ac:dyDescent="0.2">
      <c r="A4" s="1" t="s">
        <v>81</v>
      </c>
    </row>
    <row r="5" spans="1:5" x14ac:dyDescent="0.2">
      <c r="A5" s="1" t="s">
        <v>82</v>
      </c>
    </row>
    <row r="6" spans="1:5" x14ac:dyDescent="0.2">
      <c r="A6" s="1"/>
      <c r="B6" t="s">
        <v>83</v>
      </c>
    </row>
    <row r="7" spans="1:5" x14ac:dyDescent="0.2">
      <c r="A7" s="1"/>
      <c r="B7" t="s">
        <v>103</v>
      </c>
    </row>
    <row r="8" spans="1:5" x14ac:dyDescent="0.2">
      <c r="A8" s="1"/>
      <c r="B8" t="s">
        <v>104</v>
      </c>
    </row>
    <row r="9" spans="1:5" x14ac:dyDescent="0.2">
      <c r="A9" s="1" t="s">
        <v>86</v>
      </c>
    </row>
    <row r="10" spans="1:5" x14ac:dyDescent="0.2">
      <c r="B10" t="s">
        <v>87</v>
      </c>
    </row>
    <row r="11" spans="1:5" x14ac:dyDescent="0.2">
      <c r="B11" t="s">
        <v>88</v>
      </c>
    </row>
    <row r="12" spans="1:5" x14ac:dyDescent="0.2">
      <c r="B12" t="s">
        <v>89</v>
      </c>
    </row>
    <row r="14" spans="1:5" ht="13.5" thickBot="1" x14ac:dyDescent="0.25">
      <c r="A14" t="s">
        <v>90</v>
      </c>
    </row>
    <row r="15" spans="1:5" ht="13.5" thickBot="1" x14ac:dyDescent="0.25">
      <c r="B15" s="34" t="s">
        <v>28</v>
      </c>
      <c r="C15" s="34" t="s">
        <v>29</v>
      </c>
      <c r="D15" s="34" t="s">
        <v>30</v>
      </c>
      <c r="E15" s="34" t="s">
        <v>31</v>
      </c>
    </row>
    <row r="16" spans="1:5" ht="13.5" thickBot="1" x14ac:dyDescent="0.25">
      <c r="B16" s="2" t="s">
        <v>37</v>
      </c>
      <c r="C16" s="2" t="s">
        <v>38</v>
      </c>
      <c r="D16" s="4">
        <v>2.1669530407248997E-3</v>
      </c>
      <c r="E16" s="4">
        <v>2.1668404981484302E-3</v>
      </c>
    </row>
    <row r="19" spans="1:7" ht="13.5" thickBot="1" x14ac:dyDescent="0.25">
      <c r="A19" t="s">
        <v>91</v>
      </c>
    </row>
    <row r="20" spans="1:7" ht="13.5" thickBot="1" x14ac:dyDescent="0.25">
      <c r="B20" s="34" t="s">
        <v>28</v>
      </c>
      <c r="C20" s="34" t="s">
        <v>29</v>
      </c>
      <c r="D20" s="34" t="s">
        <v>30</v>
      </c>
      <c r="E20" s="34" t="s">
        <v>31</v>
      </c>
      <c r="F20" s="34" t="s">
        <v>92</v>
      </c>
    </row>
    <row r="21" spans="1:7" x14ac:dyDescent="0.2">
      <c r="B21" s="3" t="s">
        <v>39</v>
      </c>
      <c r="C21" s="3" t="s">
        <v>40</v>
      </c>
      <c r="D21" s="5">
        <v>412.57000532959387</v>
      </c>
      <c r="E21" s="5">
        <v>412.68005769270081</v>
      </c>
      <c r="F21" s="3" t="s">
        <v>93</v>
      </c>
    </row>
    <row r="22" spans="1:7" x14ac:dyDescent="0.2">
      <c r="B22" s="3" t="s">
        <v>41</v>
      </c>
      <c r="C22" s="3" t="s">
        <v>42</v>
      </c>
      <c r="D22" s="5">
        <v>316.82932415015165</v>
      </c>
      <c r="E22" s="5">
        <v>316.92368246911718</v>
      </c>
      <c r="F22" s="3" t="s">
        <v>93</v>
      </c>
    </row>
    <row r="23" spans="1:7" x14ac:dyDescent="0.2">
      <c r="B23" s="3" t="s">
        <v>43</v>
      </c>
      <c r="C23" s="3" t="s">
        <v>44</v>
      </c>
      <c r="D23" s="5">
        <v>118.69755445777187</v>
      </c>
      <c r="E23" s="5">
        <v>119.48827795244713</v>
      </c>
      <c r="F23" s="3" t="s">
        <v>93</v>
      </c>
    </row>
    <row r="24" spans="1:7" x14ac:dyDescent="0.2">
      <c r="B24" s="3" t="s">
        <v>45</v>
      </c>
      <c r="C24" s="3" t="s">
        <v>46</v>
      </c>
      <c r="D24" s="5">
        <v>1399.6246446149996</v>
      </c>
      <c r="E24" s="5">
        <v>1398.8465658693012</v>
      </c>
      <c r="F24" s="3" t="s">
        <v>93</v>
      </c>
    </row>
    <row r="25" spans="1:7" ht="13.5" thickBot="1" x14ac:dyDescent="0.25">
      <c r="B25" s="2" t="s">
        <v>47</v>
      </c>
      <c r="C25" s="2" t="s">
        <v>48</v>
      </c>
      <c r="D25" s="6">
        <v>597.8882070430999</v>
      </c>
      <c r="E25" s="6">
        <v>597.7949687660921</v>
      </c>
      <c r="F25" s="2" t="s">
        <v>93</v>
      </c>
    </row>
    <row r="28" spans="1:7" ht="13.5" thickBot="1" x14ac:dyDescent="0.25">
      <c r="A28" t="s">
        <v>32</v>
      </c>
    </row>
    <row r="29" spans="1:7" ht="13.5" thickBot="1" x14ac:dyDescent="0.25">
      <c r="B29" s="34" t="s">
        <v>28</v>
      </c>
      <c r="C29" s="34" t="s">
        <v>29</v>
      </c>
      <c r="D29" s="34" t="s">
        <v>33</v>
      </c>
      <c r="E29" s="34" t="s">
        <v>34</v>
      </c>
      <c r="F29" s="34" t="s">
        <v>35</v>
      </c>
      <c r="G29" s="34" t="s">
        <v>36</v>
      </c>
    </row>
    <row r="30" spans="1:7" x14ac:dyDescent="0.2">
      <c r="B30" s="3" t="s">
        <v>60</v>
      </c>
      <c r="C30" s="3" t="s">
        <v>61</v>
      </c>
      <c r="D30" s="8">
        <v>300000</v>
      </c>
      <c r="E30" s="3" t="s">
        <v>62</v>
      </c>
      <c r="F30" s="3" t="s">
        <v>52</v>
      </c>
      <c r="G30" s="3">
        <v>0</v>
      </c>
    </row>
    <row r="31" spans="1:7" x14ac:dyDescent="0.2">
      <c r="B31" s="3" t="s">
        <v>53</v>
      </c>
      <c r="C31" s="3" t="s">
        <v>54</v>
      </c>
      <c r="D31" s="7">
        <v>5.7130600039988135E-4</v>
      </c>
      <c r="E31" s="3" t="s">
        <v>55</v>
      </c>
      <c r="F31" s="3" t="s">
        <v>56</v>
      </c>
      <c r="G31" s="3">
        <v>1.9286939996001192E-3</v>
      </c>
    </row>
    <row r="32" spans="1:7" x14ac:dyDescent="0.2">
      <c r="B32" s="3" t="s">
        <v>57</v>
      </c>
      <c r="C32" s="3" t="s">
        <v>58</v>
      </c>
      <c r="D32" s="7">
        <v>4.3661075668877857E-4</v>
      </c>
      <c r="E32" s="3" t="s">
        <v>59</v>
      </c>
      <c r="F32" s="3" t="s">
        <v>56</v>
      </c>
      <c r="G32" s="3">
        <v>4.6338924331122141E-4</v>
      </c>
    </row>
    <row r="33" spans="2:7" x14ac:dyDescent="0.2">
      <c r="B33" s="3" t="s">
        <v>49</v>
      </c>
      <c r="C33" s="3" t="s">
        <v>50</v>
      </c>
      <c r="D33" s="7">
        <v>9.0099999999999978E-4</v>
      </c>
      <c r="E33" s="3" t="s">
        <v>51</v>
      </c>
      <c r="F33" s="3" t="s">
        <v>52</v>
      </c>
      <c r="G33" s="3">
        <v>0</v>
      </c>
    </row>
    <row r="34" spans="2:7" x14ac:dyDescent="0.2">
      <c r="B34" s="3" t="s">
        <v>39</v>
      </c>
      <c r="C34" s="3" t="s">
        <v>40</v>
      </c>
      <c r="D34" s="5">
        <v>412.68005769270081</v>
      </c>
      <c r="E34" s="3" t="s">
        <v>63</v>
      </c>
      <c r="F34" s="3" t="s">
        <v>56</v>
      </c>
      <c r="G34" s="3">
        <v>5808.3199423072992</v>
      </c>
    </row>
    <row r="35" spans="2:7" x14ac:dyDescent="0.2">
      <c r="B35" s="3" t="s">
        <v>41</v>
      </c>
      <c r="C35" s="3" t="s">
        <v>42</v>
      </c>
      <c r="D35" s="5">
        <v>316.92368246911718</v>
      </c>
      <c r="E35" s="3" t="s">
        <v>64</v>
      </c>
      <c r="F35" s="3" t="s">
        <v>56</v>
      </c>
      <c r="G35" s="3">
        <v>11421.076317530882</v>
      </c>
    </row>
    <row r="36" spans="2:7" x14ac:dyDescent="0.2">
      <c r="B36" s="3" t="s">
        <v>43</v>
      </c>
      <c r="C36" s="3" t="s">
        <v>44</v>
      </c>
      <c r="D36" s="5">
        <v>119.48827795244713</v>
      </c>
      <c r="E36" s="3" t="s">
        <v>65</v>
      </c>
      <c r="F36" s="3" t="s">
        <v>56</v>
      </c>
      <c r="G36" s="3">
        <v>4213.5117220475531</v>
      </c>
    </row>
    <row r="37" spans="2:7" x14ac:dyDescent="0.2">
      <c r="B37" s="3" t="s">
        <v>45</v>
      </c>
      <c r="C37" s="3" t="s">
        <v>46</v>
      </c>
      <c r="D37" s="5">
        <v>1398.8465658693012</v>
      </c>
      <c r="E37" s="3" t="s">
        <v>66</v>
      </c>
      <c r="F37" s="3" t="s">
        <v>56</v>
      </c>
      <c r="G37" s="3">
        <v>21410.153434130698</v>
      </c>
    </row>
    <row r="38" spans="2:7" x14ac:dyDescent="0.2">
      <c r="B38" s="3" t="s">
        <v>47</v>
      </c>
      <c r="C38" s="3" t="s">
        <v>48</v>
      </c>
      <c r="D38" s="5">
        <v>597.7949687660921</v>
      </c>
      <c r="E38" s="3" t="s">
        <v>67</v>
      </c>
      <c r="F38" s="3" t="s">
        <v>56</v>
      </c>
      <c r="G38" s="3">
        <v>4869.2050312339079</v>
      </c>
    </row>
    <row r="39" spans="2:7" x14ac:dyDescent="0.2">
      <c r="B39" s="3" t="s">
        <v>39</v>
      </c>
      <c r="C39" s="3" t="s">
        <v>40</v>
      </c>
      <c r="D39" s="5">
        <v>412.68005769270081</v>
      </c>
      <c r="E39" s="3" t="s">
        <v>68</v>
      </c>
      <c r="F39" s="3" t="s">
        <v>56</v>
      </c>
      <c r="G39" s="5">
        <v>312.68005769270081</v>
      </c>
    </row>
    <row r="40" spans="2:7" x14ac:dyDescent="0.2">
      <c r="B40" s="3" t="s">
        <v>41</v>
      </c>
      <c r="C40" s="3" t="s">
        <v>42</v>
      </c>
      <c r="D40" s="5">
        <v>316.92368246911718</v>
      </c>
      <c r="E40" s="3" t="s">
        <v>69</v>
      </c>
      <c r="F40" s="3" t="s">
        <v>56</v>
      </c>
      <c r="G40" s="5">
        <v>216.92368246911718</v>
      </c>
    </row>
    <row r="41" spans="2:7" x14ac:dyDescent="0.2">
      <c r="B41" s="3" t="s">
        <v>43</v>
      </c>
      <c r="C41" s="3" t="s">
        <v>44</v>
      </c>
      <c r="D41" s="5">
        <v>119.48827795244713</v>
      </c>
      <c r="E41" s="3" t="s">
        <v>70</v>
      </c>
      <c r="F41" s="3" t="s">
        <v>56</v>
      </c>
      <c r="G41" s="5">
        <v>19.488277952447135</v>
      </c>
    </row>
    <row r="42" spans="2:7" x14ac:dyDescent="0.2">
      <c r="B42" s="3" t="s">
        <v>45</v>
      </c>
      <c r="C42" s="3" t="s">
        <v>46</v>
      </c>
      <c r="D42" s="5">
        <v>1398.8465658693012</v>
      </c>
      <c r="E42" s="3" t="s">
        <v>71</v>
      </c>
      <c r="F42" s="3" t="s">
        <v>56</v>
      </c>
      <c r="G42" s="5">
        <v>1298.8465658693012</v>
      </c>
    </row>
    <row r="43" spans="2:7" ht="13.5" thickBot="1" x14ac:dyDescent="0.25">
      <c r="B43" s="2" t="s">
        <v>47</v>
      </c>
      <c r="C43" s="2" t="s">
        <v>48</v>
      </c>
      <c r="D43" s="6">
        <v>597.7949687660921</v>
      </c>
      <c r="E43" s="2" t="s">
        <v>72</v>
      </c>
      <c r="F43" s="2" t="s">
        <v>56</v>
      </c>
      <c r="G43" s="6">
        <v>497.7949687660921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/>
  </sheetViews>
  <sheetFormatPr defaultRowHeight="12.75" x14ac:dyDescent="0.2"/>
  <cols>
    <col min="1" max="1" width="2.28515625" customWidth="1"/>
    <col min="2" max="2" width="6.5703125" bestFit="1" customWidth="1"/>
    <col min="3" max="3" width="49.5703125" bestFit="1" customWidth="1"/>
    <col min="4" max="4" width="12" bestFit="1" customWidth="1"/>
    <col min="5" max="5" width="13.140625" bestFit="1" customWidth="1"/>
  </cols>
  <sheetData>
    <row r="1" spans="1:5" x14ac:dyDescent="0.2">
      <c r="A1" s="1" t="s">
        <v>94</v>
      </c>
    </row>
    <row r="2" spans="1:5" x14ac:dyDescent="0.2">
      <c r="A2" s="1" t="s">
        <v>27</v>
      </c>
    </row>
    <row r="3" spans="1:5" x14ac:dyDescent="0.2">
      <c r="A3" s="1" t="s">
        <v>102</v>
      </c>
    </row>
    <row r="6" spans="1:5" ht="13.5" thickBot="1" x14ac:dyDescent="0.25">
      <c r="A6" t="s">
        <v>91</v>
      </c>
    </row>
    <row r="7" spans="1:5" x14ac:dyDescent="0.2">
      <c r="B7" s="35"/>
      <c r="C7" s="35"/>
      <c r="D7" s="35" t="s">
        <v>73</v>
      </c>
      <c r="E7" s="35" t="s">
        <v>75</v>
      </c>
    </row>
    <row r="8" spans="1:5" ht="13.5" thickBot="1" x14ac:dyDescent="0.25">
      <c r="B8" s="36" t="s">
        <v>28</v>
      </c>
      <c r="C8" s="36" t="s">
        <v>29</v>
      </c>
      <c r="D8" s="36" t="s">
        <v>74</v>
      </c>
      <c r="E8" s="36" t="s">
        <v>76</v>
      </c>
    </row>
    <row r="9" spans="1:5" x14ac:dyDescent="0.2">
      <c r="B9" s="3" t="s">
        <v>39</v>
      </c>
      <c r="C9" s="3" t="s">
        <v>40</v>
      </c>
      <c r="D9" s="3">
        <v>412.68005769270081</v>
      </c>
      <c r="E9" s="3">
        <v>0</v>
      </c>
    </row>
    <row r="10" spans="1:5" x14ac:dyDescent="0.2">
      <c r="B10" s="3" t="s">
        <v>41</v>
      </c>
      <c r="C10" s="3" t="s">
        <v>42</v>
      </c>
      <c r="D10" s="3">
        <v>316.92368246911718</v>
      </c>
      <c r="E10" s="3">
        <v>0</v>
      </c>
    </row>
    <row r="11" spans="1:5" x14ac:dyDescent="0.2">
      <c r="B11" s="3" t="s">
        <v>43</v>
      </c>
      <c r="C11" s="3" t="s">
        <v>44</v>
      </c>
      <c r="D11" s="3">
        <v>119.48827795244713</v>
      </c>
      <c r="E11" s="3">
        <v>0</v>
      </c>
    </row>
    <row r="12" spans="1:5" x14ac:dyDescent="0.2">
      <c r="B12" s="3" t="s">
        <v>45</v>
      </c>
      <c r="C12" s="3" t="s">
        <v>46</v>
      </c>
      <c r="D12" s="3">
        <v>1398.8465658693012</v>
      </c>
      <c r="E12" s="3">
        <v>0</v>
      </c>
    </row>
    <row r="13" spans="1:5" ht="13.5" thickBot="1" x14ac:dyDescent="0.25">
      <c r="B13" s="2" t="s">
        <v>47</v>
      </c>
      <c r="C13" s="2" t="s">
        <v>48</v>
      </c>
      <c r="D13" s="2">
        <v>597.7949687660921</v>
      </c>
      <c r="E13" s="2">
        <v>0</v>
      </c>
    </row>
    <row r="15" spans="1:5" ht="13.5" thickBot="1" x14ac:dyDescent="0.25">
      <c r="A15" t="s">
        <v>32</v>
      </c>
    </row>
    <row r="16" spans="1:5" x14ac:dyDescent="0.2">
      <c r="B16" s="35"/>
      <c r="C16" s="35"/>
      <c r="D16" s="35" t="s">
        <v>73</v>
      </c>
      <c r="E16" s="35" t="s">
        <v>77</v>
      </c>
    </row>
    <row r="17" spans="2:5" ht="13.5" thickBot="1" x14ac:dyDescent="0.25">
      <c r="B17" s="36" t="s">
        <v>28</v>
      </c>
      <c r="C17" s="36" t="s">
        <v>29</v>
      </c>
      <c r="D17" s="36" t="s">
        <v>74</v>
      </c>
      <c r="E17" s="36" t="s">
        <v>78</v>
      </c>
    </row>
    <row r="18" spans="2:5" x14ac:dyDescent="0.2">
      <c r="B18" s="3" t="s">
        <v>60</v>
      </c>
      <c r="C18" s="3" t="s">
        <v>61</v>
      </c>
      <c r="D18" s="10">
        <v>300000</v>
      </c>
      <c r="E18" s="3">
        <v>-1.6445612042540839E-8</v>
      </c>
    </row>
    <row r="19" spans="2:5" x14ac:dyDescent="0.2">
      <c r="B19" s="3" t="s">
        <v>53</v>
      </c>
      <c r="C19" s="3" t="s">
        <v>54</v>
      </c>
      <c r="D19" s="3">
        <v>5.7130600039988135E-4</v>
      </c>
      <c r="E19" s="3">
        <v>0</v>
      </c>
    </row>
    <row r="20" spans="2:5" x14ac:dyDescent="0.2">
      <c r="B20" s="3" t="s">
        <v>57</v>
      </c>
      <c r="C20" s="3" t="s">
        <v>58</v>
      </c>
      <c r="D20" s="3">
        <v>4.3661075668877857E-4</v>
      </c>
      <c r="E20" s="3">
        <v>0</v>
      </c>
    </row>
    <row r="21" spans="2:5" ht="13.5" thickBot="1" x14ac:dyDescent="0.25">
      <c r="B21" s="2" t="s">
        <v>49</v>
      </c>
      <c r="C21" s="2" t="s">
        <v>50</v>
      </c>
      <c r="D21" s="2">
        <v>9.0099999999999978E-4</v>
      </c>
      <c r="E2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/>
  </sheetViews>
  <sheetFormatPr defaultRowHeight="12.75" x14ac:dyDescent="0.2"/>
  <cols>
    <col min="1" max="1" width="2.28515625" customWidth="1"/>
    <col min="2" max="2" width="6" bestFit="1" customWidth="1"/>
    <col min="3" max="3" width="44" bestFit="1" customWidth="1"/>
    <col min="4" max="4" width="10.5703125" bestFit="1" customWidth="1"/>
    <col min="5" max="5" width="2.28515625" customWidth="1"/>
    <col min="6" max="6" width="6.7109375" customWidth="1"/>
    <col min="7" max="7" width="9.5703125" bestFit="1" customWidth="1"/>
    <col min="8" max="8" width="2.28515625" customWidth="1"/>
    <col min="9" max="9" width="6.7109375" bestFit="1" customWidth="1"/>
    <col min="10" max="10" width="9.5703125" bestFit="1" customWidth="1"/>
  </cols>
  <sheetData>
    <row r="1" spans="1:10" x14ac:dyDescent="0.2">
      <c r="A1" s="1" t="s">
        <v>95</v>
      </c>
    </row>
    <row r="2" spans="1:10" x14ac:dyDescent="0.2">
      <c r="A2" s="1" t="s">
        <v>27</v>
      </c>
    </row>
    <row r="3" spans="1:10" x14ac:dyDescent="0.2">
      <c r="A3" s="1" t="s">
        <v>102</v>
      </c>
    </row>
    <row r="5" spans="1:10" ht="13.5" thickBot="1" x14ac:dyDescent="0.25"/>
    <row r="6" spans="1:10" x14ac:dyDescent="0.2">
      <c r="B6" s="35"/>
      <c r="C6" s="35" t="s">
        <v>96</v>
      </c>
      <c r="D6" s="35"/>
    </row>
    <row r="7" spans="1:10" ht="13.5" thickBot="1" x14ac:dyDescent="0.25">
      <c r="B7" s="36" t="s">
        <v>28</v>
      </c>
      <c r="C7" s="36" t="s">
        <v>29</v>
      </c>
      <c r="D7" s="36" t="s">
        <v>74</v>
      </c>
    </row>
    <row r="8" spans="1:10" ht="13.5" thickBot="1" x14ac:dyDescent="0.25">
      <c r="B8" s="2" t="s">
        <v>37</v>
      </c>
      <c r="C8" s="2" t="s">
        <v>38</v>
      </c>
      <c r="D8" s="4">
        <v>2.1668404981484302E-3</v>
      </c>
    </row>
    <row r="10" spans="1:10" ht="13.5" thickBot="1" x14ac:dyDescent="0.25"/>
    <row r="11" spans="1:10" x14ac:dyDescent="0.2">
      <c r="B11" s="35"/>
      <c r="C11" s="35" t="s">
        <v>97</v>
      </c>
      <c r="D11" s="35"/>
      <c r="F11" s="35" t="s">
        <v>98</v>
      </c>
      <c r="G11" s="35" t="s">
        <v>96</v>
      </c>
      <c r="I11" s="35" t="s">
        <v>101</v>
      </c>
      <c r="J11" s="35" t="s">
        <v>96</v>
      </c>
    </row>
    <row r="12" spans="1:10" ht="13.5" thickBot="1" x14ac:dyDescent="0.25">
      <c r="B12" s="36" t="s">
        <v>28</v>
      </c>
      <c r="C12" s="36" t="s">
        <v>29</v>
      </c>
      <c r="D12" s="36" t="s">
        <v>74</v>
      </c>
      <c r="F12" s="36" t="s">
        <v>99</v>
      </c>
      <c r="G12" s="36" t="s">
        <v>100</v>
      </c>
      <c r="I12" s="36" t="s">
        <v>99</v>
      </c>
      <c r="J12" s="36" t="s">
        <v>100</v>
      </c>
    </row>
    <row r="13" spans="1:10" x14ac:dyDescent="0.2">
      <c r="B13" s="3" t="s">
        <v>39</v>
      </c>
      <c r="C13" s="3" t="s">
        <v>40</v>
      </c>
      <c r="D13" s="5">
        <v>412.68005769270081</v>
      </c>
      <c r="F13" s="5">
        <v>412.68005769270081</v>
      </c>
      <c r="G13" s="5">
        <v>2.1668404981484302E-3</v>
      </c>
      <c r="I13" s="5">
        <v>412.68005769270081</v>
      </c>
      <c r="J13" s="5">
        <v>2.1668404981484302E-3</v>
      </c>
    </row>
    <row r="14" spans="1:10" x14ac:dyDescent="0.2">
      <c r="B14" s="3" t="s">
        <v>41</v>
      </c>
      <c r="C14" s="3" t="s">
        <v>42</v>
      </c>
      <c r="D14" s="5">
        <v>316.92368246911718</v>
      </c>
      <c r="F14" s="5">
        <v>316.92368246911718</v>
      </c>
      <c r="G14" s="5">
        <v>2.1668404981484302E-3</v>
      </c>
      <c r="I14" s="5">
        <v>316.92368246911718</v>
      </c>
      <c r="J14" s="5">
        <v>2.1668404981484302E-3</v>
      </c>
    </row>
    <row r="15" spans="1:10" x14ac:dyDescent="0.2">
      <c r="B15" s="3" t="s">
        <v>43</v>
      </c>
      <c r="C15" s="3" t="s">
        <v>44</v>
      </c>
      <c r="D15" s="5">
        <v>119.48827795244713</v>
      </c>
      <c r="F15" s="5">
        <v>119.48827795244713</v>
      </c>
      <c r="G15" s="5">
        <v>2.1668404981484302E-3</v>
      </c>
      <c r="I15" s="5">
        <v>119.48827795244713</v>
      </c>
      <c r="J15" s="5">
        <v>2.1668404981484302E-3</v>
      </c>
    </row>
    <row r="16" spans="1:10" x14ac:dyDescent="0.2">
      <c r="B16" s="3" t="s">
        <v>45</v>
      </c>
      <c r="C16" s="3" t="s">
        <v>46</v>
      </c>
      <c r="D16" s="5">
        <v>1398.8465658693012</v>
      </c>
      <c r="F16" s="5">
        <v>1398.8465658693012</v>
      </c>
      <c r="G16" s="5">
        <v>2.1668404981484302E-3</v>
      </c>
      <c r="I16" s="5">
        <v>1398.8465658693012</v>
      </c>
      <c r="J16" s="5">
        <v>2.1668404981484302E-3</v>
      </c>
    </row>
    <row r="17" spans="2:10" ht="13.5" thickBot="1" x14ac:dyDescent="0.25">
      <c r="B17" s="2" t="s">
        <v>47</v>
      </c>
      <c r="C17" s="2" t="s">
        <v>48</v>
      </c>
      <c r="D17" s="6">
        <v>597.7949687660921</v>
      </c>
      <c r="F17" s="6">
        <v>597.7949687660921</v>
      </c>
      <c r="G17" s="6">
        <v>2.1668404981484302E-3</v>
      </c>
      <c r="I17" s="6">
        <v>597.7949687660921</v>
      </c>
      <c r="J17" s="6">
        <v>2.1668404981484302E-3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C17" sqref="C17"/>
    </sheetView>
  </sheetViews>
  <sheetFormatPr defaultRowHeight="12.75" x14ac:dyDescent="0.2"/>
  <cols>
    <col min="1" max="1" width="9.28515625" style="11" bestFit="1" customWidth="1"/>
    <col min="2" max="2" width="13.7109375" style="11" customWidth="1"/>
    <col min="3" max="3" width="15.7109375" style="11" customWidth="1"/>
    <col min="4" max="4" width="11.5703125" style="11" bestFit="1" customWidth="1"/>
    <col min="5" max="6" width="13" style="11" bestFit="1" customWidth="1"/>
    <col min="7" max="7" width="16.5703125" style="11" customWidth="1"/>
    <col min="8" max="8" width="16.28515625" style="11" customWidth="1"/>
    <col min="9" max="9" width="12.140625" style="11" bestFit="1" customWidth="1"/>
    <col min="10" max="10" width="11.28515625" style="11" customWidth="1"/>
    <col min="11" max="11" width="9.42578125" style="11" bestFit="1" customWidth="1"/>
    <col min="12" max="12" width="16.140625" style="11" customWidth="1"/>
    <col min="13" max="13" width="17.85546875" style="11" bestFit="1" customWidth="1"/>
    <col min="14" max="14" width="17.28515625" style="11" customWidth="1"/>
    <col min="15" max="15" width="17.7109375" style="11" customWidth="1"/>
    <col min="16" max="16" width="22" style="11" bestFit="1" customWidth="1"/>
    <col min="17" max="17" width="12.7109375" style="11" bestFit="1" customWidth="1"/>
    <col min="18" max="16384" width="9.140625" style="11"/>
  </cols>
  <sheetData>
    <row r="1" spans="1:17" x14ac:dyDescent="0.2">
      <c r="E1" s="33" t="s">
        <v>0</v>
      </c>
      <c r="F1" s="33"/>
      <c r="G1" s="33" t="s">
        <v>1</v>
      </c>
      <c r="H1" s="33"/>
      <c r="I1" s="33" t="s">
        <v>2</v>
      </c>
      <c r="J1" s="33"/>
    </row>
    <row r="2" spans="1:17" s="14" customFormat="1" ht="39" thickBot="1" x14ac:dyDescent="0.25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7</v>
      </c>
      <c r="H2" s="12" t="s">
        <v>8</v>
      </c>
      <c r="I2" s="12" t="s">
        <v>9</v>
      </c>
      <c r="J2" s="12" t="s">
        <v>10</v>
      </c>
      <c r="K2" s="13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/>
      <c r="Q2" s="12"/>
    </row>
    <row r="3" spans="1:17" ht="13.5" thickTop="1" x14ac:dyDescent="0.2">
      <c r="A3" s="11">
        <v>1</v>
      </c>
      <c r="B3" s="11" t="s">
        <v>16</v>
      </c>
      <c r="C3" s="15">
        <v>6221</v>
      </c>
      <c r="D3" s="11">
        <v>120</v>
      </c>
      <c r="E3" s="11">
        <v>85</v>
      </c>
      <c r="F3" s="11">
        <v>511</v>
      </c>
      <c r="G3" s="16">
        <f>2*E3</f>
        <v>170</v>
      </c>
      <c r="H3" s="17">
        <f>0.5*F3</f>
        <v>255.5</v>
      </c>
      <c r="I3" s="11">
        <v>0.8</v>
      </c>
      <c r="J3" s="11">
        <v>0.06</v>
      </c>
      <c r="K3" s="18">
        <v>412.68005769270081</v>
      </c>
      <c r="L3" s="15">
        <f>C3*(C3/K3-1)*G3^2</f>
        <v>2530434454.4150677</v>
      </c>
      <c r="M3" s="15">
        <f>C3*(C3/K3-1)*H3^2</f>
        <v>5715826774.8383818</v>
      </c>
      <c r="N3" s="19">
        <f>C3*(C3/K3-1)*I3*(1-I3)*C3/(C3-1)</f>
        <v>14011.578002350834</v>
      </c>
      <c r="O3" s="19">
        <f>C3*(C3/K3-1)*J3*(1-J3)*C3/(C3-1)</f>
        <v>4939.08124582867</v>
      </c>
      <c r="P3" s="15"/>
      <c r="Q3" s="15"/>
    </row>
    <row r="4" spans="1:17" x14ac:dyDescent="0.2">
      <c r="A4" s="11">
        <v>2</v>
      </c>
      <c r="B4" s="11" t="s">
        <v>17</v>
      </c>
      <c r="C4" s="15">
        <v>11738</v>
      </c>
      <c r="D4" s="11">
        <v>80</v>
      </c>
      <c r="E4" s="11">
        <v>11</v>
      </c>
      <c r="F4" s="11">
        <v>21</v>
      </c>
      <c r="G4" s="16">
        <f>0.8*E4</f>
        <v>8.8000000000000007</v>
      </c>
      <c r="H4" s="17">
        <f>0.25*F4</f>
        <v>5.25</v>
      </c>
      <c r="I4" s="11">
        <v>0.2</v>
      </c>
      <c r="J4" s="11">
        <v>0.03</v>
      </c>
      <c r="K4" s="20">
        <v>316.92368246911718</v>
      </c>
      <c r="L4" s="15">
        <f>C4*(C4/K4-1)*G4^2</f>
        <v>32757578.430759881</v>
      </c>
      <c r="M4" s="15">
        <f>C4*(C4/K4-1)*H4^2</f>
        <v>11659100.665002828</v>
      </c>
      <c r="N4" s="19">
        <f>C4*(C4/K4-1)*I4*(1-I4)*C4/(C4-1)</f>
        <v>67686.713631515566</v>
      </c>
      <c r="O4" s="19">
        <f>C4*(C4/K4-1)*J4*(1-J4)*C4/(C4-1)</f>
        <v>12310.52104173189</v>
      </c>
      <c r="P4" s="15"/>
      <c r="Q4" s="15"/>
    </row>
    <row r="5" spans="1:17" x14ac:dyDescent="0.2">
      <c r="A5" s="11">
        <v>3</v>
      </c>
      <c r="B5" s="11" t="s">
        <v>18</v>
      </c>
      <c r="C5" s="15">
        <v>4333</v>
      </c>
      <c r="D5" s="11">
        <v>80</v>
      </c>
      <c r="E5" s="11">
        <v>23</v>
      </c>
      <c r="F5" s="11">
        <v>70</v>
      </c>
      <c r="G5" s="16">
        <f>1*E5</f>
        <v>23</v>
      </c>
      <c r="H5" s="17">
        <f>0.5*F5</f>
        <v>35</v>
      </c>
      <c r="I5" s="11">
        <v>0.5</v>
      </c>
      <c r="J5" s="11">
        <v>0.03</v>
      </c>
      <c r="K5" s="20">
        <v>119.48827795244713</v>
      </c>
      <c r="L5" s="15">
        <f>C5*(C5/K5-1)*G5^2</f>
        <v>80828266.6197346</v>
      </c>
      <c r="M5" s="15">
        <f>C5*(C5/K5-1)*H5^2</f>
        <v>187173207.20070869</v>
      </c>
      <c r="N5" s="19">
        <f>C5*(C5/K5-1)*I5*(1-I5)*C5/(C5-1)</f>
        <v>38207.431492296098</v>
      </c>
      <c r="O5" s="19">
        <f>C5*(C5/K5-1)*J5*(1-J5)*C5/(C5-1)</f>
        <v>4447.3450257032646</v>
      </c>
      <c r="P5" s="15"/>
      <c r="Q5" s="15"/>
    </row>
    <row r="6" spans="1:17" x14ac:dyDescent="0.2">
      <c r="A6" s="11">
        <v>4</v>
      </c>
      <c r="B6" s="11" t="s">
        <v>19</v>
      </c>
      <c r="C6" s="15">
        <v>22809</v>
      </c>
      <c r="D6" s="11">
        <v>90</v>
      </c>
      <c r="E6" s="11">
        <v>17</v>
      </c>
      <c r="F6" s="11">
        <v>32</v>
      </c>
      <c r="G6" s="16">
        <f>1.5*E6</f>
        <v>25.5</v>
      </c>
      <c r="H6" s="17">
        <f>1*F6</f>
        <v>32</v>
      </c>
      <c r="I6" s="11">
        <v>0.3</v>
      </c>
      <c r="J6" s="11">
        <v>0.21</v>
      </c>
      <c r="K6" s="20">
        <v>1398.8465658693012</v>
      </c>
      <c r="L6" s="15">
        <f>C6*(C6/K6-1)*G6^2</f>
        <v>227005460.84658703</v>
      </c>
      <c r="M6" s="15">
        <f>C6*(C6/K6-1)*H6^2</f>
        <v>357483417.00408322</v>
      </c>
      <c r="N6" s="19">
        <f>C6*(C6/K6-1)*I6*(1-I6)*C6/(C6-1)</f>
        <v>73315.243189824774</v>
      </c>
      <c r="O6" s="19">
        <f>C6*(C6/K6-1)*J6*(1-J6)*C6/(C6-1)</f>
        <v>57919.042119961574</v>
      </c>
      <c r="P6" s="15"/>
      <c r="Q6" s="15"/>
    </row>
    <row r="7" spans="1:17" x14ac:dyDescent="0.2">
      <c r="A7" s="11">
        <v>5</v>
      </c>
      <c r="B7" s="11" t="s">
        <v>20</v>
      </c>
      <c r="C7" s="15">
        <v>5467</v>
      </c>
      <c r="D7" s="11">
        <v>150</v>
      </c>
      <c r="E7" s="11">
        <v>126</v>
      </c>
      <c r="F7" s="11">
        <v>157</v>
      </c>
      <c r="G7" s="16">
        <f>2.5*E7</f>
        <v>315</v>
      </c>
      <c r="H7" s="17">
        <f>3*F7</f>
        <v>471</v>
      </c>
      <c r="I7" s="11">
        <v>0.9</v>
      </c>
      <c r="J7" s="11">
        <v>0.77</v>
      </c>
      <c r="K7" s="20">
        <v>597.7949687660921</v>
      </c>
      <c r="L7" s="15">
        <f>C7*(C7/K7-1)*G7^2</f>
        <v>4418511483.1271553</v>
      </c>
      <c r="M7" s="15">
        <f>C7*(C7/K7-1)*H7^2</f>
        <v>9878629437.4241486</v>
      </c>
      <c r="N7" s="19">
        <f>C7*(C7/K7-1)*I7*(1-I7)*C7/(C7-1)</f>
        <v>4008.4533750600335</v>
      </c>
      <c r="O7" s="19">
        <f>C7*(C7/K7-1)*J7*(1-J7)*C7/(C7-1)</f>
        <v>7887.7454747014663</v>
      </c>
      <c r="P7" s="15"/>
      <c r="Q7" s="15"/>
    </row>
    <row r="8" spans="1:17" x14ac:dyDescent="0.2">
      <c r="K8" s="20"/>
      <c r="L8" s="15"/>
    </row>
    <row r="9" spans="1:17" s="21" customFormat="1" ht="13.5" thickBot="1" x14ac:dyDescent="0.25">
      <c r="A9" s="21" t="s">
        <v>21</v>
      </c>
      <c r="C9" s="21">
        <f>SUM(C3:C8)</f>
        <v>50568</v>
      </c>
      <c r="E9" s="21">
        <f t="array" ref="E9">SUM(C3:C7*E3:E7)</f>
        <v>1834157</v>
      </c>
      <c r="F9" s="21">
        <f t="array" ref="F9">SUM(C3:C7*F3:F7)</f>
        <v>5316946</v>
      </c>
      <c r="I9" s="22">
        <f t="array" ref="I9">SUM(C3:C7*I3:I7)</f>
        <v>21253.899999999998</v>
      </c>
      <c r="J9" s="22">
        <f t="array" ref="J9">SUM(C3:C7*J3:J7)</f>
        <v>9854.869999999999</v>
      </c>
      <c r="K9" s="23">
        <f>SUM(K3:K8)</f>
        <v>2845.7335527496584</v>
      </c>
      <c r="L9" s="21">
        <f>SUM(L3:L8)</f>
        <v>7289537243.4393044</v>
      </c>
      <c r="M9" s="21">
        <f>SUM(M3:M8)</f>
        <v>16150771937.132324</v>
      </c>
      <c r="N9" s="21">
        <f>SUM(N3:N8)</f>
        <v>197229.41969104731</v>
      </c>
      <c r="O9" s="21">
        <f>SUM(O3:O8)</f>
        <v>87503.734907926861</v>
      </c>
    </row>
    <row r="10" spans="1:17" ht="13.5" thickTop="1" x14ac:dyDescent="0.2">
      <c r="A10" s="11" t="s">
        <v>22</v>
      </c>
      <c r="E10" s="24">
        <f>E9/$C$9</f>
        <v>36.271100300585353</v>
      </c>
      <c r="F10" s="24">
        <f>F9/$C$9</f>
        <v>105.14447872172124</v>
      </c>
      <c r="G10" s="24"/>
      <c r="H10" s="24"/>
      <c r="I10" s="25">
        <f>I9/$C$9</f>
        <v>0.42030335389969936</v>
      </c>
      <c r="J10" s="25">
        <f>J9/$C$9</f>
        <v>0.19488352317671254</v>
      </c>
      <c r="K10" s="25"/>
      <c r="L10" s="25"/>
      <c r="M10" s="25"/>
      <c r="N10" s="25"/>
    </row>
    <row r="11" spans="1:17" x14ac:dyDescent="0.2">
      <c r="K11" s="26" t="s">
        <v>23</v>
      </c>
      <c r="L11" s="27">
        <f>L9/E9^2</f>
        <v>2.1668404981484302E-3</v>
      </c>
      <c r="M11" s="28">
        <f>M9/F9^2</f>
        <v>5.7130600039988135E-4</v>
      </c>
      <c r="N11" s="28">
        <f>N9/I9^2</f>
        <v>4.3661075668877857E-4</v>
      </c>
      <c r="O11" s="28">
        <f>O9/J9^2</f>
        <v>9.0099999999999978E-4</v>
      </c>
      <c r="P11" s="25"/>
      <c r="Q11" s="25"/>
    </row>
    <row r="12" spans="1:17" x14ac:dyDescent="0.2">
      <c r="A12" s="11" t="s">
        <v>24</v>
      </c>
      <c r="D12" s="29">
        <v>300000</v>
      </c>
      <c r="K12" s="11" t="s">
        <v>25</v>
      </c>
      <c r="L12" s="30">
        <f>SQRT(L11)</f>
        <v>4.6549334024757326E-2</v>
      </c>
      <c r="M12" s="31">
        <f>SQRT(M11)</f>
        <v>2.3902008292189202E-2</v>
      </c>
      <c r="N12" s="31">
        <f>SQRT(N11)</f>
        <v>2.0895232869934197E-2</v>
      </c>
      <c r="O12" s="31">
        <f>SQRT(O11)</f>
        <v>3.0016662039607265E-2</v>
      </c>
      <c r="P12" s="25"/>
      <c r="Q12" s="25"/>
    </row>
    <row r="13" spans="1:17" x14ac:dyDescent="0.2">
      <c r="A13" s="11" t="s">
        <v>26</v>
      </c>
      <c r="D13" s="29">
        <f t="array" ref="D13">SUM(D3:D7*K3:K7)</f>
        <v>300000.00000000017</v>
      </c>
    </row>
    <row r="15" spans="1:17" x14ac:dyDescent="0.2">
      <c r="A15" s="19">
        <f>MIN($L$11)</f>
        <v>2.1668404981484302E-3</v>
      </c>
      <c r="B15" s="19"/>
    </row>
    <row r="16" spans="1:17" x14ac:dyDescent="0.2">
      <c r="A16" s="11">
        <f>COUNT($K$3:$K$7)</f>
        <v>5</v>
      </c>
    </row>
    <row r="17" spans="1:10" x14ac:dyDescent="0.2">
      <c r="A17" s="11" t="b">
        <f t="array" ref="A17">$K$3:$K$7&lt;='Example 5.2'!$C$3:$C$7</f>
        <v>1</v>
      </c>
    </row>
    <row r="18" spans="1:10" x14ac:dyDescent="0.2">
      <c r="A18" s="11" t="b">
        <f>$O$11&lt;=(0.03)^2</f>
        <v>0</v>
      </c>
    </row>
    <row r="19" spans="1:10" x14ac:dyDescent="0.2">
      <c r="A19" s="11" t="b">
        <f t="array" ref="A19">$K$3:$K$7&gt;=100</f>
        <v>1</v>
      </c>
    </row>
    <row r="20" spans="1:10" x14ac:dyDescent="0.2">
      <c r="A20" s="11" t="b">
        <f>$M$11&lt;=(0.05)^2</f>
        <v>1</v>
      </c>
    </row>
    <row r="21" spans="1:10" x14ac:dyDescent="0.2">
      <c r="A21" s="11" t="b">
        <f>$N$11&lt;=(0.03)^2</f>
        <v>1</v>
      </c>
    </row>
    <row r="22" spans="1:10" x14ac:dyDescent="0.2">
      <c r="A22" s="11" t="b">
        <f>$D$13&lt;='Example 5.2'!$D$12</f>
        <v>1</v>
      </c>
    </row>
    <row r="23" spans="1:10" x14ac:dyDescent="0.2">
      <c r="A23" s="11">
        <f>{100,100,0.000001,0.05,FALSE,FALSE,FALSE,1,1,1,0.0001,FALSE}</f>
        <v>100</v>
      </c>
    </row>
    <row r="31" spans="1:10" x14ac:dyDescent="0.2">
      <c r="F31" s="24"/>
      <c r="G31" s="15"/>
      <c r="H31" s="15"/>
      <c r="I31" s="15"/>
      <c r="J31" s="15"/>
    </row>
    <row r="32" spans="1:10" x14ac:dyDescent="0.2">
      <c r="F32" s="24"/>
      <c r="G32" s="15"/>
      <c r="H32" s="15"/>
      <c r="I32" s="15"/>
      <c r="J32" s="15"/>
    </row>
    <row r="33" spans="6:10" x14ac:dyDescent="0.2">
      <c r="F33" s="24"/>
      <c r="G33" s="15"/>
      <c r="H33" s="15"/>
      <c r="I33" s="15"/>
      <c r="J33" s="15"/>
    </row>
    <row r="34" spans="6:10" x14ac:dyDescent="0.2">
      <c r="F34" s="24"/>
      <c r="G34" s="15"/>
      <c r="H34" s="15"/>
      <c r="I34" s="15"/>
      <c r="J34" s="15"/>
    </row>
    <row r="35" spans="6:10" x14ac:dyDescent="0.2">
      <c r="F35" s="24"/>
      <c r="G35" s="15"/>
      <c r="H35" s="15"/>
      <c r="I35" s="15"/>
      <c r="J35" s="15"/>
    </row>
    <row r="36" spans="6:10" x14ac:dyDescent="0.2">
      <c r="F36" s="24"/>
      <c r="G36" s="15"/>
      <c r="H36" s="15"/>
      <c r="I36" s="15"/>
      <c r="J36" s="15"/>
    </row>
    <row r="37" spans="6:10" x14ac:dyDescent="0.2">
      <c r="F37" s="24"/>
      <c r="G37" s="15"/>
      <c r="H37" s="15"/>
      <c r="I37" s="15"/>
      <c r="J37" s="15"/>
    </row>
    <row r="41" spans="6:10" x14ac:dyDescent="0.2">
      <c r="G41" s="32"/>
    </row>
  </sheetData>
  <mergeCells count="3">
    <mergeCell ref="E1:F1"/>
    <mergeCell ref="G1:H1"/>
    <mergeCell ref="I1:J1"/>
  </mergeCells>
  <phoneticPr fontId="2" type="noConversion"/>
  <printOptions gridLines="1"/>
  <pageMargins left="0.75" right="0.75" top="1" bottom="1" header="0.5" footer="0.5"/>
  <pageSetup scale="5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Answer Report 1</vt:lpstr>
      <vt:lpstr>Answer Report 2</vt:lpstr>
      <vt:lpstr>Sensitivity Report 2</vt:lpstr>
      <vt:lpstr>Limits Report 2</vt:lpstr>
      <vt:lpstr>Example 5.2</vt:lpstr>
      <vt:lpstr>'Example 5.2'!Print_Area</vt:lpstr>
      <vt:lpstr>'Example 5.2'!Print_Titles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rvalliant</dc:creator>
  <cp:lastModifiedBy>rvalliant</cp:lastModifiedBy>
  <cp:lastPrinted>2007-09-21T19:16:57Z</cp:lastPrinted>
  <dcterms:created xsi:type="dcterms:W3CDTF">2007-09-21T18:05:04Z</dcterms:created>
  <dcterms:modified xsi:type="dcterms:W3CDTF">2012-03-22T00:53:53Z</dcterms:modified>
</cp:coreProperties>
</file>