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ractical Tools Book\Book Chapters\10 Area Sampling\Examples\"/>
    </mc:Choice>
  </mc:AlternateContent>
  <bookViews>
    <workbookView xWindow="225" yWindow="315" windowWidth="19995" windowHeight="7710"/>
  </bookViews>
  <sheets>
    <sheet name="NSFG LP setup-4 strata" sheetId="13" r:id="rId1"/>
    <sheet name="Table" sheetId="14" r:id="rId2"/>
  </sheets>
  <definedNames>
    <definedName name="_xlnm.Print_Area" localSheetId="0">'NSFG LP setup-4 strata'!$A$1:$T$40</definedName>
    <definedName name="_xlnm.Print_Titles" localSheetId="0">'NSFG LP setup-4 strata'!$A:$B</definedName>
    <definedName name="solver_adj" localSheetId="0" hidden="1">'NSFG LP setup-4 strata'!$K$17:$K$20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'NSFG LP setup-4 strata'!$K$17:$K$20</definedName>
    <definedName name="solver_lhs10" localSheetId="0" hidden="1">'NSFG LP setup-4 strata'!$O$22</definedName>
    <definedName name="solver_lhs2" localSheetId="0" hidden="1">'NSFG LP setup-4 strata'!$O$22</definedName>
    <definedName name="solver_lhs3" localSheetId="0" hidden="1">'NSFG LP setup-4 strata'!$R$26</definedName>
    <definedName name="solver_lhs4" localSheetId="0" hidden="1">'NSFG LP setup-4 strata'!#REF!</definedName>
    <definedName name="solver_lhs5" localSheetId="0" hidden="1">'NSFG LP setup-4 strata'!#REF!</definedName>
    <definedName name="solver_lhs6" localSheetId="0" hidden="1">'NSFG LP setup-4 strata'!#REF!</definedName>
    <definedName name="solver_lhs7" localSheetId="0" hidden="1">'NSFG LP setup-4 strata'!#REF!</definedName>
    <definedName name="solver_lhs8" localSheetId="0" hidden="1">'NSFG LP setup-4 strata'!$O$22</definedName>
    <definedName name="solver_lhs9" localSheetId="0" hidden="1">'NSFG LP setup-4 strata'!$O$22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'NSFG LP setup-4 strata'!$M$22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2</definedName>
    <definedName name="solver_rel9" localSheetId="0" hidden="1">2</definedName>
    <definedName name="solver_rhs1" localSheetId="0" hidden="1">'NSFG LP setup-4 strata'!$C$17:$C$20</definedName>
    <definedName name="solver_rhs10" localSheetId="0" hidden="1">'NSFG LP setup-4 strata'!#REF!</definedName>
    <definedName name="solver_rhs2" localSheetId="0" hidden="1">'NSFG LP setup-4 strata'!$C$4</definedName>
    <definedName name="solver_rhs3" localSheetId="0" hidden="1">'NSFG LP setup-4 strata'!$C$6</definedName>
    <definedName name="solver_rhs4" localSheetId="0" hidden="1">'NSFG LP setup-4 strata'!#REF!</definedName>
    <definedName name="solver_rhs5" localSheetId="0" hidden="1">'NSFG LP setup-4 strata'!#REF!</definedName>
    <definedName name="solver_rhs6" localSheetId="0" hidden="1">'NSFG LP setup-4 strata'!#REF!</definedName>
    <definedName name="solver_rhs7" localSheetId="0" hidden="1">'NSFG LP setup-4 strata'!#REF!</definedName>
    <definedName name="solver_rhs8" localSheetId="0" hidden="1">'NSFG LP setup-4 strata'!#REF!</definedName>
    <definedName name="solver_rhs9" localSheetId="0" hidden="1">'NSFG LP setup-4 strata'!#REF!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N17" i="13" l="1"/>
  <c r="N18" i="13"/>
  <c r="N22" i="13" s="1"/>
  <c r="N19" i="13"/>
  <c r="N20" i="13"/>
  <c r="O17" i="13"/>
  <c r="I17" i="13"/>
  <c r="M17" i="13" s="1"/>
  <c r="E6" i="14"/>
  <c r="Q5" i="14"/>
  <c r="K5" i="14"/>
  <c r="Q4" i="14"/>
  <c r="K4" i="14"/>
  <c r="Q3" i="14"/>
  <c r="K3" i="14"/>
  <c r="Q2" i="14"/>
  <c r="K2" i="14"/>
  <c r="K35" i="13"/>
  <c r="K34" i="13"/>
  <c r="K31" i="13" a="1"/>
  <c r="K31" i="13" s="1"/>
  <c r="K30" i="13"/>
  <c r="P20" i="13"/>
  <c r="Q20" i="13" s="1"/>
  <c r="P18" i="13"/>
  <c r="P17" i="13"/>
  <c r="Q17" i="13" s="1"/>
  <c r="J22" i="13" a="1"/>
  <c r="J22" i="13" s="1"/>
  <c r="C5" i="13" s="1"/>
  <c r="C22" i="13"/>
  <c r="P19" i="13"/>
  <c r="O20" i="13"/>
  <c r="O19" i="13"/>
  <c r="O18" i="13"/>
  <c r="F20" i="13"/>
  <c r="F19" i="13"/>
  <c r="F18" i="13"/>
  <c r="F17" i="13"/>
  <c r="R17" i="13" l="1"/>
  <c r="I20" i="13" l="1"/>
  <c r="M20" i="13" s="1"/>
  <c r="I19" i="13"/>
  <c r="M19" i="13" s="1"/>
  <c r="I18" i="13"/>
  <c r="M18" i="13" s="1"/>
  <c r="M22" i="13" l="1"/>
  <c r="D18" i="13"/>
  <c r="D22" i="13"/>
  <c r="D17" i="13"/>
  <c r="D19" i="13"/>
  <c r="D20" i="13"/>
  <c r="E22" i="13" a="1"/>
  <c r="E22" i="13" s="1"/>
  <c r="C10" i="13" s="1"/>
  <c r="C11" i="13" s="1"/>
  <c r="K22" i="13" l="1"/>
  <c r="L17" i="13" l="1"/>
  <c r="R29" i="13"/>
  <c r="K24" i="13"/>
  <c r="L19" i="13"/>
  <c r="R20" i="13"/>
  <c r="Q19" i="13"/>
  <c r="Q18" i="13"/>
  <c r="R27" i="13" l="1"/>
  <c r="R18" i="13"/>
  <c r="R19" i="13"/>
  <c r="L20" i="13"/>
  <c r="O22" i="13"/>
  <c r="K32" i="13" s="1"/>
  <c r="K29" i="13"/>
  <c r="L22" i="13"/>
  <c r="L18" i="13"/>
  <c r="R22" i="13" l="1"/>
  <c r="R24" i="13" s="1"/>
  <c r="S20" i="13" l="1"/>
  <c r="S17" i="13"/>
  <c r="S18" i="13"/>
  <c r="S19" i="13"/>
  <c r="S22" i="13" l="1"/>
  <c r="R25" i="13" l="1"/>
  <c r="R26" i="13" s="1"/>
  <c r="K33" i="13" s="1"/>
</calcChain>
</file>

<file path=xl/sharedStrings.xml><?xml version="1.0" encoding="utf-8"?>
<sst xmlns="http://schemas.openxmlformats.org/spreadsheetml/2006/main" count="116" uniqueCount="44">
  <si>
    <t>Total</t>
  </si>
  <si>
    <t>Optimal sampling rate</t>
  </si>
  <si>
    <t>Proportion of sample HUs</t>
  </si>
  <si>
    <t>Weight for each HH in stratum</t>
  </si>
  <si>
    <t>Mean weight</t>
  </si>
  <si>
    <t>1 + relvar(w)</t>
  </si>
  <si>
    <t>Variance of weights</t>
  </si>
  <si>
    <t>Total field budget</t>
  </si>
  <si>
    <t>min sam size</t>
  </si>
  <si>
    <t>Ratio optimal solution to equal prob sample size</t>
  </si>
  <si>
    <t>Expected cost (hours)</t>
  </si>
  <si>
    <t>h</t>
  </si>
  <si>
    <t>Eligible nh    nh*wh</t>
  </si>
  <si>
    <t>Eligible nh                  nh*(wh-wbar)^2</t>
  </si>
  <si>
    <t>Ratio of smallest weight to largest weight</t>
  </si>
  <si>
    <t>Expected screening cost</t>
  </si>
  <si>
    <t xml:space="preserve">Nonlinear programming solution for sampling rates in 4 commercial list strata </t>
  </si>
  <si>
    <t>Goal: minimize total cost needed to hit target nos. of eligible HUs in age domains</t>
  </si>
  <si>
    <t>No. of households (000s)</t>
  </si>
  <si>
    <t>List has record; 0 persons in age group</t>
  </si>
  <si>
    <t>List has record; 1+ persons in age group</t>
  </si>
  <si>
    <t>List has record; no age info</t>
  </si>
  <si>
    <t>No List record</t>
  </si>
  <si>
    <t>Problem parameters</t>
  </si>
  <si>
    <t>Proportion of HUs with 1+ persons 65+</t>
  </si>
  <si>
    <t>Proportion of HUs with no persons 65+</t>
  </si>
  <si>
    <t>Sample allocation nh (HUs)</t>
  </si>
  <si>
    <t>Exp. no. of sample persons 65+</t>
  </si>
  <si>
    <t>% of national HUs</t>
  </si>
  <si>
    <t>No. of 65+ persons per HH</t>
  </si>
  <si>
    <t>Sample size of persons 65+</t>
  </si>
  <si>
    <t>Equal prob sample of HUs</t>
  </si>
  <si>
    <t>max deff(w)</t>
  </si>
  <si>
    <t>Solution</t>
  </si>
  <si>
    <t>Commercial list stratum</t>
  </si>
  <si>
    <t>Average cost: ch = P(hd)*c(S+I) + (1-P(hD))*c(S)</t>
  </si>
  <si>
    <t>Screening cost: c(S)</t>
  </si>
  <si>
    <t>Screening + interview cost: c(S+I)</t>
  </si>
  <si>
    <t>Expected number of 65+ persons per HU based on prior survey</t>
  </si>
  <si>
    <t>&amp;</t>
  </si>
  <si>
    <t>\\</t>
  </si>
  <si>
    <t>Expected number of 65+ persons per HU</t>
  </si>
  <si>
    <t xml:space="preserve">No. of HUs to sample in equal prob sample that have 65+  </t>
  </si>
  <si>
    <t>No. of HUs to sample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</si>
</sst>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_);_(* \(#,##0.0000000\);_(* &quot;-&quot;??_);_(@_)"/>
    <numFmt numFmtId="167" formatCode="0.0"/>
    <numFmt numFmtId="168" formatCode="_(&quot;$&quot;* #,##0_);_(&quot;$&quot;* \(#,##0\);_(&quot;$&quot;* &quot;-&quot;??_);_(@_)"/>
    <numFmt numFmtId="169" formatCode="0.0%"/>
    <numFmt numFmtId="170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000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right"/>
    </xf>
    <xf numFmtId="165" fontId="3" fillId="0" borderId="0" xfId="1" applyNumberFormat="1" applyFont="1"/>
    <xf numFmtId="0" fontId="3" fillId="0" borderId="0" xfId="0" applyFont="1" applyBorder="1"/>
    <xf numFmtId="166" fontId="3" fillId="0" borderId="0" xfId="0" applyNumberFormat="1" applyFo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" fontId="3" fillId="0" borderId="4" xfId="0" applyNumberFormat="1" applyFont="1" applyBorder="1"/>
    <xf numFmtId="2" fontId="3" fillId="0" borderId="4" xfId="0" applyNumberFormat="1" applyFont="1" applyBorder="1"/>
    <xf numFmtId="165" fontId="3" fillId="0" borderId="4" xfId="1" applyNumberFormat="1" applyFont="1" applyBorder="1"/>
    <xf numFmtId="1" fontId="3" fillId="0" borderId="0" xfId="0" applyNumberFormat="1" applyFont="1" applyAlignment="1">
      <alignment horizontal="right"/>
    </xf>
    <xf numFmtId="165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1" applyNumberFormat="1" applyFont="1" applyBorder="1"/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/>
    <xf numFmtId="2" fontId="3" fillId="0" borderId="0" xfId="0" applyNumberFormat="1" applyFont="1" applyBorder="1"/>
    <xf numFmtId="0" fontId="3" fillId="0" borderId="7" xfId="0" applyFont="1" applyBorder="1" applyAlignment="1">
      <alignment horizontal="center" wrapText="1"/>
    </xf>
    <xf numFmtId="2" fontId="3" fillId="0" borderId="7" xfId="0" applyNumberFormat="1" applyFont="1" applyBorder="1"/>
    <xf numFmtId="0" fontId="3" fillId="0" borderId="7" xfId="0" applyFont="1" applyBorder="1"/>
    <xf numFmtId="0" fontId="3" fillId="0" borderId="6" xfId="0" applyFont="1" applyBorder="1"/>
    <xf numFmtId="166" fontId="3" fillId="0" borderId="0" xfId="0" applyNumberFormat="1" applyFont="1" applyAlignment="1">
      <alignment horizontal="right"/>
    </xf>
    <xf numFmtId="43" fontId="3" fillId="0" borderId="0" xfId="0" applyNumberFormat="1" applyFont="1"/>
    <xf numFmtId="1" fontId="3" fillId="0" borderId="0" xfId="0" applyNumberFormat="1" applyFont="1" applyBorder="1" applyAlignment="1">
      <alignment horizontal="right"/>
    </xf>
    <xf numFmtId="3" fontId="4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8" fontId="3" fillId="0" borderId="0" xfId="3" applyNumberFormat="1" applyFont="1"/>
    <xf numFmtId="0" fontId="3" fillId="0" borderId="0" xfId="0" applyFont="1" applyBorder="1" applyAlignment="1">
      <alignment horizontal="right"/>
    </xf>
    <xf numFmtId="1" fontId="3" fillId="0" borderId="8" xfId="0" applyNumberFormat="1" applyFont="1" applyBorder="1"/>
    <xf numFmtId="1" fontId="3" fillId="0" borderId="9" xfId="0" applyNumberFormat="1" applyFont="1" applyBorder="1"/>
    <xf numFmtId="0" fontId="3" fillId="0" borderId="9" xfId="0" applyFont="1" applyBorder="1"/>
    <xf numFmtId="0" fontId="3" fillId="0" borderId="10" xfId="0" applyFont="1" applyBorder="1"/>
    <xf numFmtId="169" fontId="3" fillId="0" borderId="0" xfId="2" applyNumberFormat="1" applyFont="1"/>
    <xf numFmtId="3" fontId="3" fillId="0" borderId="0" xfId="0" applyNumberFormat="1" applyFont="1" applyBorder="1"/>
    <xf numFmtId="0" fontId="3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5" fontId="3" fillId="0" borderId="4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164" fontId="0" fillId="0" borderId="0" xfId="0" applyNumberFormat="1" applyFill="1" applyBorder="1"/>
    <xf numFmtId="0" fontId="6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right" wrapText="1"/>
    </xf>
    <xf numFmtId="164" fontId="0" fillId="0" borderId="0" xfId="0" applyNumberFormat="1" applyFill="1"/>
    <xf numFmtId="0" fontId="0" fillId="0" borderId="0" xfId="0" applyFill="1" applyBorder="1" applyAlignment="1">
      <alignment vertical="top" wrapText="1"/>
    </xf>
    <xf numFmtId="0" fontId="3" fillId="0" borderId="2" xfId="0" applyFont="1" applyBorder="1" applyAlignment="1">
      <alignment horizontal="center" wrapText="1"/>
    </xf>
    <xf numFmtId="167" fontId="3" fillId="0" borderId="0" xfId="0" applyNumberFormat="1" applyFont="1" applyBorder="1"/>
    <xf numFmtId="0" fontId="3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/>
    <xf numFmtId="165" fontId="3" fillId="2" borderId="5" xfId="1" applyNumberFormat="1" applyFont="1" applyFill="1" applyBorder="1"/>
    <xf numFmtId="165" fontId="3" fillId="3" borderId="4" xfId="1" applyNumberFormat="1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2" fontId="0" fillId="0" borderId="0" xfId="0" applyNumberFormat="1" applyFill="1"/>
    <xf numFmtId="2" fontId="0" fillId="0" borderId="4" xfId="0" applyNumberForma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3" fillId="0" borderId="0" xfId="2" applyFont="1"/>
    <xf numFmtId="9" fontId="3" fillId="0" borderId="4" xfId="2" applyFont="1" applyBorder="1"/>
    <xf numFmtId="0" fontId="2" fillId="0" borderId="0" xfId="0" applyFont="1" applyAlignment="1">
      <alignment horizontal="left"/>
    </xf>
    <xf numFmtId="1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right"/>
    </xf>
    <xf numFmtId="165" fontId="3" fillId="0" borderId="0" xfId="1" applyNumberFormat="1" applyFont="1" applyFill="1" applyBorder="1"/>
    <xf numFmtId="2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70" fontId="3" fillId="0" borderId="0" xfId="0" applyNumberFormat="1" applyFont="1" applyBorder="1" applyAlignment="1">
      <alignment horizontal="right"/>
    </xf>
    <xf numFmtId="43" fontId="3" fillId="0" borderId="0" xfId="1" applyNumberFormat="1" applyFont="1" applyBorder="1"/>
    <xf numFmtId="170" fontId="3" fillId="0" borderId="0" xfId="0" applyNumberFormat="1" applyFont="1" applyBorder="1"/>
    <xf numFmtId="1" fontId="5" fillId="0" borderId="8" xfId="0" applyNumberFormat="1" applyFont="1" applyBorder="1" applyAlignment="1">
      <alignment horizontal="center"/>
    </xf>
    <xf numFmtId="0" fontId="9" fillId="0" borderId="0" xfId="4"/>
    <xf numFmtId="165" fontId="4" fillId="0" borderId="0" xfId="1" applyNumberFormat="1" applyFont="1" applyFill="1" applyBorder="1" applyAlignment="1">
      <alignment vertical="center" wrapText="1"/>
    </xf>
    <xf numFmtId="165" fontId="6" fillId="0" borderId="0" xfId="1" applyNumberFormat="1" applyFont="1" applyFill="1" applyBorder="1" applyAlignment="1">
      <alignment horizontal="left" vertical="center" wrapText="1"/>
    </xf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A10" zoomScale="80" zoomScaleNormal="80" workbookViewId="0">
      <pane xSplit="2" topLeftCell="C1" activePane="topRight" state="frozenSplit"/>
      <selection activeCell="A23" sqref="A23:XFD23"/>
      <selection pane="topRight" activeCell="K17" sqref="K17:K22"/>
    </sheetView>
  </sheetViews>
  <sheetFormatPr defaultRowHeight="12.75" x14ac:dyDescent="0.2"/>
  <cols>
    <col min="1" max="1" width="9.140625" style="2"/>
    <col min="2" max="2" width="41.5703125" style="2" customWidth="1"/>
    <col min="3" max="3" width="15.28515625" style="2" bestFit="1" customWidth="1"/>
    <col min="4" max="4" width="15.28515625" style="2" customWidth="1"/>
    <col min="5" max="5" width="10.85546875" style="2" bestFit="1" customWidth="1"/>
    <col min="6" max="6" width="10.85546875" style="2" customWidth="1"/>
    <col min="7" max="7" width="5.7109375" style="2" customWidth="1"/>
    <col min="8" max="8" width="12" style="2" bestFit="1" customWidth="1"/>
    <col min="9" max="9" width="12.85546875" style="2" customWidth="1"/>
    <col min="10" max="10" width="16.85546875" style="2" customWidth="1"/>
    <col min="11" max="11" width="9" style="2" bestFit="1" customWidth="1"/>
    <col min="12" max="12" width="10.28515625" style="2" customWidth="1"/>
    <col min="13" max="13" width="9.140625" style="2" customWidth="1"/>
    <col min="14" max="14" width="9.5703125" style="2" customWidth="1"/>
    <col min="15" max="15" width="11" style="2" customWidth="1"/>
    <col min="16" max="16" width="11.42578125" style="2" customWidth="1"/>
    <col min="17" max="17" width="17" style="2" bestFit="1" customWidth="1"/>
    <col min="18" max="18" width="20.42578125" style="2" bestFit="1" customWidth="1"/>
    <col min="19" max="19" width="13.28515625" style="2" customWidth="1"/>
    <col min="20" max="20" width="18.5703125" style="2" customWidth="1"/>
    <col min="21" max="16384" width="9.140625" style="2"/>
  </cols>
  <sheetData>
    <row r="1" spans="1:20" x14ac:dyDescent="0.2">
      <c r="A1" s="1" t="s">
        <v>16</v>
      </c>
    </row>
    <row r="2" spans="1:20" x14ac:dyDescent="0.2">
      <c r="A2" s="2" t="s">
        <v>17</v>
      </c>
    </row>
    <row r="3" spans="1:20" x14ac:dyDescent="0.2">
      <c r="A3" s="1" t="s">
        <v>23</v>
      </c>
    </row>
    <row r="4" spans="1:20" x14ac:dyDescent="0.2">
      <c r="A4" s="2" t="s">
        <v>30</v>
      </c>
      <c r="C4" s="2">
        <v>1000</v>
      </c>
    </row>
    <row r="5" spans="1:20" x14ac:dyDescent="0.2">
      <c r="A5" s="2" t="s">
        <v>29</v>
      </c>
      <c r="C5" s="5">
        <f>J22</f>
        <v>0.29235248924400736</v>
      </c>
    </row>
    <row r="6" spans="1:20" x14ac:dyDescent="0.2">
      <c r="A6" s="20" t="s">
        <v>32</v>
      </c>
      <c r="C6" s="2">
        <v>1.5</v>
      </c>
    </row>
    <row r="7" spans="1:20" x14ac:dyDescent="0.2">
      <c r="A7" s="48" t="s">
        <v>7</v>
      </c>
      <c r="C7" s="36">
        <v>500000</v>
      </c>
    </row>
    <row r="8" spans="1:20" x14ac:dyDescent="0.2">
      <c r="A8" s="20"/>
      <c r="C8" s="21"/>
    </row>
    <row r="9" spans="1:20" x14ac:dyDescent="0.2">
      <c r="A9" s="79" t="s">
        <v>31</v>
      </c>
    </row>
    <row r="10" spans="1:20" x14ac:dyDescent="0.2">
      <c r="A10" s="20" t="s">
        <v>42</v>
      </c>
      <c r="C10" s="7">
        <f>C4*E22/J22</f>
        <v>719.27279607700927</v>
      </c>
    </row>
    <row r="11" spans="1:20" x14ac:dyDescent="0.2">
      <c r="A11" s="2" t="s">
        <v>43</v>
      </c>
      <c r="C11" s="7">
        <f>C10/E22</f>
        <v>3420.5284264412944</v>
      </c>
    </row>
    <row r="14" spans="1:20" s="4" customFormat="1" ht="53.25" customHeight="1" x14ac:dyDescent="0.2">
      <c r="A14" s="44"/>
      <c r="G14" s="63"/>
      <c r="H14" s="63"/>
      <c r="K14" s="75"/>
      <c r="L14" s="76"/>
      <c r="M14" s="76"/>
      <c r="N14" s="76"/>
      <c r="O14" s="76"/>
      <c r="P14" s="76"/>
      <c r="Q14" s="76"/>
      <c r="R14" s="76"/>
      <c r="S14" s="76"/>
      <c r="T14" s="76"/>
    </row>
    <row r="15" spans="1:20" s="4" customFormat="1" ht="54" customHeight="1" x14ac:dyDescent="0.2">
      <c r="A15" s="71" t="s">
        <v>11</v>
      </c>
      <c r="B15" s="35" t="s">
        <v>34</v>
      </c>
      <c r="C15" s="45" t="s">
        <v>18</v>
      </c>
      <c r="D15" s="71" t="s">
        <v>28</v>
      </c>
      <c r="E15" s="71" t="s">
        <v>24</v>
      </c>
      <c r="F15" s="71" t="s">
        <v>25</v>
      </c>
      <c r="G15" s="34" t="s">
        <v>36</v>
      </c>
      <c r="H15" s="34" t="s">
        <v>37</v>
      </c>
      <c r="I15" s="71" t="s">
        <v>35</v>
      </c>
      <c r="J15" s="72" t="s">
        <v>38</v>
      </c>
      <c r="K15" s="65" t="s">
        <v>26</v>
      </c>
      <c r="L15" s="34" t="s">
        <v>2</v>
      </c>
      <c r="M15" s="34" t="s">
        <v>10</v>
      </c>
      <c r="N15" s="63" t="s">
        <v>15</v>
      </c>
      <c r="O15" s="34" t="s">
        <v>27</v>
      </c>
      <c r="P15" s="34" t="s">
        <v>1</v>
      </c>
      <c r="Q15" s="34" t="s">
        <v>3</v>
      </c>
      <c r="R15" s="34" t="s">
        <v>12</v>
      </c>
      <c r="S15" s="34" t="s">
        <v>13</v>
      </c>
    </row>
    <row r="16" spans="1:20" s="4" customFormat="1" x14ac:dyDescent="0.2">
      <c r="E16" s="44"/>
      <c r="F16" s="44"/>
      <c r="I16" s="25"/>
      <c r="J16" s="33"/>
      <c r="K16" s="66"/>
    </row>
    <row r="17" spans="1:20" ht="12.75" customHeight="1" x14ac:dyDescent="0.25">
      <c r="A17" s="3">
        <v>1</v>
      </c>
      <c r="B17" s="2" t="s">
        <v>19</v>
      </c>
      <c r="C17" s="9">
        <v>45070</v>
      </c>
      <c r="D17" s="77">
        <f>C17/$C$22</f>
        <v>0.34626613398893669</v>
      </c>
      <c r="E17" s="73">
        <v>0.06</v>
      </c>
      <c r="F17" s="73">
        <f>1-E17</f>
        <v>0.94</v>
      </c>
      <c r="G17" s="2">
        <v>3</v>
      </c>
      <c r="H17" s="2">
        <v>10</v>
      </c>
      <c r="I17" s="26">
        <f>E17*H17+(1-E17)*G17</f>
        <v>3.42</v>
      </c>
      <c r="J17" s="24">
        <v>0.12</v>
      </c>
      <c r="K17" s="67">
        <v>399.40140072051207</v>
      </c>
      <c r="L17" s="6">
        <f>K17/$K$22</f>
        <v>0.22077696779633435</v>
      </c>
      <c r="M17" s="9">
        <f>K17*I17</f>
        <v>1365.9527904641513</v>
      </c>
      <c r="N17" s="18">
        <f>K17*G17</f>
        <v>1198.2042021615362</v>
      </c>
      <c r="O17" s="9">
        <f>K17*J17</f>
        <v>47.928168086461447</v>
      </c>
      <c r="P17" s="11">
        <f>K17/C17</f>
        <v>8.8618016578769047E-3</v>
      </c>
      <c r="Q17" s="9">
        <f>1/P17</f>
        <v>112.84387064916304</v>
      </c>
      <c r="R17" s="9">
        <f>O17*Q17</f>
        <v>5408.4</v>
      </c>
      <c r="S17" s="9">
        <f>O17*(Q17-$R$24)^2</f>
        <v>268097.43130622781</v>
      </c>
    </row>
    <row r="18" spans="1:20" ht="15" x14ac:dyDescent="0.25">
      <c r="A18" s="3">
        <v>2</v>
      </c>
      <c r="B18" s="2" t="s">
        <v>20</v>
      </c>
      <c r="C18" s="9">
        <v>27300</v>
      </c>
      <c r="D18" s="77">
        <f>C18/$C$22</f>
        <v>0.20974185617701291</v>
      </c>
      <c r="E18" s="73">
        <v>0.67</v>
      </c>
      <c r="F18" s="73">
        <f t="shared" ref="F18:F20" si="0">1-E18</f>
        <v>0.32999999999999996</v>
      </c>
      <c r="G18" s="2">
        <v>3</v>
      </c>
      <c r="H18" s="2">
        <v>10</v>
      </c>
      <c r="I18" s="26">
        <f>E18*H18+(1-E18)*G18</f>
        <v>7.69</v>
      </c>
      <c r="J18" s="24">
        <v>0.95</v>
      </c>
      <c r="K18" s="67">
        <v>941.89362983511433</v>
      </c>
      <c r="L18" s="6">
        <f>K18/$K$22</f>
        <v>0.52065020104222148</v>
      </c>
      <c r="M18" s="9">
        <f t="shared" ref="M18:M20" si="1">K18*I18</f>
        <v>7243.1620134320292</v>
      </c>
      <c r="N18" s="18">
        <f>K18*G18</f>
        <v>2825.6808895053427</v>
      </c>
      <c r="O18" s="9">
        <f>K18*J18</f>
        <v>894.79894834335857</v>
      </c>
      <c r="P18" s="11">
        <f>K18/C18</f>
        <v>3.4501598162458402E-2</v>
      </c>
      <c r="Q18" s="9">
        <f t="shared" ref="Q18:Q19" si="2">1/P18</f>
        <v>28.984164596992837</v>
      </c>
      <c r="R18" s="9">
        <f>O18*Q18</f>
        <v>25934.999999999996</v>
      </c>
      <c r="S18" s="9">
        <f>O18*(Q18-$R$24)^2</f>
        <v>73585.152200738041</v>
      </c>
    </row>
    <row r="19" spans="1:20" ht="15" x14ac:dyDescent="0.25">
      <c r="A19" s="3">
        <v>3</v>
      </c>
      <c r="B19" s="2" t="s">
        <v>21</v>
      </c>
      <c r="C19" s="9">
        <v>29800</v>
      </c>
      <c r="D19" s="77">
        <f>C19/$C$22</f>
        <v>0.22894898586355256</v>
      </c>
      <c r="E19" s="73">
        <v>0.12</v>
      </c>
      <c r="F19" s="73">
        <f t="shared" si="0"/>
        <v>0.88</v>
      </c>
      <c r="G19" s="2">
        <v>3</v>
      </c>
      <c r="H19" s="2">
        <v>10</v>
      </c>
      <c r="I19" s="26">
        <f>E19*H19+(1-E19)*G19</f>
        <v>3.84</v>
      </c>
      <c r="J19" s="24">
        <v>0.15</v>
      </c>
      <c r="K19" s="67">
        <v>283.58195532024234</v>
      </c>
      <c r="L19" s="6">
        <f>K19/$K$22</f>
        <v>0.15675549485909274</v>
      </c>
      <c r="M19" s="9">
        <f t="shared" si="1"/>
        <v>1088.9547084297305</v>
      </c>
      <c r="N19" s="18">
        <f>K19*G19</f>
        <v>850.74586596072709</v>
      </c>
      <c r="O19" s="9">
        <f>K19*J19</f>
        <v>42.537293298036353</v>
      </c>
      <c r="P19" s="11">
        <f>K19/C19</f>
        <v>9.516172997323569E-3</v>
      </c>
      <c r="Q19" s="9">
        <f t="shared" si="2"/>
        <v>105.08426026736281</v>
      </c>
      <c r="R19" s="9">
        <f t="shared" ref="R19:R20" si="3">O19*Q19</f>
        <v>4470</v>
      </c>
      <c r="S19" s="9">
        <f>O19*(Q19-$R$24)^2</f>
        <v>191130.41569161692</v>
      </c>
    </row>
    <row r="20" spans="1:20" ht="15" x14ac:dyDescent="0.25">
      <c r="A20" s="3">
        <v>4</v>
      </c>
      <c r="B20" s="2" t="s">
        <v>22</v>
      </c>
      <c r="C20" s="9">
        <v>27990</v>
      </c>
      <c r="D20" s="77">
        <f>C20/$C$22</f>
        <v>0.21504302397049785</v>
      </c>
      <c r="E20" s="73">
        <v>0.1</v>
      </c>
      <c r="F20" s="73">
        <f t="shared" si="0"/>
        <v>0.9</v>
      </c>
      <c r="G20" s="2">
        <v>3</v>
      </c>
      <c r="H20" s="2">
        <v>10</v>
      </c>
      <c r="I20" s="26">
        <f>E20*H20+(1-E20)*G20</f>
        <v>3.7</v>
      </c>
      <c r="J20" s="24">
        <v>0.08</v>
      </c>
      <c r="K20" s="67">
        <v>184.19487840010908</v>
      </c>
      <c r="L20" s="6">
        <f>K20/$K$22</f>
        <v>0.10181733630235142</v>
      </c>
      <c r="M20" s="9">
        <f t="shared" si="1"/>
        <v>681.5210500804036</v>
      </c>
      <c r="N20" s="18">
        <f>K20*G20</f>
        <v>552.58463520032728</v>
      </c>
      <c r="O20" s="9">
        <f>K20*J20</f>
        <v>14.735590272008727</v>
      </c>
      <c r="P20" s="11">
        <f>K20/C20</f>
        <v>6.5807387781389448E-3</v>
      </c>
      <c r="Q20" s="9">
        <f>1/P20</f>
        <v>151.95862253672428</v>
      </c>
      <c r="R20" s="9">
        <f t="shared" si="3"/>
        <v>2239.2000000000003</v>
      </c>
      <c r="S20" s="9">
        <f>O20*(Q20-$R$24)^2</f>
        <v>191188.12386250953</v>
      </c>
    </row>
    <row r="21" spans="1:20" ht="15" x14ac:dyDescent="0.25">
      <c r="A21" s="3"/>
      <c r="D21" s="77"/>
      <c r="E21" s="61"/>
      <c r="F21" s="61"/>
      <c r="I21" s="27"/>
      <c r="J21" s="10"/>
      <c r="K21" s="67"/>
      <c r="L21" s="6"/>
      <c r="M21" s="9"/>
      <c r="O21" s="9"/>
      <c r="P21" s="6"/>
      <c r="Q21" s="6"/>
      <c r="R21" s="6"/>
      <c r="S21" s="6"/>
    </row>
    <row r="22" spans="1:20" s="13" customFormat="1" ht="15" x14ac:dyDescent="0.25">
      <c r="A22" s="12" t="s">
        <v>0</v>
      </c>
      <c r="C22" s="46">
        <f>SUM(C17:C21)</f>
        <v>130160</v>
      </c>
      <c r="D22" s="78">
        <f>C22/$C$22</f>
        <v>1</v>
      </c>
      <c r="E22" s="74">
        <f t="array" ref="E22">SUM(C17:C20*E17:E20)/$C$22</f>
        <v>0.21028119237861095</v>
      </c>
      <c r="F22" s="74"/>
      <c r="I22" s="28"/>
      <c r="J22" s="15">
        <f t="array" ref="J22">SUM(C17:C20*J17:J20)/$C$22</f>
        <v>0.29235248924400736</v>
      </c>
      <c r="K22" s="68">
        <f>SUM(K17:K21)</f>
        <v>1809.0718642759778</v>
      </c>
      <c r="L22" s="15">
        <f>K22/$K$22</f>
        <v>1</v>
      </c>
      <c r="M22" s="16">
        <f>SUM(M17:M20)</f>
        <v>10379.590562406314</v>
      </c>
      <c r="N22" s="69">
        <f>SUM(N17:N20)</f>
        <v>5427.2155928279335</v>
      </c>
      <c r="O22" s="16">
        <f>SUM(O17:O20)</f>
        <v>999.99999999986517</v>
      </c>
      <c r="P22" s="14"/>
      <c r="Q22" s="14"/>
      <c r="R22" s="16">
        <f>SUM(R17:R20)</f>
        <v>38052.599999999991</v>
      </c>
      <c r="S22" s="16">
        <f>SUM(S17:S20)</f>
        <v>724001.12306109222</v>
      </c>
    </row>
    <row r="23" spans="1:20" s="10" customFormat="1" x14ac:dyDescent="0.2">
      <c r="A23" s="22"/>
      <c r="E23" s="49"/>
      <c r="F23" s="49"/>
      <c r="K23" s="23"/>
      <c r="L23" s="24"/>
      <c r="M23" s="23"/>
      <c r="N23" s="23"/>
      <c r="O23" s="23"/>
      <c r="P23" s="23"/>
      <c r="Q23" s="23"/>
      <c r="R23" s="23"/>
      <c r="S23" s="21"/>
      <c r="T23" s="21"/>
    </row>
    <row r="24" spans="1:20" s="10" customFormat="1" x14ac:dyDescent="0.2">
      <c r="B24" s="37"/>
      <c r="C24" s="21"/>
      <c r="D24" s="21"/>
      <c r="E24" s="49"/>
      <c r="F24" s="49"/>
      <c r="K24" s="23">
        <f>MIN(K17:K20)</f>
        <v>184.19487840010908</v>
      </c>
      <c r="L24" s="24" t="s">
        <v>8</v>
      </c>
      <c r="M24" s="23"/>
      <c r="N24" s="23"/>
      <c r="O24" s="23"/>
      <c r="Q24" s="29" t="s">
        <v>4</v>
      </c>
      <c r="R24" s="19">
        <f>R22/O22</f>
        <v>38.052600000005121</v>
      </c>
      <c r="S24" s="32"/>
      <c r="T24" s="32"/>
    </row>
    <row r="25" spans="1:20" s="10" customFormat="1" x14ac:dyDescent="0.2">
      <c r="B25" s="57"/>
      <c r="C25" s="21"/>
      <c r="D25" s="21"/>
      <c r="E25" s="49"/>
      <c r="F25" s="49"/>
      <c r="K25" s="23"/>
      <c r="L25" s="24"/>
      <c r="M25" s="24"/>
      <c r="N25" s="23"/>
      <c r="O25" s="23"/>
      <c r="Q25" s="29" t="s">
        <v>6</v>
      </c>
      <c r="R25" s="18">
        <f>S22/O22</f>
        <v>724.00112306118979</v>
      </c>
      <c r="S25" s="56"/>
      <c r="T25" s="56"/>
    </row>
    <row r="26" spans="1:20" s="10" customFormat="1" ht="15" x14ac:dyDescent="0.25">
      <c r="B26" s="60"/>
      <c r="C26" s="9"/>
      <c r="D26" s="9"/>
      <c r="E26" s="62"/>
      <c r="F26" s="62"/>
      <c r="K26" s="23"/>
      <c r="L26" s="24"/>
      <c r="M26" s="23"/>
      <c r="N26" s="23"/>
      <c r="O26" s="23"/>
      <c r="Q26" s="8" t="s">
        <v>5</v>
      </c>
      <c r="R26" s="30">
        <f>1 + R25/R24^2</f>
        <v>1.5000006489507989</v>
      </c>
      <c r="S26" s="56"/>
      <c r="T26" s="56"/>
    </row>
    <row r="27" spans="1:20" s="10" customFormat="1" ht="15.75" thickBot="1" x14ac:dyDescent="0.3">
      <c r="B27" s="51"/>
      <c r="C27" s="51"/>
      <c r="D27" s="51"/>
      <c r="E27" s="51"/>
      <c r="F27" s="51"/>
      <c r="L27" s="24"/>
      <c r="M27" s="23"/>
      <c r="N27" s="23"/>
      <c r="O27" s="23"/>
      <c r="Q27" s="37" t="s">
        <v>14</v>
      </c>
      <c r="R27" s="64">
        <f>MAX(Q17:Q20)/MIN(Q17:Q20)</f>
        <v>5.2428153320827562</v>
      </c>
      <c r="S27" s="56"/>
      <c r="T27" s="56"/>
    </row>
    <row r="28" spans="1:20" s="10" customFormat="1" ht="15.75" thickBot="1" x14ac:dyDescent="0.3">
      <c r="B28" s="51"/>
      <c r="C28" s="51"/>
      <c r="D28" s="51"/>
      <c r="E28" s="51"/>
      <c r="F28" s="51"/>
      <c r="K28" s="88" t="s">
        <v>33</v>
      </c>
      <c r="L28" s="24"/>
      <c r="M28" s="23"/>
      <c r="N28" s="23"/>
      <c r="O28" s="23"/>
      <c r="Q28" s="37"/>
      <c r="R28" s="64"/>
      <c r="S28" s="56"/>
      <c r="T28" s="56"/>
    </row>
    <row r="29" spans="1:20" s="10" customFormat="1" ht="15" x14ac:dyDescent="0.25">
      <c r="B29" s="52"/>
      <c r="C29" s="52"/>
      <c r="D29" s="90"/>
      <c r="E29" s="53"/>
      <c r="F29" s="53"/>
      <c r="K29" s="38">
        <f>MIN($M$22)</f>
        <v>10379.590562406314</v>
      </c>
      <c r="L29" s="24"/>
      <c r="M29" s="23"/>
      <c r="N29" s="23"/>
      <c r="Q29" s="17" t="s">
        <v>9</v>
      </c>
      <c r="R29" s="42">
        <f>K22/C10</f>
        <v>2.5151401167162848</v>
      </c>
      <c r="S29" s="32"/>
      <c r="T29" s="32"/>
    </row>
    <row r="30" spans="1:20" s="10" customFormat="1" ht="15" x14ac:dyDescent="0.25">
      <c r="B30" s="52"/>
      <c r="D30" s="21"/>
      <c r="E30" s="53"/>
      <c r="F30" s="53"/>
      <c r="K30" s="39">
        <f>COUNT($K$17:$K$20)</f>
        <v>4</v>
      </c>
      <c r="L30" s="24"/>
      <c r="M30" s="23"/>
      <c r="N30" s="23"/>
      <c r="Q30" s="31"/>
      <c r="R30" s="2"/>
      <c r="S30" s="32"/>
      <c r="T30" s="32"/>
    </row>
    <row r="31" spans="1:20" s="10" customFormat="1" ht="15" x14ac:dyDescent="0.25">
      <c r="B31" s="52"/>
      <c r="C31" s="52"/>
      <c r="D31" s="21"/>
      <c r="E31" s="53"/>
      <c r="F31" s="53"/>
      <c r="K31" s="39" t="b">
        <f t="array" ref="K31">$K$17:$K$20&lt;=$C$17:$C$20</f>
        <v>1</v>
      </c>
      <c r="L31" s="24"/>
      <c r="M31" s="23"/>
      <c r="N31" s="23"/>
      <c r="Q31" s="31"/>
      <c r="R31" s="2"/>
      <c r="S31" s="56"/>
      <c r="T31" s="56"/>
    </row>
    <row r="32" spans="1:20" s="10" customFormat="1" ht="15" x14ac:dyDescent="0.25">
      <c r="A32" s="22"/>
      <c r="B32" s="52"/>
      <c r="C32" s="52"/>
      <c r="D32" s="90"/>
      <c r="E32" s="53"/>
      <c r="F32" s="53"/>
      <c r="K32" s="40" t="b">
        <f>$O$22=$C$4</f>
        <v>0</v>
      </c>
      <c r="L32" s="24"/>
      <c r="M32" s="23"/>
      <c r="N32" s="23"/>
      <c r="Q32" s="31"/>
      <c r="R32" s="2"/>
      <c r="S32" s="56"/>
      <c r="T32" s="56"/>
    </row>
    <row r="33" spans="1:27" s="10" customFormat="1" x14ac:dyDescent="0.2">
      <c r="A33" s="3"/>
      <c r="B33" s="49"/>
      <c r="C33" s="49"/>
      <c r="D33" s="82"/>
      <c r="E33" s="49"/>
      <c r="F33" s="49"/>
      <c r="K33" s="40" t="b">
        <f>$R$26&lt;=$C$6</f>
        <v>0</v>
      </c>
      <c r="L33" s="24"/>
      <c r="M33" s="23"/>
      <c r="N33" s="23"/>
      <c r="S33" s="56"/>
      <c r="T33" s="56"/>
    </row>
    <row r="34" spans="1:27" s="10" customFormat="1" ht="15" x14ac:dyDescent="0.2">
      <c r="A34" s="3"/>
      <c r="B34" s="54"/>
      <c r="C34" s="54"/>
      <c r="D34" s="91"/>
      <c r="E34" s="55"/>
      <c r="F34" s="55"/>
      <c r="H34" s="21"/>
      <c r="K34" s="40">
        <f>{32767,32767,0.000001,0.01,FALSE,FALSE,TRUE,1,2,1,0.0001,TRUE}</f>
        <v>32767</v>
      </c>
      <c r="L34" s="24"/>
      <c r="M34" s="23"/>
      <c r="N34" s="23"/>
      <c r="S34" s="32"/>
      <c r="T34" s="49"/>
    </row>
    <row r="35" spans="1:27" s="10" customFormat="1" ht="15.75" thickBot="1" x14ac:dyDescent="0.25">
      <c r="B35" s="54"/>
      <c r="C35" s="54"/>
      <c r="D35" s="54"/>
      <c r="E35" s="49"/>
      <c r="F35" s="49"/>
      <c r="H35" s="21"/>
      <c r="K35" s="41">
        <f>{0,0,1,100,0,FALSE,FALSE,0.075,0,0,FALSE,30}</f>
        <v>0</v>
      </c>
      <c r="L35" s="24"/>
      <c r="M35" s="23"/>
      <c r="N35" s="23"/>
      <c r="O35" s="23"/>
      <c r="Q35" s="23"/>
      <c r="R35" s="23"/>
      <c r="S35" s="56"/>
      <c r="T35" s="56"/>
    </row>
    <row r="36" spans="1:27" ht="15" x14ac:dyDescent="0.2">
      <c r="A36" s="3"/>
      <c r="B36" s="54"/>
      <c r="C36" s="54"/>
      <c r="D36" s="54"/>
      <c r="E36" s="49"/>
      <c r="F36" s="49"/>
      <c r="G36" s="10"/>
      <c r="H36" s="21"/>
      <c r="I36" s="10"/>
      <c r="K36" s="10"/>
      <c r="L36" s="23"/>
      <c r="M36" s="23"/>
      <c r="N36" s="23"/>
      <c r="O36" s="80"/>
      <c r="P36" s="49"/>
      <c r="Q36" s="81"/>
      <c r="R36" s="82"/>
      <c r="S36" s="56"/>
      <c r="T36" s="56"/>
      <c r="U36" s="10"/>
      <c r="V36" s="10"/>
      <c r="W36" s="10"/>
      <c r="X36" s="10"/>
      <c r="Y36" s="10"/>
      <c r="Z36" s="10"/>
      <c r="AA36" s="10"/>
    </row>
    <row r="37" spans="1:27" ht="15" x14ac:dyDescent="0.2">
      <c r="A37" s="3"/>
      <c r="B37" s="54"/>
      <c r="C37" s="54"/>
      <c r="D37" s="54"/>
      <c r="E37" s="57"/>
      <c r="F37" s="57"/>
      <c r="G37" s="37"/>
      <c r="H37" s="21"/>
      <c r="I37" s="10"/>
      <c r="J37" s="8"/>
      <c r="K37" s="10"/>
      <c r="L37" s="23"/>
      <c r="M37" s="23"/>
      <c r="N37" s="23"/>
      <c r="O37" s="23"/>
      <c r="P37" s="10"/>
      <c r="Q37" s="10"/>
      <c r="R37" s="10"/>
      <c r="S37" s="56"/>
      <c r="T37" s="56"/>
      <c r="U37" s="10"/>
      <c r="V37" s="10"/>
      <c r="W37" s="10"/>
      <c r="X37" s="10"/>
      <c r="Y37" s="10"/>
      <c r="Z37" s="10"/>
      <c r="AA37" s="10"/>
    </row>
    <row r="38" spans="1:27" ht="15" x14ac:dyDescent="0.2">
      <c r="A38" s="3"/>
      <c r="B38" s="54"/>
      <c r="C38" s="54"/>
      <c r="D38" s="54"/>
      <c r="E38" s="58"/>
      <c r="F38" s="58"/>
      <c r="G38" s="37"/>
      <c r="H38" s="47"/>
      <c r="I38" s="37"/>
      <c r="J38" s="8"/>
      <c r="K38" s="10"/>
      <c r="L38" s="10"/>
      <c r="M38" s="10"/>
      <c r="N38" s="10"/>
      <c r="O38" s="10"/>
      <c r="P38" s="10"/>
      <c r="Q38" s="10"/>
      <c r="R38" s="21"/>
      <c r="S38" s="32"/>
      <c r="T38" s="49"/>
      <c r="U38" s="10"/>
      <c r="V38" s="10"/>
      <c r="W38" s="10"/>
      <c r="X38" s="10"/>
      <c r="Y38" s="10"/>
      <c r="Z38" s="10"/>
      <c r="AA38" s="10"/>
    </row>
    <row r="39" spans="1:27" ht="15" x14ac:dyDescent="0.2">
      <c r="B39" s="54"/>
      <c r="C39" s="54"/>
      <c r="D39" s="54"/>
      <c r="E39" s="57"/>
      <c r="F39" s="57"/>
      <c r="G39" s="37"/>
      <c r="H39" s="48"/>
      <c r="I39" s="37"/>
      <c r="J39" s="8"/>
      <c r="K39" s="10"/>
      <c r="L39" s="10"/>
      <c r="M39" s="10"/>
      <c r="N39" s="10"/>
      <c r="O39" s="10"/>
      <c r="P39" s="10"/>
      <c r="Q39" s="10"/>
      <c r="R39" s="21"/>
      <c r="S39" s="56"/>
      <c r="T39" s="56"/>
      <c r="U39" s="10"/>
      <c r="V39" s="10"/>
      <c r="W39" s="10"/>
      <c r="X39" s="10"/>
      <c r="Y39" s="10"/>
      <c r="Z39" s="10"/>
      <c r="AA39" s="10"/>
    </row>
    <row r="40" spans="1:27" ht="15" x14ac:dyDescent="0.2">
      <c r="B40" s="54"/>
      <c r="C40" s="54"/>
      <c r="D40" s="54"/>
      <c r="E40" s="49"/>
      <c r="F40" s="49"/>
      <c r="G40" s="10"/>
      <c r="H40" s="10"/>
      <c r="I40" s="10"/>
      <c r="K40" s="10"/>
      <c r="L40" s="10"/>
      <c r="M40" s="10"/>
      <c r="N40" s="10"/>
      <c r="O40" s="10"/>
      <c r="P40" s="10"/>
      <c r="Q40" s="10"/>
      <c r="R40" s="21"/>
      <c r="S40" s="56"/>
      <c r="T40" s="56"/>
      <c r="U40" s="10"/>
      <c r="V40" s="10"/>
      <c r="W40" s="10"/>
      <c r="X40" s="10"/>
      <c r="Y40" s="10"/>
      <c r="Z40" s="10"/>
      <c r="AA40" s="10"/>
    </row>
    <row r="41" spans="1:27" ht="15" x14ac:dyDescent="0.2">
      <c r="B41" s="54"/>
      <c r="C41" s="54"/>
      <c r="D41" s="54"/>
      <c r="E41" s="49"/>
      <c r="F41" s="49"/>
      <c r="G41" s="10"/>
      <c r="H41" s="10"/>
      <c r="I41" s="10"/>
      <c r="L41" s="10"/>
      <c r="M41" s="37"/>
      <c r="N41" s="37"/>
      <c r="O41" s="37"/>
      <c r="P41" s="37"/>
      <c r="Q41" s="37"/>
      <c r="R41" s="44"/>
      <c r="S41" s="44"/>
      <c r="T41" s="44"/>
      <c r="U41" s="10"/>
      <c r="V41" s="10"/>
      <c r="W41" s="10"/>
      <c r="X41" s="10"/>
      <c r="Y41" s="10"/>
      <c r="Z41" s="10"/>
      <c r="AA41" s="10"/>
    </row>
    <row r="42" spans="1:27" ht="15" x14ac:dyDescent="0.2">
      <c r="B42" s="54"/>
      <c r="C42" s="54"/>
      <c r="D42" s="54"/>
      <c r="E42" s="49"/>
      <c r="F42" s="49"/>
      <c r="G42" s="10"/>
      <c r="H42" s="10"/>
      <c r="I42" s="10"/>
      <c r="L42" s="37"/>
      <c r="M42" s="37"/>
      <c r="N42" s="47"/>
      <c r="O42" s="83"/>
      <c r="P42" s="84"/>
      <c r="Q42" s="85"/>
      <c r="R42" s="47"/>
      <c r="S42" s="86"/>
      <c r="T42" s="21"/>
      <c r="U42" s="10"/>
      <c r="V42" s="10"/>
      <c r="W42" s="10"/>
      <c r="X42" s="10"/>
      <c r="Y42" s="10"/>
      <c r="Z42" s="10"/>
      <c r="AA42" s="10"/>
    </row>
    <row r="43" spans="1:27" ht="15" x14ac:dyDescent="0.2">
      <c r="A43" s="3"/>
      <c r="B43" s="54"/>
      <c r="C43" s="54"/>
      <c r="D43" s="54"/>
      <c r="E43" s="49"/>
      <c r="F43" s="49"/>
      <c r="G43" s="10"/>
      <c r="H43" s="10"/>
      <c r="I43" s="10"/>
      <c r="L43" s="37"/>
      <c r="M43" s="37"/>
      <c r="N43" s="47"/>
      <c r="O43" s="83"/>
      <c r="P43" s="84"/>
      <c r="Q43" s="85"/>
      <c r="R43" s="47"/>
      <c r="S43" s="86"/>
      <c r="T43" s="21"/>
      <c r="U43" s="10"/>
      <c r="V43" s="10"/>
      <c r="W43" s="10"/>
      <c r="X43" s="10"/>
      <c r="Y43" s="10"/>
      <c r="Z43" s="10"/>
      <c r="AA43" s="10"/>
    </row>
    <row r="44" spans="1:27" ht="15" x14ac:dyDescent="0.2">
      <c r="A44" s="3"/>
      <c r="B44" s="54"/>
      <c r="C44" s="54"/>
      <c r="D44" s="54"/>
      <c r="E44" s="49"/>
      <c r="F44" s="49"/>
      <c r="G44" s="10"/>
      <c r="H44" s="48"/>
      <c r="I44" s="10"/>
      <c r="L44" s="37"/>
      <c r="M44" s="37"/>
      <c r="N44" s="47"/>
      <c r="O44" s="83"/>
      <c r="P44" s="84"/>
      <c r="Q44" s="85"/>
      <c r="R44" s="47"/>
      <c r="S44" s="86"/>
      <c r="T44" s="21"/>
      <c r="U44" s="10"/>
      <c r="V44" s="10"/>
      <c r="W44" s="10"/>
      <c r="X44" s="10"/>
      <c r="Y44" s="10"/>
      <c r="Z44" s="10"/>
      <c r="AA44" s="10"/>
    </row>
    <row r="45" spans="1:27" ht="15" x14ac:dyDescent="0.2">
      <c r="B45" s="54"/>
      <c r="C45" s="54"/>
      <c r="D45" s="54"/>
      <c r="E45" s="49"/>
      <c r="F45" s="49"/>
      <c r="G45" s="10"/>
      <c r="H45" s="48"/>
      <c r="I45" s="10"/>
      <c r="L45" s="10"/>
      <c r="M45" s="10"/>
      <c r="N45" s="47"/>
      <c r="O45" s="83"/>
      <c r="P45" s="84"/>
      <c r="Q45" s="85"/>
      <c r="R45" s="47"/>
      <c r="S45" s="86"/>
      <c r="T45" s="21"/>
      <c r="U45" s="10"/>
      <c r="V45" s="10"/>
      <c r="W45" s="10"/>
      <c r="X45" s="10"/>
      <c r="Y45" s="10"/>
      <c r="Z45" s="10"/>
      <c r="AA45" s="10"/>
    </row>
    <row r="46" spans="1:27" ht="15" x14ac:dyDescent="0.2">
      <c r="B46" s="54"/>
      <c r="C46" s="54"/>
      <c r="D46" s="54"/>
      <c r="E46" s="55"/>
      <c r="F46" s="55"/>
      <c r="G46" s="10"/>
      <c r="H46" s="10"/>
      <c r="I46" s="10"/>
      <c r="L46" s="10"/>
      <c r="M46" s="10"/>
      <c r="N46" s="47"/>
      <c r="O46" s="10"/>
      <c r="P46" s="10"/>
      <c r="Q46" s="87"/>
      <c r="R46" s="47"/>
      <c r="S46" s="21"/>
      <c r="T46" s="21"/>
      <c r="U46" s="10"/>
      <c r="V46" s="10"/>
      <c r="W46" s="10"/>
      <c r="X46" s="10"/>
      <c r="Y46" s="10"/>
      <c r="Z46" s="10"/>
      <c r="AA46" s="10"/>
    </row>
    <row r="47" spans="1:27" ht="15" x14ac:dyDescent="0.2">
      <c r="B47" s="54"/>
      <c r="C47" s="54"/>
      <c r="D47" s="54"/>
      <c r="E47" s="49"/>
      <c r="F47" s="49"/>
      <c r="G47" s="10"/>
      <c r="H47" s="10"/>
      <c r="I47" s="10"/>
      <c r="K47" s="10"/>
      <c r="L47" s="10"/>
      <c r="M47" s="10"/>
      <c r="N47" s="10"/>
      <c r="O47" s="10"/>
      <c r="P47" s="10"/>
      <c r="Q47" s="47"/>
      <c r="R47" s="10"/>
      <c r="S47" s="10"/>
      <c r="T47" s="56"/>
      <c r="U47" s="10"/>
      <c r="V47" s="10"/>
      <c r="W47" s="10"/>
      <c r="X47" s="10"/>
      <c r="Y47" s="10"/>
      <c r="Z47" s="10"/>
      <c r="AA47" s="10"/>
    </row>
    <row r="48" spans="1:27" ht="15" x14ac:dyDescent="0.2">
      <c r="B48" s="54"/>
      <c r="C48" s="54"/>
      <c r="D48" s="54"/>
      <c r="E48" s="49"/>
      <c r="F48" s="49"/>
      <c r="G48" s="10"/>
      <c r="H48" s="10"/>
      <c r="I48" s="10"/>
      <c r="L48" s="10"/>
      <c r="M48" s="10"/>
      <c r="N48" s="10"/>
      <c r="O48" s="10"/>
      <c r="P48" s="10"/>
      <c r="Q48" s="24"/>
      <c r="R48" s="10"/>
      <c r="S48" s="10"/>
      <c r="T48" s="43"/>
      <c r="U48" s="10"/>
      <c r="V48" s="10"/>
      <c r="W48" s="10"/>
      <c r="X48" s="10"/>
      <c r="Y48" s="10"/>
      <c r="Z48" s="10"/>
      <c r="AA48" s="10"/>
    </row>
    <row r="49" spans="2:27" ht="15" x14ac:dyDescent="0.2">
      <c r="B49" s="54"/>
      <c r="C49" s="54"/>
      <c r="D49" s="54"/>
      <c r="E49" s="49"/>
      <c r="F49" s="49"/>
      <c r="G49" s="10"/>
      <c r="H49" s="10"/>
      <c r="I49" s="10"/>
      <c r="L49" s="10"/>
      <c r="M49" s="10"/>
      <c r="N49" s="10"/>
      <c r="O49" s="10"/>
      <c r="P49" s="37"/>
      <c r="Q49" s="24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15" x14ac:dyDescent="0.2">
      <c r="B50" s="54"/>
      <c r="C50" s="54"/>
      <c r="D50" s="54"/>
      <c r="E50" s="55"/>
      <c r="F50" s="55"/>
      <c r="G50" s="10"/>
      <c r="H50" s="10"/>
      <c r="I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15" x14ac:dyDescent="0.2">
      <c r="B51" s="54"/>
      <c r="C51" s="54"/>
      <c r="D51" s="54"/>
      <c r="E51" s="49"/>
      <c r="F51" s="49"/>
      <c r="G51" s="10"/>
      <c r="H51" s="10"/>
      <c r="I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15" x14ac:dyDescent="0.2">
      <c r="B52" s="54"/>
      <c r="C52" s="54"/>
      <c r="D52" s="54"/>
      <c r="E52" s="49"/>
      <c r="F52" s="49"/>
      <c r="G52" s="10"/>
      <c r="H52" s="10"/>
      <c r="I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t="15" x14ac:dyDescent="0.2">
      <c r="B53" s="54"/>
      <c r="C53" s="54"/>
      <c r="D53" s="54"/>
      <c r="E53" s="49"/>
      <c r="F53" s="49"/>
      <c r="G53" s="10"/>
      <c r="H53" s="10"/>
      <c r="I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t="15" x14ac:dyDescent="0.2">
      <c r="B54" s="59"/>
      <c r="C54" s="59"/>
      <c r="D54" s="59"/>
      <c r="E54" s="55"/>
      <c r="F54" s="55"/>
      <c r="G54" s="10"/>
      <c r="H54" s="10"/>
      <c r="I54" s="10"/>
    </row>
    <row r="55" spans="2:27" ht="15" x14ac:dyDescent="0.2">
      <c r="B55" s="59"/>
      <c r="C55" s="59"/>
      <c r="D55" s="59"/>
      <c r="E55" s="49"/>
      <c r="F55" s="49"/>
      <c r="G55" s="10"/>
      <c r="H55" s="10"/>
      <c r="I55" s="10"/>
    </row>
    <row r="56" spans="2:27" x14ac:dyDescent="0.2">
      <c r="B56" s="49"/>
      <c r="C56" s="49"/>
      <c r="D56" s="49"/>
      <c r="E56" s="49"/>
      <c r="F56" s="49"/>
      <c r="G56" s="10"/>
      <c r="H56" s="10"/>
      <c r="I56" s="10"/>
    </row>
    <row r="57" spans="2:27" x14ac:dyDescent="0.2">
      <c r="B57" s="50"/>
      <c r="C57" s="50"/>
      <c r="D57" s="50"/>
      <c r="E57" s="50"/>
      <c r="F57" s="50"/>
    </row>
    <row r="58" spans="2:27" x14ac:dyDescent="0.2">
      <c r="B58" s="50"/>
      <c r="C58" s="50"/>
      <c r="D58" s="50"/>
      <c r="E58" s="50"/>
      <c r="F58" s="50"/>
    </row>
    <row r="59" spans="2:27" x14ac:dyDescent="0.2">
      <c r="B59" s="50"/>
      <c r="C59" s="50"/>
      <c r="D59" s="50"/>
      <c r="E59" s="50"/>
      <c r="F59" s="50"/>
    </row>
  </sheetData>
  <printOptions gridLines="1"/>
  <pageMargins left="0.7" right="0.7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J22" sqref="J22"/>
    </sheetView>
  </sheetViews>
  <sheetFormatPr defaultRowHeight="15" x14ac:dyDescent="0.25"/>
  <cols>
    <col min="1" max="2" width="9.140625" style="70"/>
    <col min="3" max="3" width="32.85546875" style="70" bestFit="1" customWidth="1"/>
    <col min="4" max="4" width="9.140625" style="70"/>
    <col min="5" max="5" width="9.42578125" style="70" bestFit="1" customWidth="1"/>
    <col min="6" max="6" width="9.42578125" style="70" customWidth="1"/>
    <col min="7" max="10" width="10.85546875" style="70" customWidth="1"/>
    <col min="11" max="11" width="12.140625" style="70" hidden="1" customWidth="1"/>
    <col min="12" max="12" width="16" style="70" hidden="1" customWidth="1"/>
    <col min="13" max="14" width="11.42578125" style="70" hidden="1" customWidth="1"/>
    <col min="15" max="16" width="9.42578125" style="70" hidden="1" customWidth="1"/>
    <col min="17" max="17" width="10.140625" style="70" bestFit="1" customWidth="1"/>
    <col min="18" max="18" width="10.140625" style="70" customWidth="1"/>
    <col min="19" max="19" width="11.140625" style="70" customWidth="1"/>
    <col min="20" max="16384" width="9.140625" style="70"/>
  </cols>
  <sheetData>
    <row r="1" spans="1:20" ht="64.5" x14ac:dyDescent="0.25">
      <c r="A1" s="71" t="s">
        <v>11</v>
      </c>
      <c r="B1" s="71" t="s">
        <v>39</v>
      </c>
      <c r="C1" s="71" t="s">
        <v>34</v>
      </c>
      <c r="D1" s="71" t="s">
        <v>39</v>
      </c>
      <c r="E1" s="71" t="s">
        <v>18</v>
      </c>
      <c r="F1" s="71" t="s">
        <v>39</v>
      </c>
      <c r="G1" s="71" t="s">
        <v>28</v>
      </c>
      <c r="H1" s="71" t="s">
        <v>39</v>
      </c>
      <c r="I1" s="71" t="s">
        <v>24</v>
      </c>
      <c r="J1" s="71" t="s">
        <v>39</v>
      </c>
      <c r="K1" s="71" t="s">
        <v>25</v>
      </c>
      <c r="L1" s="71" t="s">
        <v>39</v>
      </c>
      <c r="M1" s="63" t="s">
        <v>36</v>
      </c>
      <c r="N1" s="71" t="s">
        <v>39</v>
      </c>
      <c r="O1" s="63" t="s">
        <v>37</v>
      </c>
      <c r="P1" s="71" t="s">
        <v>39</v>
      </c>
      <c r="Q1" s="71" t="s">
        <v>35</v>
      </c>
      <c r="R1" s="71" t="s">
        <v>39</v>
      </c>
      <c r="S1" s="72" t="s">
        <v>41</v>
      </c>
      <c r="T1" s="89" t="s">
        <v>40</v>
      </c>
    </row>
    <row r="2" spans="1:20" x14ac:dyDescent="0.25">
      <c r="A2" s="3">
        <v>1</v>
      </c>
      <c r="B2" s="3" t="s">
        <v>39</v>
      </c>
      <c r="C2" s="2" t="s">
        <v>19</v>
      </c>
      <c r="D2" s="3" t="s">
        <v>39</v>
      </c>
      <c r="E2" s="9">
        <v>45070</v>
      </c>
      <c r="F2" s="3" t="s">
        <v>39</v>
      </c>
      <c r="G2" s="77">
        <v>0.34626613398893669</v>
      </c>
      <c r="H2" s="3" t="s">
        <v>39</v>
      </c>
      <c r="I2" s="73">
        <v>0.06</v>
      </c>
      <c r="J2" s="3" t="s">
        <v>39</v>
      </c>
      <c r="K2" s="73">
        <f>1-I2</f>
        <v>0.94</v>
      </c>
      <c r="L2" s="3" t="s">
        <v>39</v>
      </c>
      <c r="M2" s="2">
        <v>3</v>
      </c>
      <c r="N2" s="3" t="s">
        <v>39</v>
      </c>
      <c r="O2" s="2">
        <v>10</v>
      </c>
      <c r="P2" s="3" t="s">
        <v>39</v>
      </c>
      <c r="Q2" s="26">
        <f>I2*O2+(1-I2)*M2</f>
        <v>3.42</v>
      </c>
      <c r="R2" s="3" t="s">
        <v>39</v>
      </c>
      <c r="S2" s="24">
        <v>0.12</v>
      </c>
      <c r="T2" s="89" t="s">
        <v>40</v>
      </c>
    </row>
    <row r="3" spans="1:20" x14ac:dyDescent="0.25">
      <c r="A3" s="3">
        <v>2</v>
      </c>
      <c r="B3" s="3" t="s">
        <v>39</v>
      </c>
      <c r="C3" s="2" t="s">
        <v>20</v>
      </c>
      <c r="D3" s="3" t="s">
        <v>39</v>
      </c>
      <c r="E3" s="9">
        <v>27300</v>
      </c>
      <c r="F3" s="3" t="s">
        <v>39</v>
      </c>
      <c r="G3" s="77">
        <v>0.20974185617701291</v>
      </c>
      <c r="H3" s="3" t="s">
        <v>39</v>
      </c>
      <c r="I3" s="73">
        <v>0.67</v>
      </c>
      <c r="J3" s="3" t="s">
        <v>39</v>
      </c>
      <c r="K3" s="73">
        <f t="shared" ref="K3:K5" si="0">1-I3</f>
        <v>0.32999999999999996</v>
      </c>
      <c r="L3" s="3" t="s">
        <v>39</v>
      </c>
      <c r="M3" s="2">
        <v>3</v>
      </c>
      <c r="N3" s="3" t="s">
        <v>39</v>
      </c>
      <c r="O3" s="2">
        <v>10</v>
      </c>
      <c r="P3" s="3" t="s">
        <v>39</v>
      </c>
      <c r="Q3" s="26">
        <f>I3*O3+(1-I3)*M3</f>
        <v>7.69</v>
      </c>
      <c r="R3" s="3" t="s">
        <v>39</v>
      </c>
      <c r="S3" s="24">
        <v>0.95</v>
      </c>
      <c r="T3" s="89" t="s">
        <v>40</v>
      </c>
    </row>
    <row r="4" spans="1:20" x14ac:dyDescent="0.25">
      <c r="A4" s="3">
        <v>3</v>
      </c>
      <c r="B4" s="3" t="s">
        <v>39</v>
      </c>
      <c r="C4" s="2" t="s">
        <v>21</v>
      </c>
      <c r="D4" s="3" t="s">
        <v>39</v>
      </c>
      <c r="E4" s="9">
        <v>29800</v>
      </c>
      <c r="F4" s="3" t="s">
        <v>39</v>
      </c>
      <c r="G4" s="77">
        <v>0.22894898586355256</v>
      </c>
      <c r="H4" s="3" t="s">
        <v>39</v>
      </c>
      <c r="I4" s="73">
        <v>0.12</v>
      </c>
      <c r="J4" s="3" t="s">
        <v>39</v>
      </c>
      <c r="K4" s="73">
        <f t="shared" si="0"/>
        <v>0.88</v>
      </c>
      <c r="L4" s="3" t="s">
        <v>39</v>
      </c>
      <c r="M4" s="2">
        <v>3</v>
      </c>
      <c r="N4" s="3" t="s">
        <v>39</v>
      </c>
      <c r="O4" s="2">
        <v>10</v>
      </c>
      <c r="P4" s="3" t="s">
        <v>39</v>
      </c>
      <c r="Q4" s="26">
        <f>I4*O4+(1-I4)*M4</f>
        <v>3.84</v>
      </c>
      <c r="R4" s="3" t="s">
        <v>39</v>
      </c>
      <c r="S4" s="24">
        <v>0.15</v>
      </c>
      <c r="T4" s="89" t="s">
        <v>40</v>
      </c>
    </row>
    <row r="5" spans="1:20" x14ac:dyDescent="0.25">
      <c r="A5" s="3">
        <v>4</v>
      </c>
      <c r="B5" s="3" t="s">
        <v>39</v>
      </c>
      <c r="C5" s="2" t="s">
        <v>22</v>
      </c>
      <c r="D5" s="3" t="s">
        <v>39</v>
      </c>
      <c r="E5" s="9">
        <v>27990</v>
      </c>
      <c r="F5" s="3" t="s">
        <v>39</v>
      </c>
      <c r="G5" s="77">
        <v>0.21504302397049785</v>
      </c>
      <c r="H5" s="3" t="s">
        <v>39</v>
      </c>
      <c r="I5" s="73">
        <v>0.1</v>
      </c>
      <c r="J5" s="3" t="s">
        <v>39</v>
      </c>
      <c r="K5" s="73">
        <f t="shared" si="0"/>
        <v>0.9</v>
      </c>
      <c r="L5" s="3" t="s">
        <v>39</v>
      </c>
      <c r="M5" s="2">
        <v>3</v>
      </c>
      <c r="N5" s="3" t="s">
        <v>39</v>
      </c>
      <c r="O5" s="2">
        <v>10</v>
      </c>
      <c r="P5" s="3" t="s">
        <v>39</v>
      </c>
      <c r="Q5" s="26">
        <f>I5*O5+(1-I5)*M5</f>
        <v>3.7</v>
      </c>
      <c r="R5" s="3" t="s">
        <v>39</v>
      </c>
      <c r="S5" s="24">
        <v>0.08</v>
      </c>
      <c r="T5" s="89" t="s">
        <v>40</v>
      </c>
    </row>
    <row r="6" spans="1:20" x14ac:dyDescent="0.25">
      <c r="A6" s="12" t="s">
        <v>0</v>
      </c>
      <c r="B6" s="12" t="s">
        <v>39</v>
      </c>
      <c r="C6" s="13"/>
      <c r="D6" s="12" t="s">
        <v>39</v>
      </c>
      <c r="E6" s="46">
        <f>SUM(E2:E5)</f>
        <v>130160</v>
      </c>
      <c r="F6" s="12" t="s">
        <v>39</v>
      </c>
      <c r="G6" s="78">
        <v>1</v>
      </c>
      <c r="H6" s="12" t="s">
        <v>39</v>
      </c>
      <c r="I6" s="74">
        <v>0.21028119237861095</v>
      </c>
      <c r="J6" s="12" t="s">
        <v>39</v>
      </c>
      <c r="K6" s="74"/>
      <c r="L6" s="12" t="s">
        <v>39</v>
      </c>
      <c r="M6" s="13"/>
      <c r="N6" s="12" t="s">
        <v>39</v>
      </c>
      <c r="O6" s="13"/>
      <c r="P6" s="12" t="s">
        <v>39</v>
      </c>
      <c r="Q6" s="28"/>
      <c r="R6" s="12" t="s">
        <v>39</v>
      </c>
      <c r="S6" s="15">
        <v>0.29235248924400736</v>
      </c>
      <c r="T6" s="89" t="s">
        <v>40</v>
      </c>
    </row>
  </sheetData>
  <hyperlinks>
    <hyperlink ref="T1" r:id="rId1"/>
    <hyperlink ref="T2" r:id="rId2"/>
    <hyperlink ref="T3" r:id="rId3"/>
    <hyperlink ref="T4" r:id="rId4"/>
    <hyperlink ref="T5" r:id="rId5"/>
    <hyperlink ref="T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NSFG LP setup-4 strata</vt:lpstr>
      <vt:lpstr>Table</vt:lpstr>
      <vt:lpstr>'NSFG LP setup-4 strata'!Print_Area</vt:lpstr>
      <vt:lpstr>'NSFG LP setup-4 strata'!Print_Titles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</cp:lastModifiedBy>
  <cp:lastPrinted>2013-04-08T20:58:20Z</cp:lastPrinted>
  <dcterms:created xsi:type="dcterms:W3CDTF">2012-10-18T13:32:27Z</dcterms:created>
  <dcterms:modified xsi:type="dcterms:W3CDTF">2017-07-30T01:41:50Z</dcterms:modified>
</cp:coreProperties>
</file>