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ractical Tools Book\Book Chapters\10 Area Sampling\Examples\"/>
    </mc:Choice>
  </mc:AlternateContent>
  <bookViews>
    <workbookView xWindow="225" yWindow="315" windowWidth="19995" windowHeight="7710" activeTab="1"/>
  </bookViews>
  <sheets>
    <sheet name="NSFG LP setup-5 strata" sheetId="12" r:id="rId1"/>
    <sheet name="NSFG LP setup-4 strata" sheetId="13" r:id="rId2"/>
    <sheet name="Table 5" sheetId="14" r:id="rId3"/>
  </sheets>
  <definedNames>
    <definedName name="_xlnm.Print_Area" localSheetId="1">'NSFG LP setup-4 strata'!$A$1:$AX$34</definedName>
    <definedName name="_xlnm.Print_Titles" localSheetId="1">'NSFG LP setup-4 strata'!$A:$B</definedName>
    <definedName name="solver_adj" localSheetId="1" hidden="1">'NSFG LP setup-4 strata'!$AQ$11:$AQ$14</definedName>
    <definedName name="solver_adj" localSheetId="0" hidden="1">'NSFG LP setup-5 strata'!$AI$11:$AI$15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'NSFG LP setup-4 strata'!$AV$16</definedName>
    <definedName name="solver_lhs1" localSheetId="0" hidden="1">'NSFG LP setup-5 strata'!$AI$15</definedName>
    <definedName name="solver_lhs10" localSheetId="1" hidden="1">'NSFG LP setup-4 strata'!$Z$16</definedName>
    <definedName name="solver_lhs10" localSheetId="0" hidden="1">'NSFG LP setup-5 strata'!$AO$21</definedName>
    <definedName name="solver_lhs11" localSheetId="0" hidden="1">'NSFG LP setup-5 strata'!$AO$21</definedName>
    <definedName name="solver_lhs12" localSheetId="0" hidden="1">'NSFG LP setup-5 strata'!$AO$21</definedName>
    <definedName name="solver_lhs2" localSheetId="1" hidden="1">'NSFG LP setup-4 strata'!$AO$18</definedName>
    <definedName name="solver_lhs2" localSheetId="0" hidden="1">'NSFG LP setup-5 strata'!$AI$13</definedName>
    <definedName name="solver_lhs3" localSheetId="1" hidden="1">'NSFG LP setup-4 strata'!$AQ$13</definedName>
    <definedName name="solver_lhs3" localSheetId="0" hidden="1">'NSFG LP setup-5 strata'!$AL$17</definedName>
    <definedName name="solver_lhs4" localSheetId="1" hidden="1">'NSFG LP setup-4 strata'!$AQ$12</definedName>
    <definedName name="solver_lhs4" localSheetId="0" hidden="1">'NSFG LP setup-5 strata'!$AI$14</definedName>
    <definedName name="solver_lhs5" localSheetId="1" hidden="1">'NSFG LP setup-4 strata'!$AQ$14</definedName>
    <definedName name="solver_lhs5" localSheetId="0" hidden="1">'NSFG LP setup-5 strata'!$AI$19</definedName>
    <definedName name="solver_lhs6" localSheetId="1" hidden="1">'NSFG LP setup-4 strata'!$AQ$11</definedName>
    <definedName name="solver_lhs6" localSheetId="0" hidden="1">'NSFG LP setup-5 strata'!$AI$11</definedName>
    <definedName name="solver_lhs7" localSheetId="1" hidden="1">'NSFG LP setup-4 strata'!$AW$20</definedName>
    <definedName name="solver_lhs7" localSheetId="0" hidden="1">'NSFG LP setup-5 strata'!$AO$21</definedName>
    <definedName name="solver_lhs8" localSheetId="1" hidden="1">'NSFG LP setup-4 strata'!$Z$16</definedName>
    <definedName name="solver_lhs8" localSheetId="0" hidden="1">'NSFG LP setup-5 strata'!$AI$12</definedName>
    <definedName name="solver_lhs9" localSheetId="1" hidden="1">'NSFG LP setup-4 strata'!$Z$16</definedName>
    <definedName name="solver_lhs9" localSheetId="0" hidden="1">'NSFG LP setup-5 strata'!$AI$11:$AI$15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'NSFG LP setup-4 strata'!$AS$16</definedName>
    <definedName name="solver_opt" localSheetId="0" hidden="1">'NSFG LP setup-5 strata'!$AK$17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1</definedName>
    <definedName name="solver_rel10" localSheetId="1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2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6" localSheetId="0" hidden="1">1</definedName>
    <definedName name="solver_rel7" localSheetId="1" hidden="1">1</definedName>
    <definedName name="solver_rel7" localSheetId="0" hidden="1">1</definedName>
    <definedName name="solver_rel8" localSheetId="1" hidden="1">2</definedName>
    <definedName name="solver_rel8" localSheetId="0" hidden="1">1</definedName>
    <definedName name="solver_rel9" localSheetId="1" hidden="1">2</definedName>
    <definedName name="solver_rel9" localSheetId="0" hidden="1">3</definedName>
    <definedName name="solver_rhs1" localSheetId="1" hidden="1">'NSFG LP setup-4 strata'!$AW$24</definedName>
    <definedName name="solver_rhs1" localSheetId="0" hidden="1">'NSFG LP setup-5 strata'!$AQ$15</definedName>
    <definedName name="solver_rhs10" localSheetId="1" hidden="1">'NSFG LP setup-4 strata'!$AA$23</definedName>
    <definedName name="solver_rhs10" localSheetId="0" hidden="1">'NSFG LP setup-5 strata'!$AO$24</definedName>
    <definedName name="solver_rhs11" localSheetId="0" hidden="1">'NSFG LP setup-5 strata'!$AO$24</definedName>
    <definedName name="solver_rhs12" localSheetId="0" hidden="1">'NSFG LP setup-5 strata'!$AO$24</definedName>
    <definedName name="solver_rhs2" localSheetId="1" hidden="1">'NSFG LP setup-4 strata'!$AW$26</definedName>
    <definedName name="solver_rhs2" localSheetId="0" hidden="1">'NSFG LP setup-5 strata'!$AQ$13</definedName>
    <definedName name="solver_rhs3" localSheetId="1" hidden="1">'NSFG LP setup-4 strata'!$BA$13</definedName>
    <definedName name="solver_rhs3" localSheetId="0" hidden="1">'NSFG LP setup-5 strata'!$AO$23</definedName>
    <definedName name="solver_rhs4" localSheetId="1" hidden="1">'NSFG LP setup-4 strata'!$BA$12</definedName>
    <definedName name="solver_rhs4" localSheetId="0" hidden="1">'NSFG LP setup-5 strata'!$AQ$14</definedName>
    <definedName name="solver_rhs5" localSheetId="1" hidden="1">'NSFG LP setup-4 strata'!$BA$14</definedName>
    <definedName name="solver_rhs5" localSheetId="0" hidden="1">'NSFG LP setup-5 strata'!$AO$25</definedName>
    <definedName name="solver_rhs6" localSheetId="1" hidden="1">'NSFG LP setup-4 strata'!$BA$11</definedName>
    <definedName name="solver_rhs6" localSheetId="0" hidden="1">'NSFG LP setup-5 strata'!$AQ$11</definedName>
    <definedName name="solver_rhs7" localSheetId="1" hidden="1">'NSFG LP setup-4 strata'!$AW$25</definedName>
    <definedName name="solver_rhs7" localSheetId="0" hidden="1">'NSFG LP setup-5 strata'!$AO$24</definedName>
    <definedName name="solver_rhs8" localSheetId="1" hidden="1">'NSFG LP setup-4 strata'!$AA$23</definedName>
    <definedName name="solver_rhs8" localSheetId="0" hidden="1">'NSFG LP setup-5 strata'!$AQ$12</definedName>
    <definedName name="solver_rhs9" localSheetId="1" hidden="1">'NSFG LP setup-4 strata'!$AA$23</definedName>
    <definedName name="solver_rhs9" localSheetId="0" hidden="1">'NSFG LP setup-5 strata'!$AO$25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I7" i="14" l="1"/>
  <c r="H7" i="14"/>
  <c r="J7" i="14" s="1"/>
  <c r="I6" i="14"/>
  <c r="H6" i="14"/>
  <c r="J6" i="14"/>
  <c r="J5" i="14"/>
  <c r="H5" i="14"/>
  <c r="I5" i="14"/>
  <c r="AA42" i="13"/>
  <c r="AD39" i="13"/>
  <c r="AD38" i="13"/>
  <c r="AD37" i="13"/>
  <c r="AD40" i="13" s="1"/>
  <c r="AD36" i="13"/>
  <c r="AC39" i="13"/>
  <c r="AC38" i="13"/>
  <c r="AC37" i="13"/>
  <c r="AC36" i="13"/>
  <c r="AC40" i="13"/>
  <c r="AB39" i="13"/>
  <c r="AB38" i="13"/>
  <c r="AB37" i="13"/>
  <c r="AB36" i="13"/>
  <c r="X39" i="13"/>
  <c r="X38" i="13"/>
  <c r="X37" i="13"/>
  <c r="X36" i="13"/>
  <c r="X40" i="13"/>
  <c r="AT36" i="13"/>
  <c r="Y14" i="13"/>
  <c r="Y13" i="13"/>
  <c r="Y12" i="13"/>
  <c r="Y11" i="13"/>
  <c r="X14" i="13"/>
  <c r="X13" i="13"/>
  <c r="X12" i="13"/>
  <c r="X11" i="13"/>
  <c r="Y16" i="13"/>
  <c r="X16" i="13"/>
  <c r="D5" i="14"/>
  <c r="C5" i="14"/>
  <c r="AU11" i="13"/>
  <c r="AB40" i="13" l="1"/>
  <c r="E5" i="14"/>
  <c r="AU14" i="13" l="1"/>
  <c r="AU13" i="13"/>
  <c r="AU12" i="13"/>
  <c r="AT14" i="13"/>
  <c r="AT13" i="13"/>
  <c r="AT11" i="13"/>
  <c r="AT12" i="13"/>
  <c r="AS11" i="13"/>
  <c r="AU16" i="13" l="1"/>
  <c r="AT16" i="13"/>
  <c r="H10" i="14" l="1"/>
  <c r="AT49" i="13"/>
  <c r="AT48" i="13"/>
  <c r="AT50" i="13" s="1"/>
  <c r="H9" i="14"/>
  <c r="AA43" i="13"/>
  <c r="H11" i="14" l="1"/>
  <c r="AA28" i="13"/>
  <c r="AQ32" i="13" l="1"/>
  <c r="AO18" i="13"/>
  <c r="AQ28" i="13" s="1"/>
  <c r="AW30" i="13" l="1"/>
  <c r="AM30" i="13"/>
  <c r="AA30" i="13"/>
  <c r="D9" i="14" l="1"/>
  <c r="AT37" i="13"/>
  <c r="C20" i="13"/>
  <c r="C19" i="13"/>
  <c r="C18" i="13"/>
  <c r="AQ33" i="13"/>
  <c r="AQ29" i="13"/>
  <c r="AQ27" i="13"/>
  <c r="AQ26" i="13"/>
  <c r="AQ25" i="13"/>
  <c r="AQ24" i="13"/>
  <c r="U33" i="13"/>
  <c r="U32" i="13"/>
  <c r="U29" i="13"/>
  <c r="U28" i="13"/>
  <c r="U27" i="13"/>
  <c r="U26" i="13"/>
  <c r="U24" i="13"/>
  <c r="AG33" i="13"/>
  <c r="AG32" i="13"/>
  <c r="AG28" i="13"/>
  <c r="AG27" i="13"/>
  <c r="AG26" i="13"/>
  <c r="AG25" i="13"/>
  <c r="AG24" i="13"/>
  <c r="AM28" i="13"/>
  <c r="AW24" i="13"/>
  <c r="AW28" i="13"/>
  <c r="AV14" i="13"/>
  <c r="AV13" i="13"/>
  <c r="AV12" i="13"/>
  <c r="AV11" i="13"/>
  <c r="AJ11" i="13"/>
  <c r="AJ14" i="13"/>
  <c r="AJ13" i="13"/>
  <c r="AJ12" i="13"/>
  <c r="Z14" i="13"/>
  <c r="Z13" i="13"/>
  <c r="Z12" i="13"/>
  <c r="Z11" i="13"/>
  <c r="BA16" i="13"/>
  <c r="BB12" i="13" s="1"/>
  <c r="AV37" i="13" s="1"/>
  <c r="AQ16" i="13"/>
  <c r="C9" i="14" s="1"/>
  <c r="AW14" i="13"/>
  <c r="AX14" i="13" s="1"/>
  <c r="AW13" i="13"/>
  <c r="AX13" i="13" s="1"/>
  <c r="AW12" i="13"/>
  <c r="AX12" i="13" s="1"/>
  <c r="AW11" i="13"/>
  <c r="AX11" i="13" s="1"/>
  <c r="AO16" i="13"/>
  <c r="AP11" i="13" s="1"/>
  <c r="AK36" i="13" s="1"/>
  <c r="AE16" i="13"/>
  <c r="AF14" i="13" s="1"/>
  <c r="Z39" i="13" s="1"/>
  <c r="AA11" i="13"/>
  <c r="K14" i="13"/>
  <c r="AU39" i="13" s="1"/>
  <c r="J14" i="13"/>
  <c r="AJ39" i="13" s="1"/>
  <c r="K13" i="13"/>
  <c r="J13" i="13"/>
  <c r="AJ38" i="13" s="1"/>
  <c r="K12" i="13"/>
  <c r="J12" i="13"/>
  <c r="AJ37" i="13" s="1"/>
  <c r="K11" i="13"/>
  <c r="AU36" i="13" s="1"/>
  <c r="J11" i="13"/>
  <c r="AJ36" i="13" s="1"/>
  <c r="AL36" i="13" s="1"/>
  <c r="I14" i="13"/>
  <c r="I13" i="13"/>
  <c r="I12" i="13"/>
  <c r="I11" i="13"/>
  <c r="C16" i="13"/>
  <c r="AP12" i="13" l="1"/>
  <c r="AK37" i="13" s="1"/>
  <c r="AL37" i="13" s="1"/>
  <c r="E9" i="14"/>
  <c r="AX37" i="13"/>
  <c r="AZ37" i="13" s="1"/>
  <c r="AY37" i="13"/>
  <c r="AR11" i="13"/>
  <c r="AW43" i="13"/>
  <c r="AW21" i="13"/>
  <c r="AY11" i="13"/>
  <c r="AY14" i="13"/>
  <c r="AY12" i="13"/>
  <c r="AY13" i="13"/>
  <c r="W12" i="13"/>
  <c r="Y37" i="13"/>
  <c r="AS13" i="13"/>
  <c r="AU38" i="13"/>
  <c r="AI11" i="13"/>
  <c r="W13" i="13"/>
  <c r="Y38" i="13"/>
  <c r="W14" i="13"/>
  <c r="Y39" i="13"/>
  <c r="AA39" i="13" s="1"/>
  <c r="AS12" i="13"/>
  <c r="AU37" i="13"/>
  <c r="AW37" i="13" s="1"/>
  <c r="AS14" i="13"/>
  <c r="W11" i="13"/>
  <c r="Y36" i="13"/>
  <c r="BB13" i="13"/>
  <c r="AV38" i="13" s="1"/>
  <c r="AT38" i="13" s="1"/>
  <c r="AY38" i="13" s="1"/>
  <c r="AV16" i="13"/>
  <c r="AQ30" i="13" s="1"/>
  <c r="AR12" i="13"/>
  <c r="AP13" i="13"/>
  <c r="AK38" i="13" s="1"/>
  <c r="AL38" i="13" s="1"/>
  <c r="BB16" i="13"/>
  <c r="BB14" i="13"/>
  <c r="AV39" i="13" s="1"/>
  <c r="AR13" i="13"/>
  <c r="AP14" i="13"/>
  <c r="AK39" i="13" s="1"/>
  <c r="AL39" i="13" s="1"/>
  <c r="AF16" i="13"/>
  <c r="BB11" i="13"/>
  <c r="AV36" i="13" s="1"/>
  <c r="AR14" i="13"/>
  <c r="AW31" i="13"/>
  <c r="AF11" i="13"/>
  <c r="Z36" i="13" s="1"/>
  <c r="AP16" i="13"/>
  <c r="AF12" i="13"/>
  <c r="Z37" i="13" s="1"/>
  <c r="AF13" i="13"/>
  <c r="Z38" i="13" s="1"/>
  <c r="AA24" i="13"/>
  <c r="AM24" i="13"/>
  <c r="AW36" i="13" l="1"/>
  <c r="AW39" i="13"/>
  <c r="AT39" i="13"/>
  <c r="AA36" i="13"/>
  <c r="AX38" i="13"/>
  <c r="AZ38" i="13" s="1"/>
  <c r="AS16" i="13"/>
  <c r="AQ23" i="13" s="1"/>
  <c r="AW38" i="13"/>
  <c r="AL40" i="13"/>
  <c r="AL41" i="13" s="1"/>
  <c r="AA38" i="13"/>
  <c r="AA37" i="13"/>
  <c r="AY16" i="13"/>
  <c r="AW18" i="13" s="1"/>
  <c r="AW40" i="13" l="1"/>
  <c r="AW41" i="13" s="1"/>
  <c r="AW42" i="13" s="1"/>
  <c r="AY36" i="13"/>
  <c r="AX36" i="13"/>
  <c r="AT40" i="13"/>
  <c r="AY39" i="13"/>
  <c r="AX39" i="13"/>
  <c r="AZ39" i="13" s="1"/>
  <c r="AA40" i="13"/>
  <c r="AA41" i="13" s="1"/>
  <c r="U16" i="13"/>
  <c r="AY40" i="13" l="1"/>
  <c r="I9" i="14" s="1"/>
  <c r="J9" i="14" s="1"/>
  <c r="AZ36" i="13"/>
  <c r="AZ40" i="13" s="1"/>
  <c r="AX40" i="13"/>
  <c r="V11" i="13"/>
  <c r="AA31" i="13"/>
  <c r="AU48" i="13" l="1"/>
  <c r="AV48" i="13" s="1"/>
  <c r="AU49" i="13"/>
  <c r="I10" i="14"/>
  <c r="AI12" i="13"/>
  <c r="AE18" i="13"/>
  <c r="AG29" i="13" s="1"/>
  <c r="U18" i="13"/>
  <c r="U30" i="13" s="1"/>
  <c r="AG16" i="13"/>
  <c r="AL43" i="13" s="1"/>
  <c r="V13" i="13"/>
  <c r="AK14" i="13"/>
  <c r="AL14" i="13" s="1"/>
  <c r="AA14" i="13"/>
  <c r="AB14" i="13" s="1"/>
  <c r="AC14" i="13" s="1"/>
  <c r="AI14" i="13"/>
  <c r="AK13" i="13"/>
  <c r="AL13" i="13" s="1"/>
  <c r="AA13" i="13"/>
  <c r="AB13" i="13" s="1"/>
  <c r="AI13" i="13"/>
  <c r="AK12" i="13"/>
  <c r="AL12" i="13" s="1"/>
  <c r="AA12" i="13"/>
  <c r="AB12" i="13" s="1"/>
  <c r="AK11" i="13"/>
  <c r="AL11" i="13" s="1"/>
  <c r="AM11" i="13" s="1"/>
  <c r="AB11" i="13"/>
  <c r="J10" i="14" l="1"/>
  <c r="I11" i="14"/>
  <c r="J11" i="14" s="1"/>
  <c r="AV49" i="13"/>
  <c r="AU50" i="13"/>
  <c r="AV50" i="13" s="1"/>
  <c r="AM12" i="13"/>
  <c r="AM14" i="13"/>
  <c r="AA21" i="13"/>
  <c r="AM13" i="13"/>
  <c r="AC11" i="13"/>
  <c r="AC13" i="13"/>
  <c r="AC12" i="13"/>
  <c r="AM31" i="13"/>
  <c r="AI16" i="13"/>
  <c r="AH14" i="13"/>
  <c r="AH13" i="13"/>
  <c r="AH12" i="13"/>
  <c r="AH11" i="13"/>
  <c r="AJ16" i="13"/>
  <c r="AG30" i="13" s="1"/>
  <c r="V14" i="13"/>
  <c r="Z16" i="13"/>
  <c r="U31" i="13" s="1"/>
  <c r="W16" i="13"/>
  <c r="V16" i="13"/>
  <c r="V12" i="13"/>
  <c r="U23" i="13" l="1"/>
  <c r="AG23" i="13"/>
  <c r="AL42" i="13"/>
  <c r="AR16" i="13"/>
  <c r="AH16" i="13"/>
  <c r="AC16" i="13"/>
  <c r="AA18" i="13" s="1"/>
  <c r="AM16" i="13"/>
  <c r="AK18" i="13" s="1"/>
  <c r="AN11" i="13" l="1"/>
  <c r="AZ11" i="13"/>
  <c r="AZ14" i="13"/>
  <c r="AZ12" i="13"/>
  <c r="AZ13" i="13"/>
  <c r="AN12" i="13"/>
  <c r="AN13" i="13"/>
  <c r="AN14" i="13"/>
  <c r="AD14" i="13"/>
  <c r="AD11" i="13"/>
  <c r="AD12" i="13"/>
  <c r="AD13" i="13"/>
  <c r="AN16" i="13" l="1"/>
  <c r="AZ16" i="13"/>
  <c r="AW19" i="13" s="1"/>
  <c r="AW20" i="13" s="1"/>
  <c r="AQ31" i="13" s="1"/>
  <c r="AK19" i="13"/>
  <c r="AK20" i="13" s="1"/>
  <c r="AG31" i="13" s="1"/>
  <c r="AD16" i="13"/>
  <c r="AA19" i="13" s="1"/>
  <c r="AA20" i="13" s="1"/>
  <c r="U25" i="13" s="1"/>
  <c r="AL15" i="12"/>
  <c r="AL14" i="12"/>
  <c r="AL13" i="12"/>
  <c r="AL12" i="12"/>
  <c r="AL11" i="12"/>
  <c r="AI39" i="12"/>
  <c r="AI38" i="12"/>
  <c r="AI36" i="12"/>
  <c r="AI33" i="12"/>
  <c r="AI32" i="12"/>
  <c r="AI31" i="12"/>
  <c r="AI30" i="12"/>
  <c r="AI29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I19" i="12"/>
  <c r="AI34" i="12" s="1"/>
  <c r="AR39" i="12"/>
  <c r="AR38" i="12"/>
  <c r="AR35" i="12"/>
  <c r="AR34" i="12"/>
  <c r="AR33" i="12"/>
  <c r="AR32" i="12"/>
  <c r="AR31" i="12"/>
  <c r="AR30" i="12"/>
  <c r="AR29" i="12"/>
  <c r="AR19" i="12"/>
  <c r="AR36" i="12" s="1"/>
  <c r="AX27" i="12"/>
  <c r="AR40" i="12"/>
  <c r="AO27" i="12"/>
  <c r="AZ17" i="12"/>
  <c r="AL17" i="12" l="1"/>
  <c r="AI40" i="12" l="1"/>
  <c r="AV15" i="12"/>
  <c r="AW15" i="12" s="1"/>
  <c r="AV14" i="12"/>
  <c r="AW14" i="12" s="1"/>
  <c r="AV13" i="12"/>
  <c r="AW13" i="12" s="1"/>
  <c r="AV12" i="12"/>
  <c r="AW12" i="12" s="1"/>
  <c r="AV11" i="12"/>
  <c r="AW11" i="12" s="1"/>
  <c r="AM15" i="12"/>
  <c r="AN15" i="12" s="1"/>
  <c r="AM14" i="12"/>
  <c r="AN14" i="12" s="1"/>
  <c r="AM13" i="12"/>
  <c r="AN13" i="12" s="1"/>
  <c r="AO13" i="12" s="1"/>
  <c r="AM12" i="12"/>
  <c r="AN12" i="12" s="1"/>
  <c r="AM11" i="12"/>
  <c r="AN11" i="12" s="1"/>
  <c r="AQ17" i="12"/>
  <c r="BA17" i="12"/>
  <c r="AU15" i="12"/>
  <c r="AU14" i="12"/>
  <c r="AU13" i="12"/>
  <c r="AU12" i="12"/>
  <c r="AU11" i="12"/>
  <c r="AR17" i="12"/>
  <c r="AT15" i="12"/>
  <c r="AT14" i="12"/>
  <c r="AT13" i="12"/>
  <c r="AT12" i="12"/>
  <c r="AT11" i="12"/>
  <c r="P15" i="12"/>
  <c r="P14" i="12"/>
  <c r="P13" i="12"/>
  <c r="P12" i="12"/>
  <c r="P11" i="12"/>
  <c r="O15" i="12"/>
  <c r="O14" i="12"/>
  <c r="O13" i="12"/>
  <c r="O12" i="12"/>
  <c r="O11" i="12"/>
  <c r="N15" i="12"/>
  <c r="N14" i="12"/>
  <c r="N13" i="12"/>
  <c r="N12" i="12"/>
  <c r="N11" i="12"/>
  <c r="M15" i="12"/>
  <c r="M14" i="12"/>
  <c r="M13" i="12"/>
  <c r="M12" i="12"/>
  <c r="M11" i="12"/>
  <c r="L15" i="12"/>
  <c r="T15" i="12" s="1"/>
  <c r="L14" i="12"/>
  <c r="T14" i="12" s="1"/>
  <c r="L13" i="12"/>
  <c r="T13" i="12" s="1"/>
  <c r="L12" i="12"/>
  <c r="T12" i="12" s="1"/>
  <c r="L11" i="12"/>
  <c r="T11" i="12" s="1"/>
  <c r="K15" i="12"/>
  <c r="K14" i="12"/>
  <c r="K13" i="12"/>
  <c r="K12" i="12"/>
  <c r="K11" i="12"/>
  <c r="J15" i="12"/>
  <c r="J14" i="12"/>
  <c r="J13" i="12"/>
  <c r="J12" i="12"/>
  <c r="J11" i="12"/>
  <c r="I15" i="12"/>
  <c r="I14" i="12"/>
  <c r="I13" i="12"/>
  <c r="I12" i="12"/>
  <c r="I11" i="12"/>
  <c r="H15" i="12"/>
  <c r="H14" i="12"/>
  <c r="H13" i="12"/>
  <c r="H12" i="12"/>
  <c r="H11" i="12"/>
  <c r="G15" i="12"/>
  <c r="G14" i="12"/>
  <c r="G13" i="12"/>
  <c r="G12" i="12"/>
  <c r="G11" i="12"/>
  <c r="F15" i="12"/>
  <c r="F14" i="12"/>
  <c r="F13" i="12"/>
  <c r="F12" i="12"/>
  <c r="F11" i="12"/>
  <c r="E15" i="12"/>
  <c r="S15" i="12" s="1"/>
  <c r="E14" i="12"/>
  <c r="S14" i="12" s="1"/>
  <c r="E13" i="12"/>
  <c r="S13" i="12" s="1"/>
  <c r="E12" i="12"/>
  <c r="S12" i="12" s="1"/>
  <c r="AK12" i="12" s="1"/>
  <c r="E11" i="12"/>
  <c r="S11" i="12" s="1"/>
  <c r="AK11" i="12" s="1"/>
  <c r="D15" i="12"/>
  <c r="D14" i="12"/>
  <c r="D13" i="12"/>
  <c r="D12" i="12"/>
  <c r="D11" i="12"/>
  <c r="C13" i="12"/>
  <c r="C15" i="12"/>
  <c r="C14" i="12"/>
  <c r="C12" i="12"/>
  <c r="C11" i="12"/>
  <c r="AO14" i="12" l="1"/>
  <c r="AO11" i="12"/>
  <c r="AO15" i="12"/>
  <c r="AO12" i="12"/>
  <c r="AU17" i="12"/>
  <c r="AR37" i="12" s="1"/>
  <c r="AT17" i="12"/>
  <c r="AR28" i="12" s="1"/>
  <c r="AI35" i="12"/>
  <c r="AO17" i="12" l="1"/>
  <c r="AI17" i="12" l="1"/>
  <c r="AK15" i="12"/>
  <c r="AK14" i="12"/>
  <c r="AK13" i="12"/>
  <c r="AJ12" i="12" l="1"/>
  <c r="AO19" i="12"/>
  <c r="AX12" i="12"/>
  <c r="AX14" i="12"/>
  <c r="AX13" i="12"/>
  <c r="AX15" i="12"/>
  <c r="AJ11" i="12"/>
  <c r="AS14" i="12"/>
  <c r="AS12" i="12"/>
  <c r="AS15" i="12"/>
  <c r="AS13" i="12"/>
  <c r="AS11" i="12"/>
  <c r="AS17" i="12"/>
  <c r="AK17" i="12"/>
  <c r="AI28" i="12" s="1"/>
  <c r="AJ15" i="12"/>
  <c r="AJ13" i="12"/>
  <c r="AJ17" i="12"/>
  <c r="AJ14" i="12"/>
  <c r="AX11" i="12" l="1"/>
  <c r="AX17" i="12" s="1"/>
  <c r="AX19" i="12" s="1"/>
  <c r="AY11" i="12" s="1"/>
  <c r="AP13" i="12"/>
  <c r="AP11" i="12"/>
  <c r="AP15" i="12"/>
  <c r="AP12" i="12"/>
  <c r="AP14" i="12"/>
  <c r="AY15" i="12" l="1"/>
  <c r="AY14" i="12"/>
  <c r="AY12" i="12"/>
  <c r="AY13" i="12"/>
  <c r="AP17" i="12"/>
  <c r="AO20" i="12" s="1"/>
  <c r="AO21" i="12" s="1"/>
  <c r="AI37" i="12" s="1"/>
  <c r="AY17" i="12" l="1"/>
  <c r="AX20" i="12" s="1"/>
  <c r="AX21" i="12" s="1"/>
</calcChain>
</file>

<file path=xl/comments1.xml><?xml version="1.0" encoding="utf-8"?>
<comments xmlns="http://schemas.openxmlformats.org/spreadsheetml/2006/main">
  <authors>
    <author>rvalliant</author>
  </authors>
  <commentList>
    <comment ref="AQ17" authorId="0" shapeId="0">
      <text>
        <r>
          <rPr>
            <b/>
            <sz val="9"/>
            <color indexed="81"/>
            <rFont val="Tahoma"/>
            <family val="2"/>
          </rPr>
          <t>rvalliant:</t>
        </r>
        <r>
          <rPr>
            <sz val="9"/>
            <color indexed="81"/>
            <rFont val="Tahoma"/>
            <family val="2"/>
          </rPr>
          <t xml:space="preserve">
Why so small? ~114M HUs nationally
</t>
        </r>
      </text>
    </comment>
  </commentList>
</comments>
</file>

<file path=xl/comments2.xml><?xml version="1.0" encoding="utf-8"?>
<comments xmlns="http://schemas.openxmlformats.org/spreadsheetml/2006/main">
  <authors>
    <author>rvalliant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rvalliant:</t>
        </r>
        <r>
          <rPr>
            <sz val="9"/>
            <color indexed="81"/>
            <rFont val="Tahoma"/>
            <family val="2"/>
          </rPr>
          <t xml:space="preserve">
proportions are from "MSG NSFG Data Match weighted_v6_part1.xlsx"$"HH by age"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rvalliant:</t>
        </r>
        <r>
          <rPr>
            <sz val="9"/>
            <color indexed="81"/>
            <rFont val="Tahoma"/>
            <family val="2"/>
          </rPr>
          <t xml:space="preserve">
Avgs are from MSG NSFG Data Match weighted_v6_part1.xlsx$"Avg_person_perHH_byAge"</t>
        </r>
      </text>
    </comment>
  </commentList>
</comments>
</file>

<file path=xl/sharedStrings.xml><?xml version="1.0" encoding="utf-8"?>
<sst xmlns="http://schemas.openxmlformats.org/spreadsheetml/2006/main" count="270" uniqueCount="106">
  <si>
    <t>MSG stratum</t>
  </si>
  <si>
    <t>Total</t>
  </si>
  <si>
    <t>Optimal sampling rate</t>
  </si>
  <si>
    <t>Estimated national counts of HUs</t>
  </si>
  <si>
    <t>nh (HUs)</t>
  </si>
  <si>
    <t>Counts of HUs based on MSG data</t>
  </si>
  <si>
    <t>2010 &amp; 2011 combined</t>
  </si>
  <si>
    <t>Proportion of sample HUs</t>
  </si>
  <si>
    <t>Weight for each HH in stratum</t>
  </si>
  <si>
    <t>nh*wh</t>
  </si>
  <si>
    <t>Mean weight</t>
  </si>
  <si>
    <t>nh*(wh-wbar)^2</t>
  </si>
  <si>
    <t>1 + relvar(w)</t>
  </si>
  <si>
    <t>c(S+I)</t>
  </si>
  <si>
    <t>c(S)</t>
  </si>
  <si>
    <t>P(hd)*c(S+I) + (1-P(hD))*c(S)</t>
  </si>
  <si>
    <t>Expected cost</t>
  </si>
  <si>
    <t>Goal: minimize total cost needed to hit target nos. of eligible HUs in 4 domains</t>
  </si>
  <si>
    <t>Sources:</t>
  </si>
  <si>
    <t>No. of eligible persons as found in NSFG screener</t>
  </si>
  <si>
    <t>MSG NSFG Data Match weighted_v3$"HH by age"</t>
  </si>
  <si>
    <t xml:space="preserve">Nonlinear programming solution for sampling rates in 5 MSG strata </t>
  </si>
  <si>
    <t>No MSG record</t>
  </si>
  <si>
    <t>MSG has record; 0 persons in age group</t>
  </si>
  <si>
    <t>MSG has record; 1 persons in age group</t>
  </si>
  <si>
    <t>MSG has record; 2 persons in age group</t>
  </si>
  <si>
    <t>MSG has record; no age info</t>
  </si>
  <si>
    <t>18-24</t>
  </si>
  <si>
    <t>85plus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</si>
  <si>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</si>
  <si>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</si>
  <si>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</si>
  <si>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</si>
  <si>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</si>
  <si>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</si>
  <si>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</si>
  <si>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</si>
  <si>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</si>
  <si>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</si>
  <si>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</si>
  <si>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</si>
  <si>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Expected number of persons in age group based on NSFG responses to screener</t>
  </si>
  <si>
    <t>Proportion of HUs with 1+ persons in the age range based on NSFG screener</t>
  </si>
  <si>
    <t>MSG NSFG Data Match weighted_v3$"Avg_person_perHH_byAge"</t>
  </si>
  <si>
    <t>Exp. no. of sample persons</t>
  </si>
  <si>
    <t>Variance of weights</t>
  </si>
  <si>
    <t>Target no. of persons</t>
  </si>
  <si>
    <t>Bound on deff(w)</t>
  </si>
  <si>
    <t>min sample size</t>
  </si>
  <si>
    <t>Sample allocation 65-69</t>
  </si>
  <si>
    <t>Hours (based on $17/hr)</t>
  </si>
  <si>
    <t>Total field budget</t>
  </si>
  <si>
    <t>min sam size</t>
  </si>
  <si>
    <t>Solution for 18-24</t>
  </si>
  <si>
    <t>Solution for 65-69</t>
  </si>
  <si>
    <t>Sample allocation 30-34</t>
  </si>
  <si>
    <t>MSG has record; 1+ persons in age group</t>
  </si>
  <si>
    <t>National % of HUs</t>
  </si>
  <si>
    <t>No. of equal prob HUs to obtain target persons</t>
  </si>
  <si>
    <t>Target no. of persons (equal prob sample)</t>
  </si>
  <si>
    <t>Target no. of persons (adj for wt'ing deff)</t>
  </si>
  <si>
    <t>Ratio optimal solution to equal prob sample size</t>
  </si>
  <si>
    <t>45-64</t>
  </si>
  <si>
    <t>18-44</t>
  </si>
  <si>
    <t>65+</t>
  </si>
  <si>
    <t>No. of households</t>
  </si>
  <si>
    <t>Sample allocation 18-44</t>
  </si>
  <si>
    <t>Sample allocation 45-64</t>
  </si>
  <si>
    <t>Sample allocation 65+</t>
  </si>
  <si>
    <t>Solution for 18-44</t>
  </si>
  <si>
    <t>Solution for 45-64</t>
  </si>
  <si>
    <t>Solution for 65+</t>
  </si>
  <si>
    <t>Expected cost (hours)</t>
  </si>
  <si>
    <t>MSG NSFG Data Match weighted_v6_part1.xlsx$"HH by age"</t>
  </si>
  <si>
    <t>No. of eligible persons per HU as found in NSFG screener</t>
  </si>
  <si>
    <t>MSG NSFG Data Match weighted_v6_part1.xlsx$"Avg_person_perHH_byAge"</t>
  </si>
  <si>
    <t>Expected cost for equal prob sample:</t>
  </si>
  <si>
    <t>h</t>
  </si>
  <si>
    <t>Ratio (NLP cost)/(eqprob cost)</t>
  </si>
  <si>
    <t>National % of HUs Wh</t>
  </si>
  <si>
    <t>n*sum[ch(D)*Wh]</t>
  </si>
  <si>
    <t>ch = P(hd)*c(S+I) + (1-P(hD))*c(S)</t>
  </si>
  <si>
    <t>Wh</t>
  </si>
  <si>
    <t>ch*Wh</t>
  </si>
  <si>
    <t>ch</t>
  </si>
  <si>
    <t>n*sum[ch*Wh]</t>
  </si>
  <si>
    <t>Eligible nh    nh*wh</t>
  </si>
  <si>
    <t>Eligible nh                  nh*(wh-wbar)^2</t>
  </si>
  <si>
    <t>Ratio of smallest weight to largest weight</t>
  </si>
  <si>
    <t>Ratio NLP/(eq prob) sample sizes</t>
  </si>
  <si>
    <t>Expected inv cost</t>
  </si>
  <si>
    <t>Expected screening cost</t>
  </si>
  <si>
    <t>Type of cost</t>
  </si>
  <si>
    <t>NLP</t>
  </si>
  <si>
    <t>Equal probability</t>
  </si>
  <si>
    <t>Screening</t>
  </si>
  <si>
    <t>Interviewing</t>
  </si>
  <si>
    <t>Total cost</t>
  </si>
  <si>
    <t>nh</t>
  </si>
  <si>
    <t>Expected no. of eligible HUs</t>
  </si>
  <si>
    <t>Ratio of NLP to eq prob cost</t>
  </si>
  <si>
    <t>Summary of sample sizes and costs for 18-44 and 65+</t>
  </si>
  <si>
    <t>Age subgroup</t>
  </si>
  <si>
    <t>HU sample sizes</t>
  </si>
  <si>
    <t>Expected costs</t>
  </si>
  <si>
    <t>Ratio of NLP to equal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</si>
</sst>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00_);_(* \(#,##0.0000000\);_(* &quot;-&quot;??_);_(@_)"/>
    <numFmt numFmtId="167" formatCode="0.0"/>
    <numFmt numFmtId="168" formatCode="_(&quot;$&quot;* #,##0_);_(&quot;$&quot;* \(#,##0\);_(&quot;$&quot;* &quot;-&quot;??_);_(@_)"/>
    <numFmt numFmtId="169" formatCode="0.0%"/>
    <numFmt numFmtId="170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1" applyNumberFormat="1" applyFont="1"/>
    <xf numFmtId="0" fontId="3" fillId="0" borderId="0" xfId="0" applyFont="1" applyBorder="1"/>
    <xf numFmtId="166" fontId="3" fillId="0" borderId="0" xfId="0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6" fillId="0" borderId="0" xfId="0" applyFont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/>
    <xf numFmtId="1" fontId="3" fillId="0" borderId="6" xfId="0" applyNumberFormat="1" applyFont="1" applyBorder="1"/>
    <xf numFmtId="2" fontId="3" fillId="0" borderId="6" xfId="0" applyNumberFormat="1" applyFont="1" applyBorder="1"/>
    <xf numFmtId="165" fontId="3" fillId="0" borderId="6" xfId="1" applyNumberFormat="1" applyFont="1" applyBorder="1"/>
    <xf numFmtId="0" fontId="3" fillId="0" borderId="7" xfId="0" applyFont="1" applyBorder="1"/>
    <xf numFmtId="1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8" fillId="0" borderId="0" xfId="0" applyFont="1"/>
    <xf numFmtId="165" fontId="3" fillId="0" borderId="0" xfId="0" applyNumberFormat="1" applyFont="1"/>
    <xf numFmtId="9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 applyBorder="1"/>
    <xf numFmtId="165" fontId="3" fillId="0" borderId="0" xfId="1" applyNumberFormat="1" applyFont="1" applyBorder="1"/>
    <xf numFmtId="0" fontId="9" fillId="0" borderId="0" xfId="0" applyFont="1"/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/>
    <xf numFmtId="2" fontId="3" fillId="0" borderId="0" xfId="0" applyNumberFormat="1" applyFont="1" applyBorder="1"/>
    <xf numFmtId="166" fontId="3" fillId="0" borderId="0" xfId="0" applyNumberFormat="1" applyFont="1" applyBorder="1"/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2" fontId="3" fillId="0" borderId="1" xfId="0" applyNumberFormat="1" applyFont="1" applyBorder="1"/>
    <xf numFmtId="2" fontId="3" fillId="0" borderId="10" xfId="0" applyNumberFormat="1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wrapText="1"/>
    </xf>
    <xf numFmtId="1" fontId="3" fillId="0" borderId="1" xfId="0" applyNumberFormat="1" applyFont="1" applyBorder="1"/>
    <xf numFmtId="1" fontId="3" fillId="0" borderId="7" xfId="0" applyNumberFormat="1" applyFont="1" applyBorder="1"/>
    <xf numFmtId="165" fontId="3" fillId="0" borderId="1" xfId="1" applyNumberFormat="1" applyFont="1" applyBorder="1"/>
    <xf numFmtId="165" fontId="3" fillId="0" borderId="7" xfId="1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0" applyNumberFormat="1" applyFont="1"/>
    <xf numFmtId="1" fontId="3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 vertical="center" wrapText="1"/>
    </xf>
    <xf numFmtId="167" fontId="10" fillId="2" borderId="0" xfId="0" applyNumberFormat="1" applyFont="1" applyFill="1" applyBorder="1" applyAlignment="1">
      <alignment horizontal="right" vertical="center" wrapText="1"/>
    </xf>
    <xf numFmtId="3" fontId="10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8" fontId="3" fillId="0" borderId="0" xfId="3" applyNumberFormat="1" applyFo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Alignment="1">
      <alignment horizontal="center"/>
    </xf>
    <xf numFmtId="1" fontId="3" fillId="0" borderId="13" xfId="0" applyNumberFormat="1" applyFont="1" applyBorder="1"/>
    <xf numFmtId="1" fontId="3" fillId="0" borderId="14" xfId="0" applyNumberFormat="1" applyFont="1" applyBorder="1"/>
    <xf numFmtId="0" fontId="3" fillId="0" borderId="14" xfId="0" applyFont="1" applyBorder="1"/>
    <xf numFmtId="0" fontId="3" fillId="0" borderId="15" xfId="0" applyFont="1" applyBorder="1"/>
    <xf numFmtId="1" fontId="11" fillId="0" borderId="1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169" fontId="3" fillId="0" borderId="0" xfId="2" applyNumberFormat="1" applyFont="1" applyBorder="1"/>
    <xf numFmtId="169" fontId="3" fillId="0" borderId="8" xfId="2" applyNumberFormat="1" applyFont="1" applyBorder="1"/>
    <xf numFmtId="169" fontId="3" fillId="0" borderId="0" xfId="2" applyNumberFormat="1" applyFont="1"/>
    <xf numFmtId="3" fontId="3" fillId="0" borderId="0" xfId="0" applyNumberFormat="1" applyFont="1" applyBorder="1"/>
    <xf numFmtId="1" fontId="11" fillId="0" borderId="16" xfId="0" applyNumberFormat="1" applyFont="1" applyBorder="1" applyAlignment="1">
      <alignment horizontal="center"/>
    </xf>
    <xf numFmtId="9" fontId="3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65" fontId="3" fillId="0" borderId="6" xfId="0" applyNumberFormat="1" applyFont="1" applyBorder="1"/>
    <xf numFmtId="165" fontId="3" fillId="0" borderId="0" xfId="0" applyNumberFormat="1" applyFont="1" applyBorder="1"/>
    <xf numFmtId="4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0" fillId="0" borderId="0" xfId="0" applyFill="1" applyBorder="1"/>
    <xf numFmtId="0" fontId="10" fillId="0" borderId="0" xfId="0" applyFont="1" applyFill="1" applyBorder="1" applyAlignment="1">
      <alignment vertical="center" wrapText="1"/>
    </xf>
    <xf numFmtId="164" fontId="0" fillId="0" borderId="0" xfId="0" applyNumberFormat="1" applyFill="1" applyBorder="1"/>
    <xf numFmtId="0" fontId="12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/>
    <xf numFmtId="167" fontId="10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wrapText="1"/>
    </xf>
    <xf numFmtId="0" fontId="3" fillId="0" borderId="6" xfId="0" applyFont="1" applyBorder="1" applyAlignment="1">
      <alignment wrapText="1"/>
    </xf>
    <xf numFmtId="164" fontId="0" fillId="0" borderId="0" xfId="0" applyNumberFormat="1" applyFill="1"/>
    <xf numFmtId="0" fontId="0" fillId="0" borderId="0" xfId="0" applyFill="1" applyBorder="1" applyAlignment="1">
      <alignment vertical="top" wrapText="1"/>
    </xf>
    <xf numFmtId="164" fontId="0" fillId="0" borderId="6" xfId="0" applyNumberFormat="1" applyFill="1" applyBorder="1"/>
    <xf numFmtId="164" fontId="0" fillId="2" borderId="6" xfId="0" applyNumberFormat="1" applyFill="1" applyBorder="1"/>
    <xf numFmtId="3" fontId="7" fillId="0" borderId="0" xfId="0" applyNumberFormat="1" applyFont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vertical="center" wrapText="1"/>
    </xf>
    <xf numFmtId="164" fontId="3" fillId="0" borderId="7" xfId="0" applyNumberFormat="1" applyFont="1" applyBorder="1"/>
    <xf numFmtId="2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3" fillId="0" borderId="0" xfId="0" applyNumberFormat="1" applyFont="1"/>
    <xf numFmtId="170" fontId="3" fillId="0" borderId="17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43" fontId="3" fillId="0" borderId="0" xfId="0" applyNumberFormat="1" applyFont="1" applyBorder="1"/>
    <xf numFmtId="167" fontId="3" fillId="0" borderId="0" xfId="0" applyNumberFormat="1" applyFont="1" applyBorder="1"/>
    <xf numFmtId="1" fontId="11" fillId="0" borderId="18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5" fontId="3" fillId="3" borderId="1" xfId="1" applyNumberFormat="1" applyFont="1" applyFill="1" applyBorder="1"/>
    <xf numFmtId="165" fontId="3" fillId="3" borderId="7" xfId="1" applyNumberFormat="1" applyFont="1" applyFill="1" applyBorder="1"/>
    <xf numFmtId="165" fontId="3" fillId="4" borderId="0" xfId="1" applyNumberFormat="1" applyFont="1" applyFill="1"/>
    <xf numFmtId="0" fontId="3" fillId="4" borderId="1" xfId="0" applyFont="1" applyFill="1" applyBorder="1" applyAlignment="1">
      <alignment horizontal="center" wrapText="1"/>
    </xf>
    <xf numFmtId="165" fontId="3" fillId="4" borderId="1" xfId="1" applyNumberFormat="1" applyFont="1" applyFill="1" applyBorder="1"/>
    <xf numFmtId="165" fontId="3" fillId="4" borderId="7" xfId="1" applyNumberFormat="1" applyFont="1" applyFill="1" applyBorder="1"/>
    <xf numFmtId="0" fontId="3" fillId="4" borderId="0" xfId="0" applyFont="1" applyFill="1" applyBorder="1" applyAlignment="1">
      <alignment horizontal="center" wrapText="1"/>
    </xf>
    <xf numFmtId="165" fontId="3" fillId="4" borderId="0" xfId="1" applyNumberFormat="1" applyFont="1" applyFill="1" applyBorder="1"/>
    <xf numFmtId="165" fontId="3" fillId="4" borderId="6" xfId="1" applyNumberFormat="1" applyFont="1" applyFill="1" applyBorder="1"/>
    <xf numFmtId="0" fontId="14" fillId="0" borderId="0" xfId="0" applyFont="1"/>
    <xf numFmtId="0" fontId="3" fillId="0" borderId="2" xfId="0" applyFont="1" applyBorder="1"/>
    <xf numFmtId="165" fontId="3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70" fontId="3" fillId="0" borderId="2" xfId="0" applyNumberFormat="1" applyFont="1" applyBorder="1" applyAlignment="1">
      <alignment horizontal="right"/>
    </xf>
    <xf numFmtId="165" fontId="3" fillId="0" borderId="2" xfId="1" applyNumberFormat="1" applyFont="1" applyBorder="1"/>
    <xf numFmtId="0" fontId="3" fillId="0" borderId="2" xfId="0" applyFont="1" applyBorder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2" xfId="0" applyFont="1" applyBorder="1"/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2" fontId="15" fillId="0" borderId="0" xfId="0" applyNumberFormat="1" applyFont="1"/>
    <xf numFmtId="0" fontId="15" fillId="0" borderId="0" xfId="0" applyFont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43" fontId="3" fillId="0" borderId="0" xfId="1" applyNumberFormat="1" applyFont="1"/>
    <xf numFmtId="165" fontId="15" fillId="0" borderId="0" xfId="1" applyNumberFormat="1" applyFont="1"/>
    <xf numFmtId="165" fontId="15" fillId="0" borderId="0" xfId="1" applyNumberFormat="1" applyFont="1" applyBorder="1"/>
    <xf numFmtId="165" fontId="15" fillId="0" borderId="0" xfId="1" applyNumberFormat="1" applyFont="1" applyBorder="1" applyAlignment="1">
      <alignment wrapText="1"/>
    </xf>
    <xf numFmtId="165" fontId="15" fillId="0" borderId="2" xfId="1" applyNumberFormat="1" applyFont="1" applyBorder="1"/>
    <xf numFmtId="2" fontId="15" fillId="0" borderId="2" xfId="0" applyNumberFormat="1" applyFont="1" applyBorder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165" fontId="15" fillId="0" borderId="0" xfId="1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E44"/>
  <sheetViews>
    <sheetView workbookViewId="0">
      <selection activeCell="N30" sqref="N30"/>
    </sheetView>
  </sheetViews>
  <sheetFormatPr defaultRowHeight="12.75" x14ac:dyDescent="0.2"/>
  <cols>
    <col min="1" max="1" width="9.140625" style="2"/>
    <col min="2" max="2" width="32.140625" style="2" customWidth="1"/>
    <col min="3" max="3" width="7" style="2" customWidth="1"/>
    <col min="4" max="4" width="7.42578125" style="2" customWidth="1"/>
    <col min="5" max="16" width="6.85546875" style="2" customWidth="1"/>
    <col min="17" max="17" width="5.7109375" style="2" customWidth="1"/>
    <col min="18" max="18" width="6.7109375" style="2" customWidth="1"/>
    <col min="19" max="20" width="5.5703125" style="2" bestFit="1" customWidth="1"/>
    <col min="21" max="30" width="7.42578125" style="2" customWidth="1"/>
    <col min="31" max="34" width="7.42578125" style="2" hidden="1" customWidth="1"/>
    <col min="35" max="35" width="7.7109375" style="2" bestFit="1" customWidth="1"/>
    <col min="36" max="36" width="10.28515625" style="2" customWidth="1"/>
    <col min="37" max="37" width="7.85546875" style="2" customWidth="1"/>
    <col min="38" max="38" width="9.5703125" style="2" customWidth="1"/>
    <col min="39" max="39" width="10.5703125" style="2" bestFit="1" customWidth="1"/>
    <col min="40" max="40" width="9.5703125" style="2" customWidth="1"/>
    <col min="41" max="41" width="12" style="2" bestFit="1" customWidth="1"/>
    <col min="42" max="42" width="24.140625" style="2" bestFit="1" customWidth="1"/>
    <col min="43" max="43" width="13.28515625" style="2" customWidth="1"/>
    <col min="44" max="49" width="10.28515625" style="2" customWidth="1"/>
    <col min="50" max="50" width="19.140625" style="2" bestFit="1" customWidth="1"/>
    <col min="51" max="51" width="24.140625" style="2" bestFit="1" customWidth="1"/>
    <col min="52" max="53" width="13.28515625" style="2" customWidth="1"/>
    <col min="54" max="16384" width="9.140625" style="2"/>
  </cols>
  <sheetData>
    <row r="1" spans="1:239" x14ac:dyDescent="0.2">
      <c r="A1" s="1" t="s">
        <v>21</v>
      </c>
    </row>
    <row r="2" spans="1:239" x14ac:dyDescent="0.2">
      <c r="A2" s="2" t="s">
        <v>17</v>
      </c>
    </row>
    <row r="4" spans="1:239" x14ac:dyDescent="0.2">
      <c r="A4" s="25" t="s">
        <v>18</v>
      </c>
      <c r="B4" s="2" t="s">
        <v>19</v>
      </c>
      <c r="D4" s="32" t="s">
        <v>43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x14ac:dyDescent="0.2">
      <c r="A5" s="25"/>
      <c r="B5" s="2" t="s">
        <v>42</v>
      </c>
      <c r="D5" s="32" t="s">
        <v>20</v>
      </c>
    </row>
    <row r="8" spans="1:239" s="4" customFormat="1" ht="81" customHeight="1" x14ac:dyDescent="0.2">
      <c r="A8" s="23"/>
      <c r="B8" s="23" t="s">
        <v>0</v>
      </c>
      <c r="C8" s="159" t="s">
        <v>42</v>
      </c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41"/>
      <c r="R8" s="51"/>
      <c r="S8" s="158" t="s">
        <v>15</v>
      </c>
      <c r="T8" s="160"/>
      <c r="U8" s="158" t="s">
        <v>41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61" t="s">
        <v>55</v>
      </c>
      <c r="AJ8" s="162"/>
      <c r="AK8" s="162"/>
      <c r="AL8" s="162"/>
      <c r="AM8" s="162"/>
      <c r="AN8" s="162"/>
      <c r="AO8" s="162"/>
      <c r="AP8" s="162"/>
      <c r="AQ8" s="163"/>
      <c r="AR8" s="161" t="s">
        <v>49</v>
      </c>
      <c r="AS8" s="162"/>
      <c r="AT8" s="162"/>
      <c r="AU8" s="162"/>
      <c r="AV8" s="162"/>
      <c r="AW8" s="162"/>
      <c r="AX8" s="162"/>
      <c r="AY8" s="162"/>
      <c r="AZ8" s="163"/>
      <c r="BA8" s="34" t="s">
        <v>5</v>
      </c>
    </row>
    <row r="9" spans="1:239" s="4" customFormat="1" ht="38.25" customHeight="1" x14ac:dyDescent="0.2">
      <c r="A9" s="24"/>
      <c r="B9" s="24"/>
      <c r="C9" s="33" t="s">
        <v>27</v>
      </c>
      <c r="D9" s="33" t="s">
        <v>29</v>
      </c>
      <c r="E9" s="33" t="s">
        <v>30</v>
      </c>
      <c r="F9" s="33" t="s">
        <v>31</v>
      </c>
      <c r="G9" s="33" t="s">
        <v>32</v>
      </c>
      <c r="H9" s="33" t="s">
        <v>33</v>
      </c>
      <c r="I9" s="33" t="s">
        <v>34</v>
      </c>
      <c r="J9" s="33" t="s">
        <v>35</v>
      </c>
      <c r="K9" s="33" t="s">
        <v>36</v>
      </c>
      <c r="L9" s="33" t="s">
        <v>37</v>
      </c>
      <c r="M9" s="33" t="s">
        <v>38</v>
      </c>
      <c r="N9" s="33" t="s">
        <v>39</v>
      </c>
      <c r="O9" s="33" t="s">
        <v>40</v>
      </c>
      <c r="P9" s="33" t="s">
        <v>28</v>
      </c>
      <c r="Q9" s="24" t="s">
        <v>14</v>
      </c>
      <c r="R9" s="24" t="s">
        <v>13</v>
      </c>
      <c r="S9" s="35" t="s">
        <v>30</v>
      </c>
      <c r="T9" s="45" t="s">
        <v>37</v>
      </c>
      <c r="U9" s="35" t="s">
        <v>27</v>
      </c>
      <c r="V9" s="33" t="s">
        <v>29</v>
      </c>
      <c r="W9" s="33" t="s">
        <v>30</v>
      </c>
      <c r="X9" s="33" t="s">
        <v>31</v>
      </c>
      <c r="Y9" s="33" t="s">
        <v>32</v>
      </c>
      <c r="Z9" s="33" t="s">
        <v>33</v>
      </c>
      <c r="AA9" s="33" t="s">
        <v>34</v>
      </c>
      <c r="AB9" s="33" t="s">
        <v>35</v>
      </c>
      <c r="AC9" s="33" t="s">
        <v>36</v>
      </c>
      <c r="AD9" s="33" t="s">
        <v>37</v>
      </c>
      <c r="AE9" s="33" t="s">
        <v>38</v>
      </c>
      <c r="AF9" s="33" t="s">
        <v>39</v>
      </c>
      <c r="AG9" s="33" t="s">
        <v>40</v>
      </c>
      <c r="AH9" s="33" t="s">
        <v>28</v>
      </c>
      <c r="AI9" s="35" t="s">
        <v>4</v>
      </c>
      <c r="AJ9" s="24" t="s">
        <v>7</v>
      </c>
      <c r="AK9" s="24" t="s">
        <v>16</v>
      </c>
      <c r="AL9" s="33" t="s">
        <v>44</v>
      </c>
      <c r="AM9" s="33" t="s">
        <v>2</v>
      </c>
      <c r="AN9" s="33" t="s">
        <v>8</v>
      </c>
      <c r="AO9" s="33" t="s">
        <v>9</v>
      </c>
      <c r="AP9" s="33" t="s">
        <v>11</v>
      </c>
      <c r="AQ9" s="24" t="s">
        <v>3</v>
      </c>
      <c r="AR9" s="35" t="s">
        <v>4</v>
      </c>
      <c r="AS9" s="33" t="s">
        <v>7</v>
      </c>
      <c r="AT9" s="33" t="s">
        <v>16</v>
      </c>
      <c r="AU9" s="33" t="s">
        <v>44</v>
      </c>
      <c r="AV9" s="33" t="s">
        <v>2</v>
      </c>
      <c r="AW9" s="33" t="s">
        <v>8</v>
      </c>
      <c r="AX9" s="33" t="s">
        <v>9</v>
      </c>
      <c r="AY9" s="33" t="s">
        <v>11</v>
      </c>
      <c r="AZ9" s="42" t="s">
        <v>3</v>
      </c>
      <c r="BA9" s="35" t="s">
        <v>6</v>
      </c>
    </row>
    <row r="10" spans="1:239" s="4" customFormat="1" x14ac:dyDescent="0.2">
      <c r="S10" s="12"/>
      <c r="T10" s="46"/>
      <c r="U10" s="12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12"/>
      <c r="AR10" s="12"/>
      <c r="AS10" s="36"/>
      <c r="AT10" s="36"/>
      <c r="AU10" s="36"/>
      <c r="AV10" s="36"/>
      <c r="AW10" s="36"/>
      <c r="AX10" s="36"/>
      <c r="BA10" s="12"/>
    </row>
    <row r="11" spans="1:239" ht="12.75" customHeight="1" x14ac:dyDescent="0.2">
      <c r="A11" s="3">
        <v>1</v>
      </c>
      <c r="B11" s="2" t="s">
        <v>23</v>
      </c>
      <c r="C11" s="43">
        <f>10.38/100</f>
        <v>0.1038</v>
      </c>
      <c r="D11" s="5">
        <f>5.17/100</f>
        <v>5.1699999999999996E-2</v>
      </c>
      <c r="E11" s="5">
        <f>4.69/100</f>
        <v>4.6900000000000004E-2</v>
      </c>
      <c r="F11" s="5">
        <f>4.56/100</f>
        <v>4.5599999999999995E-2</v>
      </c>
      <c r="G11" s="5">
        <f>3.91/100</f>
        <v>3.9100000000000003E-2</v>
      </c>
      <c r="H11" s="5">
        <f>12.2/100</f>
        <v>0.122</v>
      </c>
      <c r="I11" s="5">
        <f>5.05/100</f>
        <v>5.0499999999999996E-2</v>
      </c>
      <c r="J11" s="5">
        <f>5.14/100</f>
        <v>5.1399999999999994E-2</v>
      </c>
      <c r="K11" s="5">
        <f>3.59/100</f>
        <v>3.5900000000000001E-2</v>
      </c>
      <c r="L11" s="5">
        <f>3.57/100</f>
        <v>3.5699999999999996E-2</v>
      </c>
      <c r="M11" s="5">
        <f>2.05/100</f>
        <v>2.0499999999999997E-2</v>
      </c>
      <c r="N11" s="5">
        <f>1.88/100</f>
        <v>1.8799999999999997E-2</v>
      </c>
      <c r="O11" s="5">
        <f>1.07/100</f>
        <v>1.0700000000000001E-2</v>
      </c>
      <c r="P11" s="5">
        <f>1.25/100</f>
        <v>1.2500000000000001E-2</v>
      </c>
      <c r="Q11" s="2">
        <v>3</v>
      </c>
      <c r="R11" s="2">
        <v>10</v>
      </c>
      <c r="S11" s="47">
        <f>E11*R11+(1-E11)*Q11</f>
        <v>3.3282999999999996</v>
      </c>
      <c r="T11" s="48">
        <f>L11*R11+(1-L11)*Q11</f>
        <v>3.2499000000000002</v>
      </c>
      <c r="U11" s="44">
        <v>0.13299605024840033</v>
      </c>
      <c r="V11" s="30">
        <v>6.0550276985016881E-2</v>
      </c>
      <c r="W11" s="30">
        <v>5.4002698561859998E-2</v>
      </c>
      <c r="X11" s="30">
        <v>5.0358959421872962E-2</v>
      </c>
      <c r="Y11" s="30">
        <v>4.2844733084238334E-2</v>
      </c>
      <c r="Z11" s="30">
        <v>0.16099483783877486</v>
      </c>
      <c r="AA11" s="30">
        <v>5.66228944137264E-2</v>
      </c>
      <c r="AB11" s="30">
        <v>5.6880875617286761E-2</v>
      </c>
      <c r="AC11" s="30">
        <v>3.9846679654396998E-2</v>
      </c>
      <c r="AD11" s="30">
        <v>3.9024659049924366E-2</v>
      </c>
      <c r="AE11" s="30">
        <v>2.1790163432517135E-2</v>
      </c>
      <c r="AF11" s="30">
        <v>2.0170005689759154E-2</v>
      </c>
      <c r="AG11" s="30">
        <v>1.135849644699417E-2</v>
      </c>
      <c r="AH11" s="30">
        <v>1.3150907410502654E-2</v>
      </c>
      <c r="AI11" s="52">
        <v>499.99955331567958</v>
      </c>
      <c r="AJ11" s="6">
        <f>AI11/$AI$17</f>
        <v>0.15195123479242778</v>
      </c>
      <c r="AK11" s="9">
        <f>AI11*S11</f>
        <v>1664.148513300576</v>
      </c>
      <c r="AL11" s="9">
        <f>AI11*W11</f>
        <v>27.001325158771291</v>
      </c>
      <c r="AM11" s="11">
        <f>AI11/AQ11</f>
        <v>2.4485776362178237E-5</v>
      </c>
      <c r="AN11" s="9">
        <f>1/AM11</f>
        <v>40840.036485207886</v>
      </c>
      <c r="AO11" s="9">
        <f>AI11*AN11</f>
        <v>20420000</v>
      </c>
      <c r="AP11" s="9">
        <f>AI11*(AN11-$AO$19)^2</f>
        <v>431724914142.54126</v>
      </c>
      <c r="AQ11" s="31">
        <v>20420000</v>
      </c>
      <c r="AR11" s="52">
        <v>1262.7747899728797</v>
      </c>
      <c r="AS11" s="39">
        <f>AR11/$AI$17</f>
        <v>0.38376072004204836</v>
      </c>
      <c r="AT11" s="38">
        <f>AR11*V11</f>
        <v>76.461363302554389</v>
      </c>
      <c r="AU11" s="38">
        <f>AR11*AD11</f>
        <v>49.279355635531481</v>
      </c>
      <c r="AV11" s="40">
        <f>AR11/AQ11</f>
        <v>6.1840097452148853E-5</v>
      </c>
      <c r="AW11" s="38">
        <f>1/AV11</f>
        <v>16170.73777695432</v>
      </c>
      <c r="AX11" s="31">
        <f>AR11*AW11</f>
        <v>20420000.000000004</v>
      </c>
      <c r="AY11" s="9">
        <f>AR11*(AW11-$AX$19)^2</f>
        <v>85473060141.405624</v>
      </c>
      <c r="AZ11" s="31">
        <v>19190000</v>
      </c>
      <c r="BA11" s="54"/>
    </row>
    <row r="12" spans="1:239" x14ac:dyDescent="0.2">
      <c r="A12" s="3">
        <v>2</v>
      </c>
      <c r="B12" s="2" t="s">
        <v>24</v>
      </c>
      <c r="C12" s="43">
        <f>39.28/100</f>
        <v>0.39280000000000004</v>
      </c>
      <c r="D12" s="5">
        <f>43.5/100</f>
        <v>0.435</v>
      </c>
      <c r="E12" s="5">
        <f>45.04/100</f>
        <v>0.45039999999999997</v>
      </c>
      <c r="F12" s="5">
        <f>48.4/100</f>
        <v>0.48399999999999999</v>
      </c>
      <c r="G12" s="5">
        <f>44.46/100</f>
        <v>0.4446</v>
      </c>
      <c r="H12" s="5">
        <f>59.16/100</f>
        <v>0.59160000000000001</v>
      </c>
      <c r="I12" s="5">
        <f>51.22/100</f>
        <v>0.51219999999999999</v>
      </c>
      <c r="J12" s="5">
        <f>54.66/100</f>
        <v>0.54659999999999997</v>
      </c>
      <c r="K12" s="5">
        <f>50.4/100</f>
        <v>0.504</v>
      </c>
      <c r="L12" s="5">
        <f>52.59/100</f>
        <v>0.52590000000000003</v>
      </c>
      <c r="M12" s="5">
        <f>53.68/100</f>
        <v>0.53679999999999994</v>
      </c>
      <c r="N12" s="5">
        <f>52.83/100</f>
        <v>0.52829999999999999</v>
      </c>
      <c r="O12" s="5">
        <f>51.74/100</f>
        <v>0.51739999999999997</v>
      </c>
      <c r="P12" s="5">
        <f>45.93/100</f>
        <v>0.45929999999999999</v>
      </c>
      <c r="Q12" s="2">
        <v>3</v>
      </c>
      <c r="R12" s="2">
        <v>10</v>
      </c>
      <c r="S12" s="47">
        <f t="shared" ref="S12:S15" si="0">E12*R12+(1-E12)*Q12</f>
        <v>6.1528</v>
      </c>
      <c r="T12" s="48">
        <f t="shared" ref="T12:T14" si="1">L12*R12+(1-L12)*Q12</f>
        <v>6.6813000000000002</v>
      </c>
      <c r="U12" s="44">
        <v>0.54935181729922367</v>
      </c>
      <c r="V12" s="30">
        <v>0.57795959110900474</v>
      </c>
      <c r="W12" s="30">
        <v>0.58390799089057432</v>
      </c>
      <c r="X12" s="30">
        <v>0.58478283394051134</v>
      </c>
      <c r="Y12" s="30">
        <v>0.51825602873226573</v>
      </c>
      <c r="Z12" s="30">
        <v>0.72285105421332208</v>
      </c>
      <c r="AA12" s="30">
        <v>0.58861395367885405</v>
      </c>
      <c r="AB12" s="30">
        <v>0.62521827347164405</v>
      </c>
      <c r="AC12" s="30">
        <v>0.55308637664439675</v>
      </c>
      <c r="AD12" s="30">
        <v>0.61389311579932937</v>
      </c>
      <c r="AE12" s="30">
        <v>0.58974248589793477</v>
      </c>
      <c r="AF12" s="30">
        <v>0.57546546476661276</v>
      </c>
      <c r="AG12" s="30">
        <v>0.56265049985988869</v>
      </c>
      <c r="AH12" s="30">
        <v>0.49087991640428363</v>
      </c>
      <c r="AI12" s="52">
        <v>499.99992314796089</v>
      </c>
      <c r="AJ12" s="6">
        <f>AI12/$AI$17</f>
        <v>0.15195134718547182</v>
      </c>
      <c r="AK12" s="9">
        <f>AI12*S12</f>
        <v>3076.3995271447739</v>
      </c>
      <c r="AL12" s="9">
        <f>AI12*W12</f>
        <v>291.9539505707674</v>
      </c>
      <c r="AM12" s="11">
        <f>AI12/AQ12</f>
        <v>7.2486448387895468E-4</v>
      </c>
      <c r="AN12" s="9">
        <f t="shared" ref="AN12:AN15" si="2">1/AM12</f>
        <v>1379.5682120452605</v>
      </c>
      <c r="AO12" s="9">
        <f t="shared" ref="AO12:AO15" si="3">AI12*AN12</f>
        <v>689784</v>
      </c>
      <c r="AP12" s="9">
        <f t="shared" ref="AP12:AP15" si="4">AI12*(AN12-$AO$19)^2</f>
        <v>50762258866.766525</v>
      </c>
      <c r="AQ12" s="31">
        <v>689784</v>
      </c>
      <c r="AR12" s="52">
        <v>499.99859092123268</v>
      </c>
      <c r="AS12" s="39">
        <f>AR12/$AI$17</f>
        <v>0.15195094231811737</v>
      </c>
      <c r="AT12" s="38">
        <f>AR12*V12</f>
        <v>288.97898116391417</v>
      </c>
      <c r="AU12" s="38">
        <f t="shared" ref="AU12:AU15" si="5">AR12*AD12</f>
        <v>306.9456928759098</v>
      </c>
      <c r="AV12" s="40">
        <f>AR12/AQ12</f>
        <v>7.2486255251097832E-4</v>
      </c>
      <c r="AW12" s="38">
        <f t="shared" ref="AW12:AW15" si="6">1/AV12</f>
        <v>1379.5718878509103</v>
      </c>
      <c r="AX12" s="31">
        <f t="shared" ref="AX12:AX15" si="7">AR12*AW12</f>
        <v>689784</v>
      </c>
      <c r="AY12" s="9">
        <f t="shared" ref="AY12:AY15" si="8">AR12*(AW12-$AX$19)^2</f>
        <v>21542810634.34222</v>
      </c>
      <c r="AZ12" s="31">
        <v>1658871</v>
      </c>
      <c r="BA12" s="54"/>
    </row>
    <row r="13" spans="1:239" x14ac:dyDescent="0.2">
      <c r="A13" s="3">
        <v>3</v>
      </c>
      <c r="B13" s="2" t="s">
        <v>25</v>
      </c>
      <c r="C13" s="43">
        <f>38.99/100</f>
        <v>0.38990000000000002</v>
      </c>
      <c r="D13" s="30">
        <f>56.69/100</f>
        <v>0.56689999999999996</v>
      </c>
      <c r="E13" s="30">
        <f>70.46/100</f>
        <v>0.70459999999999989</v>
      </c>
      <c r="F13" s="5">
        <f>58.89/100</f>
        <v>0.58889999999999998</v>
      </c>
      <c r="G13" s="5">
        <f>71.08/100</f>
        <v>0.71079999999999999</v>
      </c>
      <c r="H13" s="5">
        <f>75.19/100</f>
        <v>0.75190000000000001</v>
      </c>
      <c r="I13" s="5">
        <f>78.5/100</f>
        <v>0.78500000000000003</v>
      </c>
      <c r="J13" s="5">
        <f>67.46/100</f>
        <v>0.67459999999999998</v>
      </c>
      <c r="K13" s="5">
        <f>69.99/100</f>
        <v>0.69989999999999997</v>
      </c>
      <c r="L13" s="5">
        <f>79.54/100</f>
        <v>0.79540000000000011</v>
      </c>
      <c r="M13" s="5">
        <f>75.79/100</f>
        <v>0.75790000000000002</v>
      </c>
      <c r="N13" s="5">
        <f>58.66/100</f>
        <v>0.58660000000000001</v>
      </c>
      <c r="O13" s="5">
        <f>66.55/100</f>
        <v>0.66549999999999998</v>
      </c>
      <c r="P13" s="5">
        <f>59.53/100</f>
        <v>0.59530000000000005</v>
      </c>
      <c r="Q13" s="2">
        <v>3</v>
      </c>
      <c r="R13" s="2">
        <v>10</v>
      </c>
      <c r="S13" s="47">
        <f t="shared" si="0"/>
        <v>7.9321999999999999</v>
      </c>
      <c r="T13" s="48">
        <f t="shared" si="1"/>
        <v>8.5678000000000001</v>
      </c>
      <c r="U13" s="44">
        <v>0.44034854499057086</v>
      </c>
      <c r="V13" s="30">
        <v>0.97188782106648275</v>
      </c>
      <c r="W13" s="30">
        <v>1.2120424074441798</v>
      </c>
      <c r="X13" s="30">
        <v>1.0731915496631166</v>
      </c>
      <c r="Y13" s="30">
        <v>1.2379003805657252</v>
      </c>
      <c r="Z13" s="30">
        <v>1.3022686350033992</v>
      </c>
      <c r="AA13" s="30">
        <v>1.3422376666996361</v>
      </c>
      <c r="AB13" s="30">
        <v>1.2239061306453574</v>
      </c>
      <c r="AC13" s="30">
        <v>1.1849853649713957</v>
      </c>
      <c r="AD13" s="30">
        <v>1.4216845546262298</v>
      </c>
      <c r="AE13" s="30">
        <v>1.2258476040911404</v>
      </c>
      <c r="AF13" s="30">
        <v>0.89683737304315159</v>
      </c>
      <c r="AG13" s="30">
        <v>1.0460343264558751</v>
      </c>
      <c r="AH13" s="30">
        <v>0.86202921696264034</v>
      </c>
      <c r="AI13" s="52">
        <v>1290.5276009089696</v>
      </c>
      <c r="AJ13" s="6">
        <f>AI13/$AI$17</f>
        <v>0.39219487535825753</v>
      </c>
      <c r="AK13" s="9">
        <f>AI13*S13</f>
        <v>10236.723035930128</v>
      </c>
      <c r="AL13" s="9">
        <f>AI13*W13</f>
        <v>1564.1741802788692</v>
      </c>
      <c r="AM13" s="11">
        <f>AI13/AQ13</f>
        <v>4.0897721467563604E-2</v>
      </c>
      <c r="AN13" s="9">
        <f t="shared" si="2"/>
        <v>24.451239925263565</v>
      </c>
      <c r="AO13" s="9">
        <f t="shared" si="3"/>
        <v>31555</v>
      </c>
      <c r="AP13" s="9">
        <f t="shared" si="4"/>
        <v>168631983918.06314</v>
      </c>
      <c r="AQ13" s="31">
        <v>31555</v>
      </c>
      <c r="AR13" s="52">
        <v>1094.9651283784031</v>
      </c>
      <c r="AS13" s="39">
        <f>AR13/$AI$17</f>
        <v>0.33276290390343832</v>
      </c>
      <c r="AT13" s="38">
        <f>AR13*V13</f>
        <v>1064.1832727634676</v>
      </c>
      <c r="AU13" s="38">
        <f t="shared" si="5"/>
        <v>1556.6950108699025</v>
      </c>
      <c r="AV13" s="40">
        <f>AR13/AQ13</f>
        <v>3.4700210057943368E-2</v>
      </c>
      <c r="AW13" s="38">
        <f t="shared" si="6"/>
        <v>28.818269351400826</v>
      </c>
      <c r="AX13" s="31">
        <f t="shared" si="7"/>
        <v>31555.000000000004</v>
      </c>
      <c r="AY13" s="9">
        <f t="shared" si="8"/>
        <v>68591789757.035416</v>
      </c>
      <c r="AZ13" s="31">
        <v>287513</v>
      </c>
      <c r="BA13" s="54"/>
    </row>
    <row r="14" spans="1:239" x14ac:dyDescent="0.2">
      <c r="A14" s="3">
        <v>4</v>
      </c>
      <c r="B14" s="2" t="s">
        <v>26</v>
      </c>
      <c r="C14" s="69">
        <f>12.85/100</f>
        <v>0.1285</v>
      </c>
      <c r="D14" s="30">
        <f>12.83/100</f>
        <v>0.1283</v>
      </c>
      <c r="E14" s="30">
        <f>11.82/100</f>
        <v>0.1182</v>
      </c>
      <c r="F14" s="5">
        <f>9.86/100</f>
        <v>9.8599999999999993E-2</v>
      </c>
      <c r="G14" s="5">
        <f>9.29/100</f>
        <v>9.2899999999999996E-2</v>
      </c>
      <c r="H14" s="5">
        <f>14.09/100</f>
        <v>0.1409</v>
      </c>
      <c r="I14" s="5">
        <f>8.7/100</f>
        <v>8.6999999999999994E-2</v>
      </c>
      <c r="J14" s="5">
        <f>6.5/100</f>
        <v>6.5000000000000002E-2</v>
      </c>
      <c r="K14" s="5">
        <f>6.07/100</f>
        <v>6.0700000000000004E-2</v>
      </c>
      <c r="L14" s="5">
        <f>4.57/100</f>
        <v>4.5700000000000005E-2</v>
      </c>
      <c r="M14" s="5">
        <f>3.9/100</f>
        <v>3.9E-2</v>
      </c>
      <c r="N14" s="5">
        <f>2.08/100</f>
        <v>2.0799999999999999E-2</v>
      </c>
      <c r="O14" s="5">
        <f>1.99/100</f>
        <v>1.9900000000000001E-2</v>
      </c>
      <c r="P14" s="5">
        <f>1.71/100</f>
        <v>1.7100000000000001E-2</v>
      </c>
      <c r="Q14" s="2">
        <v>3</v>
      </c>
      <c r="R14" s="2">
        <v>10</v>
      </c>
      <c r="S14" s="47">
        <f t="shared" si="0"/>
        <v>3.8273999999999999</v>
      </c>
      <c r="T14" s="48">
        <f t="shared" si="1"/>
        <v>3.3199000000000005</v>
      </c>
      <c r="U14" s="44">
        <v>0.17440990153690014</v>
      </c>
      <c r="V14" s="30">
        <v>0.1713009207898202</v>
      </c>
      <c r="W14" s="30">
        <v>0.14323178974395531</v>
      </c>
      <c r="X14" s="30">
        <v>0.11429204189289612</v>
      </c>
      <c r="Y14" s="30">
        <v>0.1081768946302661</v>
      </c>
      <c r="Z14" s="30">
        <v>0.17632805816879735</v>
      </c>
      <c r="AA14" s="30">
        <v>9.875066025131396E-2</v>
      </c>
      <c r="AB14" s="30">
        <v>7.6581590715453174E-2</v>
      </c>
      <c r="AC14" s="30">
        <v>7.1646896132100596E-2</v>
      </c>
      <c r="AD14" s="30">
        <v>5.3812942833531871E-2</v>
      </c>
      <c r="AE14" s="30">
        <v>4.3897899172747813E-2</v>
      </c>
      <c r="AF14" s="30">
        <v>2.3767673279197175E-2</v>
      </c>
      <c r="AG14" s="30">
        <v>2.1416352152386128E-2</v>
      </c>
      <c r="AH14" s="30">
        <v>1.8457428847130149E-2</v>
      </c>
      <c r="AI14" s="52">
        <v>499.9996491405405</v>
      </c>
      <c r="AJ14" s="6">
        <f>AI14/$AI$17</f>
        <v>0.15195126391386568</v>
      </c>
      <c r="AK14" s="9">
        <f>AI14*S14</f>
        <v>1913.6986571205045</v>
      </c>
      <c r="AL14" s="9">
        <f>AI14*W14</f>
        <v>71.615844617749318</v>
      </c>
      <c r="AM14" s="11">
        <f>AI14/AQ14</f>
        <v>5.8834819028151716E-5</v>
      </c>
      <c r="AN14" s="9">
        <f t="shared" si="2"/>
        <v>16996.737926932565</v>
      </c>
      <c r="AO14" s="9">
        <f t="shared" si="3"/>
        <v>8498363</v>
      </c>
      <c r="AP14" s="9">
        <f t="shared" si="4"/>
        <v>15352611827.423389</v>
      </c>
      <c r="AQ14" s="31">
        <v>8498363</v>
      </c>
      <c r="AR14" s="52">
        <v>500.03945020442075</v>
      </c>
      <c r="AS14" s="39">
        <f>AR14/$AI$17</f>
        <v>0.15196335956627688</v>
      </c>
      <c r="AT14" s="38">
        <f>AR14*V14</f>
        <v>85.657218251252729</v>
      </c>
      <c r="AU14" s="38">
        <f t="shared" si="5"/>
        <v>26.908594348361202</v>
      </c>
      <c r="AV14" s="40">
        <f>AR14/AQ14</f>
        <v>5.8839502408219177E-5</v>
      </c>
      <c r="AW14" s="38">
        <f t="shared" si="6"/>
        <v>16995.38505717057</v>
      </c>
      <c r="AX14" s="31">
        <f t="shared" si="7"/>
        <v>8498363</v>
      </c>
      <c r="AY14" s="9">
        <f t="shared" si="8"/>
        <v>40971136819.433945</v>
      </c>
      <c r="AZ14" s="31">
        <v>8498363</v>
      </c>
      <c r="BA14" s="54"/>
    </row>
    <row r="15" spans="1:239" x14ac:dyDescent="0.2">
      <c r="A15" s="3">
        <v>5</v>
      </c>
      <c r="B15" s="2" t="s">
        <v>22</v>
      </c>
      <c r="C15" s="69">
        <f>12.07/100</f>
        <v>0.1207</v>
      </c>
      <c r="D15" s="30">
        <f>9.53/100</f>
        <v>9.5299999999999996E-2</v>
      </c>
      <c r="E15" s="30">
        <f>7.63/100</f>
        <v>7.6299999999999993E-2</v>
      </c>
      <c r="F15" s="5">
        <f>6.51/100</f>
        <v>6.5099999999999991E-2</v>
      </c>
      <c r="G15" s="5">
        <f>5.67/100</f>
        <v>5.67E-2</v>
      </c>
      <c r="H15" s="5">
        <f>10.6/100</f>
        <v>0.106</v>
      </c>
      <c r="I15" s="5">
        <f>5.97/100</f>
        <v>5.9699999999999996E-2</v>
      </c>
      <c r="J15" s="5">
        <f>5.33/100</f>
        <v>5.33E-2</v>
      </c>
      <c r="K15" s="5">
        <f>5.04/100</f>
        <v>5.04E-2</v>
      </c>
      <c r="L15" s="5">
        <f>3.81/100</f>
        <v>3.8100000000000002E-2</v>
      </c>
      <c r="M15" s="5">
        <f>2.79/100</f>
        <v>2.7900000000000001E-2</v>
      </c>
      <c r="N15" s="5">
        <f>2.16/100</f>
        <v>2.1600000000000001E-2</v>
      </c>
      <c r="O15" s="5">
        <f>1.43/100</f>
        <v>1.43E-2</v>
      </c>
      <c r="P15" s="5">
        <f>1.34/100</f>
        <v>1.34E-2</v>
      </c>
      <c r="Q15" s="2">
        <v>3</v>
      </c>
      <c r="R15" s="2">
        <v>10</v>
      </c>
      <c r="S15" s="47">
        <f t="shared" si="0"/>
        <v>3.5340999999999996</v>
      </c>
      <c r="T15" s="48">
        <f>L15*R15+(1-L15)*Q15</f>
        <v>3.2667000000000002</v>
      </c>
      <c r="U15" s="44">
        <v>0.17180274694001785</v>
      </c>
      <c r="V15" s="30">
        <v>0.11681265357133978</v>
      </c>
      <c r="W15" s="30">
        <v>9.0509451334630231E-2</v>
      </c>
      <c r="X15" s="30">
        <v>7.7573628367827385E-2</v>
      </c>
      <c r="Y15" s="30">
        <v>6.4731058475573144E-2</v>
      </c>
      <c r="Z15" s="30">
        <v>0.13247033032661176</v>
      </c>
      <c r="AA15" s="30">
        <v>6.7701868963697898E-2</v>
      </c>
      <c r="AB15" s="30">
        <v>6.2579988316858862E-2</v>
      </c>
      <c r="AC15" s="30">
        <v>6.1716004140025808E-2</v>
      </c>
      <c r="AD15" s="30">
        <v>4.3365468094935855E-2</v>
      </c>
      <c r="AE15" s="30">
        <v>3.1809213510562984E-2</v>
      </c>
      <c r="AF15" s="30">
        <v>2.4779448460110123E-2</v>
      </c>
      <c r="AG15" s="30">
        <v>1.5090207180886335E-2</v>
      </c>
      <c r="AH15" s="30">
        <v>1.4581016710064156E-2</v>
      </c>
      <c r="AI15" s="52">
        <v>499.99969795915734</v>
      </c>
      <c r="AJ15" s="6">
        <f>AI15/$AI$17</f>
        <v>0.15195127874997716</v>
      </c>
      <c r="AK15" s="9">
        <f>AI15*S15</f>
        <v>1767.0489325574576</v>
      </c>
      <c r="AL15" s="9">
        <f>AI15*W15</f>
        <v>45.254698329764167</v>
      </c>
      <c r="AM15" s="11">
        <f>AI15/AQ15</f>
        <v>6.2073632775786467E-5</v>
      </c>
      <c r="AN15" s="9">
        <f t="shared" si="2"/>
        <v>16109.899731695381</v>
      </c>
      <c r="AO15" s="9">
        <f t="shared" si="3"/>
        <v>8054945</v>
      </c>
      <c r="AP15" s="9">
        <f t="shared" si="4"/>
        <v>10831681413.691727</v>
      </c>
      <c r="AQ15" s="31">
        <v>8054945</v>
      </c>
      <c r="AR15" s="52">
        <v>1387.5400462509581</v>
      </c>
      <c r="AS15" s="39">
        <f>AR15/$AI$17</f>
        <v>0.42167722341675884</v>
      </c>
      <c r="AT15" s="38">
        <f>AR15*V15</f>
        <v>162.08223473907395</v>
      </c>
      <c r="AU15" s="38">
        <f t="shared" si="5"/>
        <v>60.17132360614174</v>
      </c>
      <c r="AV15" s="40">
        <f>AR15/AQ15</f>
        <v>1.7225940664411217E-4</v>
      </c>
      <c r="AW15" s="38">
        <f t="shared" si="6"/>
        <v>5805.1982151894863</v>
      </c>
      <c r="AX15" s="31">
        <f t="shared" si="7"/>
        <v>8054944.9999999991</v>
      </c>
      <c r="AY15" s="9">
        <f t="shared" si="8"/>
        <v>6344564139.0418034</v>
      </c>
      <c r="AZ15" s="31">
        <v>8054945</v>
      </c>
      <c r="BA15" s="54"/>
    </row>
    <row r="16" spans="1:239" x14ac:dyDescent="0.2">
      <c r="A16" s="3"/>
      <c r="S16" s="13"/>
      <c r="T16" s="49"/>
      <c r="U16" s="13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3"/>
      <c r="AJ16" s="6"/>
      <c r="AK16" s="9"/>
      <c r="AL16" s="9"/>
      <c r="AM16" s="6"/>
      <c r="AN16" s="6"/>
      <c r="AO16" s="6"/>
      <c r="AP16" s="6"/>
      <c r="AQ16" s="9"/>
      <c r="AR16" s="13"/>
      <c r="AS16" s="39"/>
      <c r="AT16" s="39"/>
      <c r="AU16" s="39"/>
      <c r="AV16" s="39"/>
      <c r="AW16" s="39"/>
      <c r="AX16" s="39"/>
      <c r="AY16" s="6"/>
      <c r="AZ16" s="9"/>
      <c r="BA16" s="54"/>
    </row>
    <row r="17" spans="1:53" s="16" customFormat="1" x14ac:dyDescent="0.2">
      <c r="A17" s="15" t="s">
        <v>1</v>
      </c>
      <c r="C17" s="17">
        <f>11.85/100</f>
        <v>0.11849999999999999</v>
      </c>
      <c r="D17" s="17">
        <f>9.08/100</f>
        <v>9.0800000000000006E-2</v>
      </c>
      <c r="E17" s="17">
        <f>9.28/100</f>
        <v>9.2799999999999994E-2</v>
      </c>
      <c r="F17" s="17">
        <f>8.39/100</f>
        <v>8.3900000000000002E-2</v>
      </c>
      <c r="G17" s="17">
        <f>8.76/100</f>
        <v>8.7599999999999997E-2</v>
      </c>
      <c r="H17" s="17">
        <f>15.7/100</f>
        <v>0.157</v>
      </c>
      <c r="I17" s="17">
        <f>10.53/100</f>
        <v>0.10529999999999999</v>
      </c>
      <c r="J17" s="17">
        <f>9.05/100</f>
        <v>9.0500000000000011E-2</v>
      </c>
      <c r="K17" s="17">
        <f>8.29/100</f>
        <v>8.2899999999999988E-2</v>
      </c>
      <c r="L17" s="17">
        <f>6.58/100</f>
        <v>6.5799999999999997E-2</v>
      </c>
      <c r="M17" s="17">
        <f>5.22/100</f>
        <v>5.2199999999999996E-2</v>
      </c>
      <c r="N17" s="17">
        <f>3.52/100</f>
        <v>3.5200000000000002E-2</v>
      </c>
      <c r="O17" s="17">
        <f>2.84/100</f>
        <v>2.8399999999999998E-2</v>
      </c>
      <c r="P17" s="17">
        <f>2.4/100</f>
        <v>2.4E-2</v>
      </c>
      <c r="S17" s="21"/>
      <c r="T17" s="50"/>
      <c r="U17" s="21"/>
      <c r="AI17" s="53">
        <f>SUM(AI11:AI16)</f>
        <v>3290.526424472308</v>
      </c>
      <c r="AJ17" s="19">
        <f>AI17/$AI$17</f>
        <v>1</v>
      </c>
      <c r="AK17" s="20">
        <f>SUM(AK11:AK15)</f>
        <v>18658.018666053438</v>
      </c>
      <c r="AL17" s="20">
        <f>SUM(AL11:AL15)</f>
        <v>1999.9999989559215</v>
      </c>
      <c r="AM17" s="18"/>
      <c r="AN17" s="18"/>
      <c r="AO17" s="20">
        <f>SUM(AO11:AO15)</f>
        <v>37694647</v>
      </c>
      <c r="AP17" s="20">
        <f>SUM(AP11:AP15)</f>
        <v>677303450168.48608</v>
      </c>
      <c r="AQ17" s="20">
        <f>SUM(AQ11:AQ16)</f>
        <v>37694647</v>
      </c>
      <c r="AR17" s="53">
        <f>SUM(AR11:AR16)</f>
        <v>4745.3180057278942</v>
      </c>
      <c r="AS17" s="19">
        <f>AR17/$AI$17</f>
        <v>1.4421151492466397</v>
      </c>
      <c r="AT17" s="18">
        <f>SUM(AT11:AT15)</f>
        <v>1677.3630702202629</v>
      </c>
      <c r="AU17" s="18">
        <f>SUM(AU11:AU15)</f>
        <v>1999.9999773358468</v>
      </c>
      <c r="AV17" s="18"/>
      <c r="AW17" s="18"/>
      <c r="AX17" s="20">
        <f>SUM(AX11:AX15)</f>
        <v>37694647</v>
      </c>
      <c r="AY17" s="20">
        <f>SUM(AY11:AY15)</f>
        <v>222923361491.25903</v>
      </c>
      <c r="AZ17" s="20">
        <f>SUM(AZ11:AZ16)</f>
        <v>37689692</v>
      </c>
      <c r="BA17" s="55">
        <f>SUM(BA11:BA16)</f>
        <v>0</v>
      </c>
    </row>
    <row r="18" spans="1:53" s="10" customFormat="1" x14ac:dyDescent="0.2">
      <c r="A18" s="37"/>
      <c r="AI18" s="38"/>
      <c r="AJ18" s="39"/>
      <c r="AK18" s="38"/>
      <c r="AL18" s="38"/>
      <c r="AM18" s="38"/>
      <c r="AN18" s="38"/>
      <c r="AO18" s="38"/>
      <c r="AP18" s="38"/>
      <c r="AQ18" s="31"/>
      <c r="AR18" s="38"/>
      <c r="AS18" s="39"/>
      <c r="AT18" s="38"/>
      <c r="AU18" s="38"/>
      <c r="AV18" s="38"/>
      <c r="AW18" s="38"/>
      <c r="AX18" s="38"/>
      <c r="AY18" s="38"/>
      <c r="AZ18" s="31"/>
      <c r="BA18" s="31"/>
    </row>
    <row r="19" spans="1:53" s="10" customFormat="1" x14ac:dyDescent="0.2">
      <c r="AI19" s="38">
        <f>MIN(AI11:AI15)</f>
        <v>499.99955331567958</v>
      </c>
      <c r="AJ19" s="39" t="s">
        <v>52</v>
      </c>
      <c r="AK19" s="38"/>
      <c r="AL19" s="38"/>
      <c r="AM19" s="38"/>
      <c r="AN19" s="56" t="s">
        <v>10</v>
      </c>
      <c r="AO19" s="28">
        <f>AO17/AI17</f>
        <v>11455.506547419682</v>
      </c>
      <c r="AP19" s="38"/>
      <c r="AQ19" s="59"/>
      <c r="AR19" s="38">
        <f>MIN(AR11:AR15)</f>
        <v>499.99859092123268</v>
      </c>
      <c r="AS19" s="39" t="s">
        <v>52</v>
      </c>
      <c r="AT19" s="38"/>
      <c r="AU19" s="38"/>
      <c r="AV19" s="38"/>
      <c r="AW19" s="56" t="s">
        <v>10</v>
      </c>
      <c r="AX19" s="28">
        <f>AX17/AR17</f>
        <v>7943.5449751734686</v>
      </c>
      <c r="AY19" s="38"/>
      <c r="BA19" s="31"/>
    </row>
    <row r="20" spans="1:53" s="10" customFormat="1" x14ac:dyDescent="0.2">
      <c r="AI20" s="38"/>
      <c r="AJ20" s="39"/>
      <c r="AK20" s="38"/>
      <c r="AL20" s="38"/>
      <c r="AM20" s="38"/>
      <c r="AN20" s="56" t="s">
        <v>45</v>
      </c>
      <c r="AO20" s="26">
        <f>AP17/AI17</f>
        <v>205834375.05052197</v>
      </c>
      <c r="AP20" s="38"/>
      <c r="AQ20" s="60"/>
      <c r="AR20" s="38"/>
      <c r="AS20" s="39"/>
      <c r="AT20" s="38"/>
      <c r="AU20" s="38"/>
      <c r="AV20" s="38"/>
      <c r="AW20" s="56" t="s">
        <v>45</v>
      </c>
      <c r="AX20" s="26">
        <f>AY17/AR17</f>
        <v>46977538.959913045</v>
      </c>
      <c r="AY20" s="7"/>
      <c r="AZ20" s="60"/>
      <c r="BA20" s="31"/>
    </row>
    <row r="21" spans="1:53" s="10" customFormat="1" x14ac:dyDescent="0.2">
      <c r="AI21" s="38"/>
      <c r="AJ21" s="39"/>
      <c r="AK21" s="38"/>
      <c r="AL21" s="38"/>
      <c r="AM21" s="38"/>
      <c r="AN21" s="8" t="s">
        <v>12</v>
      </c>
      <c r="AO21" s="57">
        <f>AO20/AO19^2</f>
        <v>1.5685172865546446</v>
      </c>
      <c r="AP21" s="38"/>
      <c r="AQ21" s="60"/>
      <c r="AR21" s="38"/>
      <c r="AS21" s="39"/>
      <c r="AT21" s="38"/>
      <c r="AU21" s="38"/>
      <c r="AV21" s="38"/>
      <c r="AW21" s="8" t="s">
        <v>12</v>
      </c>
      <c r="AX21" s="57">
        <f>AX20/AX19^2</f>
        <v>0.74449458585110728</v>
      </c>
      <c r="AY21" s="5"/>
      <c r="AZ21" s="60"/>
      <c r="BA21" s="31"/>
    </row>
    <row r="22" spans="1:53" s="10" customFormat="1" x14ac:dyDescent="0.2">
      <c r="AI22" s="38"/>
      <c r="AJ22" s="39"/>
      <c r="AK22" s="38"/>
      <c r="AL22" s="38"/>
      <c r="AM22" s="38"/>
      <c r="AP22" s="27"/>
      <c r="AQ22" s="60"/>
      <c r="AR22" s="38"/>
      <c r="AS22" s="39"/>
      <c r="AT22" s="38"/>
      <c r="AU22" s="38"/>
      <c r="AV22" s="38"/>
      <c r="AW22" s="2"/>
      <c r="AX22" s="2"/>
      <c r="AY22" s="2"/>
      <c r="AZ22" s="60"/>
      <c r="BA22" s="31"/>
    </row>
    <row r="23" spans="1:53" s="10" customFormat="1" x14ac:dyDescent="0.2">
      <c r="AI23" s="38"/>
      <c r="AJ23" s="39"/>
      <c r="AK23" s="38"/>
      <c r="AL23" s="38"/>
      <c r="AM23" s="58" t="s">
        <v>46</v>
      </c>
      <c r="AN23" s="56"/>
      <c r="AO23" s="2">
        <v>2000</v>
      </c>
      <c r="AP23" s="7"/>
      <c r="AQ23" s="59"/>
      <c r="AR23" s="38"/>
      <c r="AS23" s="39"/>
      <c r="AT23" s="38"/>
      <c r="AU23" s="38"/>
      <c r="AW23" s="58" t="s">
        <v>46</v>
      </c>
      <c r="AX23" s="2">
        <v>2000</v>
      </c>
      <c r="BA23" s="31"/>
    </row>
    <row r="24" spans="1:53" s="10" customFormat="1" x14ac:dyDescent="0.2">
      <c r="AI24" s="38"/>
      <c r="AJ24" s="39"/>
      <c r="AK24" s="38"/>
      <c r="AL24" s="38"/>
      <c r="AM24" s="58" t="s">
        <v>47</v>
      </c>
      <c r="AN24" s="8"/>
      <c r="AO24" s="2">
        <v>2</v>
      </c>
      <c r="AP24" s="5"/>
      <c r="AQ24" s="60"/>
      <c r="AR24" s="38"/>
      <c r="AS24" s="39"/>
      <c r="AT24" s="38"/>
      <c r="AU24" s="38"/>
      <c r="AV24" s="38"/>
      <c r="AW24" s="58" t="s">
        <v>47</v>
      </c>
      <c r="AX24" s="2">
        <v>2</v>
      </c>
      <c r="AZ24" s="60"/>
      <c r="BA24" s="31"/>
    </row>
    <row r="25" spans="1:53" s="10" customFormat="1" x14ac:dyDescent="0.2">
      <c r="A25" s="37"/>
      <c r="AI25" s="38"/>
      <c r="AJ25" s="39"/>
      <c r="AK25" s="38"/>
      <c r="AL25" s="38"/>
      <c r="AM25" s="58" t="s">
        <v>48</v>
      </c>
      <c r="AN25" s="2"/>
      <c r="AO25" s="2">
        <v>500</v>
      </c>
      <c r="AP25" s="2"/>
      <c r="AQ25" s="60"/>
      <c r="AR25" s="38"/>
      <c r="AS25" s="39"/>
      <c r="AT25" s="38"/>
      <c r="AU25" s="38"/>
      <c r="AV25" s="38"/>
      <c r="AW25" s="58" t="s">
        <v>48</v>
      </c>
      <c r="AX25" s="2">
        <v>500</v>
      </c>
      <c r="AZ25" s="60"/>
      <c r="BA25" s="31"/>
    </row>
    <row r="26" spans="1:53" s="10" customFormat="1" ht="13.5" thickBot="1" x14ac:dyDescent="0.25">
      <c r="A26" s="3"/>
      <c r="AI26" s="38"/>
      <c r="AJ26" s="39"/>
      <c r="AK26" s="38"/>
      <c r="AL26" s="38"/>
      <c r="AM26" s="10" t="s">
        <v>51</v>
      </c>
      <c r="AO26" s="67">
        <v>500000</v>
      </c>
      <c r="AP26" s="2"/>
      <c r="AQ26" s="60"/>
      <c r="AR26" s="38"/>
      <c r="AS26" s="39"/>
      <c r="AT26" s="38"/>
      <c r="AU26" s="38"/>
      <c r="AV26" s="38"/>
      <c r="AW26" s="68" t="s">
        <v>51</v>
      </c>
      <c r="AX26" s="67">
        <v>500000</v>
      </c>
      <c r="AZ26" s="60"/>
      <c r="BA26" s="31"/>
    </row>
    <row r="27" spans="1:53" s="10" customFormat="1" ht="13.5" thickBot="1" x14ac:dyDescent="0.25">
      <c r="A27" s="3"/>
      <c r="AI27" s="74" t="s">
        <v>53</v>
      </c>
      <c r="AJ27" s="39"/>
      <c r="AK27" s="38"/>
      <c r="AL27" s="38"/>
      <c r="AM27" s="8" t="s">
        <v>50</v>
      </c>
      <c r="AN27" s="38"/>
      <c r="AO27" s="31">
        <f>AO26/17</f>
        <v>29411.764705882353</v>
      </c>
      <c r="AP27" s="38"/>
      <c r="AR27" s="74" t="s">
        <v>54</v>
      </c>
      <c r="AS27" s="39"/>
      <c r="AT27" s="38"/>
      <c r="AU27" s="38"/>
      <c r="AV27" s="38"/>
      <c r="AW27" s="8" t="s">
        <v>50</v>
      </c>
      <c r="AX27" s="31">
        <f>AX26/17</f>
        <v>29411.764705882353</v>
      </c>
      <c r="BA27" s="31"/>
    </row>
    <row r="28" spans="1:53" s="10" customFormat="1" x14ac:dyDescent="0.2">
      <c r="AI28" s="70">
        <f>MIN($AK$17)</f>
        <v>18658.018666053438</v>
      </c>
      <c r="AJ28" s="39"/>
      <c r="AK28" s="38"/>
      <c r="AL28" s="38"/>
      <c r="AM28" s="38"/>
      <c r="AN28" s="38"/>
      <c r="AO28" s="38"/>
      <c r="AP28" s="38"/>
      <c r="AQ28" s="60"/>
      <c r="AR28" s="70">
        <f>MIN($AT$17)</f>
        <v>1677.3630702202629</v>
      </c>
      <c r="AS28" s="39"/>
      <c r="AT28" s="38"/>
      <c r="AU28" s="38"/>
      <c r="AV28" s="38"/>
      <c r="AW28" s="38"/>
      <c r="AX28" s="38"/>
      <c r="AY28" s="38"/>
      <c r="AZ28" s="60"/>
      <c r="BA28" s="31"/>
    </row>
    <row r="29" spans="1:53" x14ac:dyDescent="0.2">
      <c r="A29" s="3"/>
      <c r="B29" s="10"/>
      <c r="AI29" s="71">
        <f>COUNT($AI$11:$AI$15)</f>
        <v>5</v>
      </c>
      <c r="AJ29" s="7"/>
      <c r="AK29" s="7"/>
      <c r="AL29" s="7"/>
      <c r="AM29" s="7"/>
      <c r="AN29" s="7"/>
      <c r="AO29" s="7"/>
      <c r="AP29" s="7"/>
      <c r="AQ29" s="60"/>
      <c r="AR29" s="71">
        <f>COUNT($AR$11:$AR$15)</f>
        <v>5</v>
      </c>
      <c r="AS29" s="7"/>
      <c r="AT29" s="7"/>
      <c r="AU29" s="7"/>
      <c r="AV29" s="7"/>
      <c r="AW29" s="7"/>
      <c r="AX29" s="7"/>
      <c r="AY29" s="7"/>
      <c r="AZ29" s="60"/>
      <c r="BA29" s="9"/>
    </row>
    <row r="30" spans="1:53" x14ac:dyDescent="0.2">
      <c r="A30" s="3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29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1" t="b">
        <f>$AI$11&lt;=$AQ$11</f>
        <v>1</v>
      </c>
      <c r="AJ30" s="7"/>
      <c r="AK30" s="7"/>
      <c r="AL30" s="7"/>
      <c r="AM30" s="7"/>
      <c r="AN30" s="7"/>
      <c r="AO30" s="7"/>
      <c r="AP30" s="7"/>
      <c r="AQ30" s="60"/>
      <c r="AR30" s="71" t="b">
        <f>$AR$11&lt;=$AZ$11</f>
        <v>1</v>
      </c>
      <c r="AS30" s="7"/>
      <c r="AT30" s="7"/>
      <c r="AU30" s="22"/>
      <c r="AV30" s="22"/>
      <c r="AW30" s="22"/>
      <c r="AX30" s="22"/>
      <c r="AY30" s="22"/>
      <c r="AZ30" s="60"/>
      <c r="BA30" s="9"/>
    </row>
    <row r="31" spans="1:53" x14ac:dyDescent="0.2">
      <c r="A31" s="3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29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72" t="b">
        <f>$AI$13&lt;=$AQ$13</f>
        <v>1</v>
      </c>
      <c r="AQ31" s="10"/>
      <c r="AR31" s="72" t="b">
        <f>$AR$11&gt;=$AX$25</f>
        <v>1</v>
      </c>
      <c r="AU31" s="22"/>
      <c r="AV31" s="22"/>
      <c r="AW31" s="22"/>
      <c r="AX31" s="22"/>
      <c r="AY31" s="22"/>
      <c r="AZ31" s="10"/>
    </row>
    <row r="32" spans="1:53" x14ac:dyDescent="0.2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29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2" t="b">
        <f>$AI$15&lt;=$AQ$15</f>
        <v>1</v>
      </c>
      <c r="AQ32" s="60"/>
      <c r="AR32" s="72" t="b">
        <f>$AR$12&lt;=$AZ$12</f>
        <v>1</v>
      </c>
      <c r="AZ32" s="60"/>
    </row>
    <row r="33" spans="1:53" x14ac:dyDescent="0.2">
      <c r="B33" s="10"/>
      <c r="AI33" s="72" t="b">
        <f>$AI$14&lt;=$AQ$14</f>
        <v>1</v>
      </c>
      <c r="AQ33" s="60"/>
      <c r="AR33" s="72" t="b">
        <f>$AR$13&lt;=$AZ$13</f>
        <v>1</v>
      </c>
      <c r="AZ33" s="60"/>
    </row>
    <row r="34" spans="1:53" x14ac:dyDescent="0.2">
      <c r="B34" s="10"/>
      <c r="AI34" s="72" t="b">
        <f>$AI$19&gt;=$AO$25</f>
        <v>0</v>
      </c>
      <c r="AQ34" s="60"/>
      <c r="AR34" s="72" t="b">
        <f>$AR$14&lt;=$AZ$14</f>
        <v>1</v>
      </c>
      <c r="AZ34" s="60"/>
    </row>
    <row r="35" spans="1:53" x14ac:dyDescent="0.2">
      <c r="B35" s="10"/>
      <c r="AI35" s="72" t="b">
        <f>$AL$17=$AO$23</f>
        <v>0</v>
      </c>
      <c r="AJ35" s="8"/>
      <c r="AK35" s="8"/>
      <c r="AL35" s="8"/>
      <c r="AM35" s="8"/>
      <c r="AN35" s="8"/>
      <c r="AO35" s="8"/>
      <c r="AP35" s="8"/>
      <c r="AQ35" s="10"/>
      <c r="AR35" s="72" t="b">
        <f>$AR$15&lt;=$AZ$15</f>
        <v>1</v>
      </c>
      <c r="AS35" s="8"/>
      <c r="AT35" s="8"/>
      <c r="AU35" s="8"/>
      <c r="AV35" s="8"/>
      <c r="AW35" s="8"/>
      <c r="AX35" s="8"/>
      <c r="AY35" s="8"/>
      <c r="AZ35" s="59"/>
    </row>
    <row r="36" spans="1:53" x14ac:dyDescent="0.2">
      <c r="A36" s="3"/>
      <c r="B36" s="10"/>
      <c r="AI36" s="72" t="b">
        <f>$AI$12&lt;=$AQ$12</f>
        <v>1</v>
      </c>
      <c r="AJ36" s="8"/>
      <c r="AK36" s="8"/>
      <c r="AL36" s="8"/>
      <c r="AM36" s="8"/>
      <c r="AN36" s="8"/>
      <c r="AO36" s="8"/>
      <c r="AP36" s="8"/>
      <c r="AQ36" s="60"/>
      <c r="AR36" s="72" t="b">
        <f>$AR$19&gt;=$AX$25</f>
        <v>0</v>
      </c>
      <c r="AS36" s="8"/>
      <c r="AT36" s="8"/>
      <c r="AU36" s="8"/>
      <c r="AV36" s="8"/>
      <c r="AW36" s="8"/>
      <c r="AX36" s="8"/>
      <c r="AY36" s="8"/>
      <c r="AZ36" s="60"/>
    </row>
    <row r="37" spans="1:53" x14ac:dyDescent="0.2">
      <c r="A37" s="3"/>
      <c r="B37" s="10"/>
      <c r="R37" s="29"/>
      <c r="AI37" s="72" t="b">
        <f>$AO$21&lt;=$AO$24</f>
        <v>1</v>
      </c>
      <c r="AJ37" s="8"/>
      <c r="AK37" s="8"/>
      <c r="AL37" s="8"/>
      <c r="AM37" s="8"/>
      <c r="AN37" s="8"/>
      <c r="AO37" s="8"/>
      <c r="AP37" s="8"/>
      <c r="AQ37" s="60"/>
      <c r="AR37" s="72" t="b">
        <f>$AU$17=$AX$23</f>
        <v>0</v>
      </c>
      <c r="AS37" s="8"/>
      <c r="AT37" s="8"/>
      <c r="AU37" s="8"/>
      <c r="AV37" s="8"/>
      <c r="AW37" s="8"/>
      <c r="AX37" s="8"/>
      <c r="AY37" s="8"/>
      <c r="AZ37" s="60"/>
      <c r="BA37" s="14"/>
    </row>
    <row r="38" spans="1:53" x14ac:dyDescent="0.2">
      <c r="B38" s="10"/>
      <c r="R38" s="29"/>
      <c r="AI38" s="72">
        <f>{32767,32767,0.000001,0.01,FALSE,FALSE,TRUE,1,2,1,0.0001,TRUE}</f>
        <v>32767</v>
      </c>
      <c r="AQ38" s="60"/>
      <c r="AR38" s="72">
        <f>{32767,32767,0.000001,0.01,FALSE,FALSE,TRUE,1,2,1,0.0001,TRUE}</f>
        <v>32767</v>
      </c>
      <c r="AZ38" s="60"/>
    </row>
    <row r="39" spans="1:53" x14ac:dyDescent="0.2">
      <c r="B39" s="10"/>
      <c r="AI39" s="72">
        <f>{0,0,1,100,0,FALSE,FALSE,0.075,0,0,FALSE,30}</f>
        <v>0</v>
      </c>
      <c r="AQ39" s="61"/>
      <c r="AR39" s="72">
        <f>{0,0,1,100,0,FALSE,FALSE,0.075,0,0,FALSE,30}</f>
        <v>0</v>
      </c>
      <c r="AZ39" s="61"/>
    </row>
    <row r="40" spans="1:53" ht="13.5" thickBot="1" x14ac:dyDescent="0.25">
      <c r="AI40" s="73">
        <f>{0,0,1,100,0,FALSE,FALSE,0.075,0,0,FALSE,30}</f>
        <v>0</v>
      </c>
      <c r="AQ40" s="60"/>
      <c r="AR40" s="73">
        <f>{0,0,1,100,0,FALSE,FALSE,0.075,0,0,FALSE,30}</f>
        <v>0</v>
      </c>
      <c r="AZ40" s="60"/>
    </row>
    <row r="41" spans="1:53" x14ac:dyDescent="0.2">
      <c r="AQ41" s="10"/>
      <c r="AZ41" s="10"/>
    </row>
    <row r="42" spans="1:53" x14ac:dyDescent="0.2">
      <c r="AQ42" s="10"/>
      <c r="AZ42" s="10"/>
    </row>
    <row r="43" spans="1:53" x14ac:dyDescent="0.2">
      <c r="AQ43" s="10"/>
      <c r="AZ43" s="10"/>
    </row>
    <row r="44" spans="1:53" x14ac:dyDescent="0.2">
      <c r="AQ44" s="10"/>
      <c r="AZ44" s="10"/>
    </row>
  </sheetData>
  <mergeCells count="5">
    <mergeCell ref="U8:AH8"/>
    <mergeCell ref="C8:P8"/>
    <mergeCell ref="S8:T8"/>
    <mergeCell ref="AI8:AQ8"/>
    <mergeCell ref="AR8:AZ8"/>
  </mergeCells>
  <printOptions gridLine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A53"/>
  <sheetViews>
    <sheetView tabSelected="1" topLeftCell="A6" zoomScale="80" zoomScaleNormal="80" workbookViewId="0">
      <pane xSplit="2" topLeftCell="C1" activePane="topRight" state="frozenSplit"/>
      <selection activeCell="A23" sqref="A23:XFD23"/>
      <selection pane="topRight" activeCell="F20" sqref="F20"/>
    </sheetView>
  </sheetViews>
  <sheetFormatPr defaultRowHeight="12.75" x14ac:dyDescent="0.2"/>
  <cols>
    <col min="1" max="1" width="9.140625" style="2"/>
    <col min="2" max="2" width="32.140625" style="2" customWidth="1"/>
    <col min="3" max="3" width="15.28515625" style="2" bestFit="1" customWidth="1"/>
    <col min="4" max="4" width="12.42578125" style="2" bestFit="1" customWidth="1"/>
    <col min="5" max="5" width="7.42578125" style="2" customWidth="1"/>
    <col min="6" max="6" width="10.85546875" style="2" bestFit="1" customWidth="1"/>
    <col min="7" max="7" width="5.7109375" style="2" customWidth="1"/>
    <col min="8" max="8" width="12" style="2" bestFit="1" customWidth="1"/>
    <col min="9" max="11" width="5.5703125" style="2" customWidth="1"/>
    <col min="12" max="14" width="7.42578125" style="2" customWidth="1"/>
    <col min="15" max="20" width="7.42578125" style="2" hidden="1" customWidth="1"/>
    <col min="21" max="21" width="9" style="2" bestFit="1" customWidth="1"/>
    <col min="22" max="22" width="10.28515625" style="2" customWidth="1"/>
    <col min="23" max="23" width="7.85546875" style="2" customWidth="1"/>
    <col min="24" max="24" width="9.5703125" style="2" customWidth="1"/>
    <col min="25" max="25" width="11" style="2" customWidth="1"/>
    <col min="26" max="26" width="11.42578125" style="2" customWidth="1"/>
    <col min="27" max="27" width="17" style="2" bestFit="1" customWidth="1"/>
    <col min="28" max="28" width="20.42578125" style="2" bestFit="1" customWidth="1"/>
    <col min="29" max="29" width="13.28515625" style="2" customWidth="1"/>
    <col min="30" max="30" width="11.5703125" style="2" bestFit="1" customWidth="1"/>
    <col min="31" max="34" width="10.28515625" style="2" customWidth="1"/>
    <col min="35" max="35" width="16.5703125" style="2" bestFit="1" customWidth="1"/>
    <col min="36" max="36" width="10.28515625" style="2" customWidth="1"/>
    <col min="37" max="37" width="17" style="2" bestFit="1" customWidth="1"/>
    <col min="38" max="38" width="20.140625" style="2" bestFit="1" customWidth="1"/>
    <col min="39" max="39" width="13.28515625" style="2" customWidth="1"/>
    <col min="40" max="40" width="18.7109375" style="2" bestFit="1" customWidth="1"/>
    <col min="41" max="41" width="13.28515625" style="2" customWidth="1"/>
    <col min="42" max="42" width="10.28515625" style="2" customWidth="1"/>
    <col min="43" max="43" width="11" style="2" bestFit="1" customWidth="1"/>
    <col min="44" max="44" width="11.28515625" style="2" customWidth="1"/>
    <col min="45" max="45" width="12.42578125" style="2" customWidth="1"/>
    <col min="46" max="46" width="9.140625" style="2"/>
    <col min="47" max="47" width="14.85546875" style="2" bestFit="1" customWidth="1"/>
    <col min="48" max="48" width="14.85546875" style="2" customWidth="1"/>
    <col min="49" max="49" width="13.7109375" style="2" customWidth="1"/>
    <col min="50" max="50" width="17" style="2" bestFit="1" customWidth="1"/>
    <col min="51" max="51" width="17.42578125" style="2" bestFit="1" customWidth="1"/>
    <col min="52" max="52" width="17" style="2" bestFit="1" customWidth="1"/>
    <col min="53" max="53" width="17.42578125" style="2" bestFit="1" customWidth="1"/>
    <col min="54" max="16384" width="9.140625" style="2"/>
  </cols>
  <sheetData>
    <row r="1" spans="1:183" x14ac:dyDescent="0.2">
      <c r="A1" s="1" t="s">
        <v>21</v>
      </c>
    </row>
    <row r="2" spans="1:183" x14ac:dyDescent="0.2">
      <c r="A2" s="2" t="s">
        <v>17</v>
      </c>
    </row>
    <row r="4" spans="1:183" x14ac:dyDescent="0.2">
      <c r="A4" s="25" t="s">
        <v>18</v>
      </c>
      <c r="B4" s="2" t="s">
        <v>74</v>
      </c>
      <c r="E4" s="32" t="s">
        <v>73</v>
      </c>
      <c r="L4" s="32"/>
      <c r="M4" s="32"/>
      <c r="N4" s="32"/>
      <c r="O4" s="32"/>
      <c r="P4" s="32"/>
      <c r="Q4" s="32"/>
      <c r="R4" s="32"/>
      <c r="S4" s="32"/>
      <c r="T4" s="32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</row>
    <row r="5" spans="1:183" x14ac:dyDescent="0.2">
      <c r="A5" s="25"/>
      <c r="B5" s="2" t="s">
        <v>42</v>
      </c>
      <c r="E5" s="32" t="s">
        <v>75</v>
      </c>
    </row>
    <row r="8" spans="1:183" s="4" customFormat="1" ht="51.75" customHeight="1" x14ac:dyDescent="0.2">
      <c r="A8" s="63"/>
      <c r="D8" s="159" t="s">
        <v>42</v>
      </c>
      <c r="E8" s="159"/>
      <c r="F8" s="159"/>
      <c r="G8" s="65"/>
      <c r="H8" s="66"/>
      <c r="I8" s="158" t="s">
        <v>81</v>
      </c>
      <c r="J8" s="159"/>
      <c r="K8" s="160"/>
      <c r="L8" s="167" t="s">
        <v>41</v>
      </c>
      <c r="M8" s="168"/>
      <c r="N8" s="168"/>
      <c r="O8" s="101"/>
      <c r="P8" s="101"/>
      <c r="Q8" s="101"/>
      <c r="R8" s="101"/>
      <c r="S8" s="101"/>
      <c r="T8" s="101"/>
      <c r="U8" s="164" t="s">
        <v>66</v>
      </c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6"/>
      <c r="AG8" s="164" t="s">
        <v>67</v>
      </c>
      <c r="AH8" s="165"/>
      <c r="AI8" s="165"/>
      <c r="AJ8" s="165"/>
      <c r="AK8" s="165"/>
      <c r="AL8" s="165"/>
      <c r="AM8" s="165"/>
      <c r="AN8" s="165"/>
      <c r="AO8" s="165"/>
      <c r="AP8" s="166"/>
      <c r="AQ8" s="164" t="s">
        <v>68</v>
      </c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</row>
    <row r="9" spans="1:183" s="4" customFormat="1" ht="38.25" customHeight="1" x14ac:dyDescent="0.2">
      <c r="A9" s="64"/>
      <c r="B9" s="65" t="s">
        <v>0</v>
      </c>
      <c r="C9" s="84" t="s">
        <v>65</v>
      </c>
      <c r="D9" s="84" t="s">
        <v>63</v>
      </c>
      <c r="E9" s="84" t="s">
        <v>62</v>
      </c>
      <c r="F9" s="84" t="s">
        <v>64</v>
      </c>
      <c r="G9" s="64" t="s">
        <v>14</v>
      </c>
      <c r="H9" s="64" t="s">
        <v>13</v>
      </c>
      <c r="I9" s="35" t="s">
        <v>63</v>
      </c>
      <c r="J9" s="84" t="s">
        <v>62</v>
      </c>
      <c r="K9" s="84" t="s">
        <v>64</v>
      </c>
      <c r="L9" s="35" t="s">
        <v>63</v>
      </c>
      <c r="M9" s="84" t="s">
        <v>62</v>
      </c>
      <c r="N9" s="84" t="s">
        <v>64</v>
      </c>
      <c r="O9" s="64" t="s">
        <v>31</v>
      </c>
      <c r="P9" s="64" t="s">
        <v>32</v>
      </c>
      <c r="Q9" s="64" t="s">
        <v>33</v>
      </c>
      <c r="R9" s="64" t="s">
        <v>34</v>
      </c>
      <c r="S9" s="64" t="s">
        <v>35</v>
      </c>
      <c r="T9" s="64" t="s">
        <v>36</v>
      </c>
      <c r="U9" s="119" t="s">
        <v>4</v>
      </c>
      <c r="V9" s="64" t="s">
        <v>7</v>
      </c>
      <c r="W9" s="64" t="s">
        <v>72</v>
      </c>
      <c r="X9" s="115" t="s">
        <v>91</v>
      </c>
      <c r="Y9" s="115" t="s">
        <v>90</v>
      </c>
      <c r="Z9" s="64" t="s">
        <v>44</v>
      </c>
      <c r="AA9" s="64" t="s">
        <v>2</v>
      </c>
      <c r="AB9" s="64" t="s">
        <v>8</v>
      </c>
      <c r="AC9" s="64" t="s">
        <v>86</v>
      </c>
      <c r="AD9" s="64" t="s">
        <v>87</v>
      </c>
      <c r="AE9" s="64" t="s">
        <v>3</v>
      </c>
      <c r="AF9" s="75" t="s">
        <v>57</v>
      </c>
      <c r="AG9" s="35" t="s">
        <v>4</v>
      </c>
      <c r="AH9" s="115" t="s">
        <v>7</v>
      </c>
      <c r="AI9" s="83" t="s">
        <v>72</v>
      </c>
      <c r="AJ9" s="115" t="s">
        <v>44</v>
      </c>
      <c r="AK9" s="115" t="s">
        <v>2</v>
      </c>
      <c r="AL9" s="115" t="s">
        <v>8</v>
      </c>
      <c r="AM9" s="115" t="s">
        <v>86</v>
      </c>
      <c r="AN9" s="115" t="s">
        <v>87</v>
      </c>
      <c r="AO9" s="83" t="s">
        <v>3</v>
      </c>
      <c r="AP9" s="83" t="s">
        <v>79</v>
      </c>
      <c r="AQ9" s="147" t="s">
        <v>4</v>
      </c>
      <c r="AR9" s="115" t="s">
        <v>7</v>
      </c>
      <c r="AS9" s="148" t="s">
        <v>72</v>
      </c>
      <c r="AT9" s="115" t="s">
        <v>91</v>
      </c>
      <c r="AU9" s="115" t="s">
        <v>90</v>
      </c>
      <c r="AV9" s="115" t="s">
        <v>44</v>
      </c>
      <c r="AW9" s="115" t="s">
        <v>2</v>
      </c>
      <c r="AX9" s="115" t="s">
        <v>8</v>
      </c>
      <c r="AY9" s="115" t="s">
        <v>86</v>
      </c>
      <c r="AZ9" s="115" t="s">
        <v>87</v>
      </c>
      <c r="BA9" s="115" t="s">
        <v>3</v>
      </c>
      <c r="BB9" s="115" t="s">
        <v>79</v>
      </c>
    </row>
    <row r="10" spans="1:183" s="4" customFormat="1" x14ac:dyDescent="0.2">
      <c r="D10" s="82"/>
      <c r="E10" s="82"/>
      <c r="F10" s="82"/>
      <c r="I10" s="12"/>
      <c r="J10" s="82"/>
      <c r="K10" s="46"/>
      <c r="L10" s="12"/>
      <c r="M10" s="62"/>
      <c r="N10" s="62"/>
      <c r="O10" s="62"/>
      <c r="P10" s="62"/>
      <c r="Q10" s="62"/>
      <c r="R10" s="62"/>
      <c r="S10" s="62"/>
      <c r="T10" s="62"/>
      <c r="U10" s="120"/>
      <c r="AG10" s="12"/>
      <c r="AH10" s="62"/>
      <c r="AI10" s="62"/>
      <c r="AJ10" s="62"/>
      <c r="AK10" s="62"/>
      <c r="AL10" s="62"/>
      <c r="AM10" s="62"/>
      <c r="AQ10" s="124"/>
      <c r="AR10" s="82"/>
      <c r="AS10" s="127"/>
      <c r="AV10" s="82"/>
      <c r="AW10" s="82"/>
      <c r="AX10" s="82"/>
      <c r="AY10" s="82"/>
    </row>
    <row r="11" spans="1:183" ht="12.75" customHeight="1" x14ac:dyDescent="0.25">
      <c r="A11" s="3">
        <v>1</v>
      </c>
      <c r="B11" s="2" t="s">
        <v>23</v>
      </c>
      <c r="C11" s="9">
        <v>45070000</v>
      </c>
      <c r="D11" s="93">
        <v>0.20657009096960283</v>
      </c>
      <c r="E11" s="102">
        <v>0.20287958060288336</v>
      </c>
      <c r="F11" s="102">
        <v>6.2117196969696968E-2</v>
      </c>
      <c r="G11" s="2">
        <v>3</v>
      </c>
      <c r="H11" s="2">
        <v>10</v>
      </c>
      <c r="I11" s="47">
        <f>D11*H11+(1-D11)*G11</f>
        <v>4.4459906367872195</v>
      </c>
      <c r="J11" s="39">
        <f>E11*H11+(1-E11)*G11</f>
        <v>4.4201570642201835</v>
      </c>
      <c r="K11" s="48">
        <f>F11*H11+(1-F11)*G11</f>
        <v>3.434820378787879</v>
      </c>
      <c r="L11" s="30">
        <v>0.29172907013596394</v>
      </c>
      <c r="M11" s="30">
        <v>0.26946834854495272</v>
      </c>
      <c r="N11" s="30">
        <v>7.0888692793976249E-2</v>
      </c>
      <c r="O11" s="30">
        <v>5.0358959421872962E-2</v>
      </c>
      <c r="P11" s="30">
        <v>4.2844733084238334E-2</v>
      </c>
      <c r="Q11" s="30">
        <v>0.16099483783877486</v>
      </c>
      <c r="R11" s="30">
        <v>5.66228944137264E-2</v>
      </c>
      <c r="S11" s="30">
        <v>5.6880875617286761E-2</v>
      </c>
      <c r="T11" s="30">
        <v>3.9846679654396998E-2</v>
      </c>
      <c r="U11" s="121">
        <v>250</v>
      </c>
      <c r="V11" s="6">
        <f>U11/$U$16</f>
        <v>8.6818861886704637E-2</v>
      </c>
      <c r="W11" s="9">
        <f>U11*I11</f>
        <v>1111.497659196805</v>
      </c>
      <c r="X11" s="26">
        <f>U11*G11</f>
        <v>750</v>
      </c>
      <c r="Y11" s="26">
        <f>U11*D11*(H11-G11)</f>
        <v>361.49765919680493</v>
      </c>
      <c r="Z11" s="9">
        <f>U11*L11</f>
        <v>72.932267533990981</v>
      </c>
      <c r="AA11" s="11">
        <f>U11/AE11</f>
        <v>5.5469270024406482E-6</v>
      </c>
      <c r="AB11" s="9">
        <f>1/AA11</f>
        <v>180280</v>
      </c>
      <c r="AC11" s="9">
        <f>Z11*AB11</f>
        <v>13148229.191027895</v>
      </c>
      <c r="AD11" s="9">
        <f>Z11*(AB11-$AA$18)^2</f>
        <v>1666387268951.8171</v>
      </c>
      <c r="AE11" s="31">
        <v>45070000</v>
      </c>
      <c r="AF11" s="76">
        <f>AE11/$AE$16</f>
        <v>0.34616118459844325</v>
      </c>
      <c r="AG11" s="54">
        <v>301.29450521238391</v>
      </c>
      <c r="AH11" s="39">
        <f>AG11/$AG$16</f>
        <v>9.776345670603942E-2</v>
      </c>
      <c r="AI11" s="31">
        <f>AG11*K11</f>
        <v>1034.8925065203071</v>
      </c>
      <c r="AJ11" s="31">
        <f>AG11*M11</f>
        <v>81.189332745249743</v>
      </c>
      <c r="AK11" s="40">
        <f>AG11/AE11</f>
        <v>6.685034506598267E-6</v>
      </c>
      <c r="AL11" s="31">
        <f>1/AK11</f>
        <v>149587.85912218993</v>
      </c>
      <c r="AM11" s="31">
        <f>AJ11*AL11</f>
        <v>12144938.468921021</v>
      </c>
      <c r="AN11" s="9">
        <f>AJ11*(AL11-$AK$18)^2</f>
        <v>1312622252006.8418</v>
      </c>
      <c r="AO11" s="31">
        <v>38150000</v>
      </c>
      <c r="AP11" s="76">
        <f>AO11/$AO$16</f>
        <v>0.29301075268817206</v>
      </c>
      <c r="AQ11" s="125">
        <v>309.88075295008753</v>
      </c>
      <c r="AR11" s="39">
        <f>AQ11/$AQ$16</f>
        <v>7.6653243699938228E-2</v>
      </c>
      <c r="AS11" s="128">
        <f>AQ11*K11</f>
        <v>1064.3847252270928</v>
      </c>
      <c r="AT11" s="26">
        <f>AQ11*G11</f>
        <v>929.64225885026258</v>
      </c>
      <c r="AU11" s="26">
        <f>AQ11*F11*(H11-G11)</f>
        <v>134.74246637683012</v>
      </c>
      <c r="AV11" s="31">
        <f>AQ11*N11</f>
        <v>21.967041498644804</v>
      </c>
      <c r="AW11" s="40">
        <f>AQ11/AO11</f>
        <v>8.1226933931870903E-6</v>
      </c>
      <c r="AX11" s="31">
        <f>1/AW11</f>
        <v>123111.87331516786</v>
      </c>
      <c r="AY11" s="31">
        <f>AV11*AX11</f>
        <v>2704403.6300901943</v>
      </c>
      <c r="AZ11" s="9">
        <f>AV11*(AX11-$AK$18)^2</f>
        <v>222646833443.66544</v>
      </c>
      <c r="BA11" s="31">
        <v>52800000</v>
      </c>
      <c r="BB11" s="76">
        <f>BA11/$BA$16</f>
        <v>0.40554018274930992</v>
      </c>
    </row>
    <row r="12" spans="1:183" ht="15" x14ac:dyDescent="0.25">
      <c r="A12" s="3">
        <v>2</v>
      </c>
      <c r="B12" s="2" t="s">
        <v>56</v>
      </c>
      <c r="C12" s="9">
        <v>27359462</v>
      </c>
      <c r="D12" s="93">
        <v>0.72005732422662405</v>
      </c>
      <c r="E12" s="102">
        <v>0.78133643523920648</v>
      </c>
      <c r="F12" s="102">
        <v>0.67100405386209283</v>
      </c>
      <c r="G12" s="2">
        <v>3</v>
      </c>
      <c r="H12" s="2">
        <v>10</v>
      </c>
      <c r="I12" s="47">
        <f t="shared" ref="I12:I14" si="0">D12*H12+(1-D12)*G12</f>
        <v>8.0404012695863685</v>
      </c>
      <c r="J12" s="39">
        <f t="shared" ref="J12:J14" si="1">E12*H12+(1-E12)*G12</f>
        <v>8.4693550466744458</v>
      </c>
      <c r="K12" s="48">
        <f t="shared" ref="K12:K14" si="2">F12*H12+(1-F12)*G12</f>
        <v>7.6970283770346501</v>
      </c>
      <c r="L12" s="30">
        <v>1.2489211448727107</v>
      </c>
      <c r="M12" s="30">
        <v>1.1948401804178668</v>
      </c>
      <c r="N12" s="30">
        <v>0.94741476676645864</v>
      </c>
      <c r="O12" s="30">
        <v>0.60614829043825624</v>
      </c>
      <c r="P12" s="30">
        <v>0.54973689628844224</v>
      </c>
      <c r="Q12" s="30">
        <v>0.74819769672375191</v>
      </c>
      <c r="R12" s="30">
        <v>0.62158124958878103</v>
      </c>
      <c r="S12" s="30">
        <v>0.65140789490222872</v>
      </c>
      <c r="T12" s="30">
        <v>0.5807288201787939</v>
      </c>
      <c r="U12" s="121">
        <v>1968.8717002575122</v>
      </c>
      <c r="V12" s="6">
        <f>U12/$U$16</f>
        <v>0.68374080086919309</v>
      </c>
      <c r="W12" s="9">
        <f>U12*I12</f>
        <v>15830.518518403172</v>
      </c>
      <c r="X12" s="26">
        <f t="shared" ref="X12:X14" si="3">U12*G12</f>
        <v>5906.6151007725366</v>
      </c>
      <c r="Y12" s="26">
        <f t="shared" ref="Y12:Y14" si="4">U12*D12*(H12-G12)</f>
        <v>9923.9034176306359</v>
      </c>
      <c r="Z12" s="9">
        <f>U12*L12</f>
        <v>2458.9654979930924</v>
      </c>
      <c r="AA12" s="11">
        <f>U12/AE12</f>
        <v>7.1963100014814331E-5</v>
      </c>
      <c r="AB12" s="9">
        <f t="shared" ref="AB12:AB14" si="5">1/AA12</f>
        <v>13896.010591457843</v>
      </c>
      <c r="AC12" s="9">
        <f t="shared" ref="AC12:AC14" si="6">Z12*AB12</f>
        <v>34169810.604141422</v>
      </c>
      <c r="AD12" s="9">
        <f t="shared" ref="AD12:AD14" si="7">Z12*(AB12-$AA$18)^2</f>
        <v>570142685291.64062</v>
      </c>
      <c r="AE12" s="31">
        <v>27359462</v>
      </c>
      <c r="AF12" s="76">
        <f>AE12/$AE$16</f>
        <v>0.21013498504317937</v>
      </c>
      <c r="AG12" s="54">
        <v>2280.577848532911</v>
      </c>
      <c r="AH12" s="39">
        <f>AG12/$AG$16</f>
        <v>0.73999747722792431</v>
      </c>
      <c r="AI12" s="31">
        <f>AG12*K12</f>
        <v>17553.672416194448</v>
      </c>
      <c r="AJ12" s="31">
        <f>AG12*M12</f>
        <v>2724.9260479980539</v>
      </c>
      <c r="AK12" s="40">
        <f>AG12/AE12</f>
        <v>8.3356092621006614E-5</v>
      </c>
      <c r="AL12" s="31">
        <f t="shared" ref="AL12:AL14" si="8">1/AK12</f>
        <v>11996.723557409041</v>
      </c>
      <c r="AM12" s="31">
        <f t="shared" ref="AM12:AM14" si="9">AJ12*AL12</f>
        <v>32690184.512215775</v>
      </c>
      <c r="AN12" s="9">
        <f t="shared" ref="AN12:AN14" si="10">AJ12*(AL12-$AK$18)^2</f>
        <v>296996969023.15881</v>
      </c>
      <c r="AO12" s="31">
        <v>34280000</v>
      </c>
      <c r="AP12" s="76">
        <f>AO12/$AO$16</f>
        <v>0.26328725038402456</v>
      </c>
      <c r="AQ12" s="125">
        <v>3036.6364458208654</v>
      </c>
      <c r="AR12" s="39">
        <f>AQ12/$AQ$16</f>
        <v>0.75115356889271856</v>
      </c>
      <c r="AS12" s="128">
        <f>AQ12*K12</f>
        <v>23373.076894220845</v>
      </c>
      <c r="AT12" s="26">
        <f>AQ12*G12</f>
        <v>9109.9093374625954</v>
      </c>
      <c r="AU12" s="26">
        <f>AQ12*F12*(H12-G12)</f>
        <v>14263.167556758248</v>
      </c>
      <c r="AV12" s="31">
        <f>AQ12*N12</f>
        <v>2876.9542100719032</v>
      </c>
      <c r="AW12" s="40">
        <f>AQ12/AO12</f>
        <v>8.8583326890923729E-5</v>
      </c>
      <c r="AX12" s="31">
        <f t="shared" ref="AX12:AX14" si="11">1/AW12</f>
        <v>11288.806089111338</v>
      </c>
      <c r="AY12" s="31">
        <f t="shared" ref="AY12:AY14" si="12">AV12*AX12</f>
        <v>32477378.2047542</v>
      </c>
      <c r="AZ12" s="9">
        <f t="shared" ref="AZ12:AZ14" si="13">AV12*(AX12-$AK$18)^2</f>
        <v>357533692142.54327</v>
      </c>
      <c r="BA12" s="31">
        <v>19626716</v>
      </c>
      <c r="BB12" s="76">
        <f>BA12/$BA$16</f>
        <v>0.15074662866304553</v>
      </c>
    </row>
    <row r="13" spans="1:183" ht="15" x14ac:dyDescent="0.25">
      <c r="A13" s="3">
        <v>3</v>
      </c>
      <c r="B13" s="2" t="s">
        <v>26</v>
      </c>
      <c r="C13" s="9">
        <v>29780000</v>
      </c>
      <c r="D13" s="93">
        <v>0.46480826057756885</v>
      </c>
      <c r="E13" s="102">
        <v>0.30620439892545331</v>
      </c>
      <c r="F13" s="102">
        <v>0.12156625251846877</v>
      </c>
      <c r="G13" s="2">
        <v>3</v>
      </c>
      <c r="H13" s="2">
        <v>10</v>
      </c>
      <c r="I13" s="47">
        <f t="shared" si="0"/>
        <v>6.2536578240429819</v>
      </c>
      <c r="J13" s="39">
        <f t="shared" si="1"/>
        <v>5.1434307924781733</v>
      </c>
      <c r="K13" s="48">
        <f t="shared" si="2"/>
        <v>3.8509637676292816</v>
      </c>
      <c r="L13" s="30">
        <v>0.78518617625574094</v>
      </c>
      <c r="M13" s="30">
        <v>0.42882643970588946</v>
      </c>
      <c r="N13" s="30">
        <v>0.15915838185008183</v>
      </c>
      <c r="O13" s="30">
        <v>0.11429204189289612</v>
      </c>
      <c r="P13" s="30">
        <v>0.1081768946302661</v>
      </c>
      <c r="Q13" s="30">
        <v>0.17632805816879735</v>
      </c>
      <c r="R13" s="30">
        <v>9.875066025131396E-2</v>
      </c>
      <c r="S13" s="30">
        <v>7.6581590715453174E-2</v>
      </c>
      <c r="T13" s="30">
        <v>7.1646896132100596E-2</v>
      </c>
      <c r="U13" s="121">
        <v>393.60270059155926</v>
      </c>
      <c r="V13" s="6">
        <f>U13/$U$16</f>
        <v>0.13668855400357016</v>
      </c>
      <c r="W13" s="9">
        <f>U13*I13</f>
        <v>2461.4566081188518</v>
      </c>
      <c r="X13" s="26">
        <f t="shared" si="3"/>
        <v>1180.8081017746777</v>
      </c>
      <c r="Y13" s="26">
        <f t="shared" si="4"/>
        <v>1280.6485063441739</v>
      </c>
      <c r="Z13" s="9">
        <f>U13*L13</f>
        <v>309.05139944141968</v>
      </c>
      <c r="AA13" s="11">
        <f>U13/AE13</f>
        <v>1.3217014794881104E-5</v>
      </c>
      <c r="AB13" s="9">
        <f t="shared" si="5"/>
        <v>75660.049982488927</v>
      </c>
      <c r="AC13" s="9">
        <f t="shared" si="6"/>
        <v>23382844.328895964</v>
      </c>
      <c r="AD13" s="9">
        <f t="shared" si="7"/>
        <v>669310166995.95276</v>
      </c>
      <c r="AE13" s="31">
        <v>29780000</v>
      </c>
      <c r="AF13" s="76">
        <f>AE13/$AE$16</f>
        <v>0.22872598352211318</v>
      </c>
      <c r="AG13" s="54">
        <v>250.00030050774819</v>
      </c>
      <c r="AH13" s="39">
        <f>AG13/$AG$16</f>
        <v>8.1119612645964401E-2</v>
      </c>
      <c r="AI13" s="31">
        <f>AG13*K13</f>
        <v>962.74209915177062</v>
      </c>
      <c r="AJ13" s="31">
        <f>AG13*M13</f>
        <v>107.20673879214013</v>
      </c>
      <c r="AK13" s="40">
        <f>AG13/AE13</f>
        <v>8.3949059942158556E-6</v>
      </c>
      <c r="AL13" s="31">
        <f t="shared" si="8"/>
        <v>119119.85681424027</v>
      </c>
      <c r="AM13" s="31">
        <f t="shared" si="9"/>
        <v>12770451.374441389</v>
      </c>
      <c r="AN13" s="9">
        <f t="shared" si="10"/>
        <v>1002129662859.0249</v>
      </c>
      <c r="AO13" s="31">
        <v>29780000</v>
      </c>
      <c r="AP13" s="76">
        <f>AO13/$AO$16</f>
        <v>0.22872503840245775</v>
      </c>
      <c r="AQ13" s="125">
        <v>380.773095901484</v>
      </c>
      <c r="AR13" s="39">
        <f>AQ13/$AQ$16</f>
        <v>9.4189434602340819E-2</v>
      </c>
      <c r="AS13" s="128">
        <f>AQ13*K13</f>
        <v>1466.3433960046445</v>
      </c>
      <c r="AT13" s="26">
        <f>AQ13*G13</f>
        <v>1142.3192877044521</v>
      </c>
      <c r="AU13" s="26">
        <f>AQ13*F13*(H13-G13)</f>
        <v>324.02410830019249</v>
      </c>
      <c r="AV13" s="31">
        <f>AQ13*N13</f>
        <v>60.603229795726214</v>
      </c>
      <c r="AW13" s="40">
        <f>AQ13/AO13</f>
        <v>1.278620201146689E-5</v>
      </c>
      <c r="AX13" s="31">
        <f t="shared" si="11"/>
        <v>78209.307118969533</v>
      </c>
      <c r="AY13" s="31">
        <f t="shared" si="12"/>
        <v>4739736.6114954371</v>
      </c>
      <c r="AZ13" s="9">
        <f t="shared" si="13"/>
        <v>188511560492.46091</v>
      </c>
      <c r="BA13" s="31">
        <v>29780000</v>
      </c>
      <c r="BB13" s="76">
        <f>BA13/$BA$16</f>
        <v>0.22873080761883427</v>
      </c>
    </row>
    <row r="14" spans="1:183" ht="15" x14ac:dyDescent="0.25">
      <c r="A14" s="3">
        <v>4</v>
      </c>
      <c r="B14" s="2" t="s">
        <v>22</v>
      </c>
      <c r="C14" s="9">
        <v>27990000</v>
      </c>
      <c r="D14" s="93">
        <v>0.37200057163272598</v>
      </c>
      <c r="E14" s="102">
        <v>0.25756798856734547</v>
      </c>
      <c r="F14" s="102">
        <v>0.1017719899964273</v>
      </c>
      <c r="G14" s="2">
        <v>3</v>
      </c>
      <c r="H14" s="2">
        <v>10</v>
      </c>
      <c r="I14" s="47">
        <f t="shared" si="0"/>
        <v>5.6040040014290824</v>
      </c>
      <c r="J14" s="39">
        <f t="shared" si="1"/>
        <v>4.8029759199714182</v>
      </c>
      <c r="K14" s="48">
        <f t="shared" si="2"/>
        <v>3.7124039299749909</v>
      </c>
      <c r="L14" s="30">
        <v>0.59550822621521549</v>
      </c>
      <c r="M14" s="30">
        <v>0.34671178564410987</v>
      </c>
      <c r="N14" s="30">
        <v>0.12835502032738921</v>
      </c>
      <c r="O14" s="30">
        <v>7.7573628367827385E-2</v>
      </c>
      <c r="P14" s="30">
        <v>6.4731058475573144E-2</v>
      </c>
      <c r="Q14" s="30">
        <v>0.13247033032661176</v>
      </c>
      <c r="R14" s="30">
        <v>6.7701868963697898E-2</v>
      </c>
      <c r="S14" s="30">
        <v>6.2579988316858862E-2</v>
      </c>
      <c r="T14" s="30">
        <v>6.1716004140025808E-2</v>
      </c>
      <c r="U14" s="121">
        <v>267.08419468101783</v>
      </c>
      <c r="V14" s="6">
        <f>U14/$U$16</f>
        <v>9.2751783240532071E-2</v>
      </c>
      <c r="W14" s="9">
        <f>U14*I14</f>
        <v>1496.740895710888</v>
      </c>
      <c r="X14" s="26">
        <f t="shared" si="3"/>
        <v>801.2525840430535</v>
      </c>
      <c r="Y14" s="26">
        <f t="shared" si="4"/>
        <v>695.4883116678343</v>
      </c>
      <c r="Z14" s="9">
        <f>U14*L14</f>
        <v>159.05083502461221</v>
      </c>
      <c r="AA14" s="11">
        <f>U14/AE14</f>
        <v>9.5421291418727339E-6</v>
      </c>
      <c r="AB14" s="9">
        <f t="shared" si="5"/>
        <v>104798.41397364912</v>
      </c>
      <c r="AC14" s="9">
        <f t="shared" si="6"/>
        <v>16668275.251763882</v>
      </c>
      <c r="AD14" s="9">
        <f t="shared" si="7"/>
        <v>910845998081.6123</v>
      </c>
      <c r="AE14" s="31">
        <v>27990000</v>
      </c>
      <c r="AF14" s="76">
        <f>AE14/$AE$16</f>
        <v>0.2149778468362642</v>
      </c>
      <c r="AG14" s="54">
        <v>249.99980979385407</v>
      </c>
      <c r="AH14" s="39">
        <f>AG14/$AG$16</f>
        <v>8.1119453420071749E-2</v>
      </c>
      <c r="AI14" s="31">
        <f>AG14*K14</f>
        <v>928.10027637170413</v>
      </c>
      <c r="AJ14" s="31">
        <f>AG14*M14</f>
        <v>86.677880464314967</v>
      </c>
      <c r="AK14" s="40">
        <f>AG14/AE14</f>
        <v>8.9317545478332993E-6</v>
      </c>
      <c r="AL14" s="31">
        <f t="shared" si="8"/>
        <v>111960.08518198521</v>
      </c>
      <c r="AM14" s="31">
        <f t="shared" si="9"/>
        <v>9704462.8801786359</v>
      </c>
      <c r="AN14" s="9">
        <f t="shared" si="10"/>
        <v>694674693141.78967</v>
      </c>
      <c r="AO14" s="31">
        <v>27990000</v>
      </c>
      <c r="AP14" s="76">
        <f>AO14/$AO$16</f>
        <v>0.21497695852534562</v>
      </c>
      <c r="AQ14" s="125">
        <v>315.34036246095837</v>
      </c>
      <c r="AR14" s="39">
        <f>AQ14/$AQ$16</f>
        <v>7.800375280500256E-2</v>
      </c>
      <c r="AS14" s="128">
        <f>AQ14*K14</f>
        <v>1170.6708008798</v>
      </c>
      <c r="AT14" s="26">
        <f>AQ14*G14</f>
        <v>946.02108738287507</v>
      </c>
      <c r="AU14" s="26">
        <f>AQ14*F14*(H14-G14)</f>
        <v>224.64971349692487</v>
      </c>
      <c r="AV14" s="31">
        <f>AQ14*N14</f>
        <v>40.475518633722594</v>
      </c>
      <c r="AW14" s="40">
        <f>AQ14/AO14</f>
        <v>1.1266179437690545E-5</v>
      </c>
      <c r="AX14" s="31">
        <f t="shared" si="11"/>
        <v>88761.234944877651</v>
      </c>
      <c r="AY14" s="31">
        <f t="shared" si="12"/>
        <v>3592657.0189636243</v>
      </c>
      <c r="AZ14" s="9">
        <f t="shared" si="13"/>
        <v>178049649564.19318</v>
      </c>
      <c r="BA14" s="31">
        <v>27990000</v>
      </c>
      <c r="BB14" s="76">
        <f>BA14/$BA$16</f>
        <v>0.21498238096881031</v>
      </c>
    </row>
    <row r="15" spans="1:183" ht="15" x14ac:dyDescent="0.25">
      <c r="A15" s="3"/>
      <c r="F15" s="102"/>
      <c r="I15" s="13"/>
      <c r="J15" s="10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21"/>
      <c r="V15" s="6"/>
      <c r="W15" s="9"/>
      <c r="Z15" s="9"/>
      <c r="AA15" s="6"/>
      <c r="AB15" s="6"/>
      <c r="AC15" s="6"/>
      <c r="AD15" s="6"/>
      <c r="AF15" s="76"/>
      <c r="AG15" s="54"/>
      <c r="AH15" s="39"/>
      <c r="AI15" s="31"/>
      <c r="AJ15" s="31"/>
      <c r="AK15" s="39"/>
      <c r="AL15" s="39"/>
      <c r="AM15" s="39"/>
      <c r="AN15" s="6"/>
      <c r="AO15" s="9"/>
      <c r="AP15" s="76"/>
      <c r="AQ15" s="125"/>
      <c r="AR15" s="39"/>
      <c r="AS15" s="128"/>
      <c r="AV15" s="31"/>
      <c r="AW15" s="39"/>
      <c r="AX15" s="39"/>
      <c r="AY15" s="39"/>
      <c r="AZ15" s="6"/>
      <c r="BA15" s="9"/>
      <c r="BB15" s="76"/>
    </row>
    <row r="16" spans="1:183" s="16" customFormat="1" ht="15" x14ac:dyDescent="0.25">
      <c r="A16" s="15" t="s">
        <v>1</v>
      </c>
      <c r="C16" s="85">
        <f>SUM(C11:C15)</f>
        <v>130199462</v>
      </c>
      <c r="D16" s="104">
        <v>0.40906298003072195</v>
      </c>
      <c r="E16" s="105">
        <v>0.39055299539170507</v>
      </c>
      <c r="F16" s="104">
        <v>0.17604702764976959</v>
      </c>
      <c r="I16" s="21"/>
      <c r="K16" s="50"/>
      <c r="L16" s="108">
        <v>0.67103921399783462</v>
      </c>
      <c r="M16" s="17">
        <v>0.56612556463642927</v>
      </c>
      <c r="N16" s="17">
        <v>0.23558874852277442</v>
      </c>
      <c r="U16" s="122">
        <f>SUM(U11:U15)</f>
        <v>2879.5585955300894</v>
      </c>
      <c r="V16" s="19">
        <f>U16/$U$16</f>
        <v>1</v>
      </c>
      <c r="W16" s="20">
        <f>SUM(W11:W14)</f>
        <v>20900.213681429719</v>
      </c>
      <c r="X16" s="129">
        <f>SUM(X11:X14)</f>
        <v>8638.6757865902673</v>
      </c>
      <c r="Y16" s="129">
        <f>SUM(Y11:Y14)</f>
        <v>12261.537894839448</v>
      </c>
      <c r="Z16" s="20">
        <f>SUM(Z11:Z14)</f>
        <v>2999.9999999931151</v>
      </c>
      <c r="AA16" s="18"/>
      <c r="AB16" s="18"/>
      <c r="AC16" s="20">
        <f>SUM(AC11:AC14)</f>
        <v>87369159.37582916</v>
      </c>
      <c r="AD16" s="20">
        <f>SUM(AD11:AD14)</f>
        <v>3816686119321.0229</v>
      </c>
      <c r="AE16" s="20">
        <f>SUM(AE11:AE15)</f>
        <v>130199462</v>
      </c>
      <c r="AF16" s="77">
        <f>AE16/$AE$16</f>
        <v>1</v>
      </c>
      <c r="AG16" s="55">
        <f>SUM(AG11:AG15)</f>
        <v>3081.8724640468977</v>
      </c>
      <c r="AH16" s="19">
        <f>SUM(AH11:AH15)</f>
        <v>0.99999999999999989</v>
      </c>
      <c r="AI16" s="20">
        <f>SUM(AI11:AI14)</f>
        <v>20479.407298238231</v>
      </c>
      <c r="AJ16" s="20">
        <f>SUM(AJ11:AJ14)</f>
        <v>2999.999999999759</v>
      </c>
      <c r="AK16" s="18"/>
      <c r="AL16" s="18"/>
      <c r="AM16" s="20">
        <f>SUM(AM11:AM14)</f>
        <v>67310037.235756814</v>
      </c>
      <c r="AN16" s="20">
        <f>SUM(AN11:AN14)</f>
        <v>3306423577030.8149</v>
      </c>
      <c r="AO16" s="20">
        <f>SUM(AO11:AO15)</f>
        <v>130200000</v>
      </c>
      <c r="AP16" s="77">
        <f>AO16/$AE$16</f>
        <v>1.0000041321215289</v>
      </c>
      <c r="AQ16" s="126">
        <f>SUM(AQ11:AQ15)</f>
        <v>4042.6306571333948</v>
      </c>
      <c r="AR16" s="19">
        <f>SUM(AR11:AR15)</f>
        <v>1.0000000000000002</v>
      </c>
      <c r="AS16" s="129">
        <f>SUM(AS11:AS14)</f>
        <v>27074.475816332386</v>
      </c>
      <c r="AT16" s="129">
        <f>SUM(AT11:AT14)</f>
        <v>12127.891971400184</v>
      </c>
      <c r="AU16" s="129">
        <f>SUM(AU11:AU14)</f>
        <v>14946.583844932196</v>
      </c>
      <c r="AV16" s="20">
        <f>SUM(AV11:AV14)</f>
        <v>2999.9999999999968</v>
      </c>
      <c r="AW16" s="18"/>
      <c r="AX16" s="18"/>
      <c r="AY16" s="20">
        <f>SUM(AY11:AY14)</f>
        <v>43514175.465303458</v>
      </c>
      <c r="AZ16" s="20">
        <f>SUM(AZ11:AZ14)</f>
        <v>946741735642.86279</v>
      </c>
      <c r="BA16" s="20">
        <f>SUM(BA11:BA15)</f>
        <v>130196716</v>
      </c>
      <c r="BB16" s="77">
        <f>BA16/$AE$16</f>
        <v>0.99997890928305067</v>
      </c>
    </row>
    <row r="17" spans="1:49" s="10" customFormat="1" x14ac:dyDescent="0.2">
      <c r="A17" s="37"/>
      <c r="D17" s="89"/>
      <c r="E17" s="89"/>
      <c r="F17" s="89"/>
      <c r="U17" s="38"/>
      <c r="V17" s="39"/>
      <c r="W17" s="38"/>
      <c r="X17" s="38"/>
      <c r="Y17" s="38"/>
      <c r="Z17" s="38"/>
      <c r="AA17" s="38"/>
      <c r="AB17" s="38"/>
      <c r="AC17" s="31"/>
      <c r="AD17" s="31"/>
      <c r="AE17" s="38"/>
      <c r="AF17" s="39"/>
      <c r="AG17" s="38"/>
      <c r="AH17" s="38"/>
      <c r="AI17" s="38"/>
      <c r="AJ17" s="38"/>
      <c r="AK17" s="38"/>
      <c r="AL17" s="38"/>
      <c r="AM17" s="31"/>
      <c r="AN17" s="31"/>
      <c r="AO17" s="31"/>
      <c r="AS17" s="86"/>
    </row>
    <row r="18" spans="1:49" s="10" customFormat="1" ht="15" x14ac:dyDescent="0.25">
      <c r="B18" s="68" t="s">
        <v>63</v>
      </c>
      <c r="C18" s="31">
        <f>C11*L11+C12*L12+C13*L13+C14*L14</f>
        <v>87369159.37582916</v>
      </c>
      <c r="D18" s="102"/>
      <c r="F18" s="89"/>
      <c r="U18" s="38">
        <f>MIN(U11:U14)</f>
        <v>250</v>
      </c>
      <c r="V18" s="39" t="s">
        <v>52</v>
      </c>
      <c r="W18" s="38"/>
      <c r="X18" s="38"/>
      <c r="Y18" s="38"/>
      <c r="Z18" s="56" t="s">
        <v>10</v>
      </c>
      <c r="AA18" s="28">
        <f>AC16/Z16</f>
        <v>29123.053125343224</v>
      </c>
      <c r="AB18" s="38"/>
      <c r="AC18" s="61"/>
      <c r="AD18" s="61"/>
      <c r="AE18" s="38">
        <f>MIN(AG11:AG14)</f>
        <v>249.99980979385407</v>
      </c>
      <c r="AF18" s="39" t="s">
        <v>52</v>
      </c>
      <c r="AG18" s="38"/>
      <c r="AH18" s="38"/>
      <c r="AI18" s="38"/>
      <c r="AJ18" s="56" t="s">
        <v>10</v>
      </c>
      <c r="AK18" s="28">
        <f>AM16/AJ16</f>
        <v>22436.679078587407</v>
      </c>
      <c r="AL18" s="38"/>
      <c r="AM18" s="89"/>
      <c r="AN18" s="61"/>
      <c r="AO18" s="31">
        <f>MIN(AQ11:AQ14)</f>
        <v>309.88075295008753</v>
      </c>
      <c r="AP18" s="39" t="s">
        <v>52</v>
      </c>
      <c r="AV18" s="56" t="s">
        <v>10</v>
      </c>
      <c r="AW18" s="28">
        <f>AY16/AV16</f>
        <v>14504.725155101169</v>
      </c>
    </row>
    <row r="19" spans="1:49" s="10" customFormat="1" ht="15" x14ac:dyDescent="0.25">
      <c r="B19" s="97" t="s">
        <v>62</v>
      </c>
      <c r="C19" s="31">
        <f>C11*M11+C12*M12+C13*M13+C14*M14</f>
        <v>67310037.235756814</v>
      </c>
      <c r="D19" s="102"/>
      <c r="F19" s="89"/>
      <c r="U19" s="38"/>
      <c r="V19" s="39"/>
      <c r="W19" s="39"/>
      <c r="X19" s="38"/>
      <c r="Y19" s="38"/>
      <c r="Z19" s="56" t="s">
        <v>45</v>
      </c>
      <c r="AA19" s="26">
        <f>AD16/Z16</f>
        <v>1272228706.4432607</v>
      </c>
      <c r="AB19" s="38"/>
      <c r="AC19" s="96"/>
      <c r="AD19" s="96"/>
      <c r="AE19" s="38"/>
      <c r="AF19" s="39"/>
      <c r="AG19" s="38"/>
      <c r="AH19" s="38"/>
      <c r="AI19" s="38"/>
      <c r="AJ19" s="56" t="s">
        <v>45</v>
      </c>
      <c r="AK19" s="26">
        <f>AN16/AJ16</f>
        <v>1102141192.3436935</v>
      </c>
      <c r="AL19" s="7"/>
      <c r="AM19" s="96"/>
      <c r="AN19" s="96"/>
      <c r="AO19" s="31"/>
      <c r="AV19" s="56" t="s">
        <v>45</v>
      </c>
      <c r="AW19" s="26">
        <f>AZ16/AV16</f>
        <v>315580578.54762125</v>
      </c>
    </row>
    <row r="20" spans="1:49" s="10" customFormat="1" ht="15.75" thickBot="1" x14ac:dyDescent="0.3">
      <c r="B20" s="100" t="s">
        <v>64</v>
      </c>
      <c r="C20" s="9">
        <f>C11*N11+C12*N12+C13*N13+C14*N14</f>
        <v>37448105.324269362</v>
      </c>
      <c r="D20" s="103"/>
      <c r="F20" s="103"/>
      <c r="U20" s="38"/>
      <c r="V20" s="39"/>
      <c r="W20" s="38"/>
      <c r="X20" s="38"/>
      <c r="Y20" s="38"/>
      <c r="Z20" s="8" t="s">
        <v>12</v>
      </c>
      <c r="AA20" s="57">
        <f>AA19/AA18^2</f>
        <v>1.5000004379295424</v>
      </c>
      <c r="AB20" s="38"/>
      <c r="AC20" s="96"/>
      <c r="AD20" s="96"/>
      <c r="AE20" s="38"/>
      <c r="AF20" s="39"/>
      <c r="AG20" s="38"/>
      <c r="AH20" s="38"/>
      <c r="AI20" s="38"/>
      <c r="AJ20" s="8" t="s">
        <v>12</v>
      </c>
      <c r="AK20" s="57">
        <f>AK19/AK18^2</f>
        <v>2.1893746347139778</v>
      </c>
      <c r="AL20" s="5"/>
      <c r="AM20" s="96"/>
      <c r="AN20" s="96"/>
      <c r="AO20" s="31"/>
      <c r="AQ20" s="116"/>
      <c r="AV20" s="8" t="s">
        <v>12</v>
      </c>
      <c r="AW20" s="57">
        <f>AW19/AW18^2</f>
        <v>1.5000000038504475</v>
      </c>
    </row>
    <row r="21" spans="1:49" s="10" customFormat="1" ht="15.75" thickBot="1" x14ac:dyDescent="0.3">
      <c r="B21" s="91"/>
      <c r="C21" s="91"/>
      <c r="D21" s="89"/>
      <c r="F21" s="91"/>
      <c r="V21" s="39"/>
      <c r="W21" s="38"/>
      <c r="X21" s="38"/>
      <c r="Y21" s="38"/>
      <c r="Z21" s="68" t="s">
        <v>88</v>
      </c>
      <c r="AA21" s="117">
        <f>MAX(AB11:AB14)/MIN(AB11:AB14)</f>
        <v>12.973507670670728</v>
      </c>
      <c r="AB21" s="81"/>
      <c r="AC21" s="96"/>
      <c r="AD21" s="96"/>
      <c r="AG21" s="80" t="s">
        <v>70</v>
      </c>
      <c r="AH21" s="39"/>
      <c r="AI21" s="38"/>
      <c r="AJ21" s="38"/>
      <c r="AK21" s="38"/>
      <c r="AL21" s="2"/>
      <c r="AM21" s="2"/>
      <c r="AN21" s="96"/>
      <c r="AV21" s="68" t="s">
        <v>88</v>
      </c>
      <c r="AW21" s="117">
        <f>MAX(AX11:AX14)/MIN(AX11:AX14)</f>
        <v>10.905659318031505</v>
      </c>
    </row>
    <row r="22" spans="1:49" s="10" customFormat="1" ht="15.75" thickBot="1" x14ac:dyDescent="0.3">
      <c r="B22" s="91"/>
      <c r="C22" s="91"/>
      <c r="D22" s="89"/>
      <c r="F22" s="91"/>
      <c r="U22" s="74" t="s">
        <v>69</v>
      </c>
      <c r="V22" s="39"/>
      <c r="W22" s="38"/>
      <c r="X22" s="38"/>
      <c r="Y22" s="38"/>
      <c r="Z22" s="68"/>
      <c r="AA22" s="117"/>
      <c r="AB22" s="81"/>
      <c r="AC22" s="96"/>
      <c r="AD22" s="96"/>
      <c r="AG22" s="118"/>
      <c r="AH22" s="39"/>
      <c r="AI22" s="38"/>
      <c r="AJ22" s="38"/>
      <c r="AK22" s="38"/>
      <c r="AL22" s="2"/>
      <c r="AM22" s="2"/>
      <c r="AN22" s="96"/>
      <c r="AQ22" s="80" t="s">
        <v>71</v>
      </c>
      <c r="AV22" s="2"/>
      <c r="AW22" s="2"/>
    </row>
    <row r="23" spans="1:49" s="10" customFormat="1" ht="15" x14ac:dyDescent="0.25">
      <c r="B23" s="92"/>
      <c r="C23" s="92"/>
      <c r="D23" s="93"/>
      <c r="F23" s="93"/>
      <c r="U23" s="70">
        <f>MIN($W$16)</f>
        <v>20900.213681429719</v>
      </c>
      <c r="V23" s="39"/>
      <c r="W23" s="38"/>
      <c r="X23" s="38"/>
      <c r="Z23" s="58" t="s">
        <v>59</v>
      </c>
      <c r="AA23" s="2">
        <v>2000</v>
      </c>
      <c r="AB23" s="38"/>
      <c r="AC23" s="61"/>
      <c r="AD23" s="61"/>
      <c r="AG23" s="70">
        <f>MIN($AI$16)</f>
        <v>20479.407298238231</v>
      </c>
      <c r="AH23" s="39"/>
      <c r="AI23" s="38"/>
      <c r="AJ23" s="38"/>
      <c r="AL23" s="58" t="s">
        <v>59</v>
      </c>
      <c r="AM23" s="2">
        <v>2000</v>
      </c>
      <c r="AN23" s="61"/>
      <c r="AQ23" s="31">
        <f>MIN($AS$16)</f>
        <v>27074.475816332386</v>
      </c>
      <c r="AV23" s="58" t="s">
        <v>59</v>
      </c>
      <c r="AW23" s="2">
        <v>2000</v>
      </c>
    </row>
    <row r="24" spans="1:49" s="10" customFormat="1" ht="15" x14ac:dyDescent="0.25">
      <c r="B24" s="92"/>
      <c r="D24" s="93"/>
      <c r="E24" s="93"/>
      <c r="F24" s="93"/>
      <c r="U24" s="71">
        <f>COUNT($U$11:$U$14)</f>
        <v>4</v>
      </c>
      <c r="V24" s="39"/>
      <c r="W24" s="38"/>
      <c r="X24" s="38"/>
      <c r="Z24" s="58" t="s">
        <v>60</v>
      </c>
      <c r="AA24" s="2">
        <f>AA23*AA25</f>
        <v>3000</v>
      </c>
      <c r="AB24" s="38"/>
      <c r="AC24" s="61"/>
      <c r="AD24" s="61"/>
      <c r="AG24" s="71">
        <f>COUNT($AG$11:$AG$14)</f>
        <v>4</v>
      </c>
      <c r="AH24" s="39"/>
      <c r="AI24" s="38"/>
      <c r="AJ24" s="38"/>
      <c r="AL24" s="58" t="s">
        <v>60</v>
      </c>
      <c r="AM24" s="2">
        <f>AM23*AM25</f>
        <v>3000</v>
      </c>
      <c r="AN24" s="61"/>
      <c r="AQ24" s="9">
        <f>COUNT($AQ$11:$AQ$14)</f>
        <v>4</v>
      </c>
      <c r="AV24" s="58" t="s">
        <v>60</v>
      </c>
      <c r="AW24" s="2">
        <f>AW23*AW25</f>
        <v>3000</v>
      </c>
    </row>
    <row r="25" spans="1:49" s="10" customFormat="1" ht="15" x14ac:dyDescent="0.25">
      <c r="B25" s="92"/>
      <c r="C25" s="92"/>
      <c r="D25" s="93"/>
      <c r="E25" s="93"/>
      <c r="F25" s="93"/>
      <c r="U25" s="71" t="b">
        <f>$AA$20&lt;=$AA$25</f>
        <v>0</v>
      </c>
      <c r="V25" s="39"/>
      <c r="W25" s="38"/>
      <c r="X25" s="38"/>
      <c r="Z25" s="58" t="s">
        <v>47</v>
      </c>
      <c r="AA25" s="2">
        <v>1.5</v>
      </c>
      <c r="AB25" s="30"/>
      <c r="AC25" s="96"/>
      <c r="AD25" s="96"/>
      <c r="AG25" s="71" t="b">
        <f>$AG$13&lt;=$AO$13</f>
        <v>1</v>
      </c>
      <c r="AH25" s="39"/>
      <c r="AI25" s="38"/>
      <c r="AJ25" s="38"/>
      <c r="AK25" s="38"/>
      <c r="AL25" s="58" t="s">
        <v>47</v>
      </c>
      <c r="AM25" s="2">
        <v>1.5</v>
      </c>
      <c r="AN25" s="96"/>
      <c r="AQ25" s="9" t="b">
        <f>$AQ$12&lt;=$BA$12</f>
        <v>1</v>
      </c>
      <c r="AV25" s="58" t="s">
        <v>47</v>
      </c>
      <c r="AW25" s="2">
        <v>1.5</v>
      </c>
    </row>
    <row r="26" spans="1:49" s="10" customFormat="1" ht="15" x14ac:dyDescent="0.25">
      <c r="A26" s="37"/>
      <c r="B26" s="92"/>
      <c r="C26" s="92"/>
      <c r="E26" s="93"/>
      <c r="F26" s="93"/>
      <c r="U26" s="72" t="b">
        <f>$U$12&lt;=$AE$12</f>
        <v>1</v>
      </c>
      <c r="V26" s="39"/>
      <c r="W26" s="38"/>
      <c r="X26" s="38"/>
      <c r="Z26" s="58" t="s">
        <v>48</v>
      </c>
      <c r="AA26" s="2">
        <v>250</v>
      </c>
      <c r="AC26" s="96"/>
      <c r="AD26" s="96"/>
      <c r="AG26" s="72" t="b">
        <f>$AG$11&lt;=$AO$11</f>
        <v>1</v>
      </c>
      <c r="AH26" s="39"/>
      <c r="AI26" s="38"/>
      <c r="AJ26" s="38"/>
      <c r="AK26" s="38"/>
      <c r="AL26" s="58" t="s">
        <v>48</v>
      </c>
      <c r="AM26" s="2">
        <v>250</v>
      </c>
      <c r="AN26" s="96"/>
      <c r="AQ26" s="2" t="b">
        <f>$AQ$11&lt;=$BA$11</f>
        <v>1</v>
      </c>
      <c r="AV26" s="58" t="s">
        <v>48</v>
      </c>
      <c r="AW26" s="2">
        <v>250</v>
      </c>
    </row>
    <row r="27" spans="1:49" s="10" customFormat="1" x14ac:dyDescent="0.2">
      <c r="A27" s="3"/>
      <c r="B27" s="89"/>
      <c r="C27" s="89"/>
      <c r="D27" s="89"/>
      <c r="E27" s="89"/>
      <c r="F27" s="89"/>
      <c r="U27" s="72" t="b">
        <f>$U$13&lt;=$AE$13</f>
        <v>1</v>
      </c>
      <c r="V27" s="39"/>
      <c r="W27" s="38"/>
      <c r="X27" s="38"/>
      <c r="Z27" s="68" t="s">
        <v>51</v>
      </c>
      <c r="AA27" s="67">
        <v>500000</v>
      </c>
      <c r="AC27" s="96"/>
      <c r="AD27" s="96"/>
      <c r="AG27" s="72" t="b">
        <f>$AG$14&lt;=$AO$14</f>
        <v>1</v>
      </c>
      <c r="AH27" s="39"/>
      <c r="AI27" s="38"/>
      <c r="AJ27" s="38"/>
      <c r="AK27" s="38"/>
      <c r="AL27" s="68" t="s">
        <v>51</v>
      </c>
      <c r="AM27" s="67">
        <v>500000</v>
      </c>
      <c r="AN27" s="96"/>
      <c r="AQ27" s="2" t="b">
        <f>$AQ$13&lt;=$BA$13</f>
        <v>1</v>
      </c>
      <c r="AV27" s="68" t="s">
        <v>51</v>
      </c>
      <c r="AW27" s="67">
        <v>500000</v>
      </c>
    </row>
    <row r="28" spans="1:49" s="10" customFormat="1" ht="15" x14ac:dyDescent="0.2">
      <c r="A28" s="3"/>
      <c r="B28" s="94"/>
      <c r="C28" s="94"/>
      <c r="D28" s="61"/>
      <c r="E28" s="89"/>
      <c r="F28" s="95"/>
      <c r="H28" s="31"/>
      <c r="I28" s="30"/>
      <c r="J28" s="30"/>
      <c r="U28" s="72" t="b">
        <f>$U$11&lt;=$AE$11</f>
        <v>1</v>
      </c>
      <c r="V28" s="39"/>
      <c r="W28" s="38"/>
      <c r="X28" s="38"/>
      <c r="Z28" s="8" t="s">
        <v>50</v>
      </c>
      <c r="AA28" s="31">
        <f>AA27/17</f>
        <v>29411.764705882353</v>
      </c>
      <c r="AB28" s="38"/>
      <c r="AC28" s="61"/>
      <c r="AD28" s="89"/>
      <c r="AG28" s="72" t="b">
        <f>$AG$12&lt;=$AO$12</f>
        <v>1</v>
      </c>
      <c r="AH28" s="39"/>
      <c r="AI28" s="38"/>
      <c r="AJ28" s="38"/>
      <c r="AK28" s="38"/>
      <c r="AL28" s="8" t="s">
        <v>50</v>
      </c>
      <c r="AM28" s="31">
        <f>AM27/17</f>
        <v>29411.764705882353</v>
      </c>
      <c r="AN28" s="89"/>
      <c r="AQ28" s="2" t="b">
        <f>$AO$18&gt;=$AW$26</f>
        <v>1</v>
      </c>
      <c r="AV28" s="8" t="s">
        <v>50</v>
      </c>
      <c r="AW28" s="31">
        <f>AW27/17</f>
        <v>29411.764705882353</v>
      </c>
    </row>
    <row r="29" spans="1:49" s="10" customFormat="1" ht="15" x14ac:dyDescent="0.2">
      <c r="B29" s="94"/>
      <c r="C29" s="94"/>
      <c r="D29" s="96"/>
      <c r="E29" s="89"/>
      <c r="F29" s="89"/>
      <c r="H29" s="31"/>
      <c r="I29" s="30"/>
      <c r="J29" s="30"/>
      <c r="U29" s="72" t="b">
        <f>$U$14&lt;=$AE$14</f>
        <v>1</v>
      </c>
      <c r="V29" s="39"/>
      <c r="W29" s="38"/>
      <c r="X29" s="38"/>
      <c r="Y29" s="38"/>
      <c r="Z29" s="38"/>
      <c r="AA29" s="38"/>
      <c r="AB29" s="38"/>
      <c r="AC29" s="96"/>
      <c r="AD29" s="96"/>
      <c r="AG29" s="72" t="b">
        <f>$AE$18&gt;=$AM$26</f>
        <v>0</v>
      </c>
      <c r="AH29" s="39"/>
      <c r="AI29" s="38"/>
      <c r="AJ29" s="38"/>
      <c r="AK29" s="38"/>
      <c r="AL29" s="38"/>
      <c r="AM29" s="38"/>
      <c r="AN29" s="96"/>
      <c r="AQ29" s="2" t="b">
        <f>$AQ$14&lt;=$BA$14</f>
        <v>1</v>
      </c>
      <c r="AV29" s="38"/>
      <c r="AW29" s="38"/>
    </row>
    <row r="30" spans="1:49" ht="15" x14ac:dyDescent="0.2">
      <c r="A30" s="3"/>
      <c r="B30" s="94"/>
      <c r="C30" s="94"/>
      <c r="D30" s="96"/>
      <c r="E30" s="89"/>
      <c r="F30" s="89"/>
      <c r="G30" s="10"/>
      <c r="H30" s="31"/>
      <c r="I30" s="30"/>
      <c r="J30" s="30"/>
      <c r="K30" s="10"/>
      <c r="L30" s="10"/>
      <c r="U30" s="72" t="b">
        <f>$U$18&gt;=$AA$26</f>
        <v>1</v>
      </c>
      <c r="V30" s="7"/>
      <c r="W30" s="7"/>
      <c r="X30" s="7"/>
      <c r="Y30" s="7"/>
      <c r="Z30" s="22" t="s">
        <v>58</v>
      </c>
      <c r="AA30" s="123">
        <f>AA23/L16</f>
        <v>2980.4517504791515</v>
      </c>
      <c r="AB30" s="38"/>
      <c r="AC30" s="96"/>
      <c r="AD30" s="96"/>
      <c r="AG30" s="72" t="b">
        <f>$AJ$16=$AM$24</f>
        <v>0</v>
      </c>
      <c r="AH30" s="7"/>
      <c r="AI30" s="7"/>
      <c r="AJ30" s="7"/>
      <c r="AK30" s="7"/>
      <c r="AL30" s="22" t="s">
        <v>58</v>
      </c>
      <c r="AM30" s="9">
        <f>AM23/M16</f>
        <v>3532.7851715801198</v>
      </c>
      <c r="AN30" s="96"/>
      <c r="AQ30" s="2" t="b">
        <f>$AV$16=$AW$24</f>
        <v>1</v>
      </c>
      <c r="AV30" s="22" t="s">
        <v>58</v>
      </c>
      <c r="AW30" s="123">
        <f>AW23/N16</f>
        <v>8489.369770588426</v>
      </c>
    </row>
    <row r="31" spans="1:49" ht="15" x14ac:dyDescent="0.2">
      <c r="A31" s="3"/>
      <c r="B31" s="94"/>
      <c r="C31" s="94"/>
      <c r="D31" s="96"/>
      <c r="E31" s="97"/>
      <c r="F31" s="97"/>
      <c r="G31" s="68"/>
      <c r="H31" s="31"/>
      <c r="I31" s="30"/>
      <c r="J31" s="30"/>
      <c r="K31" s="10"/>
      <c r="L31" s="68"/>
      <c r="M31" s="8"/>
      <c r="N31" s="8"/>
      <c r="O31" s="8"/>
      <c r="P31" s="8"/>
      <c r="Q31" s="8"/>
      <c r="R31" s="8"/>
      <c r="S31" s="8"/>
      <c r="T31" s="8"/>
      <c r="U31" s="72" t="b">
        <f>$Z$16=$AA$24</f>
        <v>0</v>
      </c>
      <c r="V31" s="7"/>
      <c r="W31" s="7"/>
      <c r="X31" s="7"/>
      <c r="Y31" s="7"/>
      <c r="Z31" s="22" t="s">
        <v>61</v>
      </c>
      <c r="AA31" s="78">
        <f>U16/AA30</f>
        <v>0.96614836830260986</v>
      </c>
      <c r="AB31" s="38"/>
      <c r="AC31" s="96"/>
      <c r="AD31" s="96"/>
      <c r="AG31" s="72" t="b">
        <f>$AK$20&lt;=$AM$25</f>
        <v>0</v>
      </c>
      <c r="AH31" s="7"/>
      <c r="AI31" s="7"/>
      <c r="AJ31" s="22"/>
      <c r="AK31" s="22"/>
      <c r="AL31" s="22" t="s">
        <v>61</v>
      </c>
      <c r="AM31" s="78">
        <f>AG16/AM30</f>
        <v>0.87236339442300681</v>
      </c>
      <c r="AN31" s="96"/>
      <c r="AQ31" s="2" t="b">
        <f>$AW$20&lt;=$AW$25</f>
        <v>0</v>
      </c>
      <c r="AV31" s="22" t="s">
        <v>61</v>
      </c>
      <c r="AW31" s="78">
        <f>AQ16/AW30</f>
        <v>0.47619914862692886</v>
      </c>
    </row>
    <row r="32" spans="1:49" ht="15" x14ac:dyDescent="0.2">
      <c r="A32" s="3"/>
      <c r="B32" s="94"/>
      <c r="C32" s="94"/>
      <c r="D32" s="61"/>
      <c r="E32" s="97"/>
      <c r="F32" s="98"/>
      <c r="G32" s="68"/>
      <c r="H32" s="86"/>
      <c r="I32" s="68"/>
      <c r="J32" s="68"/>
      <c r="K32" s="68"/>
      <c r="L32" s="87"/>
      <c r="M32" s="8"/>
      <c r="N32" s="8"/>
      <c r="O32" s="8"/>
      <c r="P32" s="8"/>
      <c r="Q32" s="8"/>
      <c r="R32" s="8"/>
      <c r="S32" s="8"/>
      <c r="T32" s="8"/>
      <c r="U32" s="72">
        <f>{32767,32767,0.000001,0.01,FALSE,FALSE,TRUE,1,2,1,0.0001,TRUE}</f>
        <v>32767</v>
      </c>
      <c r="AB32" s="31"/>
      <c r="AC32" s="61"/>
      <c r="AD32" s="89"/>
      <c r="AG32" s="72">
        <f>{32767,32767,0.000001,0.01,FALSE,FALSE,TRUE,1,2,1,0.0001,TRUE}</f>
        <v>32767</v>
      </c>
      <c r="AJ32" s="22"/>
      <c r="AK32" s="22"/>
      <c r="AL32" s="22"/>
      <c r="AM32" s="22"/>
      <c r="AN32" s="89"/>
      <c r="AQ32" s="14">
        <f>{32767,32767,0.000001,0.01,FALSE,FALSE,TRUE,1,2,1,0.0001,TRUE}</f>
        <v>32767</v>
      </c>
    </row>
    <row r="33" spans="1:52" ht="15" x14ac:dyDescent="0.2">
      <c r="B33" s="94"/>
      <c r="C33" s="94"/>
      <c r="D33" s="96"/>
      <c r="E33" s="97"/>
      <c r="F33" s="97"/>
      <c r="G33" s="68"/>
      <c r="H33" s="88"/>
      <c r="I33" s="68"/>
      <c r="J33" s="68"/>
      <c r="K33" s="68"/>
      <c r="L33" s="68"/>
      <c r="M33" s="8"/>
      <c r="N33" s="8"/>
      <c r="O33" s="8"/>
      <c r="P33" s="8"/>
      <c r="Q33" s="8"/>
      <c r="R33" s="8"/>
      <c r="S33" s="8"/>
      <c r="T33" s="8"/>
      <c r="U33" s="72">
        <f>{32767,32767,1,100,0,FALSE,FALSE,0.075,0,0,FALSE,30}</f>
        <v>32767</v>
      </c>
      <c r="X33" s="2" t="s">
        <v>76</v>
      </c>
      <c r="AB33" s="31"/>
      <c r="AC33" s="96"/>
      <c r="AD33" s="96"/>
      <c r="AG33" s="72">
        <f>{0,0,1,100,0,FALSE,FALSE,0.075,0,0,FALSE,30}</f>
        <v>0</v>
      </c>
      <c r="AJ33" s="2" t="s">
        <v>76</v>
      </c>
      <c r="AN33" s="96"/>
      <c r="AQ33" s="2">
        <f>{0,0,1,100,0,FALSE,FALSE,0.075,0,0,FALSE,30}</f>
        <v>0</v>
      </c>
      <c r="AT33" s="2" t="s">
        <v>76</v>
      </c>
    </row>
    <row r="34" spans="1:52" ht="15.75" thickBot="1" x14ac:dyDescent="0.25">
      <c r="B34" s="94"/>
      <c r="C34" s="94"/>
      <c r="E34" s="89"/>
      <c r="F34" s="89"/>
      <c r="G34" s="10"/>
      <c r="H34" s="10"/>
      <c r="I34" s="10"/>
      <c r="J34" s="10"/>
      <c r="K34" s="10"/>
      <c r="L34" s="10"/>
      <c r="U34" s="73"/>
      <c r="X34" s="2" t="s">
        <v>80</v>
      </c>
      <c r="AB34" s="31"/>
      <c r="AC34" s="96"/>
      <c r="AD34" s="96"/>
      <c r="AG34" s="73"/>
      <c r="AJ34" s="2" t="s">
        <v>80</v>
      </c>
      <c r="AN34" s="96"/>
      <c r="AT34" s="2" t="s">
        <v>80</v>
      </c>
    </row>
    <row r="35" spans="1:52" ht="26.25" x14ac:dyDescent="0.25">
      <c r="B35" s="94"/>
      <c r="C35" s="94"/>
      <c r="D35" s="93"/>
      <c r="E35" s="89"/>
      <c r="F35" s="89"/>
      <c r="G35" s="10"/>
      <c r="H35" s="10"/>
      <c r="I35" s="10"/>
      <c r="J35" s="10"/>
      <c r="K35" s="10"/>
      <c r="L35" s="10"/>
      <c r="W35" s="110" t="s">
        <v>77</v>
      </c>
      <c r="X35" s="110" t="s">
        <v>98</v>
      </c>
      <c r="Y35" s="110" t="s">
        <v>84</v>
      </c>
      <c r="Z35" s="110" t="s">
        <v>82</v>
      </c>
      <c r="AA35" s="110" t="s">
        <v>83</v>
      </c>
      <c r="AB35" s="115" t="s">
        <v>99</v>
      </c>
      <c r="AC35" s="115" t="s">
        <v>91</v>
      </c>
      <c r="AD35" s="115" t="s">
        <v>90</v>
      </c>
      <c r="AI35" s="110" t="s">
        <v>77</v>
      </c>
      <c r="AJ35" s="110" t="s">
        <v>84</v>
      </c>
      <c r="AK35" s="110" t="s">
        <v>82</v>
      </c>
      <c r="AL35" s="110" t="s">
        <v>83</v>
      </c>
      <c r="AN35" s="96"/>
      <c r="AS35" s="110" t="s">
        <v>77</v>
      </c>
      <c r="AT35" s="110" t="s">
        <v>98</v>
      </c>
      <c r="AU35" s="110" t="s">
        <v>84</v>
      </c>
      <c r="AV35" s="110" t="s">
        <v>82</v>
      </c>
      <c r="AW35" s="110" t="s">
        <v>83</v>
      </c>
      <c r="AX35" s="115" t="s">
        <v>99</v>
      </c>
      <c r="AY35" s="115" t="s">
        <v>91</v>
      </c>
      <c r="AZ35" s="115" t="s">
        <v>90</v>
      </c>
    </row>
    <row r="36" spans="1:52" ht="15" x14ac:dyDescent="0.25">
      <c r="B36" s="94"/>
      <c r="C36" s="94"/>
      <c r="D36" s="93"/>
      <c r="E36" s="89"/>
      <c r="F36" s="89"/>
      <c r="G36" s="10"/>
      <c r="H36" s="10"/>
      <c r="I36" s="10"/>
      <c r="J36" s="10"/>
      <c r="K36" s="10"/>
      <c r="L36" s="10"/>
      <c r="V36" s="8"/>
      <c r="W36" s="8">
        <v>1</v>
      </c>
      <c r="X36" s="26">
        <f>AA$30*Z36</f>
        <v>1031.7167085843669</v>
      </c>
      <c r="Y36" s="109">
        <f>I11</f>
        <v>4.4459906367872195</v>
      </c>
      <c r="Z36" s="111">
        <f>AF11</f>
        <v>0.34616118459844325</v>
      </c>
      <c r="AA36" s="112">
        <f>Y36*Z36</f>
        <v>1.539029385543851</v>
      </c>
      <c r="AB36" s="26">
        <f>X36*D11</f>
        <v>213.12181434713187</v>
      </c>
      <c r="AC36" s="149">
        <f>X36*G11</f>
        <v>3095.1501257531008</v>
      </c>
      <c r="AD36" s="9">
        <f>AB36*(H11-G11)</f>
        <v>1491.8527004299231</v>
      </c>
      <c r="AH36" s="8"/>
      <c r="AI36" s="8">
        <v>1</v>
      </c>
      <c r="AJ36" s="109">
        <f>J11</f>
        <v>4.4201570642201835</v>
      </c>
      <c r="AK36" s="111">
        <f>AP11</f>
        <v>0.29301075268817206</v>
      </c>
      <c r="AL36" s="112">
        <f>AJ36*AK36</f>
        <v>1.2951535483870968</v>
      </c>
      <c r="AM36" s="8"/>
      <c r="AN36" s="89"/>
      <c r="AS36" s="8">
        <v>1</v>
      </c>
      <c r="AT36" s="26">
        <f>$AW$30*AV36</f>
        <v>3442.7805681908976</v>
      </c>
      <c r="AU36" s="109">
        <f>K11</f>
        <v>3.434820378787879</v>
      </c>
      <c r="AV36" s="111">
        <f>BB11</f>
        <v>0.40554018274930992</v>
      </c>
      <c r="AW36" s="112">
        <f>AU36*AV36</f>
        <v>1.3929576841246905</v>
      </c>
      <c r="AX36" s="26">
        <f>AT36*F11</f>
        <v>213.85587867775922</v>
      </c>
      <c r="AY36" s="9">
        <f>G11*AT36</f>
        <v>10328.341704572693</v>
      </c>
      <c r="AZ36" s="9">
        <f>AX36*(H11-G11)</f>
        <v>1496.9911507443146</v>
      </c>
    </row>
    <row r="37" spans="1:52" ht="15" x14ac:dyDescent="0.25">
      <c r="A37" s="3"/>
      <c r="B37" s="94"/>
      <c r="C37" s="94"/>
      <c r="D37" s="93"/>
      <c r="E37" s="89"/>
      <c r="F37" s="89"/>
      <c r="G37" s="10"/>
      <c r="H37" s="10"/>
      <c r="I37" s="10"/>
      <c r="J37" s="10"/>
      <c r="K37" s="10"/>
      <c r="L37" s="10"/>
      <c r="V37" s="8"/>
      <c r="W37" s="8">
        <v>2</v>
      </c>
      <c r="X37" s="26">
        <f t="shared" ref="X37:X39" si="14">AA$30*Z37</f>
        <v>626.29718400885429</v>
      </c>
      <c r="Y37" s="109">
        <f>I12</f>
        <v>8.0404012695863685</v>
      </c>
      <c r="Z37" s="111">
        <f>AF12</f>
        <v>0.21013498504317937</v>
      </c>
      <c r="AA37" s="112">
        <f t="shared" ref="AA37:AA38" si="15">Y37*Z37</f>
        <v>1.6895696005256919</v>
      </c>
      <c r="AB37" s="26">
        <f t="shared" ref="AB37:AB39" si="16">X37*D12</f>
        <v>450.96987448808522</v>
      </c>
      <c r="AC37" s="149">
        <f t="shared" ref="AC37:AC39" si="17">X37*G12</f>
        <v>1878.8915520265627</v>
      </c>
      <c r="AD37" s="9">
        <f t="shared" ref="AD37:AD39" si="18">AB37*(H12-G12)</f>
        <v>3156.7891214165966</v>
      </c>
      <c r="AH37" s="8"/>
      <c r="AI37" s="8">
        <v>2</v>
      </c>
      <c r="AJ37" s="109">
        <f>J12</f>
        <v>8.4693550466744458</v>
      </c>
      <c r="AK37" s="111">
        <f>AP12</f>
        <v>0.26328725038402456</v>
      </c>
      <c r="AL37" s="112">
        <f t="shared" ref="AL37:AL39" si="19">AJ37*AK37</f>
        <v>2.2298732027649768</v>
      </c>
      <c r="AM37" s="8"/>
      <c r="AN37" s="96"/>
      <c r="AS37" s="8">
        <v>2</v>
      </c>
      <c r="AT37" s="26">
        <f>$AW$30*AV37</f>
        <v>1279.7438723901776</v>
      </c>
      <c r="AU37" s="109">
        <f>K12</f>
        <v>7.6970283770346501</v>
      </c>
      <c r="AV37" s="111">
        <f>BB12</f>
        <v>0.15074662866304553</v>
      </c>
      <c r="AW37" s="112">
        <f t="shared" ref="AW37:AW39" si="20">AU37*AV37</f>
        <v>1.1603010785617665</v>
      </c>
      <c r="AX37" s="26">
        <f>AT37*F12</f>
        <v>858.71332627898198</v>
      </c>
      <c r="AY37" s="9">
        <f>G12*AT37</f>
        <v>3839.2316171705324</v>
      </c>
      <c r="AZ37" s="9">
        <f>AX37*(H12-G12)</f>
        <v>6010.9932839528738</v>
      </c>
    </row>
    <row r="38" spans="1:52" ht="15" x14ac:dyDescent="0.2">
      <c r="A38" s="3"/>
      <c r="B38" s="94"/>
      <c r="C38" s="94"/>
      <c r="E38" s="89"/>
      <c r="F38" s="89"/>
      <c r="G38" s="10"/>
      <c r="H38" s="88"/>
      <c r="I38" s="10"/>
      <c r="J38" s="10"/>
      <c r="K38" s="10"/>
      <c r="L38" s="10"/>
      <c r="V38" s="8"/>
      <c r="W38" s="8">
        <v>3</v>
      </c>
      <c r="X38" s="26">
        <f t="shared" si="14"/>
        <v>681.70675796854778</v>
      </c>
      <c r="Y38" s="109">
        <f>I13</f>
        <v>6.2536578240429819</v>
      </c>
      <c r="Z38" s="111">
        <f>AF13</f>
        <v>0.22872598352211318</v>
      </c>
      <c r="AA38" s="112">
        <f t="shared" si="15"/>
        <v>1.4303740364149893</v>
      </c>
      <c r="AB38" s="26">
        <f t="shared" si="16"/>
        <v>316.86293239533444</v>
      </c>
      <c r="AC38" s="149">
        <f t="shared" si="17"/>
        <v>2045.1202739056434</v>
      </c>
      <c r="AD38" s="9">
        <f t="shared" si="18"/>
        <v>2218.0405267673409</v>
      </c>
      <c r="AH38" s="8"/>
      <c r="AI38" s="8">
        <v>3</v>
      </c>
      <c r="AJ38" s="109">
        <f>J13</f>
        <v>5.1434307924781733</v>
      </c>
      <c r="AK38" s="111">
        <f>AP13</f>
        <v>0.22872503840245775</v>
      </c>
      <c r="AL38" s="112">
        <f t="shared" si="19"/>
        <v>1.1764314055299538</v>
      </c>
      <c r="AM38" s="8"/>
      <c r="AN38" s="96"/>
      <c r="AS38" s="8">
        <v>3</v>
      </c>
      <c r="AT38" s="26">
        <f>$AW$30*AV38</f>
        <v>1941.7804038016086</v>
      </c>
      <c r="AU38" s="109">
        <f>K13</f>
        <v>3.8509637676292816</v>
      </c>
      <c r="AV38" s="111">
        <f>BB13</f>
        <v>0.22873080761883427</v>
      </c>
      <c r="AW38" s="112">
        <f t="shared" si="20"/>
        <v>0.88083405268071446</v>
      </c>
      <c r="AX38" s="26">
        <f>AT38*F13</f>
        <v>236.0549669039606</v>
      </c>
      <c r="AY38" s="9">
        <f>G13*AT38</f>
        <v>5825.341211404826</v>
      </c>
      <c r="AZ38" s="9">
        <f>AX38*(H13-G13)</f>
        <v>1652.3847683277243</v>
      </c>
    </row>
    <row r="39" spans="1:52" ht="15.75" thickBot="1" x14ac:dyDescent="0.3">
      <c r="B39" s="94"/>
      <c r="C39" s="94"/>
      <c r="D39" s="93"/>
      <c r="E39" s="89"/>
      <c r="F39" s="89"/>
      <c r="G39" s="10"/>
      <c r="H39" s="88"/>
      <c r="I39" s="10"/>
      <c r="J39" s="10"/>
      <c r="K39" s="10"/>
      <c r="L39" s="10"/>
      <c r="W39" s="2">
        <v>4</v>
      </c>
      <c r="X39" s="26">
        <f t="shared" si="14"/>
        <v>640.73109991738261</v>
      </c>
      <c r="Y39" s="109">
        <f>I14</f>
        <v>5.6040040014290824</v>
      </c>
      <c r="Z39" s="111">
        <f>AF14</f>
        <v>0.2149778468362642</v>
      </c>
      <c r="AA39" s="114">
        <f>Y39*Z39</f>
        <v>1.204736713889033</v>
      </c>
      <c r="AB39" s="26">
        <f t="shared" si="16"/>
        <v>238.35233543213161</v>
      </c>
      <c r="AC39" s="149">
        <f t="shared" si="17"/>
        <v>1922.1932997521478</v>
      </c>
      <c r="AD39" s="9">
        <f t="shared" si="18"/>
        <v>1668.4663480249212</v>
      </c>
      <c r="AI39" s="2">
        <v>4</v>
      </c>
      <c r="AJ39" s="109">
        <f>J14</f>
        <v>4.8029759199714182</v>
      </c>
      <c r="AK39" s="111">
        <f>AP14</f>
        <v>0.21497695852534562</v>
      </c>
      <c r="AL39" s="114">
        <f t="shared" si="19"/>
        <v>1.0325291551459292</v>
      </c>
      <c r="AN39" s="96"/>
      <c r="AS39" s="131">
        <v>4</v>
      </c>
      <c r="AT39" s="132">
        <f>$AW$30*AV39</f>
        <v>1825.0649262057427</v>
      </c>
      <c r="AU39" s="133">
        <f>K14</f>
        <v>3.7124039299749909</v>
      </c>
      <c r="AV39" s="134">
        <f>BB14</f>
        <v>0.21498238096881031</v>
      </c>
      <c r="AW39" s="135">
        <f t="shared" si="20"/>
        <v>0.79810143598399208</v>
      </c>
      <c r="AX39" s="132">
        <f>AT39*F14</f>
        <v>185.74048941264118</v>
      </c>
      <c r="AY39" s="136">
        <f>G14*AT39</f>
        <v>5475.1947786172277</v>
      </c>
      <c r="AZ39" s="136">
        <f>AX39*(H14-G14)</f>
        <v>1300.1834258884883</v>
      </c>
    </row>
    <row r="40" spans="1:52" ht="15.75" thickTop="1" x14ac:dyDescent="0.25">
      <c r="B40" s="94"/>
      <c r="C40" s="94"/>
      <c r="D40" s="93"/>
      <c r="E40" s="89"/>
      <c r="F40" s="95"/>
      <c r="G40" s="10"/>
      <c r="H40" s="10"/>
      <c r="I40" s="10"/>
      <c r="J40" s="10"/>
      <c r="K40" s="10"/>
      <c r="L40" s="10"/>
      <c r="W40" s="2" t="s">
        <v>1</v>
      </c>
      <c r="X40" s="26">
        <f>SUM(X36:X39)</f>
        <v>2980.4517504791511</v>
      </c>
      <c r="AA40" s="113">
        <f>SUM(AA36:AA39)</f>
        <v>5.8637097363735657</v>
      </c>
      <c r="AB40" s="26">
        <f>SUM(AB36:AB39)</f>
        <v>1219.3069566626832</v>
      </c>
      <c r="AC40" s="9">
        <f>SUM(AC36:AC39)</f>
        <v>8941.3552514374551</v>
      </c>
      <c r="AD40" s="9">
        <f>SUM(AD36:AD39)</f>
        <v>8535.148696638782</v>
      </c>
      <c r="AK40" s="2" t="s">
        <v>1</v>
      </c>
      <c r="AL40" s="113">
        <f>SUM(AL36:AL39)</f>
        <v>5.7339873118279563</v>
      </c>
      <c r="AM40" s="10"/>
      <c r="AN40" s="61"/>
      <c r="AS40" s="8" t="s">
        <v>1</v>
      </c>
      <c r="AT40" s="26">
        <f>SUM(AT36:AT39)</f>
        <v>8489.369770588426</v>
      </c>
      <c r="AW40" s="113">
        <f>SUM(AW36:AW39)</f>
        <v>4.2321942513511637</v>
      </c>
      <c r="AX40" s="26">
        <f>SUM(AX36:AX39)</f>
        <v>1494.364661273343</v>
      </c>
      <c r="AY40" s="9">
        <f>SUM(AY36:AY39)</f>
        <v>25468.109311765278</v>
      </c>
      <c r="AZ40" s="9">
        <f>SUM(AZ36:AZ39)</f>
        <v>10460.552628913401</v>
      </c>
    </row>
    <row r="41" spans="1:52" ht="15" x14ac:dyDescent="0.25">
      <c r="B41" s="94"/>
      <c r="C41" s="94"/>
      <c r="D41" s="93"/>
      <c r="E41" s="89"/>
      <c r="F41" s="89"/>
      <c r="G41" s="10"/>
      <c r="H41" s="10"/>
      <c r="I41" s="10"/>
      <c r="J41" s="10"/>
      <c r="K41" s="10"/>
      <c r="L41" s="10"/>
      <c r="U41" s="10"/>
      <c r="Z41" s="2" t="s">
        <v>85</v>
      </c>
      <c r="AA41" s="26">
        <f>AA40*AA30</f>
        <v>17476.503948076239</v>
      </c>
      <c r="AC41" s="10"/>
      <c r="AD41" s="96"/>
      <c r="AG41" s="10"/>
      <c r="AK41" s="2" t="s">
        <v>80</v>
      </c>
      <c r="AL41" s="26">
        <f>AL40*AM30</f>
        <v>20256.945349254358</v>
      </c>
      <c r="AM41" s="106"/>
      <c r="AN41" s="96"/>
      <c r="AV41" s="8" t="s">
        <v>80</v>
      </c>
      <c r="AW41" s="26">
        <f>AW40*AW30</f>
        <v>35928.661940678685</v>
      </c>
      <c r="AZ41" s="26"/>
    </row>
    <row r="42" spans="1:52" ht="15" x14ac:dyDescent="0.2">
      <c r="B42" s="94"/>
      <c r="C42" s="94"/>
      <c r="E42" s="89"/>
      <c r="F42" s="89"/>
      <c r="G42" s="10"/>
      <c r="H42" s="10"/>
      <c r="I42" s="10"/>
      <c r="J42" s="10"/>
      <c r="K42" s="10"/>
      <c r="L42" s="10"/>
      <c r="Y42" s="2" t="s">
        <v>78</v>
      </c>
      <c r="AA42" s="6">
        <f>W16/AA41</f>
        <v>1.1959035825200242</v>
      </c>
      <c r="AC42" s="10"/>
      <c r="AD42" s="79"/>
      <c r="AJ42" s="2" t="s">
        <v>78</v>
      </c>
      <c r="AL42" s="6">
        <f>AI16/AL41</f>
        <v>1.01098200864683</v>
      </c>
      <c r="AM42" s="106"/>
      <c r="AN42" s="10"/>
      <c r="AV42" s="8" t="s">
        <v>78</v>
      </c>
      <c r="AW42" s="6">
        <f>AS16/AW41</f>
        <v>0.75356204083065148</v>
      </c>
    </row>
    <row r="43" spans="1:52" ht="15" x14ac:dyDescent="0.2">
      <c r="B43" s="94"/>
      <c r="C43" s="94"/>
      <c r="D43" s="96"/>
      <c r="E43" s="89"/>
      <c r="F43" s="89"/>
      <c r="G43" s="10"/>
      <c r="H43" s="10"/>
      <c r="I43" s="10"/>
      <c r="J43" s="10"/>
      <c r="K43" s="10"/>
      <c r="L43" s="10"/>
      <c r="Z43" s="8" t="s">
        <v>89</v>
      </c>
      <c r="AA43" s="6">
        <f>U16/AA30</f>
        <v>0.96614836830260986</v>
      </c>
      <c r="AC43" s="10"/>
      <c r="AD43" s="10"/>
      <c r="AK43" s="8" t="s">
        <v>89</v>
      </c>
      <c r="AL43" s="6">
        <f>AG16/AM30</f>
        <v>0.87236339442300681</v>
      </c>
      <c r="AM43" s="106"/>
      <c r="AN43" s="10"/>
      <c r="AV43" s="8" t="s">
        <v>89</v>
      </c>
      <c r="AW43" s="6">
        <f>AQ16/AW30</f>
        <v>0.47619914862692886</v>
      </c>
    </row>
    <row r="44" spans="1:52" ht="15" x14ac:dyDescent="0.2">
      <c r="B44" s="94"/>
      <c r="C44" s="94"/>
      <c r="D44" s="61"/>
      <c r="E44" s="89"/>
      <c r="F44" s="95"/>
      <c r="G44" s="10"/>
      <c r="H44" s="10"/>
      <c r="I44" s="10"/>
      <c r="J44" s="10"/>
      <c r="K44" s="10"/>
      <c r="L44" s="10"/>
      <c r="AC44" s="10"/>
      <c r="AD44" s="10"/>
      <c r="AK44" s="106"/>
      <c r="AL44" s="106"/>
      <c r="AM44" s="10"/>
      <c r="AN44" s="10"/>
    </row>
    <row r="45" spans="1:52" ht="15" x14ac:dyDescent="0.2">
      <c r="B45" s="94"/>
      <c r="C45" s="94"/>
      <c r="D45" s="96"/>
      <c r="E45" s="89"/>
      <c r="F45" s="89"/>
      <c r="G45" s="10"/>
      <c r="H45" s="10"/>
      <c r="I45" s="10"/>
      <c r="J45" s="10"/>
      <c r="K45" s="10"/>
      <c r="L45" s="10"/>
      <c r="AC45" s="10"/>
      <c r="AD45" s="10"/>
      <c r="AK45" s="107"/>
      <c r="AL45" s="107"/>
      <c r="AM45" s="10"/>
      <c r="AN45" s="10"/>
    </row>
    <row r="46" spans="1:52" ht="15" x14ac:dyDescent="0.2">
      <c r="B46" s="94"/>
      <c r="C46" s="94"/>
      <c r="D46" s="96"/>
      <c r="E46" s="89"/>
      <c r="F46" s="89"/>
      <c r="G46" s="10"/>
      <c r="H46" s="10"/>
      <c r="I46" s="10"/>
      <c r="J46" s="10"/>
      <c r="K46" s="10"/>
      <c r="L46" s="10"/>
      <c r="AK46" s="106"/>
      <c r="AL46" s="106"/>
      <c r="AS46" s="130" t="s">
        <v>101</v>
      </c>
    </row>
    <row r="47" spans="1:52" ht="25.5" x14ac:dyDescent="0.2">
      <c r="B47" s="94"/>
      <c r="C47" s="94"/>
      <c r="D47" s="96"/>
      <c r="E47" s="89"/>
      <c r="F47" s="89"/>
      <c r="G47" s="10"/>
      <c r="H47" s="10"/>
      <c r="I47" s="10"/>
      <c r="J47" s="10"/>
      <c r="K47" s="10"/>
      <c r="L47" s="10"/>
      <c r="AK47" s="10"/>
      <c r="AL47" s="10"/>
      <c r="AS47" s="131" t="s">
        <v>92</v>
      </c>
      <c r="AT47" s="131" t="s">
        <v>93</v>
      </c>
      <c r="AU47" s="137" t="s">
        <v>94</v>
      </c>
      <c r="AV47" s="137" t="s">
        <v>100</v>
      </c>
    </row>
    <row r="48" spans="1:52" ht="15" x14ac:dyDescent="0.2">
      <c r="B48" s="99"/>
      <c r="C48" s="99"/>
      <c r="D48" s="61"/>
      <c r="E48" s="89"/>
      <c r="F48" s="95"/>
      <c r="G48" s="10"/>
      <c r="H48" s="10"/>
      <c r="I48" s="10"/>
      <c r="J48" s="10"/>
      <c r="K48" s="10"/>
      <c r="L48" s="10"/>
      <c r="AS48" s="2" t="s">
        <v>95</v>
      </c>
      <c r="AT48" s="9">
        <f>AT16</f>
        <v>12127.891971400184</v>
      </c>
      <c r="AU48" s="9">
        <f>AY40</f>
        <v>25468.109311765278</v>
      </c>
      <c r="AV48" s="6">
        <f>AT48/AU48</f>
        <v>0.47619914862692886</v>
      </c>
    </row>
    <row r="49" spans="2:48" ht="15" x14ac:dyDescent="0.2">
      <c r="B49" s="99"/>
      <c r="C49" s="99"/>
      <c r="D49" s="96"/>
      <c r="E49" s="89"/>
      <c r="F49" s="89"/>
      <c r="G49" s="10"/>
      <c r="H49" s="10"/>
      <c r="I49" s="10"/>
      <c r="J49" s="10"/>
      <c r="K49" s="10"/>
      <c r="L49" s="10"/>
      <c r="AS49" s="2" t="s">
        <v>96</v>
      </c>
      <c r="AT49" s="9">
        <f>AU16</f>
        <v>14946.583844932196</v>
      </c>
      <c r="AU49" s="9">
        <f>AZ40</f>
        <v>10460.552628913401</v>
      </c>
      <c r="AV49" s="6">
        <f t="shared" ref="AV49:AV50" si="21">AT49/AU49</f>
        <v>1.4288522198740454</v>
      </c>
    </row>
    <row r="50" spans="2:48" x14ac:dyDescent="0.2">
      <c r="B50" s="89"/>
      <c r="C50" s="89"/>
      <c r="D50" s="89"/>
      <c r="E50" s="89"/>
      <c r="F50" s="89"/>
      <c r="G50" s="10"/>
      <c r="H50" s="10"/>
      <c r="I50" s="10"/>
      <c r="J50" s="10"/>
      <c r="K50" s="10"/>
      <c r="L50" s="10"/>
      <c r="AS50" s="2" t="s">
        <v>97</v>
      </c>
      <c r="AT50" s="9">
        <f>SUM(AT48:AT49)</f>
        <v>27074.475816332379</v>
      </c>
      <c r="AU50" s="9">
        <f>SUM(AU48:AU49)</f>
        <v>35928.661940678678</v>
      </c>
      <c r="AV50" s="6">
        <f t="shared" si="21"/>
        <v>0.75356204083065148</v>
      </c>
    </row>
    <row r="51" spans="2:48" x14ac:dyDescent="0.2">
      <c r="B51" s="90"/>
      <c r="C51" s="90"/>
      <c r="D51" s="90"/>
      <c r="E51" s="90"/>
      <c r="F51" s="90"/>
    </row>
    <row r="52" spans="2:48" x14ac:dyDescent="0.2">
      <c r="B52" s="90"/>
      <c r="C52" s="90"/>
      <c r="D52" s="90"/>
      <c r="E52" s="90"/>
      <c r="F52" s="90"/>
    </row>
    <row r="53" spans="2:48" x14ac:dyDescent="0.2">
      <c r="B53" s="90"/>
      <c r="C53" s="90"/>
      <c r="D53" s="90"/>
      <c r="E53" s="90"/>
      <c r="F53" s="90"/>
    </row>
  </sheetData>
  <mergeCells count="6">
    <mergeCell ref="AG8:AP8"/>
    <mergeCell ref="AQ8:BB8"/>
    <mergeCell ref="L8:N8"/>
    <mergeCell ref="D8:F8"/>
    <mergeCell ref="I8:K8"/>
    <mergeCell ref="U8:AF8"/>
  </mergeCells>
  <printOptions gridLines="1"/>
  <pageMargins left="0.7" right="0.7" top="0.75" bottom="0.75" header="0.3" footer="0.3"/>
  <pageSetup scale="72" orientation="landscape" r:id="rId1"/>
  <colBreaks count="4" manualBreakCount="4">
    <brk id="14" max="32" man="1"/>
    <brk id="30" max="1048575" man="1"/>
    <brk id="40" max="1048575" man="1"/>
    <brk id="50" max="3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>
      <selection activeCell="E18" sqref="E18"/>
    </sheetView>
  </sheetViews>
  <sheetFormatPr defaultRowHeight="15" x14ac:dyDescent="0.25"/>
  <cols>
    <col min="1" max="2" width="9.140625" style="138"/>
    <col min="3" max="3" width="9.42578125" style="138" bestFit="1" customWidth="1"/>
    <col min="4" max="5" width="10.85546875" style="138" customWidth="1"/>
    <col min="6" max="6" width="2.85546875" style="138" customWidth="1"/>
    <col min="7" max="7" width="11.42578125" style="138" customWidth="1"/>
    <col min="8" max="8" width="9.42578125" style="138" bestFit="1" customWidth="1"/>
    <col min="9" max="9" width="10.140625" style="138" bestFit="1" customWidth="1"/>
    <col min="10" max="10" width="11.140625" style="138" customWidth="1"/>
    <col min="11" max="16384" width="9.140625" style="138"/>
  </cols>
  <sheetData>
    <row r="3" spans="2:10" x14ac:dyDescent="0.25">
      <c r="B3" s="155"/>
      <c r="C3" s="169" t="s">
        <v>103</v>
      </c>
      <c r="D3" s="169"/>
      <c r="E3" s="156"/>
      <c r="F3" s="156"/>
      <c r="G3" s="169" t="s">
        <v>104</v>
      </c>
      <c r="H3" s="169"/>
      <c r="I3" s="169"/>
      <c r="J3" s="169"/>
    </row>
    <row r="4" spans="2:10" s="139" customFormat="1" ht="61.5" customHeight="1" x14ac:dyDescent="0.25">
      <c r="B4" s="141" t="s">
        <v>102</v>
      </c>
      <c r="C4" s="142" t="s">
        <v>93</v>
      </c>
      <c r="D4" s="141" t="s">
        <v>94</v>
      </c>
      <c r="E4" s="141" t="s">
        <v>105</v>
      </c>
      <c r="F4" s="141"/>
      <c r="G4" s="142" t="s">
        <v>92</v>
      </c>
      <c r="H4" s="142" t="s">
        <v>93</v>
      </c>
      <c r="I4" s="141" t="s">
        <v>94</v>
      </c>
      <c r="J4" s="141" t="s">
        <v>105</v>
      </c>
    </row>
    <row r="5" spans="2:10" x14ac:dyDescent="0.25">
      <c r="B5" s="144" t="s">
        <v>63</v>
      </c>
      <c r="C5" s="151">
        <f>'NSFG LP setup-4 strata'!U16</f>
        <v>2879.5585955300894</v>
      </c>
      <c r="D5" s="157">
        <f>'NSFG LP setup-4 strata'!AA30</f>
        <v>2980.4517504791515</v>
      </c>
      <c r="E5" s="143">
        <f>C5/D5</f>
        <v>0.96614836830260986</v>
      </c>
      <c r="F5" s="146"/>
      <c r="G5" s="138" t="s">
        <v>95</v>
      </c>
      <c r="H5" s="150">
        <f>'NSFG LP setup-4 strata'!X16</f>
        <v>8638.6757865902673</v>
      </c>
      <c r="I5" s="151">
        <f>'NSFG LP setup-4 strata'!AC40</f>
        <v>8941.3552514374551</v>
      </c>
      <c r="J5" s="143">
        <f>H5/I5</f>
        <v>0.96614836830260964</v>
      </c>
    </row>
    <row r="6" spans="2:10" x14ac:dyDescent="0.25">
      <c r="B6" s="144"/>
      <c r="C6" s="145"/>
      <c r="D6" s="146"/>
      <c r="E6" s="144"/>
      <c r="F6" s="146"/>
      <c r="G6" s="138" t="s">
        <v>96</v>
      </c>
      <c r="H6" s="151">
        <f>'NSFG LP setup-4 strata'!Y16</f>
        <v>12261.537894839448</v>
      </c>
      <c r="I6" s="152">
        <f>'NSFG LP setup-4 strata'!AD40</f>
        <v>8535.148696638782</v>
      </c>
      <c r="J6" s="143">
        <f t="shared" ref="J6:J7" si="0">H6/I6</f>
        <v>1.4365933542163303</v>
      </c>
    </row>
    <row r="7" spans="2:10" x14ac:dyDescent="0.25">
      <c r="B7" s="144"/>
      <c r="C7" s="145"/>
      <c r="D7" s="146"/>
      <c r="E7" s="144"/>
      <c r="F7" s="146"/>
      <c r="G7" s="138" t="s">
        <v>97</v>
      </c>
      <c r="H7" s="150">
        <f>SUM(H5:H6)</f>
        <v>20900.213681429716</v>
      </c>
      <c r="I7" s="150">
        <f>SUM(I5:I6)</f>
        <v>17476.503948076235</v>
      </c>
      <c r="J7" s="143">
        <f t="shared" si="0"/>
        <v>1.1959035825200242</v>
      </c>
    </row>
    <row r="8" spans="2:10" x14ac:dyDescent="0.25">
      <c r="B8" s="144"/>
      <c r="C8" s="145"/>
      <c r="D8" s="146"/>
      <c r="E8" s="144"/>
      <c r="F8" s="146"/>
      <c r="G8" s="145"/>
      <c r="H8" s="145"/>
      <c r="I8" s="144"/>
      <c r="J8" s="144"/>
    </row>
    <row r="9" spans="2:10" x14ac:dyDescent="0.25">
      <c r="B9" s="138" t="s">
        <v>64</v>
      </c>
      <c r="C9" s="151">
        <f>'NSFG LP setup-4 strata'!AQ16</f>
        <v>4042.6306571333948</v>
      </c>
      <c r="D9" s="151">
        <f>'NSFG LP setup-4 strata'!AW30</f>
        <v>8489.369770588426</v>
      </c>
      <c r="E9" s="143">
        <f>C9/D9</f>
        <v>0.47619914862692886</v>
      </c>
      <c r="G9" s="138" t="s">
        <v>95</v>
      </c>
      <c r="H9" s="150">
        <f>'NSFG LP setup-4 strata'!AT16</f>
        <v>12127.891971400184</v>
      </c>
      <c r="I9" s="150">
        <f>'NSFG LP setup-4 strata'!AY40</f>
        <v>25468.109311765278</v>
      </c>
      <c r="J9" s="143">
        <f>H9/I9</f>
        <v>0.47619914862692886</v>
      </c>
    </row>
    <row r="10" spans="2:10" x14ac:dyDescent="0.25">
      <c r="G10" s="138" t="s">
        <v>96</v>
      </c>
      <c r="H10" s="150">
        <f>'NSFG LP setup-4 strata'!AU16</f>
        <v>14946.583844932196</v>
      </c>
      <c r="I10" s="150">
        <f>'NSFG LP setup-4 strata'!AZ40</f>
        <v>10460.552628913401</v>
      </c>
      <c r="J10" s="143">
        <f t="shared" ref="J10:J11" si="1">H10/I10</f>
        <v>1.4288522198740454</v>
      </c>
    </row>
    <row r="11" spans="2:10" x14ac:dyDescent="0.25">
      <c r="B11" s="140"/>
      <c r="C11" s="140"/>
      <c r="D11" s="140"/>
      <c r="E11" s="140"/>
      <c r="F11" s="140"/>
      <c r="G11" s="140" t="s">
        <v>97</v>
      </c>
      <c r="H11" s="153">
        <f>SUM(H9:H10)</f>
        <v>27074.475816332379</v>
      </c>
      <c r="I11" s="153">
        <f>SUM(I9:I10)</f>
        <v>35928.661940678678</v>
      </c>
      <c r="J11" s="154">
        <f t="shared" si="1"/>
        <v>0.75356204083065148</v>
      </c>
    </row>
  </sheetData>
  <mergeCells count="2">
    <mergeCell ref="G3:J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NSFG LP setup-5 strata</vt:lpstr>
      <vt:lpstr>NSFG LP setup-4 strata</vt:lpstr>
      <vt:lpstr>Table 5</vt:lpstr>
      <vt:lpstr>'NSFG LP setup-4 strata'!Print_Area</vt:lpstr>
      <vt:lpstr>'NSFG LP setup-4 strata'!Print_Titles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rvalliant</dc:creator>
  <cp:lastModifiedBy>rv</cp:lastModifiedBy>
  <cp:lastPrinted>2013-04-08T20:58:20Z</cp:lastPrinted>
  <dcterms:created xsi:type="dcterms:W3CDTF">2012-10-18T13:32:27Z</dcterms:created>
  <dcterms:modified xsi:type="dcterms:W3CDTF">2017-07-25T19:36:51Z</dcterms:modified>
</cp:coreProperties>
</file>