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ractical Tools Book\Book Chapters\5 Math Programming\Examples\"/>
    </mc:Choice>
  </mc:AlternateContent>
  <bookViews>
    <workbookView xWindow="0" yWindow="0" windowWidth="16932" windowHeight="3072"/>
  </bookViews>
  <sheets>
    <sheet name="solver" sheetId="1" r:id="rId1"/>
    <sheet name="tex table" sheetId="2" r:id="rId2"/>
  </sheets>
  <definedNames>
    <definedName name="solver_adj" localSheetId="0" hidden="1">solver!$E$13:$E$15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solver!$E$20</definedName>
    <definedName name="solver_lhs2" localSheetId="0" hidden="1">solver!$E$13:$E$15</definedName>
    <definedName name="solver_lhs3" localSheetId="0" hidden="1">solver!$F$18</definedName>
    <definedName name="solver_lhs4" localSheetId="0" hidden="1">solver!$R$18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solver!$P$20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solver!$B$7</definedName>
    <definedName name="solver_rhs2" localSheetId="0" hidden="1">solver!$B$13:$B$15</definedName>
    <definedName name="solver_rhs3" localSheetId="0" hidden="1">solver!$B$5</definedName>
    <definedName name="solver_rhs4" localSheetId="0" hidden="1">solver!$B$4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1" l="1"/>
  <c r="Q13" i="1"/>
  <c r="Q15" i="1"/>
  <c r="Q14" i="1"/>
  <c r="O15" i="1"/>
  <c r="O14" i="1"/>
  <c r="O13" i="1"/>
  <c r="F29" i="1" l="1"/>
  <c r="F28" i="1"/>
  <c r="F26" i="1" a="1"/>
  <c r="F26" i="1" s="1"/>
  <c r="F24" i="1"/>
  <c r="U13" i="1"/>
  <c r="T13" i="1"/>
  <c r="P13" i="1"/>
  <c r="K15" i="1"/>
  <c r="K14" i="1"/>
  <c r="K13" i="1"/>
  <c r="G15" i="1"/>
  <c r="G14" i="1"/>
  <c r="G13" i="1"/>
  <c r="G8" i="1"/>
  <c r="W6" i="2" l="1" a="1"/>
  <c r="W6" i="2" s="1"/>
  <c r="S6" i="2"/>
  <c r="K6" i="2"/>
  <c r="O6" i="2" s="1" a="1"/>
  <c r="O6" i="2" s="1"/>
  <c r="I6" i="2"/>
  <c r="C6" i="2"/>
  <c r="U5" i="2"/>
  <c r="U4" i="2"/>
  <c r="U3" i="2"/>
  <c r="M16" i="1" l="1" a="1"/>
  <c r="M16" i="1"/>
  <c r="I16" i="1" a="1"/>
  <c r="I16" i="1" s="1"/>
  <c r="L15" i="1"/>
  <c r="L14" i="1"/>
  <c r="L13" i="1"/>
  <c r="U16" i="1"/>
  <c r="R19" i="1"/>
  <c r="U15" i="1"/>
  <c r="U14" i="1"/>
  <c r="T16" i="1"/>
  <c r="T15" i="1"/>
  <c r="T14" i="1"/>
  <c r="C30" i="1"/>
  <c r="C29" i="1"/>
  <c r="C25" i="1" a="1"/>
  <c r="C25" i="1" s="1"/>
  <c r="C24" i="1"/>
  <c r="E16" i="1"/>
  <c r="E20" i="1" s="1"/>
  <c r="F25" i="1" s="1"/>
  <c r="F15" i="1"/>
  <c r="F14" i="1"/>
  <c r="F13" i="1"/>
  <c r="K16" i="1"/>
  <c r="G16" i="1"/>
  <c r="B16" i="1"/>
  <c r="R13" i="1" l="1"/>
  <c r="R15" i="1"/>
  <c r="P14" i="1"/>
  <c r="R14" i="1"/>
  <c r="C26" i="1"/>
  <c r="F16" i="1"/>
  <c r="F17" i="1" s="1"/>
  <c r="F18" i="1" l="1"/>
  <c r="F27" i="1" s="1"/>
  <c r="R16" i="1"/>
  <c r="R17" i="1" s="1"/>
  <c r="R18" i="1" s="1"/>
  <c r="P16" i="1"/>
  <c r="C23" i="1" l="1"/>
  <c r="P17" i="1"/>
  <c r="P18" i="1" s="1"/>
  <c r="C27" i="1" s="1"/>
  <c r="P20" i="1" l="1"/>
  <c r="F23" i="1" s="1"/>
  <c r="C28" i="1"/>
</calcChain>
</file>

<file path=xl/sharedStrings.xml><?xml version="1.0" encoding="utf-8"?>
<sst xmlns="http://schemas.openxmlformats.org/spreadsheetml/2006/main" count="131" uniqueCount="42">
  <si>
    <t>Stratum</t>
  </si>
  <si>
    <t>Nh</t>
  </si>
  <si>
    <t>Non-Black</t>
  </si>
  <si>
    <t>Black</t>
  </si>
  <si>
    <t>Ndh</t>
  </si>
  <si>
    <t>Total</t>
  </si>
  <si>
    <t>nh</t>
  </si>
  <si>
    <t>Nh(Nh/nh-1)*(col L)</t>
  </si>
  <si>
    <t>CV(ybar.d)</t>
  </si>
  <si>
    <t>ybar.h</t>
  </si>
  <si>
    <t>ybar.dh</t>
  </si>
  <si>
    <t>Sdh</t>
  </si>
  <si>
    <t>Pdh</t>
  </si>
  <si>
    <t>Full pop</t>
  </si>
  <si>
    <t>Nh(Nh/nh-1)Sh^2</t>
  </si>
  <si>
    <t>CV(ybar)</t>
  </si>
  <si>
    <t>var(ybar)</t>
  </si>
  <si>
    <t>Objective</t>
  </si>
  <si>
    <t>Min CV of estimated full pop mean</t>
  </si>
  <si>
    <t>Constraints</t>
  </si>
  <si>
    <t>Unit cost per case</t>
  </si>
  <si>
    <t>CV(Non-black)</t>
  </si>
  <si>
    <t>CV(Black)</t>
  </si>
  <si>
    <t>nh &lt;= Nh</t>
  </si>
  <si>
    <t>Total cost</t>
  </si>
  <si>
    <t>NhSh</t>
  </si>
  <si>
    <t>Neyman alloc</t>
  </si>
  <si>
    <t>Importance weight</t>
  </si>
  <si>
    <t>Wtd relvariance</t>
  </si>
  <si>
    <t>CV(full pop)</t>
  </si>
  <si>
    <t>Model 1 results</t>
  </si>
  <si>
    <t>Model 2 results</t>
  </si>
  <si>
    <t>&amp;</t>
  </si>
  <si>
    <t>Full population</t>
  </si>
  <si>
    <t>s.h</t>
  </si>
  <si>
    <t>relvar(ybar.d)</t>
  </si>
  <si>
    <t>Sh</t>
  </si>
  <si>
    <t>ybar.Uh for weekly wages</t>
  </si>
  <si>
    <t>ybar.Udh</t>
  </si>
  <si>
    <t xml:space="preserve">Model 2 used in  book example,2nd edition </t>
  </si>
  <si>
    <t>SUeh^2 = Pdh[Sdh^2 + Qdh(ybar.Udh - ybar.Ud)^2]</t>
  </si>
  <si>
    <t>Nh(Nh/nh-1)*SUedh^2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</si>
</sst>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0.0"/>
    <numFmt numFmtId="167" formatCode="_(* #,##0_);_(* \(#,##0\);_(* &quot;-&quot;??_);_(@_)"/>
    <numFmt numFmtId="171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2" borderId="0" xfId="0" applyNumberFormat="1" applyFill="1"/>
    <xf numFmtId="0" fontId="0" fillId="2" borderId="0" xfId="0" applyFill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4" borderId="0" xfId="0" applyNumberFormat="1" applyFill="1"/>
    <xf numFmtId="0" fontId="0" fillId="4" borderId="0" xfId="0" applyFill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165" fontId="0" fillId="3" borderId="0" xfId="0" applyNumberFormat="1" applyFill="1"/>
    <xf numFmtId="165" fontId="0" fillId="3" borderId="1" xfId="0" applyNumberFormat="1" applyFill="1" applyBorder="1"/>
    <xf numFmtId="165" fontId="0" fillId="0" borderId="0" xfId="0" applyNumberFormat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3" fontId="0" fillId="0" borderId="0" xfId="1" applyFont="1"/>
    <xf numFmtId="43" fontId="0" fillId="0" borderId="1" xfId="1" applyFont="1" applyBorder="1"/>
    <xf numFmtId="167" fontId="0" fillId="0" borderId="0" xfId="1" applyNumberFormat="1" applyFont="1"/>
    <xf numFmtId="167" fontId="0" fillId="0" borderId="1" xfId="1" applyNumberFormat="1" applyFont="1" applyBorder="1"/>
    <xf numFmtId="171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zoomScale="85" zoomScaleNormal="85" workbookViewId="0">
      <selection activeCell="U13" sqref="U13:U15"/>
    </sheetView>
  </sheetViews>
  <sheetFormatPr defaultRowHeight="14.4" x14ac:dyDescent="0.3"/>
  <cols>
    <col min="1" max="1" width="16.21875" customWidth="1"/>
    <col min="6" max="6" width="15.44140625" bestFit="1" customWidth="1"/>
    <col min="15" max="15" width="18.5546875" customWidth="1"/>
    <col min="16" max="16" width="15.44140625" bestFit="1" customWidth="1"/>
    <col min="17" max="17" width="18.5546875" customWidth="1"/>
    <col min="18" max="18" width="14.33203125" bestFit="1" customWidth="1"/>
    <col min="20" max="20" width="10.5546875" bestFit="1" customWidth="1"/>
  </cols>
  <sheetData>
    <row r="1" spans="1:21" x14ac:dyDescent="0.3">
      <c r="A1" t="s">
        <v>17</v>
      </c>
      <c r="B1" t="s">
        <v>18</v>
      </c>
    </row>
    <row r="2" spans="1:21" x14ac:dyDescent="0.3">
      <c r="A2" t="s">
        <v>19</v>
      </c>
    </row>
    <row r="3" spans="1:21" x14ac:dyDescent="0.3">
      <c r="A3" t="s">
        <v>21</v>
      </c>
      <c r="B3" s="6">
        <v>0.1</v>
      </c>
    </row>
    <row r="4" spans="1:21" x14ac:dyDescent="0.3">
      <c r="A4" t="s">
        <v>22</v>
      </c>
      <c r="B4" s="6">
        <v>0.12</v>
      </c>
    </row>
    <row r="5" spans="1:21" x14ac:dyDescent="0.3">
      <c r="A5" t="s">
        <v>29</v>
      </c>
      <c r="B5" s="6">
        <v>0.1</v>
      </c>
    </row>
    <row r="6" spans="1:21" x14ac:dyDescent="0.3">
      <c r="A6" t="s">
        <v>23</v>
      </c>
    </row>
    <row r="7" spans="1:21" x14ac:dyDescent="0.3">
      <c r="A7" t="s">
        <v>24</v>
      </c>
      <c r="B7" s="6">
        <v>6000</v>
      </c>
    </row>
    <row r="8" spans="1:21" x14ac:dyDescent="0.3">
      <c r="G8">
        <f>188/210</f>
        <v>0.89523809523809528</v>
      </c>
    </row>
    <row r="9" spans="1:21" x14ac:dyDescent="0.3">
      <c r="A9" t="s">
        <v>20</v>
      </c>
      <c r="B9">
        <v>100</v>
      </c>
    </row>
    <row r="11" spans="1:21" x14ac:dyDescent="0.3">
      <c r="B11" s="22" t="s">
        <v>13</v>
      </c>
      <c r="C11" s="22"/>
      <c r="D11" s="22"/>
      <c r="G11" s="22" t="s">
        <v>2</v>
      </c>
      <c r="H11" s="22"/>
      <c r="I11" s="22"/>
      <c r="J11" s="22"/>
      <c r="K11" s="22" t="s">
        <v>3</v>
      </c>
      <c r="L11" s="22"/>
      <c r="M11" s="22"/>
      <c r="N11" s="22"/>
      <c r="O11" s="22" t="s">
        <v>2</v>
      </c>
      <c r="P11" s="22"/>
      <c r="Q11" s="22" t="s">
        <v>3</v>
      </c>
      <c r="R11" s="22"/>
    </row>
    <row r="12" spans="1:21" s="25" customFormat="1" ht="60.6" customHeight="1" x14ac:dyDescent="0.3">
      <c r="A12" s="23" t="s">
        <v>0</v>
      </c>
      <c r="B12" s="23" t="s">
        <v>1</v>
      </c>
      <c r="C12" s="24" t="s">
        <v>37</v>
      </c>
      <c r="D12" s="23" t="s">
        <v>36</v>
      </c>
      <c r="E12" s="23" t="s">
        <v>6</v>
      </c>
      <c r="F12" s="24" t="s">
        <v>14</v>
      </c>
      <c r="G12" s="23" t="s">
        <v>4</v>
      </c>
      <c r="H12" s="23" t="s">
        <v>12</v>
      </c>
      <c r="I12" s="23" t="s">
        <v>38</v>
      </c>
      <c r="J12" s="23" t="s">
        <v>11</v>
      </c>
      <c r="K12" s="23" t="s">
        <v>4</v>
      </c>
      <c r="L12" s="23" t="s">
        <v>12</v>
      </c>
      <c r="M12" s="23" t="s">
        <v>38</v>
      </c>
      <c r="N12" s="23" t="s">
        <v>11</v>
      </c>
      <c r="O12" s="24" t="s">
        <v>40</v>
      </c>
      <c r="P12" s="24" t="s">
        <v>41</v>
      </c>
      <c r="Q12" s="24" t="s">
        <v>40</v>
      </c>
      <c r="R12" s="24" t="s">
        <v>7</v>
      </c>
      <c r="T12" s="25" t="s">
        <v>25</v>
      </c>
      <c r="U12" s="26" t="s">
        <v>26</v>
      </c>
    </row>
    <row r="13" spans="1:21" x14ac:dyDescent="0.3">
      <c r="A13">
        <v>1</v>
      </c>
      <c r="B13">
        <v>210</v>
      </c>
      <c r="C13">
        <v>283.45710000000003</v>
      </c>
      <c r="D13">
        <v>178.43680000000001</v>
      </c>
      <c r="E13" s="15">
        <v>18.672505502988592</v>
      </c>
      <c r="F13" s="27">
        <f>B13*(B13/E13-1)*D13^2</f>
        <v>68511414.691230431</v>
      </c>
      <c r="G13">
        <f>B13*H13</f>
        <v>189</v>
      </c>
      <c r="H13">
        <v>0.9</v>
      </c>
      <c r="I13">
        <v>295.39890000000003</v>
      </c>
      <c r="J13">
        <v>181.75380000000001</v>
      </c>
      <c r="K13">
        <f>B13-G13</f>
        <v>21</v>
      </c>
      <c r="L13">
        <f>1-H13</f>
        <v>9.9999999999999978E-2</v>
      </c>
      <c r="M13">
        <v>181.4091</v>
      </c>
      <c r="N13">
        <v>102.61888</v>
      </c>
      <c r="O13" s="27">
        <f>H13*(J13^2+(1-H13)*(I13-I$16)^2)</f>
        <v>29738.78755219818</v>
      </c>
      <c r="P13" s="29">
        <f>$B13*($B13/$E13-1)*O13</f>
        <v>63990770.776549794</v>
      </c>
      <c r="Q13" s="27">
        <f>L13*(N13^2+(1-L13)*(M13-M$16)^2)</f>
        <v>1198.8278661106792</v>
      </c>
      <c r="R13" s="29">
        <f>B13*(B13/E13-1)*Q13</f>
        <v>2579591.3517381577</v>
      </c>
      <c r="S13" s="27"/>
      <c r="T13" s="27">
        <f>B13*D13</f>
        <v>37471.728000000003</v>
      </c>
      <c r="U13" s="17">
        <f>60*T13/T16</f>
        <v>24.610268795886615</v>
      </c>
    </row>
    <row r="14" spans="1:21" x14ac:dyDescent="0.3">
      <c r="A14">
        <v>2</v>
      </c>
      <c r="B14">
        <v>212</v>
      </c>
      <c r="C14">
        <v>316.20749999999998</v>
      </c>
      <c r="D14">
        <v>216.85290000000001</v>
      </c>
      <c r="E14" s="15">
        <v>27.120160781276699</v>
      </c>
      <c r="F14" s="27">
        <f t="shared" ref="F14:F15" si="0">B14*(B14/E14-1)*D14^2</f>
        <v>67961604.665511996</v>
      </c>
      <c r="G14">
        <f t="shared" ref="G14:G15" si="1">B14*H14</f>
        <v>106</v>
      </c>
      <c r="H14">
        <v>0.5</v>
      </c>
      <c r="I14">
        <v>327.97370000000001</v>
      </c>
      <c r="J14">
        <v>222.07142999999999</v>
      </c>
      <c r="K14">
        <f t="shared" ref="K14:K15" si="2">B14-G14</f>
        <v>106</v>
      </c>
      <c r="L14">
        <f t="shared" ref="L14:L15" si="3">1-H14</f>
        <v>0.5</v>
      </c>
      <c r="M14">
        <v>214.5909</v>
      </c>
      <c r="N14">
        <v>128.76025999999999</v>
      </c>
      <c r="O14" s="27">
        <f>H14*(J14^2+(1-H14)*(I14-I$16)^2)</f>
        <v>24793.261154030926</v>
      </c>
      <c r="P14" s="29">
        <f t="shared" ref="P14:P15" si="4">$B14*($B14/$E14-1)*O14</f>
        <v>35831650.285579376</v>
      </c>
      <c r="Q14" s="27">
        <f t="shared" ref="Q14:Q15" si="5">L14*(N14^2+(1-L14)*(M14-M$16)^2)</f>
        <v>8302.0720438967728</v>
      </c>
      <c r="R14" s="29">
        <f>B14*(B14/E14-1)*Q14</f>
        <v>11998298.258324526</v>
      </c>
      <c r="S14" s="27"/>
      <c r="T14" s="27">
        <f t="shared" ref="T14:T15" si="6">B14*D14</f>
        <v>45972.8148</v>
      </c>
      <c r="U14" s="17">
        <f>60*T14/T16</f>
        <v>30.193518951981993</v>
      </c>
    </row>
    <row r="15" spans="1:21" s="8" customFormat="1" x14ac:dyDescent="0.3">
      <c r="A15" s="8">
        <v>3</v>
      </c>
      <c r="B15" s="8">
        <v>56</v>
      </c>
      <c r="C15" s="8">
        <v>254.57140000000001</v>
      </c>
      <c r="D15" s="8">
        <v>141.2818</v>
      </c>
      <c r="E15" s="16">
        <v>14.207333715734707</v>
      </c>
      <c r="F15" s="28">
        <f t="shared" si="0"/>
        <v>3288122.3049911419</v>
      </c>
      <c r="G15" s="8">
        <f t="shared" si="1"/>
        <v>14</v>
      </c>
      <c r="H15" s="8">
        <v>0.25</v>
      </c>
      <c r="I15" s="8">
        <v>254.07839999999999</v>
      </c>
      <c r="J15" s="8">
        <v>148.07293000000001</v>
      </c>
      <c r="K15" s="8">
        <f t="shared" si="2"/>
        <v>42</v>
      </c>
      <c r="L15" s="8">
        <f t="shared" si="3"/>
        <v>0.75</v>
      </c>
      <c r="M15" s="8">
        <v>259.60000000000002</v>
      </c>
      <c r="N15" s="8">
        <v>250</v>
      </c>
      <c r="O15" s="28">
        <f>H15*(J15^2+(1-H15)*(I15-I$16)^2)</f>
        <v>5961.9002878102128</v>
      </c>
      <c r="P15" s="30">
        <f>$B15*($B15/$E15-1)*O15</f>
        <v>982110.22500750853</v>
      </c>
      <c r="Q15" s="28">
        <f t="shared" si="5"/>
        <v>47144.989424685555</v>
      </c>
      <c r="R15" s="30">
        <f>B15*(B15/E15-1)*Q15</f>
        <v>7766244.6429242389</v>
      </c>
      <c r="S15" s="28"/>
      <c r="T15" s="28">
        <f t="shared" si="6"/>
        <v>7911.7808000000005</v>
      </c>
      <c r="U15" s="18">
        <f>60*T15/T16</f>
        <v>5.1962122521313896</v>
      </c>
    </row>
    <row r="16" spans="1:21" x14ac:dyDescent="0.3">
      <c r="A16" t="s">
        <v>5</v>
      </c>
      <c r="B16">
        <f>SUM(B13:B15)</f>
        <v>478</v>
      </c>
      <c r="C16">
        <v>294.59829999999999</v>
      </c>
      <c r="E16">
        <f>SUM(E13:E15)</f>
        <v>60</v>
      </c>
      <c r="F16" s="27">
        <f>SUM(F13:F15)</f>
        <v>139761141.6617336</v>
      </c>
      <c r="G16">
        <f>SUM(G13:G15)</f>
        <v>309</v>
      </c>
      <c r="I16">
        <f t="array" ref="I16">SUM(G13:G15*I13:I15)/G16</f>
        <v>304.70130064724918</v>
      </c>
      <c r="K16">
        <f>SUM(K13:K15)</f>
        <v>169</v>
      </c>
      <c r="M16">
        <f t="array" ref="M16">SUM(K13:K15*M13:M15)/K16</f>
        <v>221.65341124260357</v>
      </c>
      <c r="P16" s="29">
        <f>SUM(P13:P15)</f>
        <v>100804531.28713667</v>
      </c>
      <c r="Q16" s="27"/>
      <c r="R16" s="29">
        <f>SUM(R13:R15)</f>
        <v>22344134.252986923</v>
      </c>
      <c r="S16" s="27"/>
      <c r="T16" s="27">
        <f>SUM(T13:T15)</f>
        <v>91356.323600000003</v>
      </c>
      <c r="U16">
        <f>SUM(U13:U15)</f>
        <v>60</v>
      </c>
    </row>
    <row r="17" spans="3:18" x14ac:dyDescent="0.3">
      <c r="E17" t="s">
        <v>16</v>
      </c>
      <c r="F17">
        <f>F16/B16^2</f>
        <v>611.68896579950285</v>
      </c>
      <c r="O17" s="1" t="s">
        <v>35</v>
      </c>
      <c r="P17" s="31">
        <f>P16/(G16*I16)^2</f>
        <v>1.1371414221051803E-2</v>
      </c>
      <c r="Q17" s="1" t="s">
        <v>35</v>
      </c>
      <c r="R17" s="31">
        <f>R16/(K16*M16)^2</f>
        <v>1.5923600893138636E-2</v>
      </c>
    </row>
    <row r="18" spans="3:18" x14ac:dyDescent="0.3">
      <c r="E18" t="s">
        <v>15</v>
      </c>
      <c r="F18" s="9">
        <f>SQRT(F17)/C16</f>
        <v>8.3952780951516065E-2</v>
      </c>
      <c r="O18" s="1" t="s">
        <v>8</v>
      </c>
      <c r="P18" s="5">
        <f>SQRT(P17)</f>
        <v>0.10663683332250543</v>
      </c>
      <c r="Q18" s="1" t="s">
        <v>8</v>
      </c>
      <c r="R18" s="5">
        <f>SQRT(R17)</f>
        <v>0.12618875105625951</v>
      </c>
    </row>
    <row r="19" spans="3:18" x14ac:dyDescent="0.3">
      <c r="O19" t="s">
        <v>27</v>
      </c>
      <c r="P19">
        <v>0.5</v>
      </c>
      <c r="R19">
        <f>1-P19</f>
        <v>0.5</v>
      </c>
    </row>
    <row r="20" spans="3:18" x14ac:dyDescent="0.3">
      <c r="D20" t="s">
        <v>24</v>
      </c>
      <c r="E20" s="6">
        <f>E16*B9</f>
        <v>6000</v>
      </c>
      <c r="O20" t="s">
        <v>28</v>
      </c>
      <c r="P20" s="10">
        <f>P19*P18^2+R19*R18^2</f>
        <v>1.364750755709522E-2</v>
      </c>
    </row>
    <row r="22" spans="3:18" ht="15" thickBot="1" x14ac:dyDescent="0.35">
      <c r="C22" s="4" t="s">
        <v>30</v>
      </c>
      <c r="F22" s="4" t="s">
        <v>31</v>
      </c>
      <c r="H22" s="32" t="s">
        <v>39</v>
      </c>
    </row>
    <row r="23" spans="3:18" x14ac:dyDescent="0.3">
      <c r="C23" s="11">
        <f>MIN($F$18)</f>
        <v>8.3952780951516065E-2</v>
      </c>
      <c r="F23" s="14">
        <f>MIN($P$20)</f>
        <v>1.364750755709522E-2</v>
      </c>
    </row>
    <row r="24" spans="3:18" x14ac:dyDescent="0.3">
      <c r="C24" s="12">
        <f>COUNT($E$13:$E$15)</f>
        <v>3</v>
      </c>
      <c r="F24" s="12">
        <f>COUNT($E$13:$E$15)</f>
        <v>3</v>
      </c>
    </row>
    <row r="25" spans="3:18" x14ac:dyDescent="0.3">
      <c r="C25" s="12" t="b">
        <f t="array" ref="C25">$E$13:$E$15&lt;=$B$13:$B$15</f>
        <v>1</v>
      </c>
      <c r="F25" s="12" t="b">
        <f>$E$20&lt;=$B$7</f>
        <v>1</v>
      </c>
    </row>
    <row r="26" spans="3:18" x14ac:dyDescent="0.3">
      <c r="C26" s="12" t="b">
        <f>$E$20&lt;=$B$7</f>
        <v>1</v>
      </c>
      <c r="F26" s="12" t="b">
        <f t="array" ref="F26">$E$13:$E$15&lt;=$B$13:$B$15</f>
        <v>1</v>
      </c>
    </row>
    <row r="27" spans="3:18" x14ac:dyDescent="0.3">
      <c r="C27" s="12" t="b">
        <f>$P$18&lt;=$B$3</f>
        <v>0</v>
      </c>
      <c r="F27" s="12" t="b">
        <f>$F$18&lt;=$B$5</f>
        <v>1</v>
      </c>
    </row>
    <row r="28" spans="3:18" x14ac:dyDescent="0.3">
      <c r="C28" s="12" t="b">
        <f>$R$18&lt;=$B$4</f>
        <v>0</v>
      </c>
      <c r="F28" s="12">
        <f>{32767,32767,0.000001,0.01,FALSE,FALSE,TRUE,1,1,1,0.0001,TRUE}</f>
        <v>32767</v>
      </c>
    </row>
    <row r="29" spans="3:18" ht="15" thickBot="1" x14ac:dyDescent="0.35">
      <c r="C29" s="12">
        <f>{32767,32767,0.000001,0.01,FALSE,FALSE,TRUE,1,1,1,0.0001,TRUE}</f>
        <v>32767</v>
      </c>
      <c r="F29" s="13">
        <f>{0,0,1,100,0,FALSE,TRUE,0.075,0,0,FALSE,30}</f>
        <v>0</v>
      </c>
    </row>
    <row r="30" spans="3:18" ht="15" thickBot="1" x14ac:dyDescent="0.35">
      <c r="C30" s="13">
        <f>{0,0,1,100,0,FALSE,TRUE,0.075,0,0,FALSE,30}</f>
        <v>0</v>
      </c>
    </row>
  </sheetData>
  <mergeCells count="5">
    <mergeCell ref="K11:N11"/>
    <mergeCell ref="G11:J11"/>
    <mergeCell ref="O11:P11"/>
    <mergeCell ref="Q11:R11"/>
    <mergeCell ref="B11:D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zoomScaleNormal="85" workbookViewId="0">
      <selection activeCell="G3" sqref="G3"/>
    </sheetView>
  </sheetViews>
  <sheetFormatPr defaultRowHeight="14.4" x14ac:dyDescent="0.3"/>
  <sheetData>
    <row r="1" spans="1:26" x14ac:dyDescent="0.3">
      <c r="A1" t="s">
        <v>32</v>
      </c>
      <c r="B1" t="s">
        <v>32</v>
      </c>
      <c r="C1" s="20" t="s">
        <v>33</v>
      </c>
      <c r="D1" s="20"/>
      <c r="E1" s="20"/>
      <c r="F1" s="20"/>
      <c r="G1" s="20"/>
      <c r="H1" s="2"/>
      <c r="K1" s="22" t="s">
        <v>2</v>
      </c>
      <c r="L1" s="22"/>
      <c r="M1" s="22"/>
      <c r="N1" s="22"/>
      <c r="O1" s="22"/>
      <c r="P1" s="22"/>
      <c r="Q1" s="22"/>
      <c r="R1" s="2"/>
      <c r="S1" s="22" t="s">
        <v>3</v>
      </c>
      <c r="T1" s="22"/>
      <c r="U1" s="22"/>
      <c r="V1" s="22"/>
      <c r="W1" s="22"/>
      <c r="X1" s="22"/>
      <c r="Y1" s="22"/>
    </row>
    <row r="2" spans="1:26" ht="28.8" x14ac:dyDescent="0.3">
      <c r="A2" s="7" t="s">
        <v>0</v>
      </c>
      <c r="B2" s="19" t="s">
        <v>32</v>
      </c>
      <c r="C2" s="7" t="s">
        <v>1</v>
      </c>
      <c r="D2" s="19" t="s">
        <v>32</v>
      </c>
      <c r="E2" s="7" t="s">
        <v>9</v>
      </c>
      <c r="F2" s="19" t="s">
        <v>32</v>
      </c>
      <c r="G2" s="7" t="s">
        <v>34</v>
      </c>
      <c r="H2" s="19" t="s">
        <v>32</v>
      </c>
      <c r="I2" s="7" t="s">
        <v>6</v>
      </c>
      <c r="J2" s="19" t="s">
        <v>32</v>
      </c>
      <c r="K2" s="7" t="s">
        <v>4</v>
      </c>
      <c r="L2" s="19" t="s">
        <v>32</v>
      </c>
      <c r="M2" s="7" t="s">
        <v>12</v>
      </c>
      <c r="N2" s="19" t="s">
        <v>32</v>
      </c>
      <c r="O2" s="7" t="s">
        <v>10</v>
      </c>
      <c r="P2" s="19" t="s">
        <v>32</v>
      </c>
      <c r="Q2" s="7" t="s">
        <v>11</v>
      </c>
      <c r="R2" s="19" t="s">
        <v>32</v>
      </c>
      <c r="S2" s="7" t="s">
        <v>4</v>
      </c>
      <c r="T2" s="19" t="s">
        <v>32</v>
      </c>
      <c r="U2" s="7" t="s">
        <v>12</v>
      </c>
      <c r="V2" s="19" t="s">
        <v>32</v>
      </c>
      <c r="W2" s="7" t="s">
        <v>10</v>
      </c>
      <c r="X2" s="19" t="s">
        <v>32</v>
      </c>
      <c r="Y2" s="7" t="s">
        <v>11</v>
      </c>
      <c r="Z2" s="3" t="s">
        <v>26</v>
      </c>
    </row>
    <row r="3" spans="1:26" x14ac:dyDescent="0.3">
      <c r="A3">
        <v>1</v>
      </c>
      <c r="B3" s="2" t="s">
        <v>32</v>
      </c>
      <c r="C3">
        <v>210</v>
      </c>
      <c r="D3" s="2" t="s">
        <v>32</v>
      </c>
      <c r="E3">
        <v>283.45710000000003</v>
      </c>
      <c r="F3" s="2" t="s">
        <v>32</v>
      </c>
      <c r="G3">
        <v>178.43680000000001</v>
      </c>
      <c r="H3" s="2" t="s">
        <v>32</v>
      </c>
      <c r="I3" s="15">
        <v>19.927851846921101</v>
      </c>
      <c r="J3" s="2" t="s">
        <v>32</v>
      </c>
      <c r="K3">
        <v>188</v>
      </c>
      <c r="L3" s="2" t="s">
        <v>32</v>
      </c>
      <c r="M3">
        <v>0.9</v>
      </c>
      <c r="N3" s="2" t="s">
        <v>32</v>
      </c>
      <c r="O3">
        <v>295.39890000000003</v>
      </c>
      <c r="P3" s="2" t="s">
        <v>32</v>
      </c>
      <c r="Q3">
        <v>181.75380000000001</v>
      </c>
      <c r="R3" s="2" t="s">
        <v>32</v>
      </c>
      <c r="S3">
        <v>22</v>
      </c>
      <c r="T3" s="2" t="s">
        <v>32</v>
      </c>
      <c r="U3">
        <f>1-M3</f>
        <v>9.9999999999999978E-2</v>
      </c>
      <c r="V3" s="2" t="s">
        <v>32</v>
      </c>
      <c r="W3">
        <v>181.4091</v>
      </c>
      <c r="X3" s="2" t="s">
        <v>32</v>
      </c>
      <c r="Y3">
        <v>102.61888</v>
      </c>
      <c r="Z3" s="17">
        <v>24.610268795886615</v>
      </c>
    </row>
    <row r="4" spans="1:26" x14ac:dyDescent="0.3">
      <c r="A4">
        <v>2</v>
      </c>
      <c r="B4" s="2" t="s">
        <v>32</v>
      </c>
      <c r="C4">
        <v>212</v>
      </c>
      <c r="D4" s="2" t="s">
        <v>32</v>
      </c>
      <c r="E4">
        <v>316.20749999999998</v>
      </c>
      <c r="F4" s="2" t="s">
        <v>32</v>
      </c>
      <c r="G4">
        <v>216.85290000000001</v>
      </c>
      <c r="H4" s="2" t="s">
        <v>32</v>
      </c>
      <c r="I4" s="15">
        <v>26.817006718994129</v>
      </c>
      <c r="J4" s="2" t="s">
        <v>32</v>
      </c>
      <c r="K4">
        <v>190</v>
      </c>
      <c r="L4" s="2" t="s">
        <v>32</v>
      </c>
      <c r="M4">
        <v>0.5</v>
      </c>
      <c r="N4" s="2" t="s">
        <v>32</v>
      </c>
      <c r="O4">
        <v>327.97370000000001</v>
      </c>
      <c r="P4" s="2" t="s">
        <v>32</v>
      </c>
      <c r="Q4">
        <v>222.07142999999999</v>
      </c>
      <c r="R4" s="2" t="s">
        <v>32</v>
      </c>
      <c r="S4">
        <v>22</v>
      </c>
      <c r="T4" s="2" t="s">
        <v>32</v>
      </c>
      <c r="U4">
        <f t="shared" ref="U4:U5" si="0">1-M4</f>
        <v>0.5</v>
      </c>
      <c r="V4" s="2" t="s">
        <v>32</v>
      </c>
      <c r="W4">
        <v>214.5909</v>
      </c>
      <c r="X4" s="2" t="s">
        <v>32</v>
      </c>
      <c r="Y4">
        <v>128.76025999999999</v>
      </c>
      <c r="Z4" s="17">
        <v>30.193518951981993</v>
      </c>
    </row>
    <row r="5" spans="1:26" x14ac:dyDescent="0.3">
      <c r="A5" s="8">
        <v>3</v>
      </c>
      <c r="B5" s="19" t="s">
        <v>32</v>
      </c>
      <c r="C5" s="8">
        <v>56</v>
      </c>
      <c r="D5" s="19" t="s">
        <v>32</v>
      </c>
      <c r="E5" s="8">
        <v>254.57140000000001</v>
      </c>
      <c r="F5" s="19" t="s">
        <v>32</v>
      </c>
      <c r="G5" s="8">
        <v>141.2818</v>
      </c>
      <c r="H5" s="19" t="s">
        <v>32</v>
      </c>
      <c r="I5" s="16">
        <v>13.25514108692412</v>
      </c>
      <c r="J5" s="19" t="s">
        <v>32</v>
      </c>
      <c r="K5" s="8">
        <v>51</v>
      </c>
      <c r="L5" s="19" t="s">
        <v>32</v>
      </c>
      <c r="M5" s="8">
        <v>0.25</v>
      </c>
      <c r="N5" s="19" t="s">
        <v>32</v>
      </c>
      <c r="O5" s="8">
        <v>254.07839999999999</v>
      </c>
      <c r="P5" s="19" t="s">
        <v>32</v>
      </c>
      <c r="Q5" s="8">
        <v>148.07293000000001</v>
      </c>
      <c r="R5" s="19" t="s">
        <v>32</v>
      </c>
      <c r="S5" s="8">
        <v>5</v>
      </c>
      <c r="T5" s="19" t="s">
        <v>32</v>
      </c>
      <c r="U5" s="8">
        <f t="shared" si="0"/>
        <v>0.75</v>
      </c>
      <c r="V5" s="19" t="s">
        <v>32</v>
      </c>
      <c r="W5" s="8">
        <v>259.60000000000002</v>
      </c>
      <c r="X5" s="19" t="s">
        <v>32</v>
      </c>
      <c r="Y5" s="8">
        <v>250</v>
      </c>
      <c r="Z5" s="18">
        <v>5.1962122521313896</v>
      </c>
    </row>
    <row r="6" spans="1:26" x14ac:dyDescent="0.3">
      <c r="A6" t="s">
        <v>5</v>
      </c>
      <c r="C6">
        <f>SUM(C3:C5)</f>
        <v>478</v>
      </c>
      <c r="D6" s="21" t="s">
        <v>32</v>
      </c>
      <c r="E6">
        <v>294.59829999999999</v>
      </c>
      <c r="F6" s="21" t="s">
        <v>32</v>
      </c>
      <c r="G6" s="21" t="s">
        <v>32</v>
      </c>
      <c r="H6" s="21" t="s">
        <v>32</v>
      </c>
      <c r="I6">
        <f>SUM(I3:I5)</f>
        <v>59.99999965283935</v>
      </c>
      <c r="J6" s="21" t="s">
        <v>32</v>
      </c>
      <c r="K6">
        <f>SUM(K3:K5)</f>
        <v>429</v>
      </c>
      <c r="L6" s="21" t="s">
        <v>32</v>
      </c>
      <c r="M6" s="21" t="s">
        <v>32</v>
      </c>
      <c r="N6" s="21" t="s">
        <v>32</v>
      </c>
      <c r="O6">
        <f t="array" ref="O6">SUM(K3:K5*O3:O5)/K6</f>
        <v>304.91374032634036</v>
      </c>
      <c r="P6" s="21" t="s">
        <v>32</v>
      </c>
      <c r="Q6" s="21" t="s">
        <v>32</v>
      </c>
      <c r="R6" s="21" t="s">
        <v>32</v>
      </c>
      <c r="S6">
        <f>SUM(S3:S5)</f>
        <v>49</v>
      </c>
      <c r="T6" s="21" t="s">
        <v>32</v>
      </c>
      <c r="U6" s="21" t="s">
        <v>32</v>
      </c>
      <c r="V6" s="21" t="s">
        <v>32</v>
      </c>
      <c r="W6">
        <f t="array" ref="W6">SUM(S3:S5*W3:W5)/S6</f>
        <v>204.28571428571428</v>
      </c>
      <c r="X6" s="21" t="s">
        <v>32</v>
      </c>
      <c r="Y6" s="21" t="s">
        <v>32</v>
      </c>
      <c r="Z6">
        <v>60</v>
      </c>
    </row>
  </sheetData>
  <mergeCells count="2">
    <mergeCell ref="K1:Q1"/>
    <mergeCell ref="S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</vt:lpstr>
      <vt:lpstr>tex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2017-06-05T18:30:18Z</dcterms:created>
  <dcterms:modified xsi:type="dcterms:W3CDTF">2017-06-25T20:21:30Z</dcterms:modified>
</cp:coreProperties>
</file>