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RP\"/>
    </mc:Choice>
  </mc:AlternateContent>
  <xr:revisionPtr revIDLastSave="0" documentId="13_ncr:1_{F826E3D9-2810-4B30-B795-B3FE33262B00}" xr6:coauthVersionLast="47" xr6:coauthVersionMax="47" xr10:uidLastSave="{00000000-0000-0000-0000-000000000000}"/>
  <bookViews>
    <workbookView xWindow="-108" yWindow="-108" windowWidth="23256" windowHeight="12576" xr2:uid="{ABB9B55C-5243-4F4F-BA42-D303027449B0}"/>
  </bookViews>
  <sheets>
    <sheet name="Quantity Discounts" sheetId="21" r:id="rId1"/>
    <sheet name="5.4" sheetId="20" r:id="rId2"/>
    <sheet name="5.2" sheetId="17" r:id="rId3"/>
    <sheet name="5.3" sheetId="19" r:id="rId4"/>
    <sheet name="5.1" sheetId="18" r:id="rId5"/>
    <sheet name="Nifty B3" sheetId="16" r:id="rId6"/>
    <sheet name="Better Product (3)" sheetId="12" r:id="rId7"/>
    <sheet name="Better Product (2)" sheetId="11" r:id="rId8"/>
    <sheet name="Better Product" sheetId="8" r:id="rId9"/>
    <sheet name="P&amp;T Transportation Problem" sheetId="1" r:id="rId10"/>
    <sheet name="Pharma" sheetId="2" r:id="rId11"/>
    <sheet name="TEXAGO CORP" sheetId="4" r:id="rId12"/>
  </sheets>
  <definedNames>
    <definedName name="AnnualHoldingCost">'Quantity Discounts'!$J$12:$J$16</definedName>
    <definedName name="AnnualPurchaseCost">'Quantity Discounts'!$H$12:$H$16</definedName>
    <definedName name="AnnualSetupCost">'Quantity Discounts'!$I$12:$I$16</definedName>
    <definedName name="Category">'Quantity Discounts'!$B$12:$B$16</definedName>
    <definedName name="D">'Quantity Discounts'!$C$4</definedName>
    <definedName name="EOQ">'Quantity Discounts'!$F$12:$F$16</definedName>
    <definedName name="I">'Quantity Discounts'!$C$6</definedName>
    <definedName name="K">'Quantity Discounts'!$C$5</definedName>
    <definedName name="LowerLimit">'Quantity Discounts'!$D$12:$D$16</definedName>
    <definedName name="N">'Quantity Discounts'!$C$7</definedName>
    <definedName name="OptimalQ">'Quantity Discounts'!$E$19</definedName>
    <definedName name="OptimalTotalVariableCost">'Quantity Discounts'!$E$21</definedName>
    <definedName name="Price">'Quantity Discounts'!$C$12:$C$16</definedName>
    <definedName name="Q">'Quantity Discounts'!$G$12:$G$16</definedName>
    <definedName name="sencount" hidden="1">4</definedName>
    <definedName name="sencount2" hidden="1">3</definedName>
    <definedName name="solver_adj" localSheetId="4" hidden="1">'5.1'!$C$11</definedName>
    <definedName name="solver_adj" localSheetId="2" hidden="1">'5.2'!$C$12:$C$13</definedName>
    <definedName name="solver_adj" localSheetId="1" hidden="1">'5.4'!$C$12</definedName>
    <definedName name="solver_adj" localSheetId="8" hidden="1">'Better Product'!$D$12:$G$14</definedName>
    <definedName name="solver_adj" localSheetId="7" hidden="1">'Better Product (2)'!$D$12:$G$14</definedName>
    <definedName name="solver_adj" localSheetId="6" hidden="1">'Better Product (3)'!$E$32,'Better Product (3)'!$F$33,'Better Product (3)'!$G$34,'Better Product (3)'!$H$35</definedName>
    <definedName name="solver_adj" localSheetId="5" hidden="1">'Nifty B3'!$D$12:$G$14</definedName>
    <definedName name="solver_adj" localSheetId="9" hidden="1">'P&amp;T Transportation Problem'!$D$16:$G$18</definedName>
    <definedName name="solver_adj" localSheetId="10" hidden="1">Pharma!$D$12:$G$15</definedName>
    <definedName name="solver_adj" localSheetId="11" hidden="1">'TEXAGO CORP'!$D$125:$G$128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cvg" localSheetId="8" hidden="1">"""""""""""""""""""""""""""""""0.0001"""""""""""""""""""""""""""""""</definedName>
    <definedName name="solver_cvg" localSheetId="7" hidden="1">"""""""""""""""""""""""""""""""""""""""""""""""""""""""""""""""""""""""""""""""""""""""""""""""""""""""""""""""""""""""""""""""0.0001"""""""""""""""""""""""""""""""""""""""""""""""""""""""""""""""""""""""""""""""""""""""""""""""""""""""""""""""""""""""""""""""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"""""""""""""""""""""""""""""""""""""""""""""""""""""""""""""""""""""""""""""""""""""""""""""""""""""""""""""""""""""""""""""""0.0001"""""""""""""""""""""""""""""""""""""""""""""""""""""""""""""""""""""""""""""""""""""""""""""""""""""""""""""""""""""""""""""""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"""""""""""""""""""""""""""""""""""""""""""""""""""""""""""""""""""""""""""""""""""""""""""""""""""""""""""""""""""""""""""""""0.0001"""""""""""""""""""""""""""""""""""""""""""""""""""""""""""""""""""""""""""""""""""""""""""""""""""""""""""""""""""""""""""""""</definedName>
    <definedName name="solver_cvg" localSheetId="9" hidden="1">"""0.0001"""</definedName>
    <definedName name="solver_cvg" localSheetId="10" hidden="1">"""0.0001"""</definedName>
    <definedName name="solver_cvg" localSheetId="0" hidden="1">0.0001</definedName>
    <definedName name="solver_cvg" localSheetId="11" hidden="1">0.0001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drv" localSheetId="8" hidden="1">2</definedName>
    <definedName name="solver_drv" localSheetId="7" hidden="1">2</definedName>
    <definedName name="solver_drv" localSheetId="6" hidden="1">2</definedName>
    <definedName name="solver_drv" localSheetId="5" hidden="1">2</definedName>
    <definedName name="solver_drv" localSheetId="9" hidden="1">1</definedName>
    <definedName name="solver_drv" localSheetId="10" hidden="1">2</definedName>
    <definedName name="solver_drv" localSheetId="0" hidden="1">1</definedName>
    <definedName name="solver_drv" localSheetId="11" hidden="1">1</definedName>
    <definedName name="solver_eng" localSheetId="4" hidden="1">1</definedName>
    <definedName name="solver_eng" localSheetId="2" hidden="1">1</definedName>
    <definedName name="solver_eng" localSheetId="3" hidden="1">1</definedName>
    <definedName name="solver_eng" localSheetId="1" hidden="1">1</definedName>
    <definedName name="solver_eng" localSheetId="8" hidden="1">2</definedName>
    <definedName name="solver_eng" localSheetId="7" hidden="1">2</definedName>
    <definedName name="solver_eng" localSheetId="6" hidden="1">2</definedName>
    <definedName name="solver_eng" localSheetId="5" hidden="1">2</definedName>
    <definedName name="solver_eng" localSheetId="9" hidden="1">2</definedName>
    <definedName name="solver_eng" localSheetId="10" hidden="1">2</definedName>
    <definedName name="solver_eng" localSheetId="0" hidden="1">1</definedName>
    <definedName name="solver_eng" localSheetId="11" hidden="1">2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est" localSheetId="1" hidden="1">1</definedName>
    <definedName name="solver_est" localSheetId="8" hidden="1">1</definedName>
    <definedName name="solver_est" localSheetId="7" hidden="1">1</definedName>
    <definedName name="solver_est" localSheetId="6" hidden="1">1</definedName>
    <definedName name="solver_est" localSheetId="5" hidden="1">1</definedName>
    <definedName name="solver_est" localSheetId="9" hidden="1">1</definedName>
    <definedName name="solver_est" localSheetId="10" hidden="1">1</definedName>
    <definedName name="solver_est" localSheetId="0" hidden="1">1</definedName>
    <definedName name="solver_est" localSheetId="11" hidden="1">1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itr" localSheetId="1" hidden="1">2147483647</definedName>
    <definedName name="solver_itr" localSheetId="8" hidden="1">2147483647</definedName>
    <definedName name="solver_itr" localSheetId="7" hidden="1">2147483647</definedName>
    <definedName name="solver_itr" localSheetId="6" hidden="1">2147483647</definedName>
    <definedName name="solver_itr" localSheetId="5" hidden="1">2147483647</definedName>
    <definedName name="solver_itr" localSheetId="9" hidden="1">2147483647</definedName>
    <definedName name="solver_itr" localSheetId="10" hidden="1">2147483647</definedName>
    <definedName name="solver_itr" localSheetId="0" hidden="1">2147483647</definedName>
    <definedName name="solver_itr" localSheetId="11" hidden="1">2147483647</definedName>
    <definedName name="solver_lhs1" localSheetId="8" hidden="1">'Better Product'!$D$16:$G$16</definedName>
    <definedName name="solver_lhs1" localSheetId="7" hidden="1">'Better Product (2)'!$D$12:$G$14</definedName>
    <definedName name="solver_lhs1" localSheetId="6" hidden="1">'Better Product (3)'!$E$32</definedName>
    <definedName name="solver_lhs1" localSheetId="5" hidden="1">'Nifty B3'!$D$18</definedName>
    <definedName name="solver_lhs1" localSheetId="9" hidden="1">'P&amp;T Transportation Problem'!$D$19:$G$19</definedName>
    <definedName name="solver_lhs1" localSheetId="10" hidden="1">Pharma!$D$16:$G$16</definedName>
    <definedName name="solver_lhs1" localSheetId="11" hidden="1">'TEXAGO CORP'!$D$129:$G$129</definedName>
    <definedName name="solver_lhs2" localSheetId="8" hidden="1">'Better Product'!$F$13</definedName>
    <definedName name="solver_lhs2" localSheetId="7" hidden="1">'Better Product (2)'!$D$16:$G$16</definedName>
    <definedName name="solver_lhs2" localSheetId="6" hidden="1">'Better Product (3)'!$E$32</definedName>
    <definedName name="solver_lhs2" localSheetId="5" hidden="1">'Nifty B3'!$E$16:$F$16</definedName>
    <definedName name="solver_lhs2" localSheetId="9" hidden="1">'P&amp;T Transportation Problem'!$H$16:$H$18</definedName>
    <definedName name="solver_lhs2" localSheetId="10" hidden="1">Pharma!$H$12:$H$15</definedName>
    <definedName name="solver_lhs2" localSheetId="11" hidden="1">'TEXAGO CORP'!$H$125:$H$128</definedName>
    <definedName name="solver_lhs3" localSheetId="8" hidden="1">'Better Product'!$H$12:$H$14</definedName>
    <definedName name="solver_lhs3" localSheetId="7" hidden="1">'Better Product (2)'!$F$13</definedName>
    <definedName name="solver_lhs3" localSheetId="6" hidden="1">'Better Product (3)'!$F$33</definedName>
    <definedName name="solver_lhs3" localSheetId="5" hidden="1">'Nifty B3'!$E$16:$F$16</definedName>
    <definedName name="solver_lhs4" localSheetId="7" hidden="1">'Better Product (2)'!$H$12:$H$14</definedName>
    <definedName name="solver_lhs4" localSheetId="6" hidden="1">'Better Product (3)'!$F$33</definedName>
    <definedName name="solver_lhs4" localSheetId="5" hidden="1">'Nifty B3'!$H$12:$H$14</definedName>
    <definedName name="solver_lhs5" localSheetId="6" hidden="1">'Better Product (3)'!$G$34</definedName>
    <definedName name="solver_lhs6" localSheetId="6" hidden="1">'Better Product (3)'!$G$34</definedName>
    <definedName name="solver_lhs7" localSheetId="6" hidden="1">'Better Product (3)'!$H$35</definedName>
    <definedName name="solver_lhs8" localSheetId="6" hidden="1">'Better Product (3)'!$H$35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ip" localSheetId="1" hidden="1">2147483647</definedName>
    <definedName name="solver_mip" localSheetId="8" hidden="1">2147483647</definedName>
    <definedName name="solver_mip" localSheetId="7" hidden="1">2147483647</definedName>
    <definedName name="solver_mip" localSheetId="6" hidden="1">2147483647</definedName>
    <definedName name="solver_mip" localSheetId="5" hidden="1">2147483647</definedName>
    <definedName name="solver_mip" localSheetId="9" hidden="1">2147483647</definedName>
    <definedName name="solver_mip" localSheetId="10" hidden="1">2147483647</definedName>
    <definedName name="solver_mip" localSheetId="0" hidden="1">2147483647</definedName>
    <definedName name="solver_mip" localSheetId="11" hidden="1">2147483647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ni" localSheetId="8" hidden="1">30</definedName>
    <definedName name="solver_mni" localSheetId="7" hidden="1">30</definedName>
    <definedName name="solver_mni" localSheetId="6" hidden="1">30</definedName>
    <definedName name="solver_mni" localSheetId="5" hidden="1">30</definedName>
    <definedName name="solver_mni" localSheetId="9" hidden="1">30</definedName>
    <definedName name="solver_mni" localSheetId="10" hidden="1">30</definedName>
    <definedName name="solver_mni" localSheetId="0" hidden="1">30</definedName>
    <definedName name="solver_mni" localSheetId="11" hidden="1">30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rt" localSheetId="8" hidden="1">"""""""""""""""""""""""""""""""0.075"""""""""""""""""""""""""""""""</definedName>
    <definedName name="solver_mrt" localSheetId="7" hidden="1">"""""""""""""""""""""""""""""""""""""""""""""""""""""""""""""""""""""""""""""""""""""""""""""""""""""""""""""""""""""""""""""""0.075"""""""""""""""""""""""""""""""""""""""""""""""""""""""""""""""""""""""""""""""""""""""""""""""""""""""""""""""""""""""""""""""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"""""""""""""""""""""""""""""""""""""""""""""""""""""""""""""""""""""""""""""""""""""""""""""""""""""""""""""""""""""""""""""""0.075"""""""""""""""""""""""""""""""""""""""""""""""""""""""""""""""""""""""""""""""""""""""""""""""""""""""""""""""""""""""""""""""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"""""""""""""""""""""""""""""""""""""""""""""""""""""""""""""""""""""""""""""""""""""""""""""""""""""""""""""""""""""""""""""""0.075"""""""""""""""""""""""""""""""""""""""""""""""""""""""""""""""""""""""""""""""""""""""""""""""""""""""""""""""""""""""""""""""</definedName>
    <definedName name="solver_mrt" localSheetId="9" hidden="1">"""0.075"""</definedName>
    <definedName name="solver_mrt" localSheetId="10" hidden="1">"""0.075"""</definedName>
    <definedName name="solver_mrt" localSheetId="0" hidden="1">0.075</definedName>
    <definedName name="solver_mrt" localSheetId="11" hidden="1">0.075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msl" localSheetId="8" hidden="1">2</definedName>
    <definedName name="solver_msl" localSheetId="7" hidden="1">2</definedName>
    <definedName name="solver_msl" localSheetId="6" hidden="1">2</definedName>
    <definedName name="solver_msl" localSheetId="5" hidden="1">2</definedName>
    <definedName name="solver_msl" localSheetId="9" hidden="1">2</definedName>
    <definedName name="solver_msl" localSheetId="10" hidden="1">2</definedName>
    <definedName name="solver_msl" localSheetId="0" hidden="1">2</definedName>
    <definedName name="solver_msl" localSheetId="11" hidden="1">2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eg" localSheetId="1" hidden="1">1</definedName>
    <definedName name="solver_neg" localSheetId="8" hidden="1">1</definedName>
    <definedName name="solver_neg" localSheetId="7" hidden="1">1</definedName>
    <definedName name="solver_neg" localSheetId="6" hidden="1">1</definedName>
    <definedName name="solver_neg" localSheetId="5" hidden="1">1</definedName>
    <definedName name="solver_neg" localSheetId="9" hidden="1">1</definedName>
    <definedName name="solver_neg" localSheetId="10" hidden="1">1</definedName>
    <definedName name="solver_neg" localSheetId="0" hidden="1">1</definedName>
    <definedName name="solver_neg" localSheetId="11" hidden="1">1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od" localSheetId="1" hidden="1">2147483647</definedName>
    <definedName name="solver_nod" localSheetId="8" hidden="1">2147483647</definedName>
    <definedName name="solver_nod" localSheetId="7" hidden="1">2147483647</definedName>
    <definedName name="solver_nod" localSheetId="6" hidden="1">2147483647</definedName>
    <definedName name="solver_nod" localSheetId="5" hidden="1">2147483647</definedName>
    <definedName name="solver_nod" localSheetId="9" hidden="1">2147483647</definedName>
    <definedName name="solver_nod" localSheetId="10" hidden="1">2147483647</definedName>
    <definedName name="solver_nod" localSheetId="0" hidden="1">2147483647</definedName>
    <definedName name="solver_nod" localSheetId="11" hidden="1">2147483647</definedName>
    <definedName name="solver_num" localSheetId="4" hidden="1">0</definedName>
    <definedName name="solver_num" localSheetId="2" hidden="1">0</definedName>
    <definedName name="solver_num" localSheetId="3" hidden="1">0</definedName>
    <definedName name="solver_num" localSheetId="1" hidden="1">0</definedName>
    <definedName name="solver_num" localSheetId="8" hidden="1">3</definedName>
    <definedName name="solver_num" localSheetId="7" hidden="1">4</definedName>
    <definedName name="solver_num" localSheetId="6" hidden="1">8</definedName>
    <definedName name="solver_num" localSheetId="5" hidden="1">4</definedName>
    <definedName name="solver_num" localSheetId="9" hidden="1">2</definedName>
    <definedName name="solver_num" localSheetId="10" hidden="1">2</definedName>
    <definedName name="solver_num" localSheetId="0" hidden="1">0</definedName>
    <definedName name="solver_num" localSheetId="11" hidden="1">2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nwt" localSheetId="1" hidden="1">1</definedName>
    <definedName name="solver_nwt" localSheetId="8" hidden="1">1</definedName>
    <definedName name="solver_nwt" localSheetId="7" hidden="1">1</definedName>
    <definedName name="solver_nwt" localSheetId="6" hidden="1">1</definedName>
    <definedName name="solver_nwt" localSheetId="5" hidden="1">1</definedName>
    <definedName name="solver_nwt" localSheetId="9" hidden="1">1</definedName>
    <definedName name="solver_nwt" localSheetId="10" hidden="1">1</definedName>
    <definedName name="solver_nwt" localSheetId="0" hidden="1">1</definedName>
    <definedName name="solver_nwt" localSheetId="11" hidden="1">1</definedName>
    <definedName name="solver_opt" localSheetId="4" hidden="1">'5.1'!$G$7</definedName>
    <definedName name="solver_opt" localSheetId="2" hidden="1">'5.2'!$G$8</definedName>
    <definedName name="solver_opt" localSheetId="3" hidden="1">'5.3'!$E$20</definedName>
    <definedName name="solver_opt" localSheetId="1" hidden="1">'5.4'!$G$8</definedName>
    <definedName name="solver_opt" localSheetId="8" hidden="1">'Better Product'!$J$18</definedName>
    <definedName name="solver_opt" localSheetId="7" hidden="1">'Better Product (2)'!$J$18</definedName>
    <definedName name="solver_opt" localSheetId="6" hidden="1">'Better Product (3)'!$K$38</definedName>
    <definedName name="solver_opt" localSheetId="5" hidden="1">'Nifty B3'!$J$20</definedName>
    <definedName name="solver_opt" localSheetId="9" hidden="1">'P&amp;T Transportation Problem'!$J$21</definedName>
    <definedName name="solver_opt" localSheetId="10" hidden="1">Pharma!$J$18</definedName>
    <definedName name="solver_opt" localSheetId="0" hidden="1">'Quantity Discounts'!$A$1</definedName>
    <definedName name="solver_opt" localSheetId="11" hidden="1">'TEXAGO CORP'!$J$131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pre" localSheetId="8" hidden="1">"""""""""""""""""""""""""""""""0.000001"""""""""""""""""""""""""""""""</definedName>
    <definedName name="solver_pre" localSheetId="7" hidden="1">"""""""""""""""""""""""""""""""""""""""""""""""""""""""""""""""""""""""""""""""""""""""""""""""""""""""""""""""""""""""""""""""0.000001"""""""""""""""""""""""""""""""""""""""""""""""""""""""""""""""""""""""""""""""""""""""""""""""""""""""""""""""""""""""""""""""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"""""""""""""""""""""""""""""""""""""""""""""""""""""""""""""""""""""""""""""""""""""""""""""""""""""""""""""""""""""""""""""""0.000001"""""""""""""""""""""""""""""""""""""""""""""""""""""""""""""""""""""""""""""""""""""""""""""""""""""""""""""""""""""""""""""""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"""""""""""""""""""""""""""""""""""""""""""""""""""""""""""""""""""""""""""""""""""""""""""""""""""""""""""""""""""""""""""""""0.000001"""""""""""""""""""""""""""""""""""""""""""""""""""""""""""""""""""""""""""""""""""""""""""""""""""""""""""""""""""""""""""""""</definedName>
    <definedName name="solver_pre" localSheetId="9" hidden="1">"""0.000001"""</definedName>
    <definedName name="solver_pre" localSheetId="10" hidden="1">"""0.000001"""</definedName>
    <definedName name="solver_pre" localSheetId="0" hidden="1">0.000001</definedName>
    <definedName name="solver_pre" localSheetId="11" hidden="1">0.000001</definedName>
    <definedName name="solver_rbv" localSheetId="4" hidden="1">1</definedName>
    <definedName name="solver_rbv" localSheetId="2" hidden="1">1</definedName>
    <definedName name="solver_rbv" localSheetId="3" hidden="1">1</definedName>
    <definedName name="solver_rbv" localSheetId="1" hidden="1">1</definedName>
    <definedName name="solver_rbv" localSheetId="8" hidden="1">2</definedName>
    <definedName name="solver_rbv" localSheetId="7" hidden="1">2</definedName>
    <definedName name="solver_rbv" localSheetId="6" hidden="1">2</definedName>
    <definedName name="solver_rbv" localSheetId="5" hidden="1">2</definedName>
    <definedName name="solver_rbv" localSheetId="9" hidden="1">1</definedName>
    <definedName name="solver_rbv" localSheetId="10" hidden="1">2</definedName>
    <definedName name="solver_rbv" localSheetId="0" hidden="1">1</definedName>
    <definedName name="solver_rbv" localSheetId="11" hidden="1">1</definedName>
    <definedName name="solver_rel1" localSheetId="8" hidden="1">2</definedName>
    <definedName name="solver_rel1" localSheetId="7" hidden="1">5</definedName>
    <definedName name="solver_rel1" localSheetId="6" hidden="1">1</definedName>
    <definedName name="solver_rel1" localSheetId="5" hidden="1">2</definedName>
    <definedName name="solver_rel1" localSheetId="9" hidden="1">2</definedName>
    <definedName name="solver_rel1" localSheetId="10" hidden="1">2</definedName>
    <definedName name="solver_rel1" localSheetId="11" hidden="1">2</definedName>
    <definedName name="solver_rel2" localSheetId="8" hidden="1">2</definedName>
    <definedName name="solver_rel2" localSheetId="7" hidden="1">2</definedName>
    <definedName name="solver_rel2" localSheetId="6" hidden="1">3</definedName>
    <definedName name="solver_rel2" localSheetId="5" hidden="1">1</definedName>
    <definedName name="solver_rel2" localSheetId="9" hidden="1">2</definedName>
    <definedName name="solver_rel2" localSheetId="10" hidden="1">2</definedName>
    <definedName name="solver_rel2" localSheetId="11" hidden="1">2</definedName>
    <definedName name="solver_rel3" localSheetId="8" hidden="1">1</definedName>
    <definedName name="solver_rel3" localSheetId="7" hidden="1">2</definedName>
    <definedName name="solver_rel3" localSheetId="6" hidden="1">1</definedName>
    <definedName name="solver_rel3" localSheetId="5" hidden="1">3</definedName>
    <definedName name="solver_rel4" localSheetId="7" hidden="1">1</definedName>
    <definedName name="solver_rel4" localSheetId="6" hidden="1">3</definedName>
    <definedName name="solver_rel4" localSheetId="5" hidden="1">2</definedName>
    <definedName name="solver_rel5" localSheetId="6" hidden="1">1</definedName>
    <definedName name="solver_rel6" localSheetId="6" hidden="1">3</definedName>
    <definedName name="solver_rel7" localSheetId="6" hidden="1">1</definedName>
    <definedName name="solver_rel8" localSheetId="6" hidden="1">3</definedName>
    <definedName name="solver_rhs1" localSheetId="8" hidden="1">'Better Product'!$D$18:$G$18</definedName>
    <definedName name="solver_rhs1" localSheetId="7" hidden="1">"binary"</definedName>
    <definedName name="solver_rhs1" localSheetId="6" hidden="1">'Better Product (3)'!$J$32</definedName>
    <definedName name="solver_rhs1" localSheetId="5" hidden="1">'Nifty B3'!$D$16</definedName>
    <definedName name="solver_rhs1" localSheetId="9" hidden="1">'P&amp;T Transportation Problem'!$D$21:$G$21</definedName>
    <definedName name="solver_rhs1" localSheetId="10" hidden="1">Pharma!$D$18:$G$18</definedName>
    <definedName name="solver_rhs1" localSheetId="11" hidden="1">'TEXAGO CORP'!$D$131:$G$131</definedName>
    <definedName name="solver_rhs2" localSheetId="8" hidden="1">0</definedName>
    <definedName name="solver_rhs2" localSheetId="7" hidden="1">'Better Product (2)'!$D$18:$G$18</definedName>
    <definedName name="solver_rhs2" localSheetId="6" hidden="1">'Better Product (3)'!$E$38</definedName>
    <definedName name="solver_rhs2" localSheetId="5" hidden="1">'Nifty B3'!$E$20:$F$20</definedName>
    <definedName name="solver_rhs2" localSheetId="9" hidden="1">'P&amp;T Transportation Problem'!$J$16:$J$18</definedName>
    <definedName name="solver_rhs2" localSheetId="10" hidden="1">Pharma!$J$12:$J$15</definedName>
    <definedName name="solver_rhs2" localSheetId="11" hidden="1">'TEXAGO CORP'!$J$125:$J$128</definedName>
    <definedName name="solver_rhs3" localSheetId="8" hidden="1">'Better Product'!$J$12:$J$14</definedName>
    <definedName name="solver_rhs3" localSheetId="7" hidden="1">0</definedName>
    <definedName name="solver_rhs3" localSheetId="6" hidden="1">'Better Product (3)'!$J$33</definedName>
    <definedName name="solver_rhs3" localSheetId="5" hidden="1">'Nifty B3'!$E$18:$F$18</definedName>
    <definedName name="solver_rhs4" localSheetId="7" hidden="1">'Better Product (2)'!$J$12:$J$14</definedName>
    <definedName name="solver_rhs4" localSheetId="6" hidden="1">'Better Product (3)'!$F$38</definedName>
    <definedName name="solver_rhs4" localSheetId="5" hidden="1">'Nifty B3'!$J$12:$J$14</definedName>
    <definedName name="solver_rhs5" localSheetId="6" hidden="1">'Better Product (3)'!$J$34</definedName>
    <definedName name="solver_rhs6" localSheetId="6" hidden="1">'Better Product (3)'!$G$38</definedName>
    <definedName name="solver_rhs7" localSheetId="6" hidden="1">'Better Product (3)'!$J$35</definedName>
    <definedName name="solver_rhs8" localSheetId="6" hidden="1">'Better Product (3)'!$H$38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lx" localSheetId="8" hidden="1">2</definedName>
    <definedName name="solver_rlx" localSheetId="7" hidden="1">2</definedName>
    <definedName name="solver_rlx" localSheetId="6" hidden="1">2</definedName>
    <definedName name="solver_rlx" localSheetId="5" hidden="1">2</definedName>
    <definedName name="solver_rlx" localSheetId="9" hidden="1">2</definedName>
    <definedName name="solver_rlx" localSheetId="10" hidden="1">2</definedName>
    <definedName name="solver_rlx" localSheetId="0" hidden="1">2</definedName>
    <definedName name="solver_rlx" localSheetId="11" hidden="1">2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rsd" localSheetId="8" hidden="1">0</definedName>
    <definedName name="solver_rsd" localSheetId="7" hidden="1">0</definedName>
    <definedName name="solver_rsd" localSheetId="6" hidden="1">0</definedName>
    <definedName name="solver_rsd" localSheetId="5" hidden="1">0</definedName>
    <definedName name="solver_rsd" localSheetId="9" hidden="1">0</definedName>
    <definedName name="solver_rsd" localSheetId="10" hidden="1">0</definedName>
    <definedName name="solver_rsd" localSheetId="0" hidden="1">0</definedName>
    <definedName name="solver_rsd" localSheetId="11" hidden="1">0</definedName>
    <definedName name="solver_scl" localSheetId="4" hidden="1">1</definedName>
    <definedName name="solver_scl" localSheetId="2" hidden="1">1</definedName>
    <definedName name="solver_scl" localSheetId="3" hidden="1">1</definedName>
    <definedName name="solver_scl" localSheetId="1" hidden="1">1</definedName>
    <definedName name="solver_scl" localSheetId="8" hidden="1">2</definedName>
    <definedName name="solver_scl" localSheetId="7" hidden="1">2</definedName>
    <definedName name="solver_scl" localSheetId="6" hidden="1">2</definedName>
    <definedName name="solver_scl" localSheetId="5" hidden="1">2</definedName>
    <definedName name="solver_scl" localSheetId="9" hidden="1">1</definedName>
    <definedName name="solver_scl" localSheetId="10" hidden="1">2</definedName>
    <definedName name="solver_scl" localSheetId="0" hidden="1">2</definedName>
    <definedName name="solver_scl" localSheetId="11" hidden="1">1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ho" localSheetId="8" hidden="1">2</definedName>
    <definedName name="solver_sho" localSheetId="7" hidden="1">2</definedName>
    <definedName name="solver_sho" localSheetId="6" hidden="1">2</definedName>
    <definedName name="solver_sho" localSheetId="5" hidden="1">2</definedName>
    <definedName name="solver_sho" localSheetId="9" hidden="1">2</definedName>
    <definedName name="solver_sho" localSheetId="10" hidden="1">2</definedName>
    <definedName name="solver_sho" localSheetId="0" hidden="1">2</definedName>
    <definedName name="solver_sho" localSheetId="11" hidden="1">2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ssz" localSheetId="8" hidden="1">100</definedName>
    <definedName name="solver_ssz" localSheetId="7" hidden="1">100</definedName>
    <definedName name="solver_ssz" localSheetId="6" hidden="1">100</definedName>
    <definedName name="solver_ssz" localSheetId="5" hidden="1">100</definedName>
    <definedName name="solver_ssz" localSheetId="9" hidden="1">100</definedName>
    <definedName name="solver_ssz" localSheetId="10" hidden="1">100</definedName>
    <definedName name="solver_ssz" localSheetId="0" hidden="1">100</definedName>
    <definedName name="solver_ssz" localSheetId="11" hidden="1">100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im" localSheetId="1" hidden="1">2147483647</definedName>
    <definedName name="solver_tim" localSheetId="8" hidden="1">2147483647</definedName>
    <definedName name="solver_tim" localSheetId="7" hidden="1">2147483647</definedName>
    <definedName name="solver_tim" localSheetId="6" hidden="1">2147483647</definedName>
    <definedName name="solver_tim" localSheetId="5" hidden="1">2147483647</definedName>
    <definedName name="solver_tim" localSheetId="9" hidden="1">2147483647</definedName>
    <definedName name="solver_tim" localSheetId="10" hidden="1">2147483647</definedName>
    <definedName name="solver_tim" localSheetId="0" hidden="1">2147483647</definedName>
    <definedName name="solver_tim" localSheetId="11" hidden="1">2147483647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ol" localSheetId="1" hidden="1">0.01</definedName>
    <definedName name="solver_tol" localSheetId="8" hidden="1">1</definedName>
    <definedName name="solver_tol" localSheetId="7" hidden="1">1</definedName>
    <definedName name="solver_tol" localSheetId="6" hidden="1">1</definedName>
    <definedName name="solver_tol" localSheetId="5" hidden="1">1</definedName>
    <definedName name="solver_tol" localSheetId="9" hidden="1">1</definedName>
    <definedName name="solver_tol" localSheetId="10" hidden="1">1</definedName>
    <definedName name="solver_tol" localSheetId="0" hidden="1">0</definedName>
    <definedName name="solver_tol" localSheetId="11" hidden="1">0.01</definedName>
    <definedName name="solver_typ" localSheetId="4" hidden="1">2</definedName>
    <definedName name="solver_typ" localSheetId="2" hidden="1">2</definedName>
    <definedName name="solver_typ" localSheetId="3" hidden="1">2</definedName>
    <definedName name="solver_typ" localSheetId="1" hidden="1">2</definedName>
    <definedName name="solver_typ" localSheetId="8" hidden="1">2</definedName>
    <definedName name="solver_typ" localSheetId="7" hidden="1">2</definedName>
    <definedName name="solver_typ" localSheetId="6" hidden="1">2</definedName>
    <definedName name="solver_typ" localSheetId="5" hidden="1">1</definedName>
    <definedName name="solver_typ" localSheetId="9" hidden="1">2</definedName>
    <definedName name="solver_typ" localSheetId="10" hidden="1">2</definedName>
    <definedName name="solver_typ" localSheetId="0" hidden="1">1</definedName>
    <definedName name="solver_typ" localSheetId="11" hidden="1">2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al" localSheetId="8" hidden="1">0</definedName>
    <definedName name="solver_val" localSheetId="7" hidden="1">0</definedName>
    <definedName name="solver_val" localSheetId="6" hidden="1">0</definedName>
    <definedName name="solver_val" localSheetId="5" hidden="1">0</definedName>
    <definedName name="solver_val" localSheetId="9" hidden="1">0</definedName>
    <definedName name="solver_val" localSheetId="10" hidden="1">0</definedName>
    <definedName name="solver_val" localSheetId="0" hidden="1">0</definedName>
    <definedName name="solver_val" localSheetId="11" hidden="1">0</definedName>
    <definedName name="solver_ver" localSheetId="4" hidden="1">3</definedName>
    <definedName name="solver_ver" localSheetId="2" hidden="1">3</definedName>
    <definedName name="solver_ver" localSheetId="3" hidden="1">3</definedName>
    <definedName name="solver_ver" localSheetId="1" hidden="1">3</definedName>
    <definedName name="solver_ver" localSheetId="8" hidden="1">3</definedName>
    <definedName name="solver_ver" localSheetId="7" hidden="1">3</definedName>
    <definedName name="solver_ver" localSheetId="6" hidden="1">3</definedName>
    <definedName name="solver_ver" localSheetId="5" hidden="1">3</definedName>
    <definedName name="solver_ver" localSheetId="9" hidden="1">3</definedName>
    <definedName name="solver_ver" localSheetId="10" hidden="1">3</definedName>
    <definedName name="solver_ver" localSheetId="0" hidden="1">3</definedName>
    <definedName name="solver_ver" localSheetId="11" hidden="1">3</definedName>
    <definedName name="TotalVariableCost">'Quantity Discounts'!$K$12:$K$16</definedName>
    <definedName name="UpperLimit">'Quantity Discounts'!$E$12:$E$16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1" l="1"/>
  <c r="F12" i="21" s="1"/>
  <c r="B13" i="21"/>
  <c r="H13" i="21" s="1"/>
  <c r="B14" i="21"/>
  <c r="F14" i="21"/>
  <c r="G14" i="21" s="1"/>
  <c r="H14" i="21"/>
  <c r="B15" i="21"/>
  <c r="F15" i="21" s="1"/>
  <c r="I15" i="21"/>
  <c r="B16" i="21"/>
  <c r="F16" i="21" s="1"/>
  <c r="I16" i="21"/>
  <c r="G6" i="20"/>
  <c r="G5" i="20"/>
  <c r="L7" i="20"/>
  <c r="E20" i="19"/>
  <c r="E18" i="19" s="1"/>
  <c r="G5" i="18"/>
  <c r="G6" i="18"/>
  <c r="G7" i="17"/>
  <c r="G13" i="19"/>
  <c r="I13" i="19" s="1"/>
  <c r="G14" i="19"/>
  <c r="I14" i="19" s="1"/>
  <c r="G12" i="19"/>
  <c r="J12" i="19" s="1"/>
  <c r="F12" i="19"/>
  <c r="F13" i="19"/>
  <c r="F14" i="19"/>
  <c r="G5" i="17"/>
  <c r="H14" i="19"/>
  <c r="H13" i="19"/>
  <c r="H12" i="19"/>
  <c r="G4" i="18"/>
  <c r="L7" i="17"/>
  <c r="J20" i="16"/>
  <c r="H12" i="16"/>
  <c r="E16" i="16"/>
  <c r="F16" i="16"/>
  <c r="G16" i="16"/>
  <c r="D16" i="16"/>
  <c r="H14" i="16"/>
  <c r="H13" i="16"/>
  <c r="K32" i="12"/>
  <c r="F24" i="12"/>
  <c r="M32" i="12"/>
  <c r="L32" i="12" s="1"/>
  <c r="M34" i="12"/>
  <c r="L34" i="12" s="1"/>
  <c r="M33" i="12"/>
  <c r="L33" i="12" s="1"/>
  <c r="I32" i="12"/>
  <c r="H24" i="12"/>
  <c r="G24" i="12"/>
  <c r="M12" i="12"/>
  <c r="G12" i="12"/>
  <c r="G15" i="12"/>
  <c r="G14" i="12"/>
  <c r="M14" i="12" s="1"/>
  <c r="G13" i="12"/>
  <c r="F14" i="12" s="1"/>
  <c r="K19" i="12"/>
  <c r="F12" i="12"/>
  <c r="K15" i="21" l="1"/>
  <c r="F13" i="21"/>
  <c r="G13" i="21" s="1"/>
  <c r="I13" i="21" s="1"/>
  <c r="J15" i="21"/>
  <c r="H15" i="21"/>
  <c r="G15" i="21"/>
  <c r="G12" i="21"/>
  <c r="I12" i="21" s="1"/>
  <c r="I14" i="21"/>
  <c r="J14" i="21"/>
  <c r="G16" i="21"/>
  <c r="K16" i="21"/>
  <c r="J16" i="21"/>
  <c r="H16" i="21"/>
  <c r="J12" i="21"/>
  <c r="J13" i="21"/>
  <c r="K13" i="21" s="1"/>
  <c r="H12" i="21"/>
  <c r="K12" i="21" s="1"/>
  <c r="G8" i="20"/>
  <c r="J14" i="19"/>
  <c r="K14" i="19" s="1"/>
  <c r="I12" i="19"/>
  <c r="K12" i="19" s="1"/>
  <c r="J13" i="19"/>
  <c r="K13" i="19" s="1"/>
  <c r="G7" i="18"/>
  <c r="G4" i="17"/>
  <c r="K38" i="12"/>
  <c r="M13" i="12"/>
  <c r="L19" i="12" s="1"/>
  <c r="M19" i="12" s="1"/>
  <c r="F13" i="12"/>
  <c r="F15" i="12"/>
  <c r="J18" i="11"/>
  <c r="G16" i="11"/>
  <c r="F16" i="11"/>
  <c r="E16" i="11"/>
  <c r="D16" i="11"/>
  <c r="H14" i="11"/>
  <c r="H13" i="11"/>
  <c r="H12" i="11"/>
  <c r="E16" i="8"/>
  <c r="F16" i="8"/>
  <c r="G16" i="8"/>
  <c r="D16" i="8"/>
  <c r="H12" i="8"/>
  <c r="J18" i="8"/>
  <c r="H14" i="8"/>
  <c r="H13" i="8"/>
  <c r="P138" i="4"/>
  <c r="P139" i="4"/>
  <c r="P137" i="4"/>
  <c r="O139" i="4"/>
  <c r="N139" i="4"/>
  <c r="M139" i="4"/>
  <c r="O138" i="4"/>
  <c r="O137" i="4"/>
  <c r="N138" i="4"/>
  <c r="M138" i="4"/>
  <c r="N137" i="4"/>
  <c r="M137" i="4"/>
  <c r="J131" i="4"/>
  <c r="G129" i="4"/>
  <c r="F129" i="4"/>
  <c r="E129" i="4"/>
  <c r="D129" i="4"/>
  <c r="H128" i="4"/>
  <c r="H127" i="4"/>
  <c r="H126" i="4"/>
  <c r="H125" i="4"/>
  <c r="H107" i="4"/>
  <c r="H108" i="4"/>
  <c r="H109" i="4"/>
  <c r="H110" i="4"/>
  <c r="D111" i="4"/>
  <c r="E111" i="4"/>
  <c r="F111" i="4"/>
  <c r="G111" i="4"/>
  <c r="J113" i="4"/>
  <c r="J95" i="4"/>
  <c r="G93" i="4"/>
  <c r="F93" i="4"/>
  <c r="E93" i="4"/>
  <c r="D93" i="4"/>
  <c r="H92" i="4"/>
  <c r="H91" i="4"/>
  <c r="H90" i="4"/>
  <c r="H89" i="4"/>
  <c r="J76" i="4"/>
  <c r="G74" i="4"/>
  <c r="F74" i="4"/>
  <c r="E74" i="4"/>
  <c r="D74" i="4"/>
  <c r="H73" i="4"/>
  <c r="H72" i="4"/>
  <c r="H71" i="4"/>
  <c r="H70" i="4"/>
  <c r="J58" i="4"/>
  <c r="G56" i="4"/>
  <c r="F56" i="4"/>
  <c r="E56" i="4"/>
  <c r="D56" i="4"/>
  <c r="H55" i="4"/>
  <c r="H54" i="4"/>
  <c r="H53" i="4"/>
  <c r="H52" i="4"/>
  <c r="E38" i="4"/>
  <c r="F38" i="4"/>
  <c r="G38" i="4"/>
  <c r="D38" i="4"/>
  <c r="H35" i="4"/>
  <c r="H36" i="4"/>
  <c r="H37" i="4"/>
  <c r="H34" i="4"/>
  <c r="J40" i="4"/>
  <c r="E16" i="2"/>
  <c r="F16" i="2"/>
  <c r="G16" i="2"/>
  <c r="D16" i="2"/>
  <c r="H13" i="2"/>
  <c r="H14" i="2"/>
  <c r="H15" i="2"/>
  <c r="H12" i="2"/>
  <c r="J18" i="2"/>
  <c r="J21" i="1"/>
  <c r="E19" i="1"/>
  <c r="F19" i="1"/>
  <c r="G19" i="1"/>
  <c r="D19" i="1"/>
  <c r="H17" i="1"/>
  <c r="H18" i="1"/>
  <c r="H16" i="1"/>
  <c r="K14" i="21" l="1"/>
  <c r="E21" i="21"/>
  <c r="E19" i="21" s="1"/>
  <c r="G6" i="17"/>
  <c r="G8" i="17" s="1"/>
</calcChain>
</file>

<file path=xl/sharedStrings.xml><?xml version="1.0" encoding="utf-8"?>
<sst xmlns="http://schemas.openxmlformats.org/spreadsheetml/2006/main" count="501" uniqueCount="139">
  <si>
    <t>Bellingham</t>
  </si>
  <si>
    <t>Eugene</t>
  </si>
  <si>
    <t>Albert Lea</t>
  </si>
  <si>
    <t>Sacramento</t>
  </si>
  <si>
    <t>Salt Lake City</t>
  </si>
  <si>
    <t>Rapid City</t>
  </si>
  <si>
    <t>Albuquerque</t>
  </si>
  <si>
    <t>=</t>
  </si>
  <si>
    <t>Warehouse</t>
  </si>
  <si>
    <t>Canneries</t>
  </si>
  <si>
    <t>Total Cost</t>
  </si>
  <si>
    <t>Indianapolis</t>
  </si>
  <si>
    <t>Phoenix</t>
  </si>
  <si>
    <t>New York</t>
  </si>
  <si>
    <t>Atlanta</t>
  </si>
  <si>
    <t>Columbus</t>
  </si>
  <si>
    <t>St. Louis</t>
  </si>
  <si>
    <t>Denver</t>
  </si>
  <si>
    <t>Los Angeles</t>
  </si>
  <si>
    <t>Pharma</t>
  </si>
  <si>
    <t>Unit Cost</t>
  </si>
  <si>
    <t>Solution</t>
  </si>
  <si>
    <t>Total Shipped</t>
  </si>
  <si>
    <t>Supply</t>
  </si>
  <si>
    <t>Demand</t>
  </si>
  <si>
    <t xml:space="preserve">Total Received </t>
  </si>
  <si>
    <t>Case 1 – A CASE STUDY: THE TEXAGO CORP. SITE SELECTION PROBLEM</t>
  </si>
  <si>
    <t>Cost per Unit Shipped to Refinery or Potential Refinery</t>
  </si>
  <si>
    <t>Texas</t>
  </si>
  <si>
    <t>California</t>
  </si>
  <si>
    <t>Alaska</t>
  </si>
  <si>
    <t>Middle East</t>
  </si>
  <si>
    <t>New Orleans</t>
  </si>
  <si>
    <t>Seattle</t>
  </si>
  <si>
    <t xml:space="preserve">Charleston  </t>
  </si>
  <si>
    <t>Galveston</t>
  </si>
  <si>
    <t>Cost per Unit Shipped to Distribution Centers</t>
  </si>
  <si>
    <t>Potential Refinery</t>
  </si>
  <si>
    <t>6.5</t>
  </si>
  <si>
    <t>5.5</t>
  </si>
  <si>
    <t>Pittsburg</t>
  </si>
  <si>
    <t>Kansas City</t>
  </si>
  <si>
    <t>San Francisco</t>
  </si>
  <si>
    <t>Number of units needed</t>
  </si>
  <si>
    <t>1. Total shipping cost for crude oil with each potential choice off a site and for the new refinery</t>
  </si>
  <si>
    <t>Site</t>
  </si>
  <si>
    <t>Operation Cost</t>
  </si>
  <si>
    <t>Total Received</t>
  </si>
  <si>
    <t>Unit Cost with "Los Angeles" option</t>
  </si>
  <si>
    <t>Shipment quantity with "Los Angeles" option</t>
  </si>
  <si>
    <t>Unit Cost with "Galveston" option</t>
  </si>
  <si>
    <t>Shipment quantity with "Galveston" option</t>
  </si>
  <si>
    <t>Unit Cost with "St. Louis" option</t>
  </si>
  <si>
    <t>Shipment quantity with "St. Louis" option</t>
  </si>
  <si>
    <t>2. Total shipping cost for finished product with each potential choice of a site for the new refinery</t>
  </si>
  <si>
    <t>3. Calculate total variable cost from the choice of each site for the new Texago refinery</t>
  </si>
  <si>
    <t>Shipping cost for crude oil</t>
  </si>
  <si>
    <t>Shipping cost for finished product</t>
  </si>
  <si>
    <t>Annual Operation Cost</t>
  </si>
  <si>
    <t>Total variable cost</t>
  </si>
  <si>
    <t>&lt;=</t>
  </si>
  <si>
    <t>Capacity</t>
  </si>
  <si>
    <t>Required</t>
  </si>
  <si>
    <t>Product</t>
  </si>
  <si>
    <t>Plant</t>
  </si>
  <si>
    <t>Total produce</t>
  </si>
  <si>
    <t>Better Products Co.</t>
  </si>
  <si>
    <t>Regular</t>
  </si>
  <si>
    <t>Overtime</t>
  </si>
  <si>
    <t>Storage</t>
  </si>
  <si>
    <t>Storage Cost</t>
  </si>
  <si>
    <t>Total</t>
  </si>
  <si>
    <t>Production Cost</t>
  </si>
  <si>
    <t>Abundant</t>
  </si>
  <si>
    <t>Unit Profit</t>
  </si>
  <si>
    <t>Customer</t>
  </si>
  <si>
    <t>Minimum</t>
  </si>
  <si>
    <t>Requested</t>
  </si>
  <si>
    <t>&gt;=</t>
  </si>
  <si>
    <t>Total Profit</t>
  </si>
  <si>
    <t>Data</t>
  </si>
  <si>
    <t>D=</t>
  </si>
  <si>
    <t>K=</t>
  </si>
  <si>
    <t>h=</t>
  </si>
  <si>
    <t>L=</t>
  </si>
  <si>
    <t>WD=</t>
  </si>
  <si>
    <t>Decision</t>
  </si>
  <si>
    <t>Q=</t>
  </si>
  <si>
    <t>Results</t>
  </si>
  <si>
    <t>Annual Setup Cost</t>
  </si>
  <si>
    <t>Annual Holding Cost</t>
  </si>
  <si>
    <t>Total Variable Cost</t>
  </si>
  <si>
    <t>demand/year</t>
  </si>
  <si>
    <t>setup cost</t>
  </si>
  <si>
    <t>unit holding cost</t>
  </si>
  <si>
    <t>unit shortage cost</t>
  </si>
  <si>
    <t>p=</t>
  </si>
  <si>
    <t>Max Inventory Level</t>
  </si>
  <si>
    <t>S=</t>
  </si>
  <si>
    <t>order quantity</t>
  </si>
  <si>
    <t>maximum shortage</t>
  </si>
  <si>
    <t>Annual Shortage Cost</t>
  </si>
  <si>
    <t>lead time in days</t>
  </si>
  <si>
    <t>working days/year</t>
  </si>
  <si>
    <t>Reorder Point</t>
  </si>
  <si>
    <t xml:space="preserve">a regular rate of about 500 per month
--&gt; D = 6000 / year
The sum of these two figures is $115 --&gt; K = 115
In other words, for the tire size under consideration, this total annual cost per tire is 0.21*($20 per tire) = $4.20 per tire --&gt; h = 4.2
Eversafe then ships the tires by truck to arrive 9 working days after the placement of 
the order --&gt; L = 9
</t>
  </si>
  <si>
    <t>N=</t>
  </si>
  <si>
    <t>I=</t>
  </si>
  <si>
    <t>inventory holding cost rate</t>
  </si>
  <si>
    <t>number of discount categories</t>
  </si>
  <si>
    <t>Category</t>
  </si>
  <si>
    <t>Price</t>
  </si>
  <si>
    <t>Range of order quantities</t>
  </si>
  <si>
    <t>Lower Limit</t>
  </si>
  <si>
    <t>Upper Limit</t>
  </si>
  <si>
    <t>EOQ</t>
  </si>
  <si>
    <t>Q*</t>
  </si>
  <si>
    <t>Annual</t>
  </si>
  <si>
    <t>Variable</t>
  </si>
  <si>
    <t>Cost</t>
  </si>
  <si>
    <t>Holding</t>
  </si>
  <si>
    <t>Setup</t>
  </si>
  <si>
    <t>Purchase</t>
  </si>
  <si>
    <t>Optimal Q</t>
  </si>
  <si>
    <t>unit setup cost</t>
  </si>
  <si>
    <t>PR=</t>
  </si>
  <si>
    <t>production rate</t>
  </si>
  <si>
    <t>production lot size</t>
  </si>
  <si>
    <t xml:space="preserve">Total Variable Cost </t>
  </si>
  <si>
    <t xml:space="preserve">Optimal Q </t>
  </si>
  <si>
    <t>(number of discount categories)</t>
  </si>
  <si>
    <t>N =</t>
  </si>
  <si>
    <t>(inventory holding cost rate)</t>
  </si>
  <si>
    <t>I =</t>
  </si>
  <si>
    <t>(setup cost)</t>
  </si>
  <si>
    <t>K =</t>
  </si>
  <si>
    <t>(demand/year)</t>
  </si>
  <si>
    <t>D =</t>
  </si>
  <si>
    <t>EOQ Model with Quantity Discounts (Analytical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</si>
</sst>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Geneva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0" fillId="4" borderId="1" xfId="1" applyNumberFormat="1" applyFont="1" applyFill="1" applyBorder="1"/>
    <xf numFmtId="0" fontId="0" fillId="0" borderId="1" xfId="0" applyBorder="1" applyAlignment="1">
      <alignment horizontal="left"/>
    </xf>
    <xf numFmtId="164" fontId="0" fillId="8" borderId="0" xfId="1" applyNumberFormat="1" applyFont="1" applyFill="1" applyAlignment="1">
      <alignment horizontal="center"/>
    </xf>
    <xf numFmtId="164" fontId="0" fillId="9" borderId="0" xfId="0" applyNumberFormat="1" applyFill="1"/>
    <xf numFmtId="164" fontId="0" fillId="4" borderId="0" xfId="0" applyNumberFormat="1" applyFill="1"/>
    <xf numFmtId="164" fontId="0" fillId="0" borderId="1" xfId="1" applyNumberFormat="1" applyFont="1" applyFill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/>
    <xf numFmtId="0" fontId="0" fillId="6" borderId="0" xfId="0" applyFill="1"/>
    <xf numFmtId="44" fontId="0" fillId="8" borderId="0" xfId="1" applyFont="1" applyFill="1" applyAlignment="1">
      <alignment horizontal="center" vertical="center"/>
    </xf>
    <xf numFmtId="0" fontId="0" fillId="0" borderId="0" xfId="0" applyAlignment="1">
      <alignment horizontal="right"/>
    </xf>
    <xf numFmtId="4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6" borderId="0" xfId="1" applyNumberFormat="1" applyFont="1" applyFill="1"/>
    <xf numFmtId="164" fontId="0" fillId="0" borderId="0" xfId="1" applyNumberFormat="1" applyFont="1" applyAlignment="1">
      <alignment horizontal="center" vertical="center"/>
    </xf>
    <xf numFmtId="44" fontId="0" fillId="9" borderId="0" xfId="1" applyFont="1" applyFill="1"/>
    <xf numFmtId="164" fontId="0" fillId="9" borderId="0" xfId="1" applyNumberFormat="1" applyFont="1" applyFill="1"/>
    <xf numFmtId="44" fontId="0" fillId="6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2" applyFont="1"/>
    <xf numFmtId="0" fontId="6" fillId="0" borderId="0" xfId="2" applyFont="1" applyAlignment="1">
      <alignment horizontal="center"/>
    </xf>
    <xf numFmtId="0" fontId="6" fillId="0" borderId="0" xfId="2" applyFont="1" applyAlignment="1">
      <alignment horizontal="right"/>
    </xf>
    <xf numFmtId="165" fontId="6" fillId="10" borderId="5" xfId="2" applyNumberFormat="1" applyFont="1" applyFill="1" applyBorder="1" applyAlignment="1">
      <alignment horizontal="center"/>
    </xf>
    <xf numFmtId="0" fontId="6" fillId="10" borderId="5" xfId="2" applyFont="1" applyFill="1" applyBorder="1" applyAlignment="1">
      <alignment horizontal="center"/>
    </xf>
    <xf numFmtId="0" fontId="7" fillId="0" borderId="0" xfId="2" applyFont="1" applyAlignment="1">
      <alignment horizontal="center"/>
    </xf>
    <xf numFmtId="165" fontId="6" fillId="0" borderId="0" xfId="2" applyNumberFormat="1" applyFont="1" applyAlignment="1">
      <alignment horizontal="center"/>
    </xf>
    <xf numFmtId="1" fontId="6" fillId="0" borderId="0" xfId="2" applyNumberFormat="1" applyFont="1" applyAlignment="1">
      <alignment horizontal="center"/>
    </xf>
    <xf numFmtId="0" fontId="6" fillId="11" borderId="0" xfId="2" applyFont="1" applyFill="1"/>
    <xf numFmtId="166" fontId="6" fillId="11" borderId="0" xfId="2" applyNumberFormat="1" applyFont="1" applyFill="1" applyAlignment="1">
      <alignment horizontal="center"/>
    </xf>
    <xf numFmtId="0" fontId="6" fillId="12" borderId="0" xfId="2" applyFont="1" applyFill="1" applyAlignment="1">
      <alignment horizontal="center"/>
    </xf>
    <xf numFmtId="166" fontId="6" fillId="12" borderId="0" xfId="2" applyNumberFormat="1" applyFont="1" applyFill="1" applyAlignment="1">
      <alignment horizontal="center"/>
    </xf>
    <xf numFmtId="0" fontId="6" fillId="0" borderId="0" xfId="2" applyFont="1" applyAlignment="1">
      <alignment horizontal="centerContinuous"/>
    </xf>
    <xf numFmtId="2" fontId="6" fillId="0" borderId="0" xfId="2" applyNumberFormat="1" applyFont="1" applyAlignment="1">
      <alignment horizontal="right"/>
    </xf>
    <xf numFmtId="6" fontId="6" fillId="12" borderId="0" xfId="2" applyNumberFormat="1" applyFont="1" applyFill="1" applyAlignment="1">
      <alignment horizontal="center"/>
    </xf>
    <xf numFmtId="0" fontId="8" fillId="0" borderId="0" xfId="2" applyFont="1"/>
  </cellXfs>
  <cellStyles count="3">
    <cellStyle name="Currency" xfId="1" builtinId="4"/>
    <cellStyle name="Normal" xfId="0" builtinId="0"/>
    <cellStyle name="Normal 2" xfId="2" xr:uid="{16F7EE94-5A95-4002-9C63-3C6EDE71C42A}"/>
  </cellStyles>
  <dxfs count="4"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403860</xdr:colOff>
      <xdr:row>0</xdr:row>
      <xdr:rowOff>137160</xdr:rowOff>
    </xdr:from>
    <xdr:to>
      <xdr:col>22</xdr:col>
      <xdr:colOff>100038</xdr:colOff>
      <xdr:row>17</xdr:row>
      <xdr:rowOff>57573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59D807-690B-055D-D8EE-B17CE0958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0120" y="137160"/>
          <a:ext cx="7011378" cy="3029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38100</xdr:rowOff>
    </xdr:from>
    <xdr:to>
      <xdr:col>13</xdr:col>
      <xdr:colOff>453060</xdr:colOff>
      <xdr:row>65</xdr:row>
      <xdr:rowOff>160445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7E1A0F-CF15-FF2D-2F40-00E2B09C1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99220"/>
          <a:ext cx="11288700" cy="3048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EF5D-9510-4E29-A121-0FB94A6025BA}">
  <sheetPr>
    <pageSetUpPr fitToPage="1"/>
  </sheetPr>
  <dimension ref="A1:K21"/>
  <sheetViews>
    <sheetView tabSelected="1" workbookViewId="0">
      <selection activeCell="E19" sqref="E19"/>
    </sheetView>
  </sheetViews>
  <sheetFormatPr defaultColWidth="10.6640625" defaultRowHeight="13.2"/>
  <cols>
    <col min="1" max="1" width="2.6640625" style="55" customWidth="1"/>
    <col min="2" max="2" width="8.109375" style="57" bestFit="1" customWidth="1"/>
    <col min="3" max="3" width="8.5546875" style="56" customWidth="1"/>
    <col min="4" max="4" width="10.88671875" style="55" customWidth="1"/>
    <col min="5" max="5" width="9.88671875" style="55" customWidth="1"/>
    <col min="6" max="6" width="6.88671875" style="57" customWidth="1"/>
    <col min="7" max="7" width="6" style="56" customWidth="1"/>
    <col min="8" max="8" width="10.109375" style="55" customWidth="1"/>
    <col min="9" max="9" width="9.33203125" style="55" customWidth="1"/>
    <col min="10" max="10" width="8.109375" style="55" customWidth="1"/>
    <col min="11" max="11" width="10.6640625" style="55" customWidth="1"/>
    <col min="12" max="13" width="5.6640625" style="55" customWidth="1"/>
    <col min="14" max="16384" width="10.6640625" style="55"/>
  </cols>
  <sheetData>
    <row r="1" spans="1:11" ht="17.399999999999999">
      <c r="A1" s="70" t="s">
        <v>138</v>
      </c>
    </row>
    <row r="3" spans="1:11">
      <c r="C3" s="60" t="s">
        <v>80</v>
      </c>
    </row>
    <row r="4" spans="1:11">
      <c r="B4" s="57" t="s">
        <v>137</v>
      </c>
      <c r="C4" s="65">
        <v>6000</v>
      </c>
      <c r="D4" s="55" t="s">
        <v>136</v>
      </c>
      <c r="G4" s="68"/>
    </row>
    <row r="5" spans="1:11">
      <c r="B5" s="57" t="s">
        <v>135</v>
      </c>
      <c r="C5" s="69">
        <v>115</v>
      </c>
      <c r="D5" s="55" t="s">
        <v>134</v>
      </c>
    </row>
    <row r="6" spans="1:11">
      <c r="B6" s="57" t="s">
        <v>133</v>
      </c>
      <c r="C6" s="65">
        <v>0.21</v>
      </c>
      <c r="D6" s="55" t="s">
        <v>132</v>
      </c>
      <c r="G6" s="68"/>
    </row>
    <row r="7" spans="1:11">
      <c r="B7" s="57" t="s">
        <v>131</v>
      </c>
      <c r="C7" s="65">
        <v>3</v>
      </c>
      <c r="D7" s="55" t="s">
        <v>130</v>
      </c>
      <c r="G7" s="68"/>
    </row>
    <row r="8" spans="1:11">
      <c r="C8" s="60"/>
      <c r="G8" s="68"/>
    </row>
    <row r="9" spans="1:11">
      <c r="B9" s="55"/>
      <c r="C9" s="55"/>
      <c r="G9" s="68"/>
      <c r="H9" s="56" t="s">
        <v>117</v>
      </c>
      <c r="I9" s="56" t="s">
        <v>117</v>
      </c>
      <c r="J9" s="56" t="s">
        <v>117</v>
      </c>
      <c r="K9" s="56" t="s">
        <v>71</v>
      </c>
    </row>
    <row r="10" spans="1:11">
      <c r="B10" s="55"/>
      <c r="C10" s="55"/>
      <c r="D10" s="67" t="s">
        <v>112</v>
      </c>
      <c r="E10" s="67"/>
      <c r="H10" s="56" t="s">
        <v>122</v>
      </c>
      <c r="I10" s="56" t="s">
        <v>121</v>
      </c>
      <c r="J10" s="56" t="s">
        <v>120</v>
      </c>
      <c r="K10" s="56" t="s">
        <v>118</v>
      </c>
    </row>
    <row r="11" spans="1:11">
      <c r="B11" s="57" t="s">
        <v>110</v>
      </c>
      <c r="C11" s="56" t="s">
        <v>111</v>
      </c>
      <c r="D11" s="56" t="s">
        <v>113</v>
      </c>
      <c r="E11" s="56" t="s">
        <v>114</v>
      </c>
      <c r="F11" s="56" t="s">
        <v>115</v>
      </c>
      <c r="G11" s="56" t="s">
        <v>116</v>
      </c>
      <c r="H11" s="56" t="s">
        <v>119</v>
      </c>
      <c r="I11" s="56" t="s">
        <v>119</v>
      </c>
      <c r="J11" s="56" t="s">
        <v>119</v>
      </c>
      <c r="K11" s="56" t="s">
        <v>119</v>
      </c>
    </row>
    <row r="12" spans="1:11">
      <c r="B12" s="56">
        <f>IF(N&gt;=1,1,"")</f>
        <v>1</v>
      </c>
      <c r="C12" s="66">
        <v>20</v>
      </c>
      <c r="D12" s="65">
        <v>0</v>
      </c>
      <c r="E12" s="65">
        <v>749</v>
      </c>
      <c r="F12" s="62">
        <f>IF(N&gt;=Category,SQRT(2*D*K/(I*Price)),"")</f>
        <v>573.21150422111089</v>
      </c>
      <c r="G12" s="62">
        <f>IF(N&gt;=Category,MIN(E12,MAX(D12,F12)),"")</f>
        <v>573.21150422111089</v>
      </c>
      <c r="H12" s="61">
        <f>IF(N&gt;=Category,D*Price,"")</f>
        <v>120000</v>
      </c>
      <c r="I12" s="61">
        <f>IF(N&gt;=1,K*D/Q,"")</f>
        <v>1203.7441588643326</v>
      </c>
      <c r="J12" s="61">
        <f>IF(N&gt;=Category,I*Price*Q/2,"")</f>
        <v>1203.7441588643328</v>
      </c>
      <c r="K12" s="61">
        <f>IF(N&gt;=Category,SUM(H12:J12),"")</f>
        <v>122407.48831772865</v>
      </c>
    </row>
    <row r="13" spans="1:11">
      <c r="B13" s="56">
        <f>IF(N&gt;=2,2,"")</f>
        <v>2</v>
      </c>
      <c r="C13" s="66">
        <v>19.8</v>
      </c>
      <c r="D13" s="65">
        <v>750</v>
      </c>
      <c r="E13" s="65">
        <v>1999</v>
      </c>
      <c r="F13" s="62">
        <f>IF(N&gt;=Category,SQRT(2*D*K/(I*Price)),"")</f>
        <v>576.09923788383185</v>
      </c>
      <c r="G13" s="62">
        <f>IF(N&gt;=Category,MIN(E13,MAX(D13,F13)),"")</f>
        <v>750</v>
      </c>
      <c r="H13" s="61">
        <f>IF(N&gt;=Category,D*Price,"")</f>
        <v>118800</v>
      </c>
      <c r="I13" s="61">
        <f>IF(N&gt;=2,K*D/Q,"")</f>
        <v>920</v>
      </c>
      <c r="J13" s="61">
        <f>IF(N&gt;=Category,I*Price*Q/2,"")</f>
        <v>1559.2500000000002</v>
      </c>
      <c r="K13" s="61">
        <f>IF(N&gt;=Category,SUM(H13:J13),"")</f>
        <v>121279.25</v>
      </c>
    </row>
    <row r="14" spans="1:11">
      <c r="B14" s="56">
        <f>IF(N&gt;=3,3,"")</f>
        <v>3</v>
      </c>
      <c r="C14" s="66">
        <v>19.600000000000001</v>
      </c>
      <c r="D14" s="65">
        <v>2000</v>
      </c>
      <c r="E14" s="65">
        <v>10000000</v>
      </c>
      <c r="F14" s="62">
        <f>IF(N&gt;=Category,SQRT(2*D*K/(I*Price)),"")</f>
        <v>579.03105955555532</v>
      </c>
      <c r="G14" s="62">
        <f>IF(N&gt;=Category,MIN(E14,MAX(D14,F14)),"")</f>
        <v>2000</v>
      </c>
      <c r="H14" s="61">
        <f>IF(N&gt;=Category,D*Price,"")</f>
        <v>117600.00000000001</v>
      </c>
      <c r="I14" s="61">
        <f>IF(N&gt;=3,K*D/Q,"")</f>
        <v>345</v>
      </c>
      <c r="J14" s="61">
        <f>IF(N&gt;=Category,I*Price*Q/2,"")</f>
        <v>4116.0000000000009</v>
      </c>
      <c r="K14" s="61">
        <f>IF(N&gt;=Category,SUM(H14:J14),"")</f>
        <v>122061.00000000001</v>
      </c>
    </row>
    <row r="15" spans="1:11">
      <c r="B15" s="56" t="str">
        <f>IF(N&gt;=4,4,"")</f>
        <v/>
      </c>
      <c r="C15" s="64"/>
      <c r="D15" s="63"/>
      <c r="E15" s="63"/>
      <c r="F15" s="62" t="str">
        <f>IF(N&gt;=Category,SQRT(2*D*K/(I*Price)),"")</f>
        <v/>
      </c>
      <c r="G15" s="62" t="str">
        <f>IF(N&gt;=Category,MIN(E15,MAX(D15,F15)),"")</f>
        <v/>
      </c>
      <c r="H15" s="61" t="str">
        <f>IF(N&gt;=Category,D*Price,"")</f>
        <v/>
      </c>
      <c r="I15" s="61" t="str">
        <f>IF(N&gt;=4,K*D/Q,"")</f>
        <v/>
      </c>
      <c r="J15" s="61" t="str">
        <f>IF(N&gt;=Category,I*Price*Q/2,"")</f>
        <v/>
      </c>
      <c r="K15" s="61" t="str">
        <f>IF(N&gt;=Category,SUM(H15:J15),"")</f>
        <v/>
      </c>
    </row>
    <row r="16" spans="1:11">
      <c r="B16" s="56" t="str">
        <f>IF(N&gt;=5,5,"")</f>
        <v/>
      </c>
      <c r="C16" s="64"/>
      <c r="D16" s="63"/>
      <c r="E16" s="63"/>
      <c r="F16" s="62" t="str">
        <f>IF(N&gt;=Category,SQRT(2*D*K/(I*Price)),"")</f>
        <v/>
      </c>
      <c r="G16" s="62" t="str">
        <f>IF(N&gt;=Category,MIN(E16,MAX(D16,F16)),"")</f>
        <v/>
      </c>
      <c r="H16" s="61" t="str">
        <f>IF(N&gt;=Category,D*Price,"")</f>
        <v/>
      </c>
      <c r="I16" s="61" t="str">
        <f>IF(N&gt;=5,K*D/Q,"")</f>
        <v/>
      </c>
      <c r="J16" s="61" t="str">
        <f>IF(N&gt;=Category,I*Price*Q/2,"")</f>
        <v/>
      </c>
      <c r="K16" s="61" t="str">
        <f>IF(N&gt;=Category,SUM(H16:J16),"")</f>
        <v/>
      </c>
    </row>
    <row r="17" spans="3:5">
      <c r="C17" s="60"/>
    </row>
    <row r="18" spans="3:5" ht="13.8" thickBot="1">
      <c r="E18" s="60" t="s">
        <v>88</v>
      </c>
    </row>
    <row r="19" spans="3:5" ht="13.8" thickBot="1">
      <c r="D19" s="57" t="s">
        <v>129</v>
      </c>
      <c r="E19" s="59">
        <f>IF(OptimalTotalVariableCost=K12,G12,IF(OptimalTotalVariableCost=K13,G13,IF(OptimalTotalVariableCost=K14,G14,IF(OptimalTotalVariableCost=K15,G14,IF(OptimalTotalVariableCost=K16,G16)))))</f>
        <v>750</v>
      </c>
    </row>
    <row r="20" spans="3:5" ht="13.8" thickBot="1"/>
    <row r="21" spans="3:5" ht="13.8" thickBot="1">
      <c r="D21" s="57" t="s">
        <v>128</v>
      </c>
      <c r="E21" s="58">
        <f>MIN(TotalVariableCost)</f>
        <v>121279.25</v>
      </c>
    </row>
  </sheetData>
  <conditionalFormatting sqref="C13:E13">
    <cfRule type="expression" dxfId="3" priority="1" stopIfTrue="1">
      <formula>(N&lt;2)</formula>
    </cfRule>
  </conditionalFormatting>
  <conditionalFormatting sqref="C14:E14">
    <cfRule type="expression" dxfId="2" priority="2" stopIfTrue="1">
      <formula>(N&lt;3)</formula>
    </cfRule>
  </conditionalFormatting>
  <conditionalFormatting sqref="C15:E15">
    <cfRule type="expression" dxfId="1" priority="3" stopIfTrue="1">
      <formula>(N&lt;4)</formula>
    </cfRule>
  </conditionalFormatting>
  <conditionalFormatting sqref="C16:E16">
    <cfRule type="expression" dxfId="0" priority="4" stopIfTrue="1">
      <formula>(N&lt;5)</formula>
    </cfRule>
  </conditionalFormatting>
  <dataValidations count="1">
    <dataValidation type="whole" allowBlank="1" showInputMessage="1" showErrorMessage="1" error="N must be an integer between 1 and 5." sqref="C7" xr:uid="{00000000-0002-0000-0000-000000000000}">
      <formula1>1</formula1>
      <formula2>5</formula2>
    </dataValidation>
  </dataValidations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FC3A-A0D8-4E08-A097-D2F35182F17C}">
  <dimension ref="B4:M28"/>
  <sheetViews>
    <sheetView workbookViewId="0">
      <selection activeCell="B6" sqref="B6:J22"/>
    </sheetView>
  </sheetViews>
  <sheetFormatPr defaultRowHeight="14.4"/>
  <cols>
    <col min="3" max="3" width="12.6640625" customWidth="1"/>
    <col min="4" max="4" width="11.21875" bestFit="1" customWidth="1"/>
    <col min="5" max="5" width="12.6640625" customWidth="1"/>
    <col min="6" max="6" width="11" customWidth="1"/>
    <col min="7" max="7" width="13" customWidth="1"/>
  </cols>
  <sheetData>
    <row r="4" spans="2:1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>
      <c r="B6" s="2"/>
      <c r="C6" s="2"/>
      <c r="D6" s="5" t="s">
        <v>8</v>
      </c>
      <c r="E6" s="2"/>
      <c r="F6" s="2"/>
      <c r="G6" s="2"/>
      <c r="H6" s="2"/>
      <c r="I6" s="2"/>
      <c r="J6" s="4"/>
      <c r="K6" s="6"/>
      <c r="L6" s="1"/>
      <c r="M6" s="1"/>
    </row>
    <row r="7" spans="2:13">
      <c r="B7" s="2"/>
      <c r="C7" s="2"/>
      <c r="D7" s="5" t="s">
        <v>3</v>
      </c>
      <c r="E7" s="5" t="s">
        <v>4</v>
      </c>
      <c r="F7" s="5" t="s">
        <v>5</v>
      </c>
      <c r="G7" s="5" t="s">
        <v>6</v>
      </c>
      <c r="H7" s="2"/>
      <c r="I7" s="2"/>
      <c r="J7" s="4"/>
      <c r="K7" s="6"/>
      <c r="L7" s="1"/>
      <c r="M7" s="1"/>
    </row>
    <row r="8" spans="2:13">
      <c r="B8" s="5" t="s">
        <v>9</v>
      </c>
      <c r="C8" s="5" t="s">
        <v>0</v>
      </c>
      <c r="D8" s="3">
        <v>464</v>
      </c>
      <c r="E8" s="3">
        <v>513</v>
      </c>
      <c r="F8" s="3">
        <v>654</v>
      </c>
      <c r="G8" s="3">
        <v>867</v>
      </c>
      <c r="H8" s="2"/>
      <c r="I8" s="2"/>
      <c r="J8" s="4"/>
      <c r="K8" s="6"/>
      <c r="L8" s="1"/>
      <c r="M8" s="1"/>
    </row>
    <row r="9" spans="2:13">
      <c r="B9" s="2"/>
      <c r="C9" s="5" t="s">
        <v>1</v>
      </c>
      <c r="D9" s="3">
        <v>352</v>
      </c>
      <c r="E9" s="3">
        <v>416</v>
      </c>
      <c r="F9" s="3">
        <v>690</v>
      </c>
      <c r="G9" s="3">
        <v>791</v>
      </c>
      <c r="H9" s="2"/>
      <c r="I9" s="2"/>
      <c r="J9" s="4"/>
      <c r="K9" s="6"/>
      <c r="L9" s="1"/>
      <c r="M9" s="1"/>
    </row>
    <row r="10" spans="2:13">
      <c r="B10" s="2"/>
      <c r="C10" s="5" t="s">
        <v>2</v>
      </c>
      <c r="D10" s="3">
        <v>995</v>
      </c>
      <c r="E10" s="3">
        <v>682</v>
      </c>
      <c r="F10" s="3">
        <v>388</v>
      </c>
      <c r="G10" s="3">
        <v>685</v>
      </c>
      <c r="H10" s="2"/>
      <c r="I10" s="2"/>
      <c r="J10" s="4"/>
      <c r="K10" s="6"/>
      <c r="L10" s="1"/>
      <c r="M10" s="1"/>
    </row>
    <row r="11" spans="2:13">
      <c r="B11" s="2"/>
      <c r="C11" s="2"/>
      <c r="D11" s="2"/>
      <c r="E11" s="2"/>
      <c r="F11" s="2"/>
      <c r="G11" s="2"/>
      <c r="H11" s="2"/>
      <c r="I11" s="2"/>
      <c r="J11" s="4"/>
      <c r="K11" s="6"/>
      <c r="L11" s="1"/>
      <c r="M11" s="1"/>
    </row>
    <row r="12" spans="2:13">
      <c r="B12" s="2"/>
      <c r="C12" s="2"/>
      <c r="D12" s="4"/>
      <c r="E12" s="4"/>
      <c r="F12" s="4"/>
      <c r="G12" s="4"/>
      <c r="H12" s="4"/>
      <c r="I12" s="2"/>
      <c r="J12" s="4"/>
      <c r="K12" s="6"/>
      <c r="L12" s="1"/>
      <c r="M12" s="1"/>
    </row>
    <row r="13" spans="2:13">
      <c r="B13" s="2"/>
      <c r="C13" s="2"/>
      <c r="D13" s="4"/>
      <c r="E13" s="4"/>
      <c r="F13" s="4"/>
      <c r="G13" s="4"/>
      <c r="H13" s="4"/>
      <c r="I13" s="2"/>
      <c r="J13" s="2"/>
      <c r="K13" s="1"/>
      <c r="L13" s="1"/>
      <c r="M13" s="1"/>
    </row>
    <row r="14" spans="2:13">
      <c r="B14" s="2"/>
      <c r="C14" s="2"/>
      <c r="D14" s="5" t="s">
        <v>8</v>
      </c>
      <c r="E14" s="2"/>
      <c r="F14" s="2"/>
      <c r="G14" s="2"/>
      <c r="H14" s="4"/>
      <c r="I14" s="2"/>
      <c r="J14" s="2"/>
      <c r="K14" s="1"/>
      <c r="L14" s="1"/>
      <c r="M14" s="1"/>
    </row>
    <row r="15" spans="2:13">
      <c r="B15" s="2"/>
      <c r="C15" s="2"/>
      <c r="D15" s="5" t="s">
        <v>3</v>
      </c>
      <c r="E15" s="5" t="s">
        <v>4</v>
      </c>
      <c r="F15" s="5" t="s">
        <v>5</v>
      </c>
      <c r="G15" s="5" t="s">
        <v>6</v>
      </c>
      <c r="H15" s="4"/>
      <c r="I15" s="2"/>
      <c r="J15" s="2"/>
      <c r="K15" s="1"/>
      <c r="L15" s="1"/>
      <c r="M15" s="1"/>
    </row>
    <row r="16" spans="2:13">
      <c r="B16" s="5" t="s">
        <v>9</v>
      </c>
      <c r="C16" s="5" t="s">
        <v>0</v>
      </c>
      <c r="D16" s="7">
        <v>0</v>
      </c>
      <c r="E16" s="7">
        <v>20</v>
      </c>
      <c r="F16" s="7">
        <v>0</v>
      </c>
      <c r="G16" s="7">
        <v>55</v>
      </c>
      <c r="H16" s="2">
        <f>SUM(D16:G16)</f>
        <v>75</v>
      </c>
      <c r="I16" s="4" t="s">
        <v>7</v>
      </c>
      <c r="J16" s="2">
        <v>75</v>
      </c>
      <c r="K16" s="1"/>
      <c r="L16" s="1"/>
      <c r="M16" s="1"/>
    </row>
    <row r="17" spans="2:13">
      <c r="B17" s="2"/>
      <c r="C17" s="5" t="s">
        <v>1</v>
      </c>
      <c r="D17" s="7">
        <v>80</v>
      </c>
      <c r="E17" s="7">
        <v>45</v>
      </c>
      <c r="F17" s="7">
        <v>0</v>
      </c>
      <c r="G17" s="7">
        <v>0</v>
      </c>
      <c r="H17" s="2">
        <f t="shared" ref="H17:H18" si="0">SUM(D17:G17)</f>
        <v>125</v>
      </c>
      <c r="I17" s="4" t="s">
        <v>7</v>
      </c>
      <c r="J17" s="2">
        <v>125</v>
      </c>
      <c r="K17" s="1"/>
      <c r="L17" s="1"/>
      <c r="M17" s="1"/>
    </row>
    <row r="18" spans="2:13">
      <c r="B18" s="2"/>
      <c r="C18" s="5" t="s">
        <v>2</v>
      </c>
      <c r="D18" s="7">
        <v>0</v>
      </c>
      <c r="E18" s="7">
        <v>0</v>
      </c>
      <c r="F18" s="7">
        <v>70</v>
      </c>
      <c r="G18" s="7">
        <v>30</v>
      </c>
      <c r="H18" s="2">
        <f t="shared" si="0"/>
        <v>100</v>
      </c>
      <c r="I18" s="4" t="s">
        <v>7</v>
      </c>
      <c r="J18" s="2">
        <v>100</v>
      </c>
      <c r="K18" s="1"/>
      <c r="L18" s="1"/>
      <c r="M18" s="1"/>
    </row>
    <row r="19" spans="2:13">
      <c r="B19" s="2"/>
      <c r="C19" s="2"/>
      <c r="D19" s="1">
        <f>SUM(D16:D18)</f>
        <v>80</v>
      </c>
      <c r="E19" s="1">
        <f t="shared" ref="E19:G19" si="1">SUM(E16:E18)</f>
        <v>65</v>
      </c>
      <c r="F19" s="1">
        <f t="shared" si="1"/>
        <v>70</v>
      </c>
      <c r="G19" s="1">
        <f t="shared" si="1"/>
        <v>85</v>
      </c>
      <c r="H19" s="2"/>
      <c r="I19" s="2"/>
      <c r="J19" s="2"/>
      <c r="K19" s="1"/>
      <c r="L19" s="1"/>
      <c r="M19" s="1"/>
    </row>
    <row r="20" spans="2:13">
      <c r="B20" s="2"/>
      <c r="C20" s="2"/>
      <c r="D20" s="2" t="s">
        <v>7</v>
      </c>
      <c r="E20" s="2" t="s">
        <v>7</v>
      </c>
      <c r="F20" s="2" t="s">
        <v>7</v>
      </c>
      <c r="G20" s="2" t="s">
        <v>7</v>
      </c>
      <c r="H20" s="2"/>
      <c r="I20" s="2"/>
      <c r="J20" s="2" t="s">
        <v>10</v>
      </c>
      <c r="K20" s="1"/>
      <c r="L20" s="1"/>
      <c r="M20" s="1"/>
    </row>
    <row r="21" spans="2:13">
      <c r="B21" s="2"/>
      <c r="C21" s="2"/>
      <c r="D21" s="2">
        <v>80</v>
      </c>
      <c r="E21" s="2">
        <v>65</v>
      </c>
      <c r="F21" s="2">
        <v>70</v>
      </c>
      <c r="G21" s="2">
        <v>85</v>
      </c>
      <c r="H21" s="2"/>
      <c r="I21" s="2"/>
      <c r="J21" s="2">
        <f>SUMPRODUCT(D8:G10,D16:G18)</f>
        <v>152535</v>
      </c>
      <c r="K21" s="1"/>
      <c r="L21" s="1"/>
      <c r="M21" s="1"/>
    </row>
    <row r="22" spans="2:1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7FD7-C8BD-46BE-8598-B5F6E69100AA}">
  <dimension ref="A1:J1048573"/>
  <sheetViews>
    <sheetView workbookViewId="0">
      <selection activeCell="C12" sqref="C12:C15"/>
    </sheetView>
  </sheetViews>
  <sheetFormatPr defaultRowHeight="14.4"/>
  <cols>
    <col min="1" max="2" width="8.88671875" style="1"/>
    <col min="3" max="3" width="12.88671875" style="1" customWidth="1"/>
    <col min="4" max="4" width="11.88671875" style="1" customWidth="1"/>
    <col min="5" max="5" width="12.109375" style="1" customWidth="1"/>
    <col min="6" max="6" width="11.88671875" style="1" customWidth="1"/>
    <col min="7" max="7" width="11.21875" style="1" customWidth="1"/>
    <col min="8" max="8" width="12" style="1" bestFit="1" customWidth="1"/>
    <col min="9" max="16384" width="8.88671875" style="1"/>
  </cols>
  <sheetData>
    <row r="1" spans="1:10">
      <c r="A1" s="8" t="s">
        <v>19</v>
      </c>
    </row>
    <row r="3" spans="1:10">
      <c r="B3" s="8" t="s">
        <v>20</v>
      </c>
    </row>
    <row r="4" spans="1:10">
      <c r="C4" s="2"/>
      <c r="D4" s="2" t="s">
        <v>15</v>
      </c>
      <c r="E4" s="2" t="s">
        <v>16</v>
      </c>
      <c r="F4" s="2" t="s">
        <v>17</v>
      </c>
      <c r="G4" s="2" t="s">
        <v>18</v>
      </c>
      <c r="H4" s="2"/>
      <c r="I4" s="2"/>
      <c r="J4" s="2"/>
    </row>
    <row r="5" spans="1:10">
      <c r="C5" s="2" t="s">
        <v>11</v>
      </c>
      <c r="D5" s="9">
        <v>25</v>
      </c>
      <c r="E5" s="9">
        <v>35</v>
      </c>
      <c r="F5" s="9">
        <v>36</v>
      </c>
      <c r="G5" s="9">
        <v>60</v>
      </c>
      <c r="H5" s="2"/>
      <c r="I5" s="2"/>
      <c r="J5" s="2"/>
    </row>
    <row r="6" spans="1:10">
      <c r="C6" s="2" t="s">
        <v>12</v>
      </c>
      <c r="D6" s="9">
        <v>55</v>
      </c>
      <c r="E6" s="9">
        <v>30</v>
      </c>
      <c r="F6" s="9">
        <v>25</v>
      </c>
      <c r="G6" s="9">
        <v>25</v>
      </c>
      <c r="H6" s="2"/>
      <c r="I6" s="2"/>
      <c r="J6" s="2"/>
    </row>
    <row r="7" spans="1:10">
      <c r="C7" s="2" t="s">
        <v>13</v>
      </c>
      <c r="D7" s="9">
        <v>40</v>
      </c>
      <c r="E7" s="9">
        <v>50</v>
      </c>
      <c r="F7" s="9">
        <v>80</v>
      </c>
      <c r="G7" s="9">
        <v>90</v>
      </c>
      <c r="H7" s="2"/>
      <c r="I7" s="2"/>
      <c r="J7" s="2"/>
    </row>
    <row r="8" spans="1:10">
      <c r="C8" s="2" t="s">
        <v>14</v>
      </c>
      <c r="D8" s="9">
        <v>30</v>
      </c>
      <c r="E8" s="9">
        <v>40</v>
      </c>
      <c r="F8" s="9">
        <v>66</v>
      </c>
      <c r="G8" s="9">
        <v>75</v>
      </c>
      <c r="H8" s="2"/>
      <c r="I8" s="2"/>
      <c r="J8" s="2"/>
    </row>
    <row r="9" spans="1:10">
      <c r="C9" s="2"/>
      <c r="D9" s="2"/>
      <c r="E9" s="2"/>
      <c r="F9" s="2"/>
      <c r="G9" s="2"/>
      <c r="H9" s="2"/>
      <c r="I9" s="2"/>
      <c r="J9" s="2"/>
    </row>
    <row r="10" spans="1:10">
      <c r="B10" s="8" t="s">
        <v>21</v>
      </c>
      <c r="C10" s="2"/>
      <c r="D10" s="2"/>
      <c r="E10" s="2"/>
      <c r="F10" s="2"/>
      <c r="G10" s="2"/>
      <c r="H10" s="2"/>
      <c r="I10" s="2"/>
      <c r="J10" s="2"/>
    </row>
    <row r="11" spans="1:10">
      <c r="C11" s="2"/>
      <c r="D11" s="2" t="s">
        <v>15</v>
      </c>
      <c r="E11" s="2" t="s">
        <v>16</v>
      </c>
      <c r="F11" s="2" t="s">
        <v>17</v>
      </c>
      <c r="G11" s="2" t="s">
        <v>18</v>
      </c>
      <c r="H11" s="5" t="s">
        <v>22</v>
      </c>
      <c r="I11" s="2"/>
      <c r="J11" s="5" t="s">
        <v>23</v>
      </c>
    </row>
    <row r="12" spans="1:10">
      <c r="C12" s="2" t="s">
        <v>11</v>
      </c>
      <c r="D12" s="10">
        <v>0</v>
      </c>
      <c r="E12" s="10">
        <v>0</v>
      </c>
      <c r="F12" s="10">
        <v>15</v>
      </c>
      <c r="G12" s="10">
        <v>0</v>
      </c>
      <c r="H12" s="2">
        <f>SUM(D12:G12)</f>
        <v>15</v>
      </c>
      <c r="I12" s="2" t="s">
        <v>7</v>
      </c>
      <c r="J12" s="12">
        <v>15</v>
      </c>
    </row>
    <row r="13" spans="1:10">
      <c r="C13" s="2" t="s">
        <v>12</v>
      </c>
      <c r="D13" s="10">
        <v>0</v>
      </c>
      <c r="E13" s="10">
        <v>0</v>
      </c>
      <c r="F13" s="10">
        <v>0</v>
      </c>
      <c r="G13" s="10">
        <v>6</v>
      </c>
      <c r="H13" s="2">
        <f t="shared" ref="H13:H15" si="0">SUM(D13:G13)</f>
        <v>6</v>
      </c>
      <c r="I13" s="2" t="s">
        <v>7</v>
      </c>
      <c r="J13" s="12">
        <v>6</v>
      </c>
    </row>
    <row r="14" spans="1:10">
      <c r="C14" s="2" t="s">
        <v>13</v>
      </c>
      <c r="D14" s="10">
        <v>10</v>
      </c>
      <c r="E14" s="10">
        <v>4</v>
      </c>
      <c r="F14" s="10">
        <v>0</v>
      </c>
      <c r="G14" s="10">
        <v>0</v>
      </c>
      <c r="H14" s="2">
        <f t="shared" si="0"/>
        <v>14</v>
      </c>
      <c r="I14" s="2" t="s">
        <v>7</v>
      </c>
      <c r="J14" s="12">
        <v>14</v>
      </c>
    </row>
    <row r="15" spans="1:10">
      <c r="C15" s="2" t="s">
        <v>14</v>
      </c>
      <c r="D15" s="10">
        <v>0</v>
      </c>
      <c r="E15" s="10">
        <v>8</v>
      </c>
      <c r="F15" s="10">
        <v>0</v>
      </c>
      <c r="G15" s="10">
        <v>3</v>
      </c>
      <c r="H15" s="2">
        <f t="shared" si="0"/>
        <v>11</v>
      </c>
      <c r="I15" s="2" t="s">
        <v>7</v>
      </c>
      <c r="J15" s="12">
        <v>11</v>
      </c>
    </row>
    <row r="16" spans="1:10">
      <c r="C16" s="5" t="s">
        <v>25</v>
      </c>
      <c r="D16" s="2">
        <f>SUM(D12:D15)</f>
        <v>10</v>
      </c>
      <c r="E16" s="2">
        <f t="shared" ref="E16:G16" si="1">SUM(E12:E15)</f>
        <v>12</v>
      </c>
      <c r="F16" s="2">
        <f t="shared" si="1"/>
        <v>15</v>
      </c>
      <c r="G16" s="2">
        <f t="shared" si="1"/>
        <v>9</v>
      </c>
      <c r="H16" s="2"/>
      <c r="I16" s="2"/>
      <c r="J16" s="2"/>
    </row>
    <row r="17" spans="3:10">
      <c r="C17" s="2"/>
      <c r="D17" s="2" t="s">
        <v>7</v>
      </c>
      <c r="E17" s="2" t="s">
        <v>7</v>
      </c>
      <c r="F17" s="2" t="s">
        <v>7</v>
      </c>
      <c r="G17" s="2" t="s">
        <v>7</v>
      </c>
      <c r="H17" s="2"/>
      <c r="I17" s="2"/>
      <c r="J17" s="5" t="s">
        <v>10</v>
      </c>
    </row>
    <row r="18" spans="3:10">
      <c r="C18" s="5" t="s">
        <v>24</v>
      </c>
      <c r="D18" s="12">
        <v>10</v>
      </c>
      <c r="E18" s="12">
        <v>12</v>
      </c>
      <c r="F18" s="12">
        <v>15</v>
      </c>
      <c r="G18" s="12">
        <v>9</v>
      </c>
      <c r="H18" s="2"/>
      <c r="I18" s="2"/>
      <c r="J18" s="11">
        <f>SUMPRODUCT(D5:G8,D12:G15)</f>
        <v>1835</v>
      </c>
    </row>
    <row r="1048573" spans="9:9">
      <c r="I1048573" s="1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B7BA-35AD-4335-A65B-B63BBC93ED2C}">
  <dimension ref="A1:P139"/>
  <sheetViews>
    <sheetView topLeftCell="A46" workbookViewId="0">
      <selection activeCell="J140" sqref="J140"/>
    </sheetView>
  </sheetViews>
  <sheetFormatPr defaultRowHeight="14.4"/>
  <cols>
    <col min="3" max="3" width="21.77734375" bestFit="1" customWidth="1"/>
    <col min="4" max="4" width="11.44140625" bestFit="1" customWidth="1"/>
    <col min="5" max="5" width="11.33203125" customWidth="1"/>
    <col min="6" max="6" width="11" customWidth="1"/>
    <col min="7" max="7" width="13.109375" customWidth="1"/>
    <col min="8" max="8" width="12.5546875" bestFit="1" customWidth="1"/>
    <col min="9" max="9" width="10.77734375" bestFit="1" customWidth="1"/>
    <col min="10" max="11" width="13.44140625" bestFit="1" customWidth="1"/>
    <col min="12" max="12" width="13.6640625" customWidth="1"/>
    <col min="13" max="13" width="29.21875" customWidth="1"/>
    <col min="14" max="14" width="31.6640625" customWidth="1"/>
    <col min="15" max="15" width="23.44140625" customWidth="1"/>
    <col min="16" max="16" width="19.6640625" customWidth="1"/>
  </cols>
  <sheetData>
    <row r="1" spans="1:16">
      <c r="A1" s="13" t="s">
        <v>26</v>
      </c>
    </row>
    <row r="3" spans="1:16">
      <c r="B3" s="13" t="s">
        <v>27</v>
      </c>
    </row>
    <row r="5" spans="1:16">
      <c r="D5" s="1" t="s">
        <v>32</v>
      </c>
      <c r="E5" s="1" t="s">
        <v>34</v>
      </c>
      <c r="F5" s="1" t="s">
        <v>33</v>
      </c>
      <c r="G5" s="8" t="s">
        <v>18</v>
      </c>
      <c r="H5" s="8" t="s">
        <v>35</v>
      </c>
      <c r="I5" s="8" t="s">
        <v>16</v>
      </c>
      <c r="L5" s="1" t="s">
        <v>32</v>
      </c>
      <c r="M5" s="1" t="s">
        <v>34</v>
      </c>
      <c r="N5" s="1" t="s">
        <v>33</v>
      </c>
      <c r="O5" s="8" t="s">
        <v>35</v>
      </c>
    </row>
    <row r="6" spans="1:16">
      <c r="C6" t="s">
        <v>28</v>
      </c>
      <c r="D6" s="16">
        <v>2</v>
      </c>
      <c r="E6" s="16">
        <v>4</v>
      </c>
      <c r="F6" s="16">
        <v>5</v>
      </c>
      <c r="G6" s="17">
        <v>3</v>
      </c>
      <c r="H6" s="17">
        <v>1</v>
      </c>
      <c r="I6" s="17">
        <v>1</v>
      </c>
      <c r="L6" s="16">
        <v>2</v>
      </c>
      <c r="M6" s="16">
        <v>4</v>
      </c>
      <c r="N6" s="16">
        <v>5</v>
      </c>
      <c r="O6" s="17">
        <v>1</v>
      </c>
    </row>
    <row r="7" spans="1:16">
      <c r="C7" t="s">
        <v>29</v>
      </c>
      <c r="D7" s="16">
        <v>5</v>
      </c>
      <c r="E7" s="16">
        <v>5</v>
      </c>
      <c r="F7" s="16">
        <v>3</v>
      </c>
      <c r="G7" s="17">
        <v>1</v>
      </c>
      <c r="H7" s="17">
        <v>3</v>
      </c>
      <c r="I7" s="17">
        <v>4</v>
      </c>
      <c r="L7" s="16">
        <v>5</v>
      </c>
      <c r="M7" s="16">
        <v>5</v>
      </c>
      <c r="N7" s="16">
        <v>3</v>
      </c>
      <c r="O7" s="17">
        <v>3</v>
      </c>
    </row>
    <row r="8" spans="1:16">
      <c r="C8" t="s">
        <v>30</v>
      </c>
      <c r="D8" s="16">
        <v>5</v>
      </c>
      <c r="E8" s="16">
        <v>7</v>
      </c>
      <c r="F8" s="16">
        <v>3</v>
      </c>
      <c r="G8" s="17">
        <v>4</v>
      </c>
      <c r="H8" s="17">
        <v>5</v>
      </c>
      <c r="I8" s="17">
        <v>7</v>
      </c>
      <c r="L8" s="16">
        <v>5</v>
      </c>
      <c r="M8" s="16">
        <v>7</v>
      </c>
      <c r="N8" s="16">
        <v>3</v>
      </c>
      <c r="O8" s="17">
        <v>5</v>
      </c>
    </row>
    <row r="9" spans="1:16">
      <c r="C9" s="13" t="s">
        <v>31</v>
      </c>
      <c r="D9" s="16">
        <v>2</v>
      </c>
      <c r="E9" s="16">
        <v>3</v>
      </c>
      <c r="F9" s="16">
        <v>5</v>
      </c>
      <c r="G9" s="17">
        <v>4</v>
      </c>
      <c r="H9" s="17">
        <v>3</v>
      </c>
      <c r="I9" s="17">
        <v>4</v>
      </c>
      <c r="L9" s="16">
        <v>2</v>
      </c>
      <c r="M9" s="16">
        <v>3</v>
      </c>
      <c r="N9" s="16">
        <v>5</v>
      </c>
      <c r="O9" s="17">
        <v>3</v>
      </c>
    </row>
    <row r="11" spans="1:16">
      <c r="B11" s="13" t="s">
        <v>36</v>
      </c>
      <c r="L11" s="1" t="s">
        <v>32</v>
      </c>
      <c r="M11" s="1" t="s">
        <v>34</v>
      </c>
      <c r="N11" s="1" t="s">
        <v>33</v>
      </c>
      <c r="O11" s="8" t="s">
        <v>16</v>
      </c>
      <c r="P11" s="8"/>
    </row>
    <row r="12" spans="1:16">
      <c r="L12" s="16">
        <v>2</v>
      </c>
      <c r="M12" s="16">
        <v>4</v>
      </c>
      <c r="N12" s="16">
        <v>5</v>
      </c>
      <c r="O12" s="17">
        <v>1</v>
      </c>
      <c r="P12" s="8"/>
    </row>
    <row r="13" spans="1:16">
      <c r="D13" s="14" t="s">
        <v>40</v>
      </c>
      <c r="E13" s="14" t="s">
        <v>14</v>
      </c>
      <c r="F13" s="14" t="s">
        <v>41</v>
      </c>
      <c r="G13" s="14" t="s">
        <v>42</v>
      </c>
      <c r="L13" s="16">
        <v>5</v>
      </c>
      <c r="M13" s="16">
        <v>5</v>
      </c>
      <c r="N13" s="16">
        <v>3</v>
      </c>
      <c r="O13" s="17">
        <v>4</v>
      </c>
      <c r="P13" s="8"/>
    </row>
    <row r="14" spans="1:16">
      <c r="C14" t="s">
        <v>32</v>
      </c>
      <c r="D14" s="18" t="s">
        <v>38</v>
      </c>
      <c r="E14" s="18" t="s">
        <v>39</v>
      </c>
      <c r="F14" s="16">
        <v>6</v>
      </c>
      <c r="G14" s="16">
        <v>8</v>
      </c>
      <c r="L14" s="16">
        <v>5</v>
      </c>
      <c r="M14" s="16">
        <v>7</v>
      </c>
      <c r="N14" s="16">
        <v>3</v>
      </c>
      <c r="O14" s="17">
        <v>7</v>
      </c>
      <c r="P14" s="8"/>
    </row>
    <row r="15" spans="1:16">
      <c r="C15" t="s">
        <v>34</v>
      </c>
      <c r="D15" s="18">
        <v>7</v>
      </c>
      <c r="E15" s="18">
        <v>5</v>
      </c>
      <c r="F15" s="16">
        <v>4</v>
      </c>
      <c r="G15" s="16">
        <v>7</v>
      </c>
      <c r="L15" s="16">
        <v>2</v>
      </c>
      <c r="M15" s="16">
        <v>3</v>
      </c>
      <c r="N15" s="16">
        <v>5</v>
      </c>
      <c r="O15" s="17">
        <v>4</v>
      </c>
      <c r="P15" s="8"/>
    </row>
    <row r="16" spans="1:16">
      <c r="C16" t="s">
        <v>33</v>
      </c>
      <c r="D16" s="16">
        <v>7</v>
      </c>
      <c r="E16" s="16">
        <v>8</v>
      </c>
      <c r="F16" s="16">
        <v>4</v>
      </c>
      <c r="G16" s="16">
        <v>3</v>
      </c>
      <c r="I16" s="1" t="s">
        <v>45</v>
      </c>
      <c r="J16" s="1" t="s">
        <v>46</v>
      </c>
    </row>
    <row r="17" spans="2:10">
      <c r="C17" s="54" t="s">
        <v>37</v>
      </c>
      <c r="D17" s="54"/>
      <c r="E17" s="54"/>
      <c r="F17" s="54"/>
      <c r="G17" s="54"/>
      <c r="I17" s="8" t="s">
        <v>18</v>
      </c>
      <c r="J17" s="27">
        <v>620</v>
      </c>
    </row>
    <row r="18" spans="2:10">
      <c r="C18" t="s">
        <v>18</v>
      </c>
      <c r="D18" s="16">
        <v>8</v>
      </c>
      <c r="E18" s="16">
        <v>6</v>
      </c>
      <c r="F18" s="16">
        <v>3</v>
      </c>
      <c r="G18" s="16">
        <v>2</v>
      </c>
      <c r="I18" s="8" t="s">
        <v>35</v>
      </c>
      <c r="J18" s="27">
        <v>570</v>
      </c>
    </row>
    <row r="19" spans="2:10">
      <c r="C19" t="s">
        <v>35</v>
      </c>
      <c r="D19" s="16">
        <v>5</v>
      </c>
      <c r="E19" s="16">
        <v>4</v>
      </c>
      <c r="F19" s="16">
        <v>3</v>
      </c>
      <c r="G19" s="16">
        <v>6</v>
      </c>
      <c r="I19" s="8" t="s">
        <v>16</v>
      </c>
      <c r="J19" s="27">
        <v>530</v>
      </c>
    </row>
    <row r="20" spans="2:10">
      <c r="C20" t="s">
        <v>16</v>
      </c>
      <c r="D20" s="16">
        <v>4</v>
      </c>
      <c r="E20" s="16">
        <v>3</v>
      </c>
      <c r="F20" s="16">
        <v>1</v>
      </c>
      <c r="G20" s="16">
        <v>5</v>
      </c>
    </row>
    <row r="21" spans="2:10">
      <c r="C21" s="13" t="s">
        <v>43</v>
      </c>
      <c r="D21" s="17">
        <v>100</v>
      </c>
      <c r="E21" s="17">
        <v>80</v>
      </c>
      <c r="F21" s="17">
        <v>80</v>
      </c>
      <c r="G21" s="17">
        <v>100</v>
      </c>
    </row>
    <row r="23" spans="2:10">
      <c r="B23" s="15" t="s">
        <v>44</v>
      </c>
    </row>
    <row r="24" spans="2:10">
      <c r="B24" s="15" t="s">
        <v>18</v>
      </c>
    </row>
    <row r="25" spans="2:10">
      <c r="B25" s="15"/>
      <c r="C25" s="53" t="s">
        <v>48</v>
      </c>
      <c r="D25" s="53"/>
      <c r="E25" s="53"/>
      <c r="F25" s="53"/>
      <c r="G25" s="53"/>
    </row>
    <row r="26" spans="2:10">
      <c r="B26" s="15"/>
      <c r="C26" s="20"/>
      <c r="D26" s="2" t="s">
        <v>32</v>
      </c>
      <c r="E26" s="2" t="s">
        <v>34</v>
      </c>
      <c r="F26" s="2" t="s">
        <v>33</v>
      </c>
      <c r="G26" s="5" t="s">
        <v>18</v>
      </c>
    </row>
    <row r="27" spans="2:10">
      <c r="B27" s="15"/>
      <c r="C27" s="20" t="s">
        <v>28</v>
      </c>
      <c r="D27" s="3">
        <v>2</v>
      </c>
      <c r="E27" s="3">
        <v>4</v>
      </c>
      <c r="F27" s="3">
        <v>5</v>
      </c>
      <c r="G27" s="21">
        <v>3</v>
      </c>
    </row>
    <row r="28" spans="2:10">
      <c r="B28" s="15"/>
      <c r="C28" s="20" t="s">
        <v>29</v>
      </c>
      <c r="D28" s="3">
        <v>5</v>
      </c>
      <c r="E28" s="3">
        <v>5</v>
      </c>
      <c r="F28" s="3">
        <v>3</v>
      </c>
      <c r="G28" s="21">
        <v>1</v>
      </c>
    </row>
    <row r="29" spans="2:10">
      <c r="B29" s="15"/>
      <c r="C29" s="20" t="s">
        <v>30</v>
      </c>
      <c r="D29" s="3">
        <v>5</v>
      </c>
      <c r="E29" s="3">
        <v>7</v>
      </c>
      <c r="F29" s="3">
        <v>3</v>
      </c>
      <c r="G29" s="21">
        <v>4</v>
      </c>
    </row>
    <row r="30" spans="2:10">
      <c r="B30" s="15"/>
      <c r="C30" s="22" t="s">
        <v>31</v>
      </c>
      <c r="D30" s="3">
        <v>2</v>
      </c>
      <c r="E30" s="3">
        <v>3</v>
      </c>
      <c r="F30" s="3">
        <v>5</v>
      </c>
      <c r="G30" s="21">
        <v>4</v>
      </c>
    </row>
    <row r="31" spans="2:10">
      <c r="B31" s="15"/>
      <c r="C31" s="13"/>
      <c r="D31" s="1"/>
      <c r="E31" s="1"/>
      <c r="F31" s="1"/>
      <c r="G31" s="8"/>
    </row>
    <row r="32" spans="2:10">
      <c r="B32" s="15"/>
      <c r="C32" s="53" t="s">
        <v>49</v>
      </c>
      <c r="D32" s="53"/>
      <c r="E32" s="53"/>
      <c r="F32" s="53"/>
      <c r="G32" s="53"/>
    </row>
    <row r="33" spans="2:10">
      <c r="C33" s="20"/>
      <c r="D33" s="2" t="s">
        <v>32</v>
      </c>
      <c r="E33" s="2" t="s">
        <v>34</v>
      </c>
      <c r="F33" s="2" t="s">
        <v>33</v>
      </c>
      <c r="G33" s="5" t="s">
        <v>18</v>
      </c>
      <c r="H33" s="5" t="s">
        <v>22</v>
      </c>
      <c r="I33" s="20"/>
      <c r="J33" s="5" t="s">
        <v>23</v>
      </c>
    </row>
    <row r="34" spans="2:10">
      <c r="C34" s="20" t="s">
        <v>28</v>
      </c>
      <c r="D34" s="23">
        <v>40</v>
      </c>
      <c r="E34" s="23">
        <v>0</v>
      </c>
      <c r="F34" s="23">
        <v>0</v>
      </c>
      <c r="G34" s="24">
        <v>40</v>
      </c>
      <c r="H34" s="2">
        <f>SUM(D34:G34)</f>
        <v>80</v>
      </c>
      <c r="I34" s="2" t="s">
        <v>7</v>
      </c>
      <c r="J34" s="3">
        <v>80</v>
      </c>
    </row>
    <row r="35" spans="2:10">
      <c r="C35" s="20" t="s">
        <v>29</v>
      </c>
      <c r="D35" s="23">
        <v>0</v>
      </c>
      <c r="E35" s="23">
        <v>0</v>
      </c>
      <c r="F35" s="23">
        <v>0</v>
      </c>
      <c r="G35" s="24">
        <v>60</v>
      </c>
      <c r="H35" s="2">
        <f>SUM(D35:G35)</f>
        <v>60</v>
      </c>
      <c r="I35" s="2" t="s">
        <v>7</v>
      </c>
      <c r="J35" s="3">
        <v>60</v>
      </c>
    </row>
    <row r="36" spans="2:10">
      <c r="C36" s="20" t="s">
        <v>30</v>
      </c>
      <c r="D36" s="23">
        <v>0</v>
      </c>
      <c r="E36" s="23">
        <v>0</v>
      </c>
      <c r="F36" s="23">
        <v>80</v>
      </c>
      <c r="G36" s="24">
        <v>20</v>
      </c>
      <c r="H36" s="2">
        <f t="shared" ref="H36:H37" si="0">SUM(D36:G36)</f>
        <v>100</v>
      </c>
      <c r="I36" s="2" t="s">
        <v>7</v>
      </c>
      <c r="J36" s="3">
        <v>100</v>
      </c>
    </row>
    <row r="37" spans="2:10">
      <c r="C37" s="22" t="s">
        <v>31</v>
      </c>
      <c r="D37" s="23">
        <v>60</v>
      </c>
      <c r="E37" s="23">
        <v>60</v>
      </c>
      <c r="F37" s="23">
        <v>0</v>
      </c>
      <c r="G37" s="24">
        <v>0</v>
      </c>
      <c r="H37" s="2">
        <f t="shared" si="0"/>
        <v>120</v>
      </c>
      <c r="I37" s="2" t="s">
        <v>7</v>
      </c>
      <c r="J37" s="3">
        <v>120</v>
      </c>
    </row>
    <row r="38" spans="2:10">
      <c r="C38" s="22" t="s">
        <v>47</v>
      </c>
      <c r="D38" s="2">
        <f>SUM(D34:D37)</f>
        <v>100</v>
      </c>
      <c r="E38" s="2">
        <f>SUM(E34:E37)</f>
        <v>60</v>
      </c>
      <c r="F38" s="2">
        <f>SUM(F34:F37)</f>
        <v>80</v>
      </c>
      <c r="G38" s="2">
        <f>SUM(G34:G37)</f>
        <v>120</v>
      </c>
    </row>
    <row r="39" spans="2:10">
      <c r="C39" s="20"/>
      <c r="D39" s="2" t="s">
        <v>7</v>
      </c>
      <c r="E39" s="2" t="s">
        <v>7</v>
      </c>
      <c r="F39" s="2" t="s">
        <v>7</v>
      </c>
      <c r="G39" s="2" t="s">
        <v>7</v>
      </c>
      <c r="J39" s="22" t="s">
        <v>10</v>
      </c>
    </row>
    <row r="40" spans="2:10">
      <c r="C40" s="22" t="s">
        <v>24</v>
      </c>
      <c r="D40" s="3">
        <v>100</v>
      </c>
      <c r="E40" s="3">
        <v>60</v>
      </c>
      <c r="F40" s="3">
        <v>80</v>
      </c>
      <c r="G40" s="3">
        <v>120</v>
      </c>
      <c r="J40" s="25">
        <f>SUMPRODUCT(D6:G9,D34:G37)</f>
        <v>880</v>
      </c>
    </row>
    <row r="42" spans="2:10">
      <c r="B42" s="19" t="s">
        <v>35</v>
      </c>
    </row>
    <row r="43" spans="2:10">
      <c r="B43" s="19"/>
      <c r="C43" s="53" t="s">
        <v>50</v>
      </c>
      <c r="D43" s="53"/>
      <c r="E43" s="53"/>
      <c r="F43" s="53"/>
      <c r="G43" s="53"/>
    </row>
    <row r="44" spans="2:10">
      <c r="B44" s="19"/>
      <c r="C44" s="20"/>
      <c r="D44" s="2" t="s">
        <v>32</v>
      </c>
      <c r="E44" s="2" t="s">
        <v>34</v>
      </c>
      <c r="F44" s="2" t="s">
        <v>33</v>
      </c>
      <c r="G44" s="8" t="s">
        <v>35</v>
      </c>
    </row>
    <row r="45" spans="2:10">
      <c r="B45" s="19"/>
      <c r="C45" s="20" t="s">
        <v>28</v>
      </c>
      <c r="D45" s="3">
        <v>2</v>
      </c>
      <c r="E45" s="3">
        <v>4</v>
      </c>
      <c r="F45" s="3">
        <v>5</v>
      </c>
      <c r="G45" s="21">
        <v>1</v>
      </c>
    </row>
    <row r="46" spans="2:10">
      <c r="B46" s="19"/>
      <c r="C46" s="20" t="s">
        <v>29</v>
      </c>
      <c r="D46" s="3">
        <v>5</v>
      </c>
      <c r="E46" s="3">
        <v>5</v>
      </c>
      <c r="F46" s="3">
        <v>3</v>
      </c>
      <c r="G46" s="21">
        <v>3</v>
      </c>
    </row>
    <row r="47" spans="2:10">
      <c r="B47" s="19"/>
      <c r="C47" s="20" t="s">
        <v>30</v>
      </c>
      <c r="D47" s="3">
        <v>5</v>
      </c>
      <c r="E47" s="3">
        <v>7</v>
      </c>
      <c r="F47" s="3">
        <v>3</v>
      </c>
      <c r="G47" s="21">
        <v>5</v>
      </c>
    </row>
    <row r="48" spans="2:10">
      <c r="B48" s="19"/>
      <c r="C48" s="22" t="s">
        <v>31</v>
      </c>
      <c r="D48" s="3">
        <v>2</v>
      </c>
      <c r="E48" s="3">
        <v>3</v>
      </c>
      <c r="F48" s="3">
        <v>5</v>
      </c>
      <c r="G48" s="21">
        <v>3</v>
      </c>
    </row>
    <row r="49" spans="2:10">
      <c r="B49" s="19"/>
    </row>
    <row r="50" spans="2:10">
      <c r="B50" s="19"/>
      <c r="C50" s="53" t="s">
        <v>51</v>
      </c>
      <c r="D50" s="53"/>
      <c r="E50" s="53"/>
      <c r="F50" s="53"/>
      <c r="G50" s="53"/>
    </row>
    <row r="51" spans="2:10">
      <c r="C51" s="20"/>
      <c r="D51" s="2" t="s">
        <v>32</v>
      </c>
      <c r="E51" s="2" t="s">
        <v>34</v>
      </c>
      <c r="F51" s="2" t="s">
        <v>33</v>
      </c>
      <c r="G51" s="5" t="s">
        <v>35</v>
      </c>
      <c r="H51" s="5" t="s">
        <v>22</v>
      </c>
      <c r="I51" s="20"/>
      <c r="J51" s="5" t="s">
        <v>23</v>
      </c>
    </row>
    <row r="52" spans="2:10">
      <c r="C52" s="20" t="s">
        <v>28</v>
      </c>
      <c r="D52" s="23">
        <v>0</v>
      </c>
      <c r="E52" s="23">
        <v>0</v>
      </c>
      <c r="F52" s="23">
        <v>0</v>
      </c>
      <c r="G52" s="24">
        <v>80</v>
      </c>
      <c r="H52" s="2">
        <f>SUM(D52:G52)</f>
        <v>80</v>
      </c>
      <c r="I52" s="2" t="s">
        <v>7</v>
      </c>
      <c r="J52" s="3">
        <v>80</v>
      </c>
    </row>
    <row r="53" spans="2:10">
      <c r="C53" s="20" t="s">
        <v>29</v>
      </c>
      <c r="D53" s="23">
        <v>0</v>
      </c>
      <c r="E53" s="23">
        <v>20</v>
      </c>
      <c r="F53" s="23">
        <v>0</v>
      </c>
      <c r="G53" s="24">
        <v>40</v>
      </c>
      <c r="H53" s="2">
        <f t="shared" ref="H53:H55" si="1">SUM(D53:G53)</f>
        <v>60</v>
      </c>
      <c r="I53" s="2" t="s">
        <v>7</v>
      </c>
      <c r="J53" s="3">
        <v>60</v>
      </c>
    </row>
    <row r="54" spans="2:10">
      <c r="C54" s="20" t="s">
        <v>30</v>
      </c>
      <c r="D54" s="23">
        <v>20</v>
      </c>
      <c r="E54" s="23">
        <v>0</v>
      </c>
      <c r="F54" s="23">
        <v>80</v>
      </c>
      <c r="G54" s="24">
        <v>0</v>
      </c>
      <c r="H54" s="2">
        <f t="shared" si="1"/>
        <v>100</v>
      </c>
      <c r="I54" s="2" t="s">
        <v>7</v>
      </c>
      <c r="J54" s="3">
        <v>100</v>
      </c>
    </row>
    <row r="55" spans="2:10">
      <c r="C55" s="22" t="s">
        <v>31</v>
      </c>
      <c r="D55" s="23">
        <v>80</v>
      </c>
      <c r="E55" s="23">
        <v>40</v>
      </c>
      <c r="F55" s="23">
        <v>0</v>
      </c>
      <c r="G55" s="24">
        <v>0</v>
      </c>
      <c r="H55" s="2">
        <f t="shared" si="1"/>
        <v>120</v>
      </c>
      <c r="I55" s="2" t="s">
        <v>7</v>
      </c>
      <c r="J55" s="3">
        <v>120</v>
      </c>
    </row>
    <row r="56" spans="2:10">
      <c r="C56" s="22" t="s">
        <v>47</v>
      </c>
      <c r="D56" s="2">
        <f>SUM(D52:D55)</f>
        <v>100</v>
      </c>
      <c r="E56" s="2">
        <f t="shared" ref="E56" si="2">SUM(E52:E55)</f>
        <v>60</v>
      </c>
      <c r="F56" s="2">
        <f t="shared" ref="F56" si="3">SUM(F52:F55)</f>
        <v>80</v>
      </c>
      <c r="G56" s="2">
        <f t="shared" ref="G56" si="4">SUM(G52:G55)</f>
        <v>120</v>
      </c>
    </row>
    <row r="57" spans="2:10">
      <c r="C57" s="20"/>
      <c r="D57" s="2" t="s">
        <v>7</v>
      </c>
      <c r="E57" s="2" t="s">
        <v>7</v>
      </c>
      <c r="F57" s="2" t="s">
        <v>7</v>
      </c>
      <c r="G57" s="2" t="s">
        <v>7</v>
      </c>
      <c r="J57" s="22" t="s">
        <v>10</v>
      </c>
    </row>
    <row r="58" spans="2:10">
      <c r="C58" s="22" t="s">
        <v>24</v>
      </c>
      <c r="D58" s="3">
        <v>100</v>
      </c>
      <c r="E58" s="3">
        <v>60</v>
      </c>
      <c r="F58" s="3">
        <v>80</v>
      </c>
      <c r="G58" s="3">
        <v>120</v>
      </c>
      <c r="J58" s="25">
        <f>SUMPRODUCT(L6:O9,D52:G55)</f>
        <v>920</v>
      </c>
    </row>
    <row r="60" spans="2:10">
      <c r="B60" s="19" t="s">
        <v>16</v>
      </c>
    </row>
    <row r="61" spans="2:10">
      <c r="B61" s="19"/>
      <c r="C61" s="53" t="s">
        <v>52</v>
      </c>
      <c r="D61" s="53"/>
      <c r="E61" s="53"/>
      <c r="F61" s="53"/>
      <c r="G61" s="53"/>
    </row>
    <row r="62" spans="2:10">
      <c r="B62" s="19"/>
      <c r="C62" s="20"/>
      <c r="D62" s="2" t="s">
        <v>32</v>
      </c>
      <c r="E62" s="2" t="s">
        <v>34</v>
      </c>
      <c r="F62" s="2" t="s">
        <v>33</v>
      </c>
      <c r="G62" s="8" t="s">
        <v>35</v>
      </c>
    </row>
    <row r="63" spans="2:10">
      <c r="B63" s="19"/>
      <c r="C63" s="20" t="s">
        <v>28</v>
      </c>
      <c r="D63" s="3">
        <v>2</v>
      </c>
      <c r="E63" s="3">
        <v>4</v>
      </c>
      <c r="F63" s="3">
        <v>5</v>
      </c>
      <c r="G63" s="21">
        <v>1</v>
      </c>
    </row>
    <row r="64" spans="2:10">
      <c r="B64" s="19"/>
      <c r="C64" s="20" t="s">
        <v>29</v>
      </c>
      <c r="D64" s="3">
        <v>5</v>
      </c>
      <c r="E64" s="3">
        <v>5</v>
      </c>
      <c r="F64" s="3">
        <v>3</v>
      </c>
      <c r="G64" s="21">
        <v>4</v>
      </c>
    </row>
    <row r="65" spans="2:10">
      <c r="B65" s="19"/>
      <c r="C65" s="20" t="s">
        <v>30</v>
      </c>
      <c r="D65" s="3">
        <v>5</v>
      </c>
      <c r="E65" s="3">
        <v>7</v>
      </c>
      <c r="F65" s="3">
        <v>3</v>
      </c>
      <c r="G65" s="21">
        <v>7</v>
      </c>
    </row>
    <row r="66" spans="2:10">
      <c r="B66" s="19"/>
      <c r="C66" s="22" t="s">
        <v>31</v>
      </c>
      <c r="D66" s="3">
        <v>2</v>
      </c>
      <c r="E66" s="3">
        <v>3</v>
      </c>
      <c r="F66" s="3">
        <v>5</v>
      </c>
      <c r="G66" s="21">
        <v>4</v>
      </c>
    </row>
    <row r="67" spans="2:10">
      <c r="B67" s="19"/>
    </row>
    <row r="68" spans="2:10">
      <c r="B68" s="19"/>
      <c r="C68" s="53" t="s">
        <v>53</v>
      </c>
      <c r="D68" s="53"/>
      <c r="E68" s="53"/>
      <c r="F68" s="53"/>
      <c r="G68" s="53"/>
    </row>
    <row r="69" spans="2:10">
      <c r="C69" s="20"/>
      <c r="D69" s="2" t="s">
        <v>32</v>
      </c>
      <c r="E69" s="2" t="s">
        <v>34</v>
      </c>
      <c r="F69" s="2" t="s">
        <v>33</v>
      </c>
      <c r="G69" s="5" t="s">
        <v>16</v>
      </c>
      <c r="H69" s="5" t="s">
        <v>22</v>
      </c>
      <c r="I69" s="20"/>
      <c r="J69" s="5" t="s">
        <v>23</v>
      </c>
    </row>
    <row r="70" spans="2:10">
      <c r="C70" s="20" t="s">
        <v>28</v>
      </c>
      <c r="D70" s="23">
        <v>0</v>
      </c>
      <c r="E70" s="23">
        <v>0</v>
      </c>
      <c r="F70" s="23">
        <v>0</v>
      </c>
      <c r="G70" s="24">
        <v>80</v>
      </c>
      <c r="H70" s="2">
        <f>SUM(D70:G70)</f>
        <v>80</v>
      </c>
      <c r="I70" s="2" t="s">
        <v>7</v>
      </c>
      <c r="J70" s="3">
        <v>80</v>
      </c>
    </row>
    <row r="71" spans="2:10">
      <c r="C71" s="20" t="s">
        <v>29</v>
      </c>
      <c r="D71" s="23">
        <v>0</v>
      </c>
      <c r="E71" s="23">
        <v>20</v>
      </c>
      <c r="F71" s="23">
        <v>0</v>
      </c>
      <c r="G71" s="24">
        <v>40</v>
      </c>
      <c r="H71" s="2">
        <f t="shared" ref="H71:H73" si="5">SUM(D71:G71)</f>
        <v>60</v>
      </c>
      <c r="I71" s="2" t="s">
        <v>7</v>
      </c>
      <c r="J71" s="3">
        <v>60</v>
      </c>
    </row>
    <row r="72" spans="2:10">
      <c r="C72" s="20" t="s">
        <v>30</v>
      </c>
      <c r="D72" s="23">
        <v>20</v>
      </c>
      <c r="E72" s="23">
        <v>0</v>
      </c>
      <c r="F72" s="23">
        <v>80</v>
      </c>
      <c r="G72" s="24">
        <v>0</v>
      </c>
      <c r="H72" s="2">
        <f t="shared" si="5"/>
        <v>100</v>
      </c>
      <c r="I72" s="2" t="s">
        <v>7</v>
      </c>
      <c r="J72" s="3">
        <v>100</v>
      </c>
    </row>
    <row r="73" spans="2:10">
      <c r="C73" s="22" t="s">
        <v>31</v>
      </c>
      <c r="D73" s="23">
        <v>80</v>
      </c>
      <c r="E73" s="23">
        <v>40</v>
      </c>
      <c r="F73" s="23">
        <v>0</v>
      </c>
      <c r="G73" s="24">
        <v>0</v>
      </c>
      <c r="H73" s="2">
        <f t="shared" si="5"/>
        <v>120</v>
      </c>
      <c r="I73" s="2" t="s">
        <v>7</v>
      </c>
      <c r="J73" s="3">
        <v>120</v>
      </c>
    </row>
    <row r="74" spans="2:10">
      <c r="C74" s="22" t="s">
        <v>47</v>
      </c>
      <c r="D74" s="2">
        <f>SUM(D70:D73)</f>
        <v>100</v>
      </c>
      <c r="E74" s="2">
        <f t="shared" ref="E74" si="6">SUM(E70:E73)</f>
        <v>60</v>
      </c>
      <c r="F74" s="2">
        <f t="shared" ref="F74" si="7">SUM(F70:F73)</f>
        <v>80</v>
      </c>
      <c r="G74" s="2">
        <f t="shared" ref="G74" si="8">SUM(G70:G73)</f>
        <v>120</v>
      </c>
    </row>
    <row r="75" spans="2:10">
      <c r="C75" s="20"/>
      <c r="D75" s="2" t="s">
        <v>7</v>
      </c>
      <c r="E75" s="2" t="s">
        <v>7</v>
      </c>
      <c r="F75" s="2" t="s">
        <v>7</v>
      </c>
      <c r="G75" s="2" t="s">
        <v>7</v>
      </c>
      <c r="J75" s="22" t="s">
        <v>10</v>
      </c>
    </row>
    <row r="76" spans="2:10">
      <c r="C76" s="22" t="s">
        <v>24</v>
      </c>
      <c r="D76" s="3">
        <v>100</v>
      </c>
      <c r="E76" s="3">
        <v>60</v>
      </c>
      <c r="F76" s="3">
        <v>80</v>
      </c>
      <c r="G76" s="3">
        <v>120</v>
      </c>
      <c r="J76" s="25">
        <f>SUMPRODUCT(L12:O15,D70:G73)</f>
        <v>960</v>
      </c>
    </row>
    <row r="78" spans="2:10">
      <c r="B78" s="15" t="s">
        <v>54</v>
      </c>
    </row>
    <row r="79" spans="2:10">
      <c r="B79" s="15" t="s">
        <v>18</v>
      </c>
    </row>
    <row r="80" spans="2:10">
      <c r="B80" s="15"/>
      <c r="C80" s="53" t="s">
        <v>48</v>
      </c>
      <c r="D80" s="53"/>
      <c r="E80" s="53"/>
      <c r="F80" s="53"/>
      <c r="G80" s="53"/>
    </row>
    <row r="81" spans="2:10">
      <c r="B81" s="15"/>
      <c r="C81" s="20"/>
      <c r="D81" s="2" t="s">
        <v>40</v>
      </c>
      <c r="E81" s="2" t="s">
        <v>14</v>
      </c>
      <c r="F81" s="2" t="s">
        <v>41</v>
      </c>
      <c r="G81" s="2" t="s">
        <v>42</v>
      </c>
    </row>
    <row r="82" spans="2:10">
      <c r="B82" s="15"/>
      <c r="C82" s="26" t="s">
        <v>32</v>
      </c>
      <c r="D82" s="3">
        <v>6.5</v>
      </c>
      <c r="E82" s="3">
        <v>5.5</v>
      </c>
      <c r="F82" s="3">
        <v>6</v>
      </c>
      <c r="G82" s="3">
        <v>8</v>
      </c>
    </row>
    <row r="83" spans="2:10">
      <c r="B83" s="15"/>
      <c r="C83" s="26" t="s">
        <v>34</v>
      </c>
      <c r="D83" s="3">
        <v>7</v>
      </c>
      <c r="E83" s="3">
        <v>5</v>
      </c>
      <c r="F83" s="3">
        <v>4</v>
      </c>
      <c r="G83" s="3">
        <v>7</v>
      </c>
    </row>
    <row r="84" spans="2:10">
      <c r="B84" s="15"/>
      <c r="C84" s="26" t="s">
        <v>33</v>
      </c>
      <c r="D84" s="3">
        <v>7</v>
      </c>
      <c r="E84" s="3">
        <v>8</v>
      </c>
      <c r="F84" s="3">
        <v>4</v>
      </c>
      <c r="G84" s="3">
        <v>3</v>
      </c>
    </row>
    <row r="85" spans="2:10">
      <c r="B85" s="15"/>
      <c r="C85" s="26" t="s">
        <v>18</v>
      </c>
      <c r="D85" s="3">
        <v>8</v>
      </c>
      <c r="E85" s="3">
        <v>6</v>
      </c>
      <c r="F85" s="3">
        <v>3</v>
      </c>
      <c r="G85" s="3">
        <v>2</v>
      </c>
    </row>
    <row r="86" spans="2:10">
      <c r="B86" s="15"/>
      <c r="C86" s="13"/>
      <c r="D86" s="1"/>
      <c r="E86" s="1"/>
      <c r="F86" s="1"/>
      <c r="G86" s="8"/>
    </row>
    <row r="87" spans="2:10">
      <c r="B87" s="15"/>
      <c r="C87" s="53" t="s">
        <v>49</v>
      </c>
      <c r="D87" s="53"/>
      <c r="E87" s="53"/>
      <c r="F87" s="53"/>
      <c r="G87" s="53"/>
    </row>
    <row r="88" spans="2:10">
      <c r="C88" s="20"/>
      <c r="D88" s="2" t="s">
        <v>40</v>
      </c>
      <c r="E88" s="2" t="s">
        <v>14</v>
      </c>
      <c r="F88" s="2" t="s">
        <v>41</v>
      </c>
      <c r="G88" s="2" t="s">
        <v>42</v>
      </c>
      <c r="H88" s="5" t="s">
        <v>22</v>
      </c>
      <c r="I88" s="20"/>
      <c r="J88" s="5" t="s">
        <v>23</v>
      </c>
    </row>
    <row r="89" spans="2:10">
      <c r="C89" s="26" t="s">
        <v>32</v>
      </c>
      <c r="D89" s="23">
        <v>80</v>
      </c>
      <c r="E89" s="23">
        <v>20</v>
      </c>
      <c r="F89" s="23">
        <v>0</v>
      </c>
      <c r="G89" s="23">
        <v>0</v>
      </c>
      <c r="H89" s="2">
        <f>SUM(D89:G89)</f>
        <v>100</v>
      </c>
      <c r="I89" s="2" t="s">
        <v>7</v>
      </c>
      <c r="J89" s="3">
        <v>100</v>
      </c>
    </row>
    <row r="90" spans="2:10">
      <c r="C90" s="26" t="s">
        <v>34</v>
      </c>
      <c r="D90" s="23">
        <v>0</v>
      </c>
      <c r="E90" s="23">
        <v>60</v>
      </c>
      <c r="F90" s="23">
        <v>0</v>
      </c>
      <c r="G90" s="23">
        <v>0</v>
      </c>
      <c r="H90" s="2">
        <f>SUM(D90:G90)</f>
        <v>60</v>
      </c>
      <c r="I90" s="2" t="s">
        <v>7</v>
      </c>
      <c r="J90" s="3">
        <v>60</v>
      </c>
    </row>
    <row r="91" spans="2:10">
      <c r="C91" s="26" t="s">
        <v>33</v>
      </c>
      <c r="D91" s="23">
        <v>20</v>
      </c>
      <c r="E91" s="23">
        <v>0</v>
      </c>
      <c r="F91" s="23">
        <v>0</v>
      </c>
      <c r="G91" s="23">
        <v>60</v>
      </c>
      <c r="H91" s="2">
        <f t="shared" ref="H91:H92" si="9">SUM(D91:G91)</f>
        <v>80</v>
      </c>
      <c r="I91" s="2" t="s">
        <v>7</v>
      </c>
      <c r="J91" s="3">
        <v>80</v>
      </c>
    </row>
    <row r="92" spans="2:10">
      <c r="C92" s="26" t="s">
        <v>18</v>
      </c>
      <c r="D92" s="23">
        <v>0</v>
      </c>
      <c r="E92" s="23">
        <v>0</v>
      </c>
      <c r="F92" s="23">
        <v>80</v>
      </c>
      <c r="G92" s="23">
        <v>40</v>
      </c>
      <c r="H92" s="2">
        <f t="shared" si="9"/>
        <v>120</v>
      </c>
      <c r="I92" s="2" t="s">
        <v>7</v>
      </c>
      <c r="J92" s="3">
        <v>120</v>
      </c>
    </row>
    <row r="93" spans="2:10">
      <c r="C93" s="22" t="s">
        <v>47</v>
      </c>
      <c r="D93" s="2">
        <f>SUM(D89:D92)</f>
        <v>100</v>
      </c>
      <c r="E93" s="2">
        <f>SUM(E89:E92)</f>
        <v>80</v>
      </c>
      <c r="F93" s="2">
        <f>SUM(F89:F92)</f>
        <v>80</v>
      </c>
      <c r="G93" s="2">
        <f>SUM(G89:G92)</f>
        <v>100</v>
      </c>
    </row>
    <row r="94" spans="2:10">
      <c r="C94" s="20"/>
      <c r="D94" s="2" t="s">
        <v>7</v>
      </c>
      <c r="E94" s="2" t="s">
        <v>7</v>
      </c>
      <c r="F94" s="2" t="s">
        <v>7</v>
      </c>
      <c r="G94" s="2" t="s">
        <v>7</v>
      </c>
      <c r="J94" s="22" t="s">
        <v>10</v>
      </c>
    </row>
    <row r="95" spans="2:10">
      <c r="C95" s="22" t="s">
        <v>24</v>
      </c>
      <c r="D95" s="3">
        <v>100</v>
      </c>
      <c r="E95" s="3">
        <v>80</v>
      </c>
      <c r="F95" s="3">
        <v>80</v>
      </c>
      <c r="G95" s="3">
        <v>100</v>
      </c>
      <c r="J95" s="25">
        <f>SUMPRODUCT(D82:G85,D89:G92)</f>
        <v>1570</v>
      </c>
    </row>
    <row r="97" spans="2:10">
      <c r="B97" s="19" t="s">
        <v>35</v>
      </c>
    </row>
    <row r="98" spans="2:10">
      <c r="B98" s="15"/>
      <c r="C98" s="50" t="s">
        <v>50</v>
      </c>
      <c r="D98" s="51"/>
      <c r="E98" s="51"/>
      <c r="F98" s="51"/>
      <c r="G98" s="52"/>
    </row>
    <row r="99" spans="2:10">
      <c r="B99" s="15"/>
      <c r="C99" s="20"/>
      <c r="D99" s="2" t="s">
        <v>40</v>
      </c>
      <c r="E99" s="2" t="s">
        <v>14</v>
      </c>
      <c r="F99" s="2" t="s">
        <v>41</v>
      </c>
      <c r="G99" s="2" t="s">
        <v>42</v>
      </c>
    </row>
    <row r="100" spans="2:10">
      <c r="B100" s="15"/>
      <c r="C100" s="26" t="s">
        <v>32</v>
      </c>
      <c r="D100" s="3">
        <v>6.5</v>
      </c>
      <c r="E100" s="3">
        <v>5.5</v>
      </c>
      <c r="F100" s="3">
        <v>6</v>
      </c>
      <c r="G100" s="3">
        <v>8</v>
      </c>
    </row>
    <row r="101" spans="2:10">
      <c r="B101" s="15"/>
      <c r="C101" s="26" t="s">
        <v>34</v>
      </c>
      <c r="D101" s="3">
        <v>7</v>
      </c>
      <c r="E101" s="3">
        <v>5</v>
      </c>
      <c r="F101" s="3">
        <v>4</v>
      </c>
      <c r="G101" s="3">
        <v>7</v>
      </c>
    </row>
    <row r="102" spans="2:10">
      <c r="B102" s="15"/>
      <c r="C102" s="26" t="s">
        <v>33</v>
      </c>
      <c r="D102" s="3">
        <v>7</v>
      </c>
      <c r="E102" s="3">
        <v>8</v>
      </c>
      <c r="F102" s="3">
        <v>4</v>
      </c>
      <c r="G102" s="3">
        <v>3</v>
      </c>
    </row>
    <row r="103" spans="2:10">
      <c r="B103" s="15"/>
      <c r="C103" s="26" t="s">
        <v>35</v>
      </c>
      <c r="D103" s="3">
        <v>5</v>
      </c>
      <c r="E103" s="3">
        <v>4</v>
      </c>
      <c r="F103" s="3">
        <v>3</v>
      </c>
      <c r="G103" s="3">
        <v>6</v>
      </c>
    </row>
    <row r="104" spans="2:10">
      <c r="B104" s="15"/>
      <c r="C104" s="13"/>
      <c r="D104" s="1"/>
      <c r="E104" s="1"/>
      <c r="F104" s="1"/>
      <c r="G104" s="8"/>
    </row>
    <row r="105" spans="2:10">
      <c r="B105" s="15"/>
      <c r="C105" s="50" t="s">
        <v>51</v>
      </c>
      <c r="D105" s="51"/>
      <c r="E105" s="51"/>
      <c r="F105" s="51"/>
      <c r="G105" s="52"/>
    </row>
    <row r="106" spans="2:10">
      <c r="C106" s="20"/>
      <c r="D106" s="2" t="s">
        <v>40</v>
      </c>
      <c r="E106" s="2" t="s">
        <v>14</v>
      </c>
      <c r="F106" s="2" t="s">
        <v>41</v>
      </c>
      <c r="G106" s="2" t="s">
        <v>42</v>
      </c>
      <c r="H106" s="5" t="s">
        <v>22</v>
      </c>
      <c r="I106" s="20"/>
      <c r="J106" s="5" t="s">
        <v>23</v>
      </c>
    </row>
    <row r="107" spans="2:10">
      <c r="C107" s="26" t="s">
        <v>32</v>
      </c>
      <c r="D107" s="23">
        <v>100</v>
      </c>
      <c r="E107" s="23">
        <v>0</v>
      </c>
      <c r="F107" s="23">
        <v>0</v>
      </c>
      <c r="G107" s="24">
        <v>0</v>
      </c>
      <c r="H107" s="2">
        <f>SUM(D107:G107)</f>
        <v>100</v>
      </c>
      <c r="I107" s="2" t="s">
        <v>7</v>
      </c>
      <c r="J107" s="3">
        <v>100</v>
      </c>
    </row>
    <row r="108" spans="2:10">
      <c r="C108" s="26" t="s">
        <v>34</v>
      </c>
      <c r="D108" s="23">
        <v>0</v>
      </c>
      <c r="E108" s="23">
        <v>60</v>
      </c>
      <c r="F108" s="23">
        <v>0</v>
      </c>
      <c r="G108" s="24">
        <v>0</v>
      </c>
      <c r="H108" s="2">
        <f>SUM(D108:G108)</f>
        <v>60</v>
      </c>
      <c r="I108" s="2" t="s">
        <v>7</v>
      </c>
      <c r="J108" s="3">
        <v>60</v>
      </c>
    </row>
    <row r="109" spans="2:10">
      <c r="C109" s="26" t="s">
        <v>33</v>
      </c>
      <c r="D109" s="23">
        <v>0</v>
      </c>
      <c r="E109" s="23">
        <v>0</v>
      </c>
      <c r="F109" s="23">
        <v>0</v>
      </c>
      <c r="G109" s="24">
        <v>80</v>
      </c>
      <c r="H109" s="2">
        <f t="shared" ref="H109:H110" si="10">SUM(D109:G109)</f>
        <v>80</v>
      </c>
      <c r="I109" s="2" t="s">
        <v>7</v>
      </c>
      <c r="J109" s="3">
        <v>80</v>
      </c>
    </row>
    <row r="110" spans="2:10">
      <c r="C110" s="26" t="s">
        <v>35</v>
      </c>
      <c r="D110" s="23">
        <v>0</v>
      </c>
      <c r="E110" s="23">
        <v>20</v>
      </c>
      <c r="F110" s="23">
        <v>80</v>
      </c>
      <c r="G110" s="24">
        <v>20</v>
      </c>
      <c r="H110" s="2">
        <f t="shared" si="10"/>
        <v>120</v>
      </c>
      <c r="I110" s="2" t="s">
        <v>7</v>
      </c>
      <c r="J110" s="3">
        <v>120</v>
      </c>
    </row>
    <row r="111" spans="2:10">
      <c r="C111" s="22" t="s">
        <v>47</v>
      </c>
      <c r="D111" s="2">
        <f>SUM(D107:D110)</f>
        <v>100</v>
      </c>
      <c r="E111" s="2">
        <f>SUM(E107:E110)</f>
        <v>80</v>
      </c>
      <c r="F111" s="2">
        <f>SUM(F107:F110)</f>
        <v>80</v>
      </c>
      <c r="G111" s="2">
        <f>SUM(G107:G110)</f>
        <v>100</v>
      </c>
    </row>
    <row r="112" spans="2:10">
      <c r="C112" s="20"/>
      <c r="D112" s="2" t="s">
        <v>7</v>
      </c>
      <c r="E112" s="2" t="s">
        <v>7</v>
      </c>
      <c r="F112" s="2" t="s">
        <v>7</v>
      </c>
      <c r="G112" s="2" t="s">
        <v>7</v>
      </c>
      <c r="J112" s="22" t="s">
        <v>10</v>
      </c>
    </row>
    <row r="113" spans="2:10">
      <c r="C113" s="22" t="s">
        <v>24</v>
      </c>
      <c r="D113" s="3">
        <v>100</v>
      </c>
      <c r="E113" s="3">
        <v>80</v>
      </c>
      <c r="F113" s="3">
        <v>80</v>
      </c>
      <c r="G113" s="3">
        <v>100</v>
      </c>
      <c r="J113" s="25">
        <f>SUMPRODUCT(D100:G103,D107:G110)</f>
        <v>1630</v>
      </c>
    </row>
    <row r="115" spans="2:10">
      <c r="B115" s="19" t="s">
        <v>16</v>
      </c>
    </row>
    <row r="116" spans="2:10">
      <c r="B116" s="15"/>
      <c r="C116" s="50" t="s">
        <v>52</v>
      </c>
      <c r="D116" s="51"/>
      <c r="E116" s="51"/>
      <c r="F116" s="51"/>
      <c r="G116" s="52"/>
    </row>
    <row r="117" spans="2:10">
      <c r="B117" s="15"/>
      <c r="C117" s="20"/>
      <c r="D117" s="2" t="s">
        <v>40</v>
      </c>
      <c r="E117" s="2" t="s">
        <v>14</v>
      </c>
      <c r="F117" s="2" t="s">
        <v>41</v>
      </c>
      <c r="G117" s="2" t="s">
        <v>42</v>
      </c>
    </row>
    <row r="118" spans="2:10">
      <c r="B118" s="15"/>
      <c r="C118" s="26" t="s">
        <v>32</v>
      </c>
      <c r="D118" s="3">
        <v>6.5</v>
      </c>
      <c r="E118" s="3">
        <v>5.5</v>
      </c>
      <c r="F118" s="3">
        <v>6</v>
      </c>
      <c r="G118" s="3">
        <v>8</v>
      </c>
    </row>
    <row r="119" spans="2:10">
      <c r="B119" s="15"/>
      <c r="C119" s="26" t="s">
        <v>34</v>
      </c>
      <c r="D119" s="3">
        <v>7</v>
      </c>
      <c r="E119" s="3">
        <v>5</v>
      </c>
      <c r="F119" s="3">
        <v>4</v>
      </c>
      <c r="G119" s="3">
        <v>7</v>
      </c>
    </row>
    <row r="120" spans="2:10">
      <c r="B120" s="15"/>
      <c r="C120" s="26" t="s">
        <v>33</v>
      </c>
      <c r="D120" s="3">
        <v>7</v>
      </c>
      <c r="E120" s="3">
        <v>8</v>
      </c>
      <c r="F120" s="3">
        <v>4</v>
      </c>
      <c r="G120" s="3">
        <v>3</v>
      </c>
    </row>
    <row r="121" spans="2:10">
      <c r="B121" s="15"/>
      <c r="C121" s="26" t="s">
        <v>16</v>
      </c>
      <c r="D121" s="3">
        <v>4</v>
      </c>
      <c r="E121" s="3">
        <v>3</v>
      </c>
      <c r="F121" s="3">
        <v>1</v>
      </c>
      <c r="G121" s="3">
        <v>5</v>
      </c>
    </row>
    <row r="122" spans="2:10">
      <c r="B122" s="15"/>
      <c r="C122" s="13"/>
      <c r="D122" s="1"/>
      <c r="E122" s="1"/>
      <c r="F122" s="1"/>
      <c r="G122" s="8"/>
    </row>
    <row r="123" spans="2:10">
      <c r="B123" s="15"/>
      <c r="C123" s="50" t="s">
        <v>53</v>
      </c>
      <c r="D123" s="51"/>
      <c r="E123" s="51"/>
      <c r="F123" s="51"/>
      <c r="G123" s="52"/>
    </row>
    <row r="124" spans="2:10">
      <c r="C124" s="20"/>
      <c r="D124" s="2" t="s">
        <v>40</v>
      </c>
      <c r="E124" s="2" t="s">
        <v>14</v>
      </c>
      <c r="F124" s="2" t="s">
        <v>41</v>
      </c>
      <c r="G124" s="2" t="s">
        <v>42</v>
      </c>
      <c r="H124" s="5" t="s">
        <v>22</v>
      </c>
      <c r="I124" s="20"/>
      <c r="J124" s="5" t="s">
        <v>23</v>
      </c>
    </row>
    <row r="125" spans="2:10">
      <c r="C125" s="26" t="s">
        <v>32</v>
      </c>
      <c r="D125" s="23">
        <v>100</v>
      </c>
      <c r="E125" s="23">
        <v>0</v>
      </c>
      <c r="F125" s="23">
        <v>0</v>
      </c>
      <c r="G125" s="24">
        <v>0</v>
      </c>
      <c r="H125" s="2">
        <f>SUM(D125:G125)</f>
        <v>100</v>
      </c>
      <c r="I125" s="2" t="s">
        <v>7</v>
      </c>
      <c r="J125" s="3">
        <v>100</v>
      </c>
    </row>
    <row r="126" spans="2:10">
      <c r="C126" s="26" t="s">
        <v>34</v>
      </c>
      <c r="D126" s="23">
        <v>0</v>
      </c>
      <c r="E126" s="23">
        <v>60</v>
      </c>
      <c r="F126" s="23">
        <v>0</v>
      </c>
      <c r="G126" s="24">
        <v>0</v>
      </c>
      <c r="H126" s="2">
        <f>SUM(D126:G126)</f>
        <v>60</v>
      </c>
      <c r="I126" s="2" t="s">
        <v>7</v>
      </c>
      <c r="J126" s="3">
        <v>60</v>
      </c>
    </row>
    <row r="127" spans="2:10">
      <c r="C127" s="26" t="s">
        <v>33</v>
      </c>
      <c r="D127" s="23">
        <v>0</v>
      </c>
      <c r="E127" s="23">
        <v>0</v>
      </c>
      <c r="F127" s="23">
        <v>0</v>
      </c>
      <c r="G127" s="24">
        <v>80</v>
      </c>
      <c r="H127" s="2">
        <f t="shared" ref="H127:H128" si="11">SUM(D127:G127)</f>
        <v>80</v>
      </c>
      <c r="I127" s="2" t="s">
        <v>7</v>
      </c>
      <c r="J127" s="3">
        <v>80</v>
      </c>
    </row>
    <row r="128" spans="2:10">
      <c r="C128" s="26" t="s">
        <v>16</v>
      </c>
      <c r="D128" s="23">
        <v>0</v>
      </c>
      <c r="E128" s="23">
        <v>20</v>
      </c>
      <c r="F128" s="23">
        <v>80</v>
      </c>
      <c r="G128" s="24">
        <v>20</v>
      </c>
      <c r="H128" s="2">
        <f t="shared" si="11"/>
        <v>120</v>
      </c>
      <c r="I128" s="2" t="s">
        <v>7</v>
      </c>
      <c r="J128" s="3">
        <v>120</v>
      </c>
    </row>
    <row r="129" spans="2:16">
      <c r="C129" s="22" t="s">
        <v>47</v>
      </c>
      <c r="D129" s="2">
        <f>SUM(D125:D128)</f>
        <v>100</v>
      </c>
      <c r="E129" s="2">
        <f>SUM(E125:E128)</f>
        <v>80</v>
      </c>
      <c r="F129" s="2">
        <f>SUM(F125:F128)</f>
        <v>80</v>
      </c>
      <c r="G129" s="2">
        <f>SUM(G125:G128)</f>
        <v>100</v>
      </c>
    </row>
    <row r="130" spans="2:16">
      <c r="C130" s="20"/>
      <c r="D130" s="2" t="s">
        <v>7</v>
      </c>
      <c r="E130" s="2" t="s">
        <v>7</v>
      </c>
      <c r="F130" s="2" t="s">
        <v>7</v>
      </c>
      <c r="G130" s="2" t="s">
        <v>7</v>
      </c>
      <c r="J130" s="22" t="s">
        <v>10</v>
      </c>
    </row>
    <row r="131" spans="2:16">
      <c r="C131" s="22" t="s">
        <v>24</v>
      </c>
      <c r="D131" s="3">
        <v>100</v>
      </c>
      <c r="E131" s="3">
        <v>80</v>
      </c>
      <c r="F131" s="3">
        <v>80</v>
      </c>
      <c r="G131" s="3">
        <v>100</v>
      </c>
      <c r="J131" s="25">
        <f>SUMPRODUCT(D118:G121,D125:G128)</f>
        <v>1430</v>
      </c>
    </row>
    <row r="133" spans="2:16">
      <c r="B133" s="15"/>
    </row>
    <row r="134" spans="2:16">
      <c r="K134" s="15" t="s">
        <v>55</v>
      </c>
    </row>
    <row r="136" spans="2:16">
      <c r="M136" s="8" t="s">
        <v>56</v>
      </c>
      <c r="N136" s="8" t="s">
        <v>57</v>
      </c>
      <c r="O136" s="8" t="s">
        <v>58</v>
      </c>
      <c r="P136" s="8" t="s">
        <v>59</v>
      </c>
    </row>
    <row r="137" spans="2:16">
      <c r="L137" s="13" t="s">
        <v>18</v>
      </c>
      <c r="M137" s="28">
        <f>J40</f>
        <v>880</v>
      </c>
      <c r="N137" s="28">
        <f>J95</f>
        <v>1570</v>
      </c>
      <c r="O137" s="28">
        <f>J17</f>
        <v>620</v>
      </c>
      <c r="P137" s="29">
        <f>SUM(M137:O137)</f>
        <v>3070</v>
      </c>
    </row>
    <row r="138" spans="2:16">
      <c r="L138" s="13" t="s">
        <v>35</v>
      </c>
      <c r="M138" s="28">
        <f>J58</f>
        <v>920</v>
      </c>
      <c r="N138" s="28">
        <f>J113</f>
        <v>1630</v>
      </c>
      <c r="O138" s="28">
        <f>J18</f>
        <v>570</v>
      </c>
      <c r="P138" s="29">
        <f t="shared" ref="P138:P139" si="12">SUM(M138:O138)</f>
        <v>3120</v>
      </c>
    </row>
    <row r="139" spans="2:16">
      <c r="L139" s="13" t="s">
        <v>16</v>
      </c>
      <c r="M139" s="28">
        <f>J76</f>
        <v>960</v>
      </c>
      <c r="N139" s="28">
        <f>J131</f>
        <v>1430</v>
      </c>
      <c r="O139" s="28">
        <f>J19</f>
        <v>530</v>
      </c>
      <c r="P139" s="29">
        <f t="shared" si="12"/>
        <v>2920</v>
      </c>
    </row>
  </sheetData>
  <mergeCells count="13">
    <mergeCell ref="C17:G17"/>
    <mergeCell ref="C25:G25"/>
    <mergeCell ref="C32:G32"/>
    <mergeCell ref="C43:G43"/>
    <mergeCell ref="C50:G50"/>
    <mergeCell ref="C105:G105"/>
    <mergeCell ref="C116:G116"/>
    <mergeCell ref="C123:G123"/>
    <mergeCell ref="C61:G61"/>
    <mergeCell ref="C68:G68"/>
    <mergeCell ref="C80:G80"/>
    <mergeCell ref="C87:G87"/>
    <mergeCell ref="C98:G9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BA6F1-39B9-4C4D-A071-BFE366B2AAB3}">
  <dimension ref="B3:L12"/>
  <sheetViews>
    <sheetView workbookViewId="0">
      <selection activeCell="F3" sqref="F3"/>
    </sheetView>
  </sheetViews>
  <sheetFormatPr defaultRowHeight="14.4"/>
  <cols>
    <col min="3" max="3" width="13.21875" bestFit="1" customWidth="1"/>
    <col min="6" max="6" width="17.44140625" bestFit="1" customWidth="1"/>
    <col min="7" max="7" width="13.6640625" bestFit="1" customWidth="1"/>
  </cols>
  <sheetData>
    <row r="3" spans="2:12">
      <c r="C3" s="13" t="s">
        <v>80</v>
      </c>
      <c r="G3" s="13" t="s">
        <v>88</v>
      </c>
    </row>
    <row r="4" spans="2:12">
      <c r="B4" t="s">
        <v>81</v>
      </c>
      <c r="C4" s="36">
        <v>250000</v>
      </c>
      <c r="D4" t="s">
        <v>92</v>
      </c>
    </row>
    <row r="5" spans="2:12">
      <c r="B5" t="s">
        <v>125</v>
      </c>
      <c r="C5" s="36">
        <v>750000</v>
      </c>
      <c r="D5" t="s">
        <v>126</v>
      </c>
      <c r="F5" t="s">
        <v>89</v>
      </c>
      <c r="G5" s="40">
        <f>C6*C4/C12</f>
        <v>59999.999999475047</v>
      </c>
    </row>
    <row r="6" spans="2:12">
      <c r="B6" t="s">
        <v>82</v>
      </c>
      <c r="C6" s="46">
        <v>12000</v>
      </c>
      <c r="D6" t="s">
        <v>124</v>
      </c>
      <c r="F6" t="s">
        <v>90</v>
      </c>
      <c r="G6" s="40">
        <f>C7*(1-C4/C5)*C12/2</f>
        <v>60000.00000052496</v>
      </c>
    </row>
    <row r="7" spans="2:12">
      <c r="B7" t="s">
        <v>83</v>
      </c>
      <c r="C7" s="45">
        <v>3.6</v>
      </c>
      <c r="D7" t="s">
        <v>94</v>
      </c>
      <c r="L7">
        <f>3^2</f>
        <v>9</v>
      </c>
    </row>
    <row r="8" spans="2:12">
      <c r="F8" t="s">
        <v>91</v>
      </c>
      <c r="G8" s="47">
        <f>G5+G6</f>
        <v>120000</v>
      </c>
    </row>
    <row r="11" spans="2:12">
      <c r="C11" s="13" t="s">
        <v>86</v>
      </c>
    </row>
    <row r="12" spans="2:12">
      <c r="B12" t="s">
        <v>87</v>
      </c>
      <c r="C12" s="37">
        <v>50000.00000043746</v>
      </c>
      <c r="D12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83742-28A1-4AC9-B82C-A612F45973FB}">
  <dimension ref="B3:L13"/>
  <sheetViews>
    <sheetView workbookViewId="0">
      <selection activeCell="G7" sqref="G7"/>
    </sheetView>
  </sheetViews>
  <sheetFormatPr defaultRowHeight="14.4"/>
  <cols>
    <col min="6" max="6" width="17.44140625" bestFit="1" customWidth="1"/>
  </cols>
  <sheetData>
    <row r="3" spans="2:12">
      <c r="C3" s="13" t="s">
        <v>80</v>
      </c>
      <c r="G3" s="13" t="s">
        <v>88</v>
      </c>
    </row>
    <row r="4" spans="2:12">
      <c r="B4" t="s">
        <v>81</v>
      </c>
      <c r="C4" s="36">
        <v>6000</v>
      </c>
      <c r="D4" t="s">
        <v>92</v>
      </c>
      <c r="F4" t="s">
        <v>97</v>
      </c>
      <c r="G4">
        <f>C12-C13</f>
        <v>458.93572156080415</v>
      </c>
    </row>
    <row r="5" spans="2:12">
      <c r="B5" t="s">
        <v>82</v>
      </c>
      <c r="C5" s="36">
        <v>115</v>
      </c>
      <c r="D5" t="s">
        <v>93</v>
      </c>
      <c r="F5" t="s">
        <v>89</v>
      </c>
      <c r="G5">
        <f>C5*C4/C12</f>
        <v>963.76807124516313</v>
      </c>
    </row>
    <row r="6" spans="2:12">
      <c r="B6" t="s">
        <v>83</v>
      </c>
      <c r="C6" s="36">
        <v>4.2</v>
      </c>
      <c r="D6" t="s">
        <v>94</v>
      </c>
      <c r="F6" t="s">
        <v>101</v>
      </c>
      <c r="G6">
        <f>C7*((C12-G4)^2)/(2*C12)</f>
        <v>345.96727581096167</v>
      </c>
    </row>
    <row r="7" spans="2:12">
      <c r="B7" t="s">
        <v>96</v>
      </c>
      <c r="C7" s="36">
        <v>7.5</v>
      </c>
      <c r="D7" t="s">
        <v>95</v>
      </c>
      <c r="F7" t="s">
        <v>90</v>
      </c>
      <c r="G7">
        <f>C6*G4*G4/(2*C12)</f>
        <v>617.79795107208804</v>
      </c>
      <c r="L7">
        <f>3^2</f>
        <v>9</v>
      </c>
    </row>
    <row r="8" spans="2:12">
      <c r="F8" t="s">
        <v>91</v>
      </c>
      <c r="G8" s="37">
        <f>G5+G7+G6</f>
        <v>1927.5332981282129</v>
      </c>
    </row>
    <row r="11" spans="2:12">
      <c r="C11" s="13" t="s">
        <v>86</v>
      </c>
    </row>
    <row r="12" spans="2:12">
      <c r="B12" t="s">
        <v>87</v>
      </c>
      <c r="C12" s="37">
        <v>715.93988282734665</v>
      </c>
      <c r="D12" t="s">
        <v>99</v>
      </c>
    </row>
    <row r="13" spans="2:12">
      <c r="B13" t="s">
        <v>98</v>
      </c>
      <c r="C13" s="37">
        <v>257.0041612665425</v>
      </c>
      <c r="D13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A297-1322-431B-B49D-587E18F097C9}">
  <dimension ref="B3:K20"/>
  <sheetViews>
    <sheetView workbookViewId="0">
      <selection activeCell="E18" sqref="E18"/>
    </sheetView>
  </sheetViews>
  <sheetFormatPr defaultRowHeight="14.4"/>
  <cols>
    <col min="4" max="4" width="14" customWidth="1"/>
    <col min="5" max="5" width="12.6640625" customWidth="1"/>
    <col min="6" max="6" width="10" customWidth="1"/>
    <col min="8" max="8" width="12.109375" bestFit="1" customWidth="1"/>
    <col min="9" max="10" width="10.109375" bestFit="1" customWidth="1"/>
    <col min="11" max="11" width="12.109375" bestFit="1" customWidth="1"/>
  </cols>
  <sheetData>
    <row r="3" spans="2:11">
      <c r="C3" s="13" t="s">
        <v>80</v>
      </c>
      <c r="G3" s="13"/>
    </row>
    <row r="4" spans="2:11">
      <c r="B4" t="s">
        <v>81</v>
      </c>
      <c r="C4" s="36">
        <v>6000</v>
      </c>
      <c r="D4" t="s">
        <v>92</v>
      </c>
    </row>
    <row r="5" spans="2:11">
      <c r="B5" t="s">
        <v>82</v>
      </c>
      <c r="C5" s="36">
        <v>115</v>
      </c>
      <c r="D5" t="s">
        <v>93</v>
      </c>
    </row>
    <row r="6" spans="2:11">
      <c r="B6" t="s">
        <v>107</v>
      </c>
      <c r="C6" s="36">
        <v>0.21</v>
      </c>
      <c r="D6" t="s">
        <v>108</v>
      </c>
    </row>
    <row r="7" spans="2:11">
      <c r="B7" t="s">
        <v>106</v>
      </c>
      <c r="C7" s="36">
        <v>3</v>
      </c>
      <c r="D7" t="s">
        <v>109</v>
      </c>
    </row>
    <row r="8" spans="2:11">
      <c r="C8" s="36"/>
    </row>
    <row r="9" spans="2:11">
      <c r="H9" s="14" t="s">
        <v>117</v>
      </c>
      <c r="I9" s="14" t="s">
        <v>117</v>
      </c>
      <c r="J9" s="14" t="s">
        <v>117</v>
      </c>
      <c r="K9" s="14" t="s">
        <v>71</v>
      </c>
    </row>
    <row r="10" spans="2:11">
      <c r="D10" s="48" t="s">
        <v>112</v>
      </c>
      <c r="E10" s="48"/>
      <c r="H10" s="14" t="s">
        <v>122</v>
      </c>
      <c r="I10" s="14" t="s">
        <v>121</v>
      </c>
      <c r="J10" s="14" t="s">
        <v>120</v>
      </c>
      <c r="K10" s="14" t="s">
        <v>118</v>
      </c>
    </row>
    <row r="11" spans="2:11">
      <c r="B11" t="s">
        <v>110</v>
      </c>
      <c r="C11" t="s">
        <v>111</v>
      </c>
      <c r="D11" t="s">
        <v>113</v>
      </c>
      <c r="E11" t="s">
        <v>114</v>
      </c>
      <c r="F11" t="s">
        <v>115</v>
      </c>
      <c r="G11" t="s">
        <v>116</v>
      </c>
      <c r="H11" s="14" t="s">
        <v>119</v>
      </c>
      <c r="I11" s="14" t="s">
        <v>119</v>
      </c>
      <c r="J11" s="14" t="s">
        <v>119</v>
      </c>
      <c r="K11" s="14" t="s">
        <v>119</v>
      </c>
    </row>
    <row r="12" spans="2:11">
      <c r="B12">
        <v>1</v>
      </c>
      <c r="C12" s="38">
        <v>20</v>
      </c>
      <c r="D12" s="18">
        <v>0</v>
      </c>
      <c r="E12" s="18">
        <v>749</v>
      </c>
      <c r="F12" s="42">
        <f>IF($C$7&gt;=B12,SQRT(2*$C$4*$C$5/($C$6*C12)))</f>
        <v>573.21150422111089</v>
      </c>
      <c r="G12">
        <f>IF($C$7&gt;=B12,MIN(E12,(MAX(D12,F12))))</f>
        <v>573.21150422111089</v>
      </c>
      <c r="H12" s="41">
        <f>C4*C12</f>
        <v>120000</v>
      </c>
      <c r="I12" s="40">
        <f>$C$5*$C$4/G12</f>
        <v>1203.7441588643326</v>
      </c>
      <c r="J12" s="40">
        <f>$C$6*C12*G12/2</f>
        <v>1203.7441588643328</v>
      </c>
      <c r="K12" s="44">
        <f>H12+I12+J12</f>
        <v>122407.48831772865</v>
      </c>
    </row>
    <row r="13" spans="2:11">
      <c r="B13">
        <v>2</v>
      </c>
      <c r="C13" s="38">
        <v>19.8</v>
      </c>
      <c r="D13" s="18">
        <v>750</v>
      </c>
      <c r="E13" s="18">
        <v>1999</v>
      </c>
      <c r="F13" s="42">
        <f t="shared" ref="F13:F14" si="0">IF($C$7&gt;=B13,SQRT(2*$C$4*$C$5/($C$6*C13)))</f>
        <v>576.09923788383185</v>
      </c>
      <c r="G13">
        <f t="shared" ref="G13:G14" si="1">IF($C$7&gt;=B13,MIN(E13,(MAX(D13,F13))))</f>
        <v>750</v>
      </c>
      <c r="H13" s="41">
        <f>C4*C13</f>
        <v>118800</v>
      </c>
      <c r="I13" s="40">
        <f t="shared" ref="I13:I14" si="2">$C$5*$C$4/G13</f>
        <v>920</v>
      </c>
      <c r="J13" s="40">
        <f>$C$6*C13*G13/2</f>
        <v>1559.2500000000002</v>
      </c>
      <c r="K13" s="44">
        <f t="shared" ref="K13:K14" si="3">H13+I13+J13</f>
        <v>121279.25</v>
      </c>
    </row>
    <row r="14" spans="2:11">
      <c r="B14">
        <v>3</v>
      </c>
      <c r="C14" s="38">
        <v>19.600000000000001</v>
      </c>
      <c r="D14" s="18">
        <v>2000</v>
      </c>
      <c r="E14" s="18">
        <v>100000000</v>
      </c>
      <c r="F14" s="42">
        <f t="shared" si="0"/>
        <v>579.03105955555532</v>
      </c>
      <c r="G14">
        <f t="shared" si="1"/>
        <v>2000</v>
      </c>
      <c r="H14" s="41">
        <f>C4*C14</f>
        <v>117600.00000000001</v>
      </c>
      <c r="I14" s="40">
        <f t="shared" si="2"/>
        <v>345</v>
      </c>
      <c r="J14" s="40">
        <f t="shared" ref="J14" si="4">$C$6*C14*G14/2</f>
        <v>4116.0000000000009</v>
      </c>
      <c r="K14" s="44">
        <f t="shared" si="3"/>
        <v>122061.00000000001</v>
      </c>
    </row>
    <row r="17" spans="4:5">
      <c r="E17" t="s">
        <v>88</v>
      </c>
    </row>
    <row r="18" spans="4:5">
      <c r="D18" t="s">
        <v>123</v>
      </c>
      <c r="E18" s="37">
        <f>IF(E20=K12,G12,IF(E20=K13,G13,G14))</f>
        <v>750</v>
      </c>
    </row>
    <row r="20" spans="4:5">
      <c r="D20" s="39" t="s">
        <v>91</v>
      </c>
      <c r="E20" s="43">
        <f>MIN(K12:K14)</f>
        <v>121279.25</v>
      </c>
    </row>
  </sheetData>
  <mergeCells count="1">
    <mergeCell ref="D10:E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E550-8B96-445C-9DE3-FCAC8142053E}">
  <dimension ref="B3:Q20"/>
  <sheetViews>
    <sheetView workbookViewId="0">
      <selection activeCell="G6" sqref="G6"/>
    </sheetView>
  </sheetViews>
  <sheetFormatPr defaultRowHeight="14.4"/>
  <cols>
    <col min="6" max="6" width="17.44140625" bestFit="1" customWidth="1"/>
  </cols>
  <sheetData>
    <row r="3" spans="2:17">
      <c r="C3" s="13" t="s">
        <v>80</v>
      </c>
      <c r="G3" s="13" t="s">
        <v>88</v>
      </c>
    </row>
    <row r="4" spans="2:17">
      <c r="B4" t="s">
        <v>81</v>
      </c>
      <c r="C4" s="36">
        <v>6000</v>
      </c>
      <c r="D4" t="s">
        <v>92</v>
      </c>
      <c r="F4" t="s">
        <v>104</v>
      </c>
      <c r="G4">
        <f>C4*C7/C8</f>
        <v>216</v>
      </c>
    </row>
    <row r="5" spans="2:17">
      <c r="B5" t="s">
        <v>82</v>
      </c>
      <c r="C5" s="36">
        <v>115</v>
      </c>
      <c r="D5" t="s">
        <v>93</v>
      </c>
      <c r="F5" t="s">
        <v>89</v>
      </c>
      <c r="G5">
        <f>C5*C4/C11</f>
        <v>1203.744169466783</v>
      </c>
    </row>
    <row r="6" spans="2:17" ht="14.4" customHeight="1">
      <c r="B6" t="s">
        <v>83</v>
      </c>
      <c r="C6" s="36">
        <v>4.2</v>
      </c>
      <c r="D6" t="s">
        <v>94</v>
      </c>
      <c r="F6" t="s">
        <v>90</v>
      </c>
      <c r="G6">
        <f>C6*C11/2</f>
        <v>1203.7441482618826</v>
      </c>
      <c r="I6" s="49" t="s">
        <v>105</v>
      </c>
      <c r="J6" s="49"/>
      <c r="K6" s="49"/>
      <c r="L6" s="49"/>
      <c r="M6" s="49"/>
      <c r="N6" s="49"/>
      <c r="O6" s="49"/>
      <c r="P6" s="49"/>
      <c r="Q6" s="49"/>
    </row>
    <row r="7" spans="2:17">
      <c r="B7" t="s">
        <v>84</v>
      </c>
      <c r="C7" s="36">
        <v>9</v>
      </c>
      <c r="D7" t="s">
        <v>102</v>
      </c>
      <c r="F7" t="s">
        <v>91</v>
      </c>
      <c r="G7" s="37">
        <f>G5+G6</f>
        <v>2407.4883177286656</v>
      </c>
      <c r="I7" s="49"/>
      <c r="J7" s="49"/>
      <c r="K7" s="49"/>
      <c r="L7" s="49"/>
      <c r="M7" s="49"/>
      <c r="N7" s="49"/>
      <c r="O7" s="49"/>
      <c r="P7" s="49"/>
      <c r="Q7" s="49"/>
    </row>
    <row r="8" spans="2:17">
      <c r="B8" t="s">
        <v>85</v>
      </c>
      <c r="C8" s="36">
        <v>250</v>
      </c>
      <c r="D8" t="s">
        <v>103</v>
      </c>
      <c r="I8" s="49"/>
      <c r="J8" s="49"/>
      <c r="K8" s="49"/>
      <c r="L8" s="49"/>
      <c r="M8" s="49"/>
      <c r="N8" s="49"/>
      <c r="O8" s="49"/>
      <c r="P8" s="49"/>
      <c r="Q8" s="49"/>
    </row>
    <row r="9" spans="2:17">
      <c r="I9" s="49"/>
      <c r="J9" s="49"/>
      <c r="K9" s="49"/>
      <c r="L9" s="49"/>
      <c r="M9" s="49"/>
      <c r="N9" s="49"/>
      <c r="O9" s="49"/>
      <c r="P9" s="49"/>
      <c r="Q9" s="49"/>
    </row>
    <row r="10" spans="2:17">
      <c r="C10" s="13" t="s">
        <v>86</v>
      </c>
      <c r="I10" s="49"/>
      <c r="J10" s="49"/>
      <c r="K10" s="49"/>
      <c r="L10" s="49"/>
      <c r="M10" s="49"/>
      <c r="N10" s="49"/>
      <c r="O10" s="49"/>
      <c r="P10" s="49"/>
      <c r="Q10" s="49"/>
    </row>
    <row r="11" spans="2:17">
      <c r="B11" t="s">
        <v>87</v>
      </c>
      <c r="C11" s="37">
        <v>573.21149917232503</v>
      </c>
      <c r="D11" t="s">
        <v>99</v>
      </c>
      <c r="I11" s="49"/>
      <c r="J11" s="49"/>
      <c r="K11" s="49"/>
      <c r="L11" s="49"/>
      <c r="M11" s="49"/>
      <c r="N11" s="49"/>
      <c r="O11" s="49"/>
      <c r="P11" s="49"/>
      <c r="Q11" s="49"/>
    </row>
    <row r="12" spans="2:17">
      <c r="I12" s="49"/>
      <c r="J12" s="49"/>
      <c r="K12" s="49"/>
      <c r="L12" s="49"/>
      <c r="M12" s="49"/>
      <c r="N12" s="49"/>
      <c r="O12" s="49"/>
      <c r="P12" s="49"/>
      <c r="Q12" s="49"/>
    </row>
    <row r="13" spans="2:17">
      <c r="I13" s="49"/>
      <c r="J13" s="49"/>
      <c r="K13" s="49"/>
      <c r="L13" s="49"/>
      <c r="M13" s="49"/>
      <c r="N13" s="49"/>
      <c r="O13" s="49"/>
      <c r="P13" s="49"/>
      <c r="Q13" s="49"/>
    </row>
    <row r="14" spans="2:17">
      <c r="I14" s="49"/>
      <c r="J14" s="49"/>
      <c r="K14" s="49"/>
      <c r="L14" s="49"/>
      <c r="M14" s="49"/>
      <c r="N14" s="49"/>
      <c r="O14" s="49"/>
      <c r="P14" s="49"/>
      <c r="Q14" s="49"/>
    </row>
    <row r="15" spans="2:17">
      <c r="I15" s="49"/>
      <c r="J15" s="49"/>
      <c r="K15" s="49"/>
      <c r="L15" s="49"/>
      <c r="M15" s="49"/>
      <c r="N15" s="49"/>
      <c r="O15" s="49"/>
      <c r="P15" s="49"/>
      <c r="Q15" s="49"/>
    </row>
    <row r="16" spans="2:17">
      <c r="I16" s="49"/>
      <c r="J16" s="49"/>
      <c r="K16" s="49"/>
      <c r="L16" s="49"/>
      <c r="M16" s="49"/>
      <c r="N16" s="49"/>
      <c r="O16" s="49"/>
      <c r="P16" s="49"/>
      <c r="Q16" s="49"/>
    </row>
    <row r="17" spans="9:17">
      <c r="I17" s="49"/>
      <c r="J17" s="49"/>
      <c r="K17" s="49"/>
      <c r="L17" s="49"/>
      <c r="M17" s="49"/>
      <c r="N17" s="49"/>
      <c r="O17" s="49"/>
      <c r="P17" s="49"/>
      <c r="Q17" s="49"/>
    </row>
    <row r="18" spans="9:17">
      <c r="I18" s="49"/>
      <c r="J18" s="49"/>
      <c r="K18" s="49"/>
      <c r="L18" s="49"/>
      <c r="M18" s="49"/>
      <c r="N18" s="49"/>
      <c r="O18" s="49"/>
      <c r="P18" s="49"/>
      <c r="Q18" s="49"/>
    </row>
    <row r="19" spans="9:17">
      <c r="I19" s="49"/>
      <c r="J19" s="49"/>
      <c r="K19" s="49"/>
      <c r="L19" s="49"/>
      <c r="M19" s="49"/>
      <c r="N19" s="49"/>
      <c r="O19" s="49"/>
      <c r="P19" s="49"/>
      <c r="Q19" s="49"/>
    </row>
    <row r="20" spans="9:17">
      <c r="I20" s="49"/>
      <c r="J20" s="49"/>
      <c r="K20" s="49"/>
      <c r="L20" s="49"/>
      <c r="M20" s="49"/>
      <c r="N20" s="49"/>
      <c r="O20" s="49"/>
      <c r="P20" s="49"/>
      <c r="Q20" s="49"/>
    </row>
  </sheetData>
  <mergeCells count="1">
    <mergeCell ref="I6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128-0374-4E7C-A8EA-B266721D7661}">
  <dimension ref="A1:L1048575"/>
  <sheetViews>
    <sheetView topLeftCell="B1" workbookViewId="0">
      <selection activeCell="F9" sqref="F9"/>
    </sheetView>
  </sheetViews>
  <sheetFormatPr defaultRowHeight="14.4"/>
  <cols>
    <col min="1" max="1" width="18.109375" style="1" customWidth="1"/>
    <col min="2" max="2" width="9.6640625" style="1" bestFit="1" customWidth="1"/>
    <col min="3" max="3" width="12.88671875" style="1" customWidth="1"/>
    <col min="4" max="4" width="11.88671875" style="1" customWidth="1"/>
    <col min="5" max="5" width="12.109375" style="1" customWidth="1"/>
    <col min="6" max="6" width="11.88671875" style="1" customWidth="1"/>
    <col min="7" max="7" width="11.21875" style="1" customWidth="1"/>
    <col min="8" max="8" width="13.21875" style="1" customWidth="1"/>
    <col min="9" max="9" width="8.88671875" style="1"/>
    <col min="10" max="10" width="11.21875" style="1" bestFit="1" customWidth="1"/>
    <col min="11" max="16384" width="8.88671875" style="1"/>
  </cols>
  <sheetData>
    <row r="1" spans="1:12">
      <c r="A1" s="5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5" t="s">
        <v>74</v>
      </c>
      <c r="C3" s="2"/>
      <c r="D3" s="5" t="s">
        <v>75</v>
      </c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5">
        <v>1</v>
      </c>
      <c r="E4" s="5">
        <v>2</v>
      </c>
      <c r="F4" s="5">
        <v>3</v>
      </c>
      <c r="G4" s="5">
        <v>4</v>
      </c>
      <c r="H4" s="2"/>
      <c r="I4" s="2"/>
      <c r="J4" s="2"/>
      <c r="K4" s="2"/>
      <c r="L4" s="2"/>
    </row>
    <row r="5" spans="1:12">
      <c r="A5" s="2"/>
      <c r="B5" s="5" t="s">
        <v>64</v>
      </c>
      <c r="C5" s="5">
        <v>1</v>
      </c>
      <c r="D5" s="9">
        <v>55</v>
      </c>
      <c r="E5" s="9">
        <v>42</v>
      </c>
      <c r="F5" s="9">
        <v>46</v>
      </c>
      <c r="G5" s="9">
        <v>53</v>
      </c>
      <c r="H5" s="2"/>
      <c r="I5" s="2"/>
      <c r="J5" s="2"/>
      <c r="K5" s="2"/>
      <c r="L5" s="2"/>
    </row>
    <row r="6" spans="1:12">
      <c r="A6" s="2"/>
      <c r="B6" s="2"/>
      <c r="C6" s="5">
        <v>2</v>
      </c>
      <c r="D6" s="9">
        <v>37</v>
      </c>
      <c r="E6" s="9">
        <v>18</v>
      </c>
      <c r="F6" s="9">
        <v>32</v>
      </c>
      <c r="G6" s="9">
        <v>48</v>
      </c>
      <c r="H6" s="2"/>
      <c r="I6" s="2"/>
      <c r="J6" s="2"/>
      <c r="K6" s="2"/>
      <c r="L6" s="2"/>
    </row>
    <row r="7" spans="1:12">
      <c r="A7" s="2"/>
      <c r="B7" s="2"/>
      <c r="C7" s="5">
        <v>3</v>
      </c>
      <c r="D7" s="9">
        <v>29</v>
      </c>
      <c r="E7" s="9">
        <v>59</v>
      </c>
      <c r="F7" s="9">
        <v>51</v>
      </c>
      <c r="G7" s="9">
        <v>35</v>
      </c>
      <c r="H7" s="2"/>
      <c r="I7" s="2"/>
      <c r="J7" s="2"/>
      <c r="K7" s="2"/>
      <c r="L7" s="2"/>
    </row>
    <row r="8" spans="1:12">
      <c r="A8" s="2"/>
      <c r="B8" s="2"/>
      <c r="C8" s="2"/>
      <c r="D8" s="30"/>
      <c r="E8" s="30"/>
      <c r="F8" s="30"/>
      <c r="G8" s="30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5">
        <v>1</v>
      </c>
      <c r="E11" s="5">
        <v>2</v>
      </c>
      <c r="F11" s="5">
        <v>3</v>
      </c>
      <c r="G11" s="5">
        <v>4</v>
      </c>
      <c r="H11" s="5" t="s">
        <v>22</v>
      </c>
      <c r="I11" s="2"/>
      <c r="J11" s="5" t="s">
        <v>61</v>
      </c>
      <c r="K11" s="2"/>
      <c r="L11" s="2"/>
    </row>
    <row r="12" spans="1:12">
      <c r="A12" s="2"/>
      <c r="B12" s="2"/>
      <c r="C12" s="5">
        <v>1</v>
      </c>
      <c r="D12" s="10">
        <v>7000</v>
      </c>
      <c r="E12" s="10">
        <v>0</v>
      </c>
      <c r="F12" s="10">
        <v>1000</v>
      </c>
      <c r="G12" s="10">
        <v>0</v>
      </c>
      <c r="H12" s="2">
        <f>SUM(D12:G12)</f>
        <v>8000</v>
      </c>
      <c r="I12" s="2" t="s">
        <v>7</v>
      </c>
      <c r="J12" s="12">
        <v>8000</v>
      </c>
      <c r="K12" s="2"/>
      <c r="L12" s="2"/>
    </row>
    <row r="13" spans="1:12">
      <c r="A13" s="2"/>
      <c r="B13" s="2"/>
      <c r="C13" s="5">
        <v>2</v>
      </c>
      <c r="D13" s="10">
        <v>0</v>
      </c>
      <c r="E13" s="10">
        <v>0</v>
      </c>
      <c r="F13" s="10">
        <v>0</v>
      </c>
      <c r="G13" s="10">
        <v>5000</v>
      </c>
      <c r="H13" s="2">
        <f t="shared" ref="H13:H14" si="0">SUM(D13:G13)</f>
        <v>5000</v>
      </c>
      <c r="I13" s="2" t="s">
        <v>7</v>
      </c>
      <c r="J13" s="12">
        <v>5000</v>
      </c>
      <c r="K13" s="2"/>
      <c r="L13" s="2"/>
    </row>
    <row r="14" spans="1:12">
      <c r="A14" s="2"/>
      <c r="B14" s="2"/>
      <c r="C14" s="5">
        <v>3</v>
      </c>
      <c r="D14" s="10">
        <v>0</v>
      </c>
      <c r="E14" s="10">
        <v>6000</v>
      </c>
      <c r="F14" s="10">
        <v>1000</v>
      </c>
      <c r="G14" s="10">
        <v>0</v>
      </c>
      <c r="H14" s="2">
        <f t="shared" si="0"/>
        <v>7000</v>
      </c>
      <c r="I14" s="2" t="s">
        <v>7</v>
      </c>
      <c r="J14" s="12">
        <v>7000</v>
      </c>
      <c r="K14" s="2"/>
      <c r="L14" s="2"/>
    </row>
    <row r="15" spans="1:12">
      <c r="A15" s="2"/>
      <c r="B15" s="2"/>
      <c r="C15" s="5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5" t="s">
        <v>25</v>
      </c>
      <c r="D16" s="2">
        <f>SUM(D12:D14)</f>
        <v>7000</v>
      </c>
      <c r="E16" s="2">
        <f t="shared" ref="E16:G16" si="1">SUM(E12:E14)</f>
        <v>6000</v>
      </c>
      <c r="F16" s="2">
        <f t="shared" si="1"/>
        <v>2000</v>
      </c>
      <c r="G16" s="2">
        <f t="shared" si="1"/>
        <v>5000</v>
      </c>
      <c r="H16" s="2"/>
      <c r="I16" s="2"/>
      <c r="J16" s="2"/>
      <c r="K16" s="2"/>
      <c r="L16" s="2"/>
    </row>
    <row r="17" spans="1:12">
      <c r="A17" s="2"/>
      <c r="B17" s="2"/>
      <c r="C17" s="2"/>
      <c r="D17" s="2" t="s">
        <v>7</v>
      </c>
      <c r="E17" s="2" t="s">
        <v>78</v>
      </c>
      <c r="F17" s="2" t="s">
        <v>78</v>
      </c>
      <c r="G17" s="2" t="s">
        <v>78</v>
      </c>
      <c r="H17" s="2"/>
      <c r="I17" s="2"/>
      <c r="J17" s="2"/>
      <c r="K17" s="2"/>
      <c r="L17" s="2"/>
    </row>
    <row r="18" spans="1:12">
      <c r="A18" s="2"/>
      <c r="B18" s="2"/>
      <c r="C18" s="5" t="s">
        <v>76</v>
      </c>
      <c r="D18" s="2">
        <v>7000</v>
      </c>
      <c r="E18" s="2">
        <v>3000</v>
      </c>
      <c r="F18" s="2">
        <v>2000</v>
      </c>
      <c r="G18" s="2">
        <v>0</v>
      </c>
      <c r="H18" s="2"/>
      <c r="I18" s="2"/>
      <c r="J18" s="2"/>
      <c r="K18" s="2"/>
      <c r="L18" s="2"/>
    </row>
    <row r="19" spans="1:12">
      <c r="A19" s="2"/>
      <c r="B19" s="2"/>
      <c r="C19" s="2"/>
      <c r="D19" s="2" t="s">
        <v>7</v>
      </c>
      <c r="E19" s="2" t="s">
        <v>60</v>
      </c>
      <c r="F19" s="2" t="s">
        <v>60</v>
      </c>
      <c r="G19" s="2" t="s">
        <v>60</v>
      </c>
      <c r="H19" s="2"/>
      <c r="I19" s="2"/>
      <c r="J19" s="5" t="s">
        <v>79</v>
      </c>
      <c r="K19" s="2"/>
      <c r="L19" s="2"/>
    </row>
    <row r="20" spans="1:12">
      <c r="A20" s="2"/>
      <c r="B20" s="2"/>
      <c r="C20" s="5" t="s">
        <v>77</v>
      </c>
      <c r="D20" s="12">
        <v>7000</v>
      </c>
      <c r="E20" s="12">
        <v>9000</v>
      </c>
      <c r="F20" s="12">
        <v>6000</v>
      </c>
      <c r="G20" s="12">
        <v>8000</v>
      </c>
      <c r="H20" s="2"/>
      <c r="I20" s="2"/>
      <c r="J20" s="11">
        <f>SUMPRODUCT(D5:G7,D12:G14)</f>
        <v>1076000</v>
      </c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1048575" spans="9:9">
      <c r="I1048575" s="1" t="s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C5AA-B377-4F6B-9968-F20C3E019933}">
  <dimension ref="A1:M1048574"/>
  <sheetViews>
    <sheetView workbookViewId="0">
      <selection activeCell="K38" sqref="K38"/>
    </sheetView>
  </sheetViews>
  <sheetFormatPr defaultRowHeight="14.4"/>
  <cols>
    <col min="1" max="1" width="18.109375" style="1" customWidth="1"/>
    <col min="2" max="2" width="8.88671875" style="1"/>
    <col min="3" max="3" width="12.88671875" style="1" customWidth="1"/>
    <col min="4" max="4" width="11.88671875" style="1" customWidth="1"/>
    <col min="5" max="6" width="12.109375" style="1" customWidth="1"/>
    <col min="7" max="7" width="11.88671875" style="1" customWidth="1"/>
    <col min="8" max="8" width="11.21875" style="1" customWidth="1"/>
    <col min="9" max="9" width="13.21875" style="1" customWidth="1"/>
    <col min="10" max="10" width="8.88671875" style="1"/>
    <col min="11" max="11" width="14.109375" style="1" bestFit="1" customWidth="1"/>
    <col min="12" max="13" width="11.33203125" style="1" bestFit="1" customWidth="1"/>
    <col min="14" max="16384" width="8.88671875" style="1"/>
  </cols>
  <sheetData>
    <row r="1" spans="1:13">
      <c r="A1" s="5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5" t="s">
        <v>20</v>
      </c>
      <c r="C3" s="2"/>
      <c r="D3" s="5" t="s">
        <v>63</v>
      </c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5">
        <v>1</v>
      </c>
      <c r="E4" s="5">
        <v>2</v>
      </c>
      <c r="F4" s="5"/>
      <c r="G4" s="5"/>
      <c r="H4" s="5"/>
      <c r="I4" s="2"/>
      <c r="J4" s="2"/>
      <c r="K4" s="2"/>
      <c r="L4" s="2"/>
      <c r="M4" s="2"/>
    </row>
    <row r="5" spans="1:13">
      <c r="A5" s="2"/>
      <c r="B5" s="5" t="s">
        <v>64</v>
      </c>
      <c r="C5" s="5">
        <v>1</v>
      </c>
      <c r="D5" s="31">
        <v>1.08</v>
      </c>
      <c r="E5" s="31">
        <v>1.1000000000000001</v>
      </c>
      <c r="F5" s="30"/>
      <c r="G5" s="30"/>
      <c r="H5" s="30"/>
      <c r="I5" s="2"/>
      <c r="J5" s="2"/>
      <c r="K5" s="2"/>
      <c r="L5" s="2"/>
      <c r="M5" s="2"/>
    </row>
    <row r="6" spans="1:13">
      <c r="A6" s="2"/>
      <c r="B6" s="2"/>
      <c r="C6" s="5">
        <v>2</v>
      </c>
      <c r="D6" s="31">
        <v>1.1100000000000001</v>
      </c>
      <c r="E6" s="31">
        <v>1.1200000000000001</v>
      </c>
      <c r="F6" s="30"/>
      <c r="G6" s="30"/>
      <c r="H6" s="30"/>
      <c r="I6" s="2"/>
      <c r="J6" s="2"/>
      <c r="K6" s="2"/>
      <c r="L6" s="2"/>
      <c r="M6" s="2"/>
    </row>
    <row r="7" spans="1:13">
      <c r="A7" s="2"/>
      <c r="B7" s="2"/>
      <c r="C7" s="5">
        <v>3</v>
      </c>
      <c r="D7" s="31">
        <v>1.1000000000000001</v>
      </c>
      <c r="E7" s="31">
        <v>1.1100000000000001</v>
      </c>
      <c r="F7" s="30"/>
      <c r="G7" s="30"/>
      <c r="H7" s="30"/>
      <c r="I7" s="2"/>
      <c r="J7" s="2"/>
      <c r="K7" s="2"/>
      <c r="L7" s="2"/>
      <c r="M7" s="2"/>
    </row>
    <row r="8" spans="1:13">
      <c r="A8" s="2"/>
      <c r="B8" s="2"/>
      <c r="C8" s="2">
        <v>4</v>
      </c>
      <c r="D8" s="31">
        <v>1.1299999999999999</v>
      </c>
      <c r="E8" s="31">
        <v>1.1499999999999999</v>
      </c>
      <c r="F8" s="30"/>
      <c r="G8" s="30"/>
      <c r="H8" s="30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5" t="s">
        <v>67</v>
      </c>
      <c r="E11" s="5" t="s">
        <v>68</v>
      </c>
      <c r="F11" s="5" t="s">
        <v>71</v>
      </c>
      <c r="G11" s="5" t="s">
        <v>69</v>
      </c>
      <c r="H11" s="5" t="s">
        <v>24</v>
      </c>
      <c r="I11" s="5" t="s">
        <v>62</v>
      </c>
      <c r="K11" s="5" t="s">
        <v>61</v>
      </c>
      <c r="L11" s="2" t="s">
        <v>69</v>
      </c>
      <c r="M11" s="2" t="s">
        <v>70</v>
      </c>
    </row>
    <row r="12" spans="1:13">
      <c r="A12" s="2"/>
      <c r="B12" s="2"/>
      <c r="C12" s="5">
        <v>1</v>
      </c>
      <c r="D12" s="10">
        <v>10</v>
      </c>
      <c r="E12" s="10">
        <v>0</v>
      </c>
      <c r="F12" s="2">
        <f>D12+E12</f>
        <v>10</v>
      </c>
      <c r="G12" s="2">
        <f>D12+E12-I12</f>
        <v>0</v>
      </c>
      <c r="H12" s="3">
        <v>10</v>
      </c>
      <c r="I12" s="2">
        <v>10</v>
      </c>
      <c r="K12" s="3">
        <v>10</v>
      </c>
      <c r="L12" s="2">
        <v>1.4999999999999999E-2</v>
      </c>
      <c r="M12" s="2">
        <f>IF(G12&gt;0,G12*L12,0)</f>
        <v>0</v>
      </c>
    </row>
    <row r="13" spans="1:13">
      <c r="A13" s="2"/>
      <c r="B13" s="2"/>
      <c r="C13" s="5">
        <v>2</v>
      </c>
      <c r="D13" s="10">
        <v>15</v>
      </c>
      <c r="E13" s="10">
        <v>15</v>
      </c>
      <c r="F13" s="2">
        <f>D13+E13+G12</f>
        <v>30</v>
      </c>
      <c r="G13" s="2">
        <f>D13+E13-H13</f>
        <v>15</v>
      </c>
      <c r="H13" s="3">
        <v>15</v>
      </c>
      <c r="I13" s="2">
        <v>25</v>
      </c>
      <c r="K13" s="3">
        <v>15</v>
      </c>
      <c r="L13" s="2">
        <v>1.6E-2</v>
      </c>
      <c r="M13" s="2">
        <f>IF(G13&gt;0,G13*L13,0)</f>
        <v>0.24</v>
      </c>
    </row>
    <row r="14" spans="1:13">
      <c r="A14" s="2"/>
      <c r="B14" s="2"/>
      <c r="C14" s="5">
        <v>3</v>
      </c>
      <c r="D14" s="10">
        <v>25</v>
      </c>
      <c r="E14" s="10">
        <v>10</v>
      </c>
      <c r="F14" s="2">
        <f>D14+E14+G13</f>
        <v>50</v>
      </c>
      <c r="G14" s="2">
        <f>D14+E14-H14</f>
        <v>10</v>
      </c>
      <c r="H14" s="3">
        <v>25</v>
      </c>
      <c r="I14" s="2">
        <v>50</v>
      </c>
      <c r="K14" s="3">
        <v>10</v>
      </c>
      <c r="L14" s="2">
        <v>1.7000000000000001E-2</v>
      </c>
      <c r="M14" s="2">
        <f t="shared" ref="M14" si="0">IF(G14&gt;0,G14*L14,0)</f>
        <v>0.17</v>
      </c>
    </row>
    <row r="15" spans="1:13">
      <c r="A15" s="2"/>
      <c r="B15" s="2"/>
      <c r="C15" s="5">
        <v>4</v>
      </c>
      <c r="D15" s="10">
        <v>5</v>
      </c>
      <c r="E15" s="10">
        <v>10</v>
      </c>
      <c r="F15" s="2">
        <f>D15+E15+G14</f>
        <v>25</v>
      </c>
      <c r="G15" s="2">
        <f>D15+E15-H15</f>
        <v>-5</v>
      </c>
      <c r="H15" s="3">
        <v>20</v>
      </c>
      <c r="I15" s="2">
        <v>75</v>
      </c>
      <c r="K15" s="3">
        <v>10</v>
      </c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5" t="s">
        <v>10</v>
      </c>
      <c r="L18" s="2" t="s">
        <v>70</v>
      </c>
      <c r="M18" s="2" t="s">
        <v>10</v>
      </c>
    </row>
    <row r="19" spans="1:13">
      <c r="A19" s="2"/>
      <c r="B19" s="2"/>
      <c r="C19" s="5"/>
      <c r="D19" s="2"/>
      <c r="E19" s="2"/>
      <c r="F19" s="2"/>
      <c r="G19" s="2"/>
      <c r="H19" s="2"/>
      <c r="I19" s="2"/>
      <c r="J19" s="2"/>
      <c r="K19" s="33">
        <f>SUMPRODUCT(D5:E8,D12:E15)</f>
        <v>100</v>
      </c>
      <c r="L19" s="32">
        <f>SUM(M12:M14)</f>
        <v>0.41000000000000003</v>
      </c>
      <c r="M19" s="32">
        <f>K19+L19</f>
        <v>100.41</v>
      </c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3" spans="1:13">
      <c r="C23" s="1" t="s">
        <v>20</v>
      </c>
      <c r="E23" s="1">
        <v>1</v>
      </c>
      <c r="F23" s="1">
        <v>2</v>
      </c>
      <c r="G23" s="1">
        <v>3</v>
      </c>
      <c r="H23" s="1">
        <v>4</v>
      </c>
    </row>
    <row r="24" spans="1:13">
      <c r="D24" s="1">
        <v>1</v>
      </c>
      <c r="E24" s="34">
        <v>1.08</v>
      </c>
      <c r="F24" s="34">
        <f>E24+0.015*E23</f>
        <v>1.095</v>
      </c>
      <c r="G24" s="34">
        <f>E24+0.015*F23</f>
        <v>1.1100000000000001</v>
      </c>
      <c r="H24" s="34">
        <f>E24+0.015*G23</f>
        <v>1.125</v>
      </c>
    </row>
    <row r="25" spans="1:13">
      <c r="D25" s="1">
        <v>2</v>
      </c>
      <c r="F25" s="34">
        <v>1.08</v>
      </c>
      <c r="G25" s="34">
        <v>1.095</v>
      </c>
      <c r="H25" s="34">
        <v>1.1100000000000001</v>
      </c>
    </row>
    <row r="26" spans="1:13">
      <c r="D26" s="1">
        <v>3</v>
      </c>
      <c r="G26" s="34">
        <v>1.08</v>
      </c>
      <c r="H26" s="34">
        <v>1.095</v>
      </c>
    </row>
    <row r="27" spans="1:13">
      <c r="D27" s="1">
        <v>4</v>
      </c>
      <c r="H27" s="34">
        <v>1.08</v>
      </c>
    </row>
    <row r="31" spans="1:13">
      <c r="E31" s="1">
        <v>1</v>
      </c>
      <c r="F31" s="1">
        <v>2</v>
      </c>
      <c r="G31" s="1">
        <v>3</v>
      </c>
      <c r="H31" s="1">
        <v>4</v>
      </c>
      <c r="I31" s="1" t="s">
        <v>73</v>
      </c>
      <c r="J31" s="5" t="s">
        <v>61</v>
      </c>
      <c r="K31" s="1" t="s">
        <v>72</v>
      </c>
      <c r="L31" s="2" t="s">
        <v>70</v>
      </c>
      <c r="M31" s="1" t="s">
        <v>69</v>
      </c>
    </row>
    <row r="32" spans="1:13">
      <c r="D32" s="1">
        <v>1</v>
      </c>
      <c r="E32" s="35">
        <v>10</v>
      </c>
      <c r="F32" s="35"/>
      <c r="G32" s="35"/>
      <c r="H32" s="35"/>
      <c r="I32" s="1">
        <f>ABS(SUM(E32:H32)-J32)</f>
        <v>20</v>
      </c>
      <c r="J32" s="3">
        <v>30</v>
      </c>
      <c r="K32" s="1">
        <f>(E32+F33+G34+H35)*E24</f>
        <v>75.600000000000009</v>
      </c>
      <c r="L32" s="1">
        <f>IF(M32&gt;0,M32*0.015,0)</f>
        <v>0</v>
      </c>
      <c r="M32" s="1">
        <f>(E32-E38)</f>
        <v>0</v>
      </c>
    </row>
    <row r="33" spans="4:13">
      <c r="D33" s="1">
        <v>2</v>
      </c>
      <c r="F33" s="35">
        <v>20</v>
      </c>
      <c r="G33" s="35"/>
      <c r="H33" s="35"/>
      <c r="J33" s="3">
        <v>45</v>
      </c>
      <c r="L33" s="1">
        <f t="shared" ref="L33:L34" si="1">IF(M33&gt;0,M33*0.015,0)</f>
        <v>0.15</v>
      </c>
      <c r="M33" s="1">
        <f>(F33-F38)*2</f>
        <v>10</v>
      </c>
    </row>
    <row r="34" spans="4:13">
      <c r="D34" s="1">
        <v>3</v>
      </c>
      <c r="G34" s="35">
        <v>30</v>
      </c>
      <c r="H34" s="35"/>
      <c r="J34" s="3">
        <v>35</v>
      </c>
      <c r="L34" s="1">
        <f t="shared" si="1"/>
        <v>7.4999999999999997E-2</v>
      </c>
      <c r="M34" s="1">
        <f>(G34-G38)*1</f>
        <v>5</v>
      </c>
    </row>
    <row r="35" spans="4:13">
      <c r="D35" s="1">
        <v>4</v>
      </c>
      <c r="H35" s="35">
        <v>10</v>
      </c>
      <c r="J35" s="3">
        <v>15</v>
      </c>
    </row>
    <row r="37" spans="4:13">
      <c r="K37" s="1" t="s">
        <v>10</v>
      </c>
    </row>
    <row r="38" spans="4:13">
      <c r="D38" s="5" t="s">
        <v>24</v>
      </c>
      <c r="E38" s="3">
        <v>10</v>
      </c>
      <c r="F38" s="3">
        <v>15</v>
      </c>
      <c r="G38" s="3">
        <v>25</v>
      </c>
      <c r="H38" s="3">
        <v>20</v>
      </c>
      <c r="K38" s="1">
        <f>K32+SUM(L32:L34)</f>
        <v>75.825000000000003</v>
      </c>
    </row>
    <row r="1048574" spans="10:10">
      <c r="J1048574" s="1" t="s">
        <v>7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7CC7-1B69-43B7-8430-A4291FBDCC27}">
  <dimension ref="A1:L1048573"/>
  <sheetViews>
    <sheetView workbookViewId="0">
      <selection activeCell="P21" sqref="P21"/>
    </sheetView>
  </sheetViews>
  <sheetFormatPr defaultRowHeight="14.4"/>
  <cols>
    <col min="1" max="1" width="18.109375" style="1" customWidth="1"/>
    <col min="2" max="2" width="8.88671875" style="1"/>
    <col min="3" max="3" width="12.88671875" style="1" customWidth="1"/>
    <col min="4" max="4" width="11.88671875" style="1" customWidth="1"/>
    <col min="5" max="5" width="12.109375" style="1" customWidth="1"/>
    <col min="6" max="6" width="11.88671875" style="1" customWidth="1"/>
    <col min="7" max="7" width="11.21875" style="1" customWidth="1"/>
    <col min="8" max="8" width="13.21875" style="1" customWidth="1"/>
    <col min="9" max="9" width="8.88671875" style="1"/>
    <col min="10" max="10" width="9.33203125" style="1" bestFit="1" customWidth="1"/>
    <col min="11" max="16384" width="8.88671875" style="1"/>
  </cols>
  <sheetData>
    <row r="1" spans="1:12">
      <c r="A1" s="5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5" t="s">
        <v>20</v>
      </c>
      <c r="C3" s="2"/>
      <c r="D3" s="5" t="s">
        <v>63</v>
      </c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5">
        <v>1</v>
      </c>
      <c r="E4" s="5">
        <v>2</v>
      </c>
      <c r="F4" s="5">
        <v>3</v>
      </c>
      <c r="G4" s="5">
        <v>4</v>
      </c>
      <c r="H4" s="2"/>
      <c r="I4" s="2"/>
      <c r="J4" s="2"/>
      <c r="K4" s="2"/>
      <c r="L4" s="2"/>
    </row>
    <row r="5" spans="1:12">
      <c r="A5" s="2"/>
      <c r="B5" s="5" t="s">
        <v>64</v>
      </c>
      <c r="C5" s="5">
        <v>1</v>
      </c>
      <c r="D5" s="9">
        <v>820</v>
      </c>
      <c r="E5" s="9">
        <v>810</v>
      </c>
      <c r="F5" s="9">
        <v>840</v>
      </c>
      <c r="G5" s="9">
        <v>960</v>
      </c>
      <c r="H5" s="2"/>
      <c r="I5" s="2"/>
      <c r="J5" s="2"/>
      <c r="K5" s="2"/>
      <c r="L5" s="2"/>
    </row>
    <row r="6" spans="1:12">
      <c r="A6" s="2"/>
      <c r="B6" s="2"/>
      <c r="C6" s="5">
        <v>2</v>
      </c>
      <c r="D6" s="9">
        <v>800</v>
      </c>
      <c r="E6" s="9">
        <v>870</v>
      </c>
      <c r="F6" s="9">
        <v>0</v>
      </c>
      <c r="G6" s="9">
        <v>920</v>
      </c>
      <c r="H6" s="2"/>
      <c r="I6" s="2"/>
      <c r="J6" s="2"/>
      <c r="K6" s="2"/>
      <c r="L6" s="2"/>
    </row>
    <row r="7" spans="1:12">
      <c r="A7" s="2"/>
      <c r="B7" s="2"/>
      <c r="C7" s="5">
        <v>3</v>
      </c>
      <c r="D7" s="9">
        <v>740</v>
      </c>
      <c r="E7" s="9">
        <v>900</v>
      </c>
      <c r="F7" s="9">
        <v>810</v>
      </c>
      <c r="G7" s="9">
        <v>840</v>
      </c>
      <c r="H7" s="2"/>
      <c r="I7" s="2"/>
      <c r="J7" s="2"/>
      <c r="K7" s="2"/>
      <c r="L7" s="2"/>
    </row>
    <row r="8" spans="1:12">
      <c r="A8" s="2"/>
      <c r="B8" s="2"/>
      <c r="C8" s="2"/>
      <c r="D8" s="30"/>
      <c r="E8" s="30"/>
      <c r="F8" s="30"/>
      <c r="G8" s="30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5">
        <v>1</v>
      </c>
      <c r="E11" s="5">
        <v>2</v>
      </c>
      <c r="F11" s="5">
        <v>3</v>
      </c>
      <c r="G11" s="5">
        <v>4</v>
      </c>
      <c r="H11" s="5" t="s">
        <v>65</v>
      </c>
      <c r="I11" s="2"/>
      <c r="J11" s="5" t="s">
        <v>61</v>
      </c>
      <c r="K11" s="2"/>
      <c r="L11" s="2"/>
    </row>
    <row r="12" spans="1:12">
      <c r="A12" s="2"/>
      <c r="B12" s="2"/>
      <c r="C12" s="5">
        <v>1</v>
      </c>
      <c r="D12" s="10">
        <v>0</v>
      </c>
      <c r="E12" s="10">
        <v>1</v>
      </c>
      <c r="F12" s="10">
        <v>1</v>
      </c>
      <c r="G12" s="10">
        <v>0</v>
      </c>
      <c r="H12" s="2">
        <f>SUM(D12:G12)</f>
        <v>2</v>
      </c>
      <c r="I12" s="2" t="s">
        <v>60</v>
      </c>
      <c r="J12" s="12">
        <v>2</v>
      </c>
      <c r="K12" s="2"/>
      <c r="L12" s="2"/>
    </row>
    <row r="13" spans="1:12">
      <c r="A13" s="2"/>
      <c r="B13" s="2"/>
      <c r="C13" s="5">
        <v>2</v>
      </c>
      <c r="D13" s="10">
        <v>1</v>
      </c>
      <c r="E13" s="10">
        <v>0</v>
      </c>
      <c r="F13" s="10">
        <v>0</v>
      </c>
      <c r="G13" s="10">
        <v>0</v>
      </c>
      <c r="H13" s="2">
        <f t="shared" ref="H13:H14" si="0">SUM(D13:G13)</f>
        <v>1</v>
      </c>
      <c r="I13" s="2" t="s">
        <v>60</v>
      </c>
      <c r="J13" s="12">
        <v>2</v>
      </c>
      <c r="K13" s="2"/>
      <c r="L13" s="2"/>
    </row>
    <row r="14" spans="1:12">
      <c r="A14" s="2"/>
      <c r="B14" s="2"/>
      <c r="C14" s="5">
        <v>3</v>
      </c>
      <c r="D14" s="10">
        <v>0</v>
      </c>
      <c r="E14" s="10">
        <v>0</v>
      </c>
      <c r="F14" s="10">
        <v>0</v>
      </c>
      <c r="G14" s="10">
        <v>1</v>
      </c>
      <c r="H14" s="2">
        <f t="shared" si="0"/>
        <v>1</v>
      </c>
      <c r="I14" s="2" t="s">
        <v>60</v>
      </c>
      <c r="J14" s="12">
        <v>1</v>
      </c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5" t="s">
        <v>25</v>
      </c>
      <c r="D16" s="2">
        <f>SUM(D12:D14)</f>
        <v>1</v>
      </c>
      <c r="E16" s="2">
        <f t="shared" ref="E16:G16" si="1">SUM(E12:E14)</f>
        <v>1</v>
      </c>
      <c r="F16" s="2">
        <f t="shared" si="1"/>
        <v>1</v>
      </c>
      <c r="G16" s="2">
        <f t="shared" si="1"/>
        <v>1</v>
      </c>
      <c r="H16" s="2"/>
      <c r="I16" s="2"/>
      <c r="J16" s="2"/>
      <c r="K16" s="2"/>
      <c r="L16" s="2"/>
    </row>
    <row r="17" spans="1:12">
      <c r="A17" s="2"/>
      <c r="B17" s="2"/>
      <c r="C17" s="2"/>
      <c r="D17" s="2" t="s">
        <v>7</v>
      </c>
      <c r="E17" s="2" t="s">
        <v>7</v>
      </c>
      <c r="F17" s="2" t="s">
        <v>7</v>
      </c>
      <c r="G17" s="2" t="s">
        <v>7</v>
      </c>
      <c r="H17" s="2"/>
      <c r="I17" s="2"/>
      <c r="J17" s="5" t="s">
        <v>10</v>
      </c>
      <c r="K17" s="2"/>
      <c r="L17" s="2"/>
    </row>
    <row r="18" spans="1:12">
      <c r="A18" s="2"/>
      <c r="B18" s="2"/>
      <c r="C18" s="5" t="s">
        <v>62</v>
      </c>
      <c r="D18" s="12">
        <v>1</v>
      </c>
      <c r="E18" s="12">
        <v>1</v>
      </c>
      <c r="F18" s="12">
        <v>1</v>
      </c>
      <c r="G18" s="12">
        <v>1</v>
      </c>
      <c r="H18" s="2"/>
      <c r="I18" s="2"/>
      <c r="J18" s="11">
        <f>SUMPRODUCT(D5:G7,D12:G14)</f>
        <v>3290</v>
      </c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1048573" spans="9:9">
      <c r="I1048573" s="1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4913-2356-49B8-A852-4580BDDA34F1}">
  <dimension ref="A1:L1048573"/>
  <sheetViews>
    <sheetView workbookViewId="0">
      <selection activeCell="G29" sqref="G29"/>
    </sheetView>
  </sheetViews>
  <sheetFormatPr defaultRowHeight="14.4"/>
  <cols>
    <col min="1" max="1" width="18.109375" style="1" customWidth="1"/>
    <col min="2" max="2" width="8.88671875" style="1"/>
    <col min="3" max="3" width="12.88671875" style="1" customWidth="1"/>
    <col min="4" max="4" width="11.88671875" style="1" customWidth="1"/>
    <col min="5" max="5" width="12.109375" style="1" customWidth="1"/>
    <col min="6" max="6" width="11.88671875" style="1" customWidth="1"/>
    <col min="7" max="7" width="11.21875" style="1" customWidth="1"/>
    <col min="8" max="8" width="13.21875" style="1" customWidth="1"/>
    <col min="9" max="9" width="8.88671875" style="1"/>
    <col min="10" max="10" width="9.33203125" style="1" bestFit="1" customWidth="1"/>
    <col min="11" max="16384" width="8.88671875" style="1"/>
  </cols>
  <sheetData>
    <row r="1" spans="1:12">
      <c r="A1" s="5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5" t="s">
        <v>20</v>
      </c>
      <c r="C3" s="2"/>
      <c r="D3" s="5" t="s">
        <v>63</v>
      </c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5">
        <v>1</v>
      </c>
      <c r="E4" s="5">
        <v>2</v>
      </c>
      <c r="F4" s="5">
        <v>3</v>
      </c>
      <c r="G4" s="5">
        <v>4</v>
      </c>
      <c r="H4" s="2"/>
      <c r="I4" s="2"/>
      <c r="J4" s="2"/>
      <c r="K4" s="2"/>
      <c r="L4" s="2"/>
    </row>
    <row r="5" spans="1:12">
      <c r="A5" s="2"/>
      <c r="B5" s="5" t="s">
        <v>64</v>
      </c>
      <c r="C5" s="5">
        <v>1</v>
      </c>
      <c r="D5" s="9">
        <v>41</v>
      </c>
      <c r="E5" s="9">
        <v>27</v>
      </c>
      <c r="F5" s="9">
        <v>28</v>
      </c>
      <c r="G5" s="9">
        <v>24</v>
      </c>
      <c r="H5" s="2"/>
      <c r="I5" s="2"/>
      <c r="J5" s="2"/>
      <c r="K5" s="2"/>
      <c r="L5" s="2"/>
    </row>
    <row r="6" spans="1:12">
      <c r="A6" s="2"/>
      <c r="B6" s="2"/>
      <c r="C6" s="5">
        <v>2</v>
      </c>
      <c r="D6" s="9">
        <v>40</v>
      </c>
      <c r="E6" s="9">
        <v>29</v>
      </c>
      <c r="F6" s="9">
        <v>0</v>
      </c>
      <c r="G6" s="9">
        <v>23</v>
      </c>
      <c r="H6" s="2"/>
      <c r="I6" s="2"/>
      <c r="J6" s="2"/>
      <c r="K6" s="2"/>
      <c r="L6" s="2"/>
    </row>
    <row r="7" spans="1:12">
      <c r="A7" s="2"/>
      <c r="B7" s="2"/>
      <c r="C7" s="5">
        <v>3</v>
      </c>
      <c r="D7" s="9">
        <v>37</v>
      </c>
      <c r="E7" s="9">
        <v>30</v>
      </c>
      <c r="F7" s="9">
        <v>27</v>
      </c>
      <c r="G7" s="9">
        <v>21</v>
      </c>
      <c r="H7" s="2"/>
      <c r="I7" s="2"/>
      <c r="J7" s="2"/>
      <c r="K7" s="2"/>
      <c r="L7" s="2"/>
    </row>
    <row r="8" spans="1:12">
      <c r="A8" s="2"/>
      <c r="B8" s="2"/>
      <c r="C8" s="2"/>
      <c r="D8" s="30"/>
      <c r="E8" s="30"/>
      <c r="F8" s="30"/>
      <c r="G8" s="30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5">
        <v>1</v>
      </c>
      <c r="E11" s="5">
        <v>2</v>
      </c>
      <c r="F11" s="5">
        <v>3</v>
      </c>
      <c r="G11" s="5">
        <v>4</v>
      </c>
      <c r="H11" s="5" t="s">
        <v>65</v>
      </c>
      <c r="I11" s="2"/>
      <c r="J11" s="5" t="s">
        <v>61</v>
      </c>
      <c r="K11" s="2"/>
      <c r="L11" s="2"/>
    </row>
    <row r="12" spans="1:12">
      <c r="A12" s="2"/>
      <c r="B12" s="2"/>
      <c r="C12" s="5">
        <v>1</v>
      </c>
      <c r="D12" s="10">
        <v>0</v>
      </c>
      <c r="E12" s="10">
        <v>30</v>
      </c>
      <c r="F12" s="10">
        <v>30</v>
      </c>
      <c r="G12" s="10">
        <v>0</v>
      </c>
      <c r="H12" s="2">
        <f>SUM(D12:G12)</f>
        <v>60</v>
      </c>
      <c r="I12" s="2" t="s">
        <v>60</v>
      </c>
      <c r="J12" s="12">
        <v>75</v>
      </c>
      <c r="K12" s="2"/>
      <c r="L12" s="2"/>
    </row>
    <row r="13" spans="1:12">
      <c r="A13" s="2"/>
      <c r="B13" s="2"/>
      <c r="C13" s="5">
        <v>2</v>
      </c>
      <c r="D13" s="10">
        <v>0</v>
      </c>
      <c r="E13" s="10">
        <v>0</v>
      </c>
      <c r="F13" s="10">
        <v>0</v>
      </c>
      <c r="G13" s="10">
        <v>15</v>
      </c>
      <c r="H13" s="2">
        <f t="shared" ref="H13:H14" si="0">SUM(D13:G13)</f>
        <v>15</v>
      </c>
      <c r="I13" s="2" t="s">
        <v>60</v>
      </c>
      <c r="J13" s="12">
        <v>75</v>
      </c>
      <c r="K13" s="2"/>
      <c r="L13" s="2"/>
    </row>
    <row r="14" spans="1:12">
      <c r="A14" s="2"/>
      <c r="B14" s="2"/>
      <c r="C14" s="5">
        <v>3</v>
      </c>
      <c r="D14" s="10">
        <v>20</v>
      </c>
      <c r="E14" s="10">
        <v>0</v>
      </c>
      <c r="F14" s="10">
        <v>0</v>
      </c>
      <c r="G14" s="10">
        <v>25</v>
      </c>
      <c r="H14" s="2">
        <f t="shared" si="0"/>
        <v>45</v>
      </c>
      <c r="I14" s="2" t="s">
        <v>60</v>
      </c>
      <c r="J14" s="12">
        <v>45</v>
      </c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5" t="s">
        <v>25</v>
      </c>
      <c r="D16" s="2">
        <f>SUM(D12:D14)</f>
        <v>20</v>
      </c>
      <c r="E16" s="2">
        <f t="shared" ref="E16:G16" si="1">SUM(E12:E14)</f>
        <v>30</v>
      </c>
      <c r="F16" s="2">
        <f t="shared" si="1"/>
        <v>30</v>
      </c>
      <c r="G16" s="2">
        <f t="shared" si="1"/>
        <v>40</v>
      </c>
      <c r="H16" s="2"/>
      <c r="I16" s="2"/>
      <c r="J16" s="2"/>
      <c r="K16" s="2"/>
      <c r="L16" s="2"/>
    </row>
    <row r="17" spans="1:12">
      <c r="A17" s="2"/>
      <c r="B17" s="2"/>
      <c r="C17" s="2"/>
      <c r="D17" s="2" t="s">
        <v>7</v>
      </c>
      <c r="E17" s="2" t="s">
        <v>7</v>
      </c>
      <c r="F17" s="2" t="s">
        <v>7</v>
      </c>
      <c r="G17" s="2" t="s">
        <v>7</v>
      </c>
      <c r="H17" s="2"/>
      <c r="I17" s="2"/>
      <c r="J17" s="5" t="s">
        <v>10</v>
      </c>
      <c r="K17" s="2"/>
      <c r="L17" s="2"/>
    </row>
    <row r="18" spans="1:12">
      <c r="A18" s="2"/>
      <c r="B18" s="2"/>
      <c r="C18" s="5" t="s">
        <v>62</v>
      </c>
      <c r="D18" s="12">
        <v>20</v>
      </c>
      <c r="E18" s="12">
        <v>30</v>
      </c>
      <c r="F18" s="12">
        <v>30</v>
      </c>
      <c r="G18" s="12">
        <v>40</v>
      </c>
      <c r="H18" s="2"/>
      <c r="I18" s="2"/>
      <c r="J18" s="11">
        <f>SUMPRODUCT(D5:G7,D12:G14)</f>
        <v>3260</v>
      </c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1048573" spans="9:9">
      <c r="I1048573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Quantity Discounts</vt:lpstr>
      <vt:lpstr>5.4</vt:lpstr>
      <vt:lpstr>5.2</vt:lpstr>
      <vt:lpstr>5.3</vt:lpstr>
      <vt:lpstr>5.1</vt:lpstr>
      <vt:lpstr>Nifty B3</vt:lpstr>
      <vt:lpstr>Better Product (3)</vt:lpstr>
      <vt:lpstr>Better Product (2)</vt:lpstr>
      <vt:lpstr>Better Product</vt:lpstr>
      <vt:lpstr>P&amp;T Transportation Problem</vt:lpstr>
      <vt:lpstr>Pharma</vt:lpstr>
      <vt:lpstr>TEXAGO CORP</vt:lpstr>
      <vt:lpstr>AnnualHoldingCost</vt:lpstr>
      <vt:lpstr>AnnualPurchaseCost</vt:lpstr>
      <vt:lpstr>AnnualSetupCost</vt:lpstr>
      <vt:lpstr>Category</vt:lpstr>
      <vt:lpstr>D</vt:lpstr>
      <vt:lpstr>EOQ</vt:lpstr>
      <vt:lpstr>I</vt:lpstr>
      <vt:lpstr>K</vt:lpstr>
      <vt:lpstr>LowerLimit</vt:lpstr>
      <vt:lpstr>N</vt:lpstr>
      <vt:lpstr>OptimalQ</vt:lpstr>
      <vt:lpstr>OptimalTotalVariableCost</vt:lpstr>
      <vt:lpstr>Price</vt:lpstr>
      <vt:lpstr>Q</vt:lpstr>
      <vt:lpstr>TotalVariableCost</vt:lpstr>
      <vt:lpstr>UpperLimit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2023-04-11T00:59:08Z</dcterms:created>
  <dcterms:modified xsi:type="dcterms:W3CDTF">2023-07-16T11:20:48Z</dcterms:modified>
</cp:coreProperties>
</file>