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D:\rpa\finalproject\uipath\Data\"/>
    </mc:Choice>
  </mc:AlternateContent>
  <xr:revisionPtr revIDLastSave="0" documentId="13_ncr:1_{DCF8AEAE-B42B-4176-B05C-4743FE1385C0}" xr6:coauthVersionLast="47" xr6:coauthVersionMax="47" xr10:uidLastSave="{00000000-0000-0000-0000-000000000000}"/>
  <bookViews>
    <workbookView xWindow="1464" yWindow="1464" windowWidth="21192" windowHeight="10596" xr2:uid="{00000000-000D-0000-FFFF-FFFF00000000}"/>
  </bookViews>
  <sheets>
    <sheet name="Sheet1" sheetId="1" r:id="rId1"/>
    <sheet name="Sheet2" sheetId="2" r:id="rId2"/>
  </sheets>
  <calcPr calcId="181029"/>
</workbook>
</file>

<file path=xl/calcChain.xml><?xml version="1.0" encoding="utf-8"?>
<calcChain xmlns="http://schemas.openxmlformats.org/spreadsheetml/2006/main">
  <c r="U503" i="2" l="1"/>
  <c r="T503" i="2"/>
  <c r="S503" i="2"/>
  <c r="R503" i="2"/>
  <c r="Q503" i="2"/>
  <c r="P503" i="2"/>
  <c r="L503" i="2"/>
  <c r="K503" i="2"/>
  <c r="J503" i="2"/>
  <c r="I503" i="2"/>
  <c r="H503" i="2"/>
  <c r="G503" i="2"/>
  <c r="F503" i="2"/>
  <c r="E503" i="2"/>
  <c r="D503" i="2"/>
  <c r="C503" i="2"/>
  <c r="B503" i="2"/>
  <c r="A503" i="2"/>
  <c r="U502" i="2"/>
  <c r="T502" i="2"/>
  <c r="S502" i="2"/>
  <c r="R502" i="2"/>
  <c r="Q502" i="2"/>
  <c r="P502" i="2"/>
  <c r="L502" i="2"/>
  <c r="K502" i="2"/>
  <c r="J502" i="2"/>
  <c r="I502" i="2"/>
  <c r="H502" i="2"/>
  <c r="G502" i="2"/>
  <c r="F502" i="2"/>
  <c r="E502" i="2"/>
  <c r="D502" i="2"/>
  <c r="C502" i="2"/>
  <c r="B502" i="2"/>
  <c r="A502" i="2"/>
  <c r="U501" i="2"/>
  <c r="T501" i="2"/>
  <c r="S501" i="2"/>
  <c r="R501" i="2"/>
  <c r="Q501" i="2"/>
  <c r="P501" i="2"/>
  <c r="L501" i="2"/>
  <c r="K501" i="2"/>
  <c r="J501" i="2"/>
  <c r="I501" i="2"/>
  <c r="H501" i="2"/>
  <c r="G501" i="2"/>
  <c r="F501" i="2"/>
  <c r="E501" i="2"/>
  <c r="D501" i="2"/>
  <c r="C501" i="2"/>
  <c r="B501" i="2"/>
  <c r="A501" i="2"/>
  <c r="U500" i="2"/>
  <c r="T500" i="2"/>
  <c r="S500" i="2"/>
  <c r="R500" i="2"/>
  <c r="Q500" i="2"/>
  <c r="P500" i="2"/>
  <c r="L500" i="2"/>
  <c r="K500" i="2"/>
  <c r="J500" i="2"/>
  <c r="I500" i="2"/>
  <c r="H500" i="2"/>
  <c r="G500" i="2"/>
  <c r="F500" i="2"/>
  <c r="E500" i="2"/>
  <c r="D500" i="2"/>
  <c r="C500" i="2"/>
  <c r="B500" i="2"/>
  <c r="A500" i="2"/>
  <c r="U499" i="2"/>
  <c r="T499" i="2"/>
  <c r="S499" i="2"/>
  <c r="R499" i="2"/>
  <c r="Q499" i="2"/>
  <c r="P499" i="2"/>
  <c r="L499" i="2"/>
  <c r="K499" i="2"/>
  <c r="J499" i="2"/>
  <c r="I499" i="2"/>
  <c r="H499" i="2"/>
  <c r="G499" i="2"/>
  <c r="F499" i="2"/>
  <c r="E499" i="2"/>
  <c r="D499" i="2"/>
  <c r="C499" i="2"/>
  <c r="B499" i="2"/>
  <c r="A499" i="2"/>
  <c r="U498" i="2"/>
  <c r="T498" i="2"/>
  <c r="S498" i="2"/>
  <c r="R498" i="2"/>
  <c r="Q498" i="2"/>
  <c r="P498" i="2"/>
  <c r="L498" i="2"/>
  <c r="K498" i="2"/>
  <c r="J498" i="2"/>
  <c r="I498" i="2"/>
  <c r="H498" i="2"/>
  <c r="G498" i="2"/>
  <c r="F498" i="2"/>
  <c r="E498" i="2"/>
  <c r="D498" i="2"/>
  <c r="C498" i="2"/>
  <c r="B498" i="2"/>
  <c r="A498" i="2"/>
  <c r="U497" i="2"/>
  <c r="T497" i="2"/>
  <c r="S497" i="2"/>
  <c r="R497" i="2"/>
  <c r="Q497" i="2"/>
  <c r="P497" i="2"/>
  <c r="L497" i="2"/>
  <c r="K497" i="2"/>
  <c r="J497" i="2"/>
  <c r="I497" i="2"/>
  <c r="H497" i="2"/>
  <c r="G497" i="2"/>
  <c r="F497" i="2"/>
  <c r="E497" i="2"/>
  <c r="D497" i="2"/>
  <c r="C497" i="2"/>
  <c r="B497" i="2"/>
  <c r="A497" i="2"/>
  <c r="U496" i="2"/>
  <c r="T496" i="2"/>
  <c r="S496" i="2"/>
  <c r="R496" i="2"/>
  <c r="Q496" i="2"/>
  <c r="P496" i="2"/>
  <c r="L496" i="2"/>
  <c r="K496" i="2"/>
  <c r="J496" i="2"/>
  <c r="I496" i="2"/>
  <c r="H496" i="2"/>
  <c r="G496" i="2"/>
  <c r="F496" i="2"/>
  <c r="E496" i="2"/>
  <c r="D496" i="2"/>
  <c r="C496" i="2"/>
  <c r="B496" i="2"/>
  <c r="A496" i="2"/>
  <c r="U495" i="2"/>
  <c r="T495" i="2"/>
  <c r="S495" i="2"/>
  <c r="R495" i="2"/>
  <c r="Q495" i="2"/>
  <c r="P495" i="2"/>
  <c r="L495" i="2"/>
  <c r="K495" i="2"/>
  <c r="J495" i="2"/>
  <c r="I495" i="2"/>
  <c r="H495" i="2"/>
  <c r="G495" i="2"/>
  <c r="F495" i="2"/>
  <c r="E495" i="2"/>
  <c r="D495" i="2"/>
  <c r="C495" i="2"/>
  <c r="B495" i="2"/>
  <c r="A495" i="2"/>
  <c r="U494" i="2"/>
  <c r="T494" i="2"/>
  <c r="S494" i="2"/>
  <c r="R494" i="2"/>
  <c r="Q494" i="2"/>
  <c r="P494" i="2"/>
  <c r="L494" i="2"/>
  <c r="K494" i="2"/>
  <c r="J494" i="2"/>
  <c r="I494" i="2"/>
  <c r="H494" i="2"/>
  <c r="G494" i="2"/>
  <c r="F494" i="2"/>
  <c r="E494" i="2"/>
  <c r="D494" i="2"/>
  <c r="C494" i="2"/>
  <c r="B494" i="2"/>
  <c r="A494" i="2"/>
  <c r="U493" i="2"/>
  <c r="T493" i="2"/>
  <c r="S493" i="2"/>
  <c r="R493" i="2"/>
  <c r="Q493" i="2"/>
  <c r="P493" i="2"/>
  <c r="L493" i="2"/>
  <c r="K493" i="2"/>
  <c r="J493" i="2"/>
  <c r="I493" i="2"/>
  <c r="H493" i="2"/>
  <c r="G493" i="2"/>
  <c r="F493" i="2"/>
  <c r="E493" i="2"/>
  <c r="D493" i="2"/>
  <c r="C493" i="2"/>
  <c r="B493" i="2"/>
  <c r="A493" i="2"/>
  <c r="U492" i="2"/>
  <c r="T492" i="2"/>
  <c r="S492" i="2"/>
  <c r="R492" i="2"/>
  <c r="Q492" i="2"/>
  <c r="P492" i="2"/>
  <c r="L492" i="2"/>
  <c r="K492" i="2"/>
  <c r="J492" i="2"/>
  <c r="I492" i="2"/>
  <c r="H492" i="2"/>
  <c r="G492" i="2"/>
  <c r="F492" i="2"/>
  <c r="E492" i="2"/>
  <c r="D492" i="2"/>
  <c r="C492" i="2"/>
  <c r="B492" i="2"/>
  <c r="A492" i="2"/>
  <c r="U491" i="2"/>
  <c r="T491" i="2"/>
  <c r="S491" i="2"/>
  <c r="R491" i="2"/>
  <c r="Q491" i="2"/>
  <c r="P491" i="2"/>
  <c r="L491" i="2"/>
  <c r="K491" i="2"/>
  <c r="J491" i="2"/>
  <c r="I491" i="2"/>
  <c r="H491" i="2"/>
  <c r="G491" i="2"/>
  <c r="F491" i="2"/>
  <c r="E491" i="2"/>
  <c r="D491" i="2"/>
  <c r="C491" i="2"/>
  <c r="B491" i="2"/>
  <c r="A491" i="2"/>
  <c r="U490" i="2"/>
  <c r="T490" i="2"/>
  <c r="S490" i="2"/>
  <c r="R490" i="2"/>
  <c r="Q490" i="2"/>
  <c r="P490" i="2"/>
  <c r="L490" i="2"/>
  <c r="K490" i="2"/>
  <c r="J490" i="2"/>
  <c r="I490" i="2"/>
  <c r="H490" i="2"/>
  <c r="G490" i="2"/>
  <c r="F490" i="2"/>
  <c r="E490" i="2"/>
  <c r="D490" i="2"/>
  <c r="C490" i="2"/>
  <c r="B490" i="2"/>
  <c r="A490" i="2"/>
  <c r="U489" i="2"/>
  <c r="T489" i="2"/>
  <c r="S489" i="2"/>
  <c r="R489" i="2"/>
  <c r="Q489" i="2"/>
  <c r="P489" i="2"/>
  <c r="L489" i="2"/>
  <c r="K489" i="2"/>
  <c r="J489" i="2"/>
  <c r="I489" i="2"/>
  <c r="H489" i="2"/>
  <c r="G489" i="2"/>
  <c r="F489" i="2"/>
  <c r="E489" i="2"/>
  <c r="D489" i="2"/>
  <c r="C489" i="2"/>
  <c r="B489" i="2"/>
  <c r="A489" i="2"/>
  <c r="U488" i="2"/>
  <c r="T488" i="2"/>
  <c r="S488" i="2"/>
  <c r="R488" i="2"/>
  <c r="Q488" i="2"/>
  <c r="P488" i="2"/>
  <c r="L488" i="2"/>
  <c r="K488" i="2"/>
  <c r="J488" i="2"/>
  <c r="I488" i="2"/>
  <c r="H488" i="2"/>
  <c r="G488" i="2"/>
  <c r="F488" i="2"/>
  <c r="E488" i="2"/>
  <c r="D488" i="2"/>
  <c r="C488" i="2"/>
  <c r="B488" i="2"/>
  <c r="A488" i="2"/>
  <c r="U487" i="2"/>
  <c r="T487" i="2"/>
  <c r="S487" i="2"/>
  <c r="R487" i="2"/>
  <c r="Q487" i="2"/>
  <c r="P487" i="2"/>
  <c r="L487" i="2"/>
  <c r="K487" i="2"/>
  <c r="J487" i="2"/>
  <c r="I487" i="2"/>
  <c r="H487" i="2"/>
  <c r="G487" i="2"/>
  <c r="F487" i="2"/>
  <c r="E487" i="2"/>
  <c r="D487" i="2"/>
  <c r="C487" i="2"/>
  <c r="B487" i="2"/>
  <c r="A487" i="2"/>
  <c r="U486" i="2"/>
  <c r="T486" i="2"/>
  <c r="S486" i="2"/>
  <c r="R486" i="2"/>
  <c r="Q486" i="2"/>
  <c r="P486" i="2"/>
  <c r="O486" i="2"/>
  <c r="N486" i="2"/>
  <c r="M486" i="2"/>
  <c r="I486" i="2"/>
  <c r="H486" i="2"/>
  <c r="G486" i="2"/>
  <c r="F486" i="2"/>
  <c r="E486" i="2"/>
  <c r="D486" i="2"/>
  <c r="C486" i="2"/>
  <c r="B486" i="2"/>
  <c r="A486" i="2"/>
  <c r="U485" i="2"/>
  <c r="T485" i="2"/>
  <c r="S485" i="2"/>
  <c r="R485" i="2"/>
  <c r="Q485" i="2"/>
  <c r="P485" i="2"/>
  <c r="L485" i="2"/>
  <c r="K485" i="2"/>
  <c r="J485" i="2"/>
  <c r="I485" i="2"/>
  <c r="H485" i="2"/>
  <c r="G485" i="2"/>
  <c r="F485" i="2"/>
  <c r="E485" i="2"/>
  <c r="D485" i="2"/>
  <c r="C485" i="2"/>
  <c r="B485" i="2"/>
  <c r="A485" i="2"/>
  <c r="U484" i="2"/>
  <c r="T484" i="2"/>
  <c r="S484" i="2"/>
  <c r="R484" i="2"/>
  <c r="Q484" i="2"/>
  <c r="P484" i="2"/>
  <c r="L484" i="2"/>
  <c r="K484" i="2"/>
  <c r="J484" i="2"/>
  <c r="I484" i="2"/>
  <c r="H484" i="2"/>
  <c r="G484" i="2"/>
  <c r="F484" i="2"/>
  <c r="E484" i="2"/>
  <c r="D484" i="2"/>
  <c r="C484" i="2"/>
  <c r="B484" i="2"/>
  <c r="A484" i="2"/>
  <c r="U483" i="2"/>
  <c r="T483" i="2"/>
  <c r="S483" i="2"/>
  <c r="R483" i="2"/>
  <c r="Q483" i="2"/>
  <c r="P483" i="2"/>
  <c r="L483" i="2"/>
  <c r="K483" i="2"/>
  <c r="J483" i="2"/>
  <c r="I483" i="2"/>
  <c r="H483" i="2"/>
  <c r="G483" i="2"/>
  <c r="F483" i="2"/>
  <c r="E483" i="2"/>
  <c r="D483" i="2"/>
  <c r="C483" i="2"/>
  <c r="B483" i="2"/>
  <c r="A483" i="2"/>
  <c r="U482" i="2"/>
  <c r="T482" i="2"/>
  <c r="S482" i="2"/>
  <c r="R482" i="2"/>
  <c r="Q482" i="2"/>
  <c r="P482" i="2"/>
  <c r="L482" i="2"/>
  <c r="K482" i="2"/>
  <c r="J482" i="2"/>
  <c r="I482" i="2"/>
  <c r="H482" i="2"/>
  <c r="G482" i="2"/>
  <c r="F482" i="2"/>
  <c r="E482" i="2"/>
  <c r="D482" i="2"/>
  <c r="C482" i="2"/>
  <c r="B482" i="2"/>
  <c r="A482" i="2"/>
  <c r="U481" i="2"/>
  <c r="T481" i="2"/>
  <c r="S481" i="2"/>
  <c r="R481" i="2"/>
  <c r="Q481" i="2"/>
  <c r="P481" i="2"/>
  <c r="L481" i="2"/>
  <c r="K481" i="2"/>
  <c r="J481" i="2"/>
  <c r="I481" i="2"/>
  <c r="H481" i="2"/>
  <c r="G481" i="2"/>
  <c r="F481" i="2"/>
  <c r="E481" i="2"/>
  <c r="D481" i="2"/>
  <c r="C481" i="2"/>
  <c r="B481" i="2"/>
  <c r="A481" i="2"/>
  <c r="U480" i="2"/>
  <c r="T480" i="2"/>
  <c r="S480" i="2"/>
  <c r="R480" i="2"/>
  <c r="Q480" i="2"/>
  <c r="P480" i="2"/>
  <c r="L480" i="2"/>
  <c r="K480" i="2"/>
  <c r="J480" i="2"/>
  <c r="I480" i="2"/>
  <c r="H480" i="2"/>
  <c r="G480" i="2"/>
  <c r="F480" i="2"/>
  <c r="E480" i="2"/>
  <c r="D480" i="2"/>
  <c r="C480" i="2"/>
  <c r="B480" i="2"/>
  <c r="A480" i="2"/>
  <c r="U479" i="2"/>
  <c r="T479" i="2"/>
  <c r="S479" i="2"/>
  <c r="R479" i="2"/>
  <c r="Q479" i="2"/>
  <c r="P479" i="2"/>
  <c r="L479" i="2"/>
  <c r="K479" i="2"/>
  <c r="J479" i="2"/>
  <c r="I479" i="2"/>
  <c r="H479" i="2"/>
  <c r="G479" i="2"/>
  <c r="F479" i="2"/>
  <c r="E479" i="2"/>
  <c r="D479" i="2"/>
  <c r="C479" i="2"/>
  <c r="B479" i="2"/>
  <c r="A479" i="2"/>
  <c r="U478" i="2"/>
  <c r="T478" i="2"/>
  <c r="S478" i="2"/>
  <c r="R478" i="2"/>
  <c r="Q478" i="2"/>
  <c r="P478" i="2"/>
  <c r="L478" i="2"/>
  <c r="K478" i="2"/>
  <c r="J478" i="2"/>
  <c r="I478" i="2"/>
  <c r="H478" i="2"/>
  <c r="G478" i="2"/>
  <c r="F478" i="2"/>
  <c r="E478" i="2"/>
  <c r="D478" i="2"/>
  <c r="C478" i="2"/>
  <c r="B478" i="2"/>
  <c r="A478" i="2"/>
  <c r="U477" i="2"/>
  <c r="T477" i="2"/>
  <c r="S477" i="2"/>
  <c r="R477" i="2"/>
  <c r="Q477" i="2"/>
  <c r="P477" i="2"/>
  <c r="L477" i="2"/>
  <c r="K477" i="2"/>
  <c r="J477" i="2"/>
  <c r="I477" i="2"/>
  <c r="H477" i="2"/>
  <c r="G477" i="2"/>
  <c r="F477" i="2"/>
  <c r="E477" i="2"/>
  <c r="D477" i="2"/>
  <c r="C477" i="2"/>
  <c r="B477" i="2"/>
  <c r="A477" i="2"/>
  <c r="U476" i="2"/>
  <c r="T476" i="2"/>
  <c r="S476" i="2"/>
  <c r="R476" i="2"/>
  <c r="Q476" i="2"/>
  <c r="P476" i="2"/>
  <c r="L476" i="2"/>
  <c r="K476" i="2"/>
  <c r="J476" i="2"/>
  <c r="I476" i="2"/>
  <c r="H476" i="2"/>
  <c r="G476" i="2"/>
  <c r="F476" i="2"/>
  <c r="E476" i="2"/>
  <c r="D476" i="2"/>
  <c r="C476" i="2"/>
  <c r="B476" i="2"/>
  <c r="A476" i="2"/>
  <c r="U475" i="2"/>
  <c r="T475" i="2"/>
  <c r="S475" i="2"/>
  <c r="R475" i="2"/>
  <c r="Q475" i="2"/>
  <c r="P475" i="2"/>
  <c r="L475" i="2"/>
  <c r="K475" i="2"/>
  <c r="J475" i="2"/>
  <c r="I475" i="2"/>
  <c r="H475" i="2"/>
  <c r="G475" i="2"/>
  <c r="F475" i="2"/>
  <c r="E475" i="2"/>
  <c r="D475" i="2"/>
  <c r="C475" i="2"/>
  <c r="B475" i="2"/>
  <c r="A475" i="2"/>
  <c r="U474" i="2"/>
  <c r="T474" i="2"/>
  <c r="S474" i="2"/>
  <c r="R474" i="2"/>
  <c r="Q474" i="2"/>
  <c r="P474" i="2"/>
  <c r="L474" i="2"/>
  <c r="K474" i="2"/>
  <c r="J474" i="2"/>
  <c r="I474" i="2"/>
  <c r="H474" i="2"/>
  <c r="G474" i="2"/>
  <c r="F474" i="2"/>
  <c r="E474" i="2"/>
  <c r="D474" i="2"/>
  <c r="C474" i="2"/>
  <c r="B474" i="2"/>
  <c r="A474" i="2"/>
  <c r="U473" i="2"/>
  <c r="T473" i="2"/>
  <c r="S473" i="2"/>
  <c r="R473" i="2"/>
  <c r="Q473" i="2"/>
  <c r="P473" i="2"/>
  <c r="L473" i="2"/>
  <c r="K473" i="2"/>
  <c r="J473" i="2"/>
  <c r="I473" i="2"/>
  <c r="H473" i="2"/>
  <c r="G473" i="2"/>
  <c r="F473" i="2"/>
  <c r="E473" i="2"/>
  <c r="D473" i="2"/>
  <c r="C473" i="2"/>
  <c r="B473" i="2"/>
  <c r="A473" i="2"/>
  <c r="U472" i="2"/>
  <c r="T472" i="2"/>
  <c r="S472" i="2"/>
  <c r="R472" i="2"/>
  <c r="Q472" i="2"/>
  <c r="P472" i="2"/>
  <c r="O472" i="2"/>
  <c r="N472" i="2"/>
  <c r="M472" i="2"/>
  <c r="I472" i="2"/>
  <c r="H472" i="2"/>
  <c r="G472" i="2"/>
  <c r="F472" i="2"/>
  <c r="E472" i="2"/>
  <c r="D472" i="2"/>
  <c r="C472" i="2"/>
  <c r="B472" i="2"/>
  <c r="A472" i="2"/>
  <c r="U471" i="2"/>
  <c r="T471" i="2"/>
  <c r="S471" i="2"/>
  <c r="R471" i="2"/>
  <c r="Q471" i="2"/>
  <c r="P471" i="2"/>
  <c r="L471" i="2"/>
  <c r="K471" i="2"/>
  <c r="J471" i="2"/>
  <c r="I471" i="2"/>
  <c r="H471" i="2"/>
  <c r="G471" i="2"/>
  <c r="F471" i="2"/>
  <c r="E471" i="2"/>
  <c r="D471" i="2"/>
  <c r="C471" i="2"/>
  <c r="B471" i="2"/>
  <c r="A471" i="2"/>
  <c r="U470" i="2"/>
  <c r="T470" i="2"/>
  <c r="S470" i="2"/>
  <c r="R470" i="2"/>
  <c r="Q470" i="2"/>
  <c r="P470" i="2"/>
  <c r="L470" i="2"/>
  <c r="K470" i="2"/>
  <c r="J470" i="2"/>
  <c r="I470" i="2"/>
  <c r="H470" i="2"/>
  <c r="G470" i="2"/>
  <c r="F470" i="2"/>
  <c r="E470" i="2"/>
  <c r="D470" i="2"/>
  <c r="C470" i="2"/>
  <c r="B470" i="2"/>
  <c r="A470" i="2"/>
  <c r="U469" i="2"/>
  <c r="T469" i="2"/>
  <c r="S469" i="2"/>
  <c r="R469" i="2"/>
  <c r="Q469" i="2"/>
  <c r="P469" i="2"/>
  <c r="L469" i="2"/>
  <c r="K469" i="2"/>
  <c r="J469" i="2"/>
  <c r="I469" i="2"/>
  <c r="H469" i="2"/>
  <c r="G469" i="2"/>
  <c r="F469" i="2"/>
  <c r="E469" i="2"/>
  <c r="D469" i="2"/>
  <c r="C469" i="2"/>
  <c r="B469" i="2"/>
  <c r="A469" i="2"/>
  <c r="U468" i="2"/>
  <c r="T468" i="2"/>
  <c r="S468" i="2"/>
  <c r="R468" i="2"/>
  <c r="Q468" i="2"/>
  <c r="P468" i="2"/>
  <c r="L468" i="2"/>
  <c r="K468" i="2"/>
  <c r="J468" i="2"/>
  <c r="I468" i="2"/>
  <c r="H468" i="2"/>
  <c r="G468" i="2"/>
  <c r="F468" i="2"/>
  <c r="E468" i="2"/>
  <c r="D468" i="2"/>
  <c r="C468" i="2"/>
  <c r="B468" i="2"/>
  <c r="A468" i="2"/>
  <c r="U467" i="2"/>
  <c r="T467" i="2"/>
  <c r="S467" i="2"/>
  <c r="R467" i="2"/>
  <c r="Q467" i="2"/>
  <c r="P467" i="2"/>
  <c r="L467" i="2"/>
  <c r="K467" i="2"/>
  <c r="J467" i="2"/>
  <c r="I467" i="2"/>
  <c r="H467" i="2"/>
  <c r="G467" i="2"/>
  <c r="F467" i="2"/>
  <c r="E467" i="2"/>
  <c r="D467" i="2"/>
  <c r="C467" i="2"/>
  <c r="B467" i="2"/>
  <c r="A467" i="2"/>
  <c r="U466" i="2"/>
  <c r="T466" i="2"/>
  <c r="S466" i="2"/>
  <c r="R466" i="2"/>
  <c r="Q466" i="2"/>
  <c r="P466" i="2"/>
  <c r="L466" i="2"/>
  <c r="K466" i="2"/>
  <c r="J466" i="2"/>
  <c r="I466" i="2"/>
  <c r="H466" i="2"/>
  <c r="G466" i="2"/>
  <c r="F466" i="2"/>
  <c r="E466" i="2"/>
  <c r="D466" i="2"/>
  <c r="C466" i="2"/>
  <c r="B466" i="2"/>
  <c r="A466" i="2"/>
  <c r="U465" i="2"/>
  <c r="T465" i="2"/>
  <c r="S465" i="2"/>
  <c r="R465" i="2"/>
  <c r="Q465" i="2"/>
  <c r="P465" i="2"/>
  <c r="L465" i="2"/>
  <c r="K465" i="2"/>
  <c r="J465" i="2"/>
  <c r="I465" i="2"/>
  <c r="H465" i="2"/>
  <c r="G465" i="2"/>
  <c r="F465" i="2"/>
  <c r="E465" i="2"/>
  <c r="D465" i="2"/>
  <c r="C465" i="2"/>
  <c r="B465" i="2"/>
  <c r="A465" i="2"/>
  <c r="U464" i="2"/>
  <c r="T464" i="2"/>
  <c r="S464" i="2"/>
  <c r="R464" i="2"/>
  <c r="Q464" i="2"/>
  <c r="P464" i="2"/>
  <c r="L464" i="2"/>
  <c r="K464" i="2"/>
  <c r="J464" i="2"/>
  <c r="I464" i="2"/>
  <c r="H464" i="2"/>
  <c r="G464" i="2"/>
  <c r="F464" i="2"/>
  <c r="E464" i="2"/>
  <c r="D464" i="2"/>
  <c r="C464" i="2"/>
  <c r="B464" i="2"/>
  <c r="A464" i="2"/>
  <c r="U463" i="2"/>
  <c r="T463" i="2"/>
  <c r="S463" i="2"/>
  <c r="R463" i="2"/>
  <c r="Q463" i="2"/>
  <c r="P463" i="2"/>
  <c r="L463" i="2"/>
  <c r="K463" i="2"/>
  <c r="J463" i="2"/>
  <c r="I463" i="2"/>
  <c r="H463" i="2"/>
  <c r="G463" i="2"/>
  <c r="F463" i="2"/>
  <c r="E463" i="2"/>
  <c r="D463" i="2"/>
  <c r="C463" i="2"/>
  <c r="B463" i="2"/>
  <c r="A463" i="2"/>
  <c r="U462" i="2"/>
  <c r="T462" i="2"/>
  <c r="S462" i="2"/>
  <c r="R462" i="2"/>
  <c r="Q462" i="2"/>
  <c r="P462" i="2"/>
  <c r="L462" i="2"/>
  <c r="K462" i="2"/>
  <c r="J462" i="2"/>
  <c r="I462" i="2"/>
  <c r="H462" i="2"/>
  <c r="G462" i="2"/>
  <c r="F462" i="2"/>
  <c r="E462" i="2"/>
  <c r="D462" i="2"/>
  <c r="C462" i="2"/>
  <c r="B462" i="2"/>
  <c r="A462" i="2"/>
  <c r="U461" i="2"/>
  <c r="T461" i="2"/>
  <c r="S461" i="2"/>
  <c r="R461" i="2"/>
  <c r="Q461" i="2"/>
  <c r="P461" i="2"/>
  <c r="L461" i="2"/>
  <c r="K461" i="2"/>
  <c r="J461" i="2"/>
  <c r="I461" i="2"/>
  <c r="H461" i="2"/>
  <c r="G461" i="2"/>
  <c r="F461" i="2"/>
  <c r="E461" i="2"/>
  <c r="D461" i="2"/>
  <c r="C461" i="2"/>
  <c r="B461" i="2"/>
  <c r="A461" i="2"/>
  <c r="U460" i="2"/>
  <c r="T460" i="2"/>
  <c r="S460" i="2"/>
  <c r="R460" i="2"/>
  <c r="Q460" i="2"/>
  <c r="P460" i="2"/>
  <c r="L460" i="2"/>
  <c r="K460" i="2"/>
  <c r="J460" i="2"/>
  <c r="I460" i="2"/>
  <c r="H460" i="2"/>
  <c r="G460" i="2"/>
  <c r="F460" i="2"/>
  <c r="E460" i="2"/>
  <c r="D460" i="2"/>
  <c r="C460" i="2"/>
  <c r="B460" i="2"/>
  <c r="A460" i="2"/>
  <c r="U459" i="2"/>
  <c r="T459" i="2"/>
  <c r="S459" i="2"/>
  <c r="R459" i="2"/>
  <c r="Q459" i="2"/>
  <c r="P459" i="2"/>
  <c r="L459" i="2"/>
  <c r="K459" i="2"/>
  <c r="J459" i="2"/>
  <c r="I459" i="2"/>
  <c r="H459" i="2"/>
  <c r="G459" i="2"/>
  <c r="F459" i="2"/>
  <c r="E459" i="2"/>
  <c r="D459" i="2"/>
  <c r="C459" i="2"/>
  <c r="B459" i="2"/>
  <c r="A459" i="2"/>
  <c r="U458" i="2"/>
  <c r="T458" i="2"/>
  <c r="S458" i="2"/>
  <c r="R458" i="2"/>
  <c r="Q458" i="2"/>
  <c r="P458" i="2"/>
  <c r="L458" i="2"/>
  <c r="K458" i="2"/>
  <c r="J458" i="2"/>
  <c r="I458" i="2"/>
  <c r="H458" i="2"/>
  <c r="G458" i="2"/>
  <c r="F458" i="2"/>
  <c r="E458" i="2"/>
  <c r="D458" i="2"/>
  <c r="C458" i="2"/>
  <c r="B458" i="2"/>
  <c r="A458" i="2"/>
  <c r="U457" i="2"/>
  <c r="T457" i="2"/>
  <c r="S457" i="2"/>
  <c r="R457" i="2"/>
  <c r="Q457" i="2"/>
  <c r="P457" i="2"/>
  <c r="L457" i="2"/>
  <c r="K457" i="2"/>
  <c r="J457" i="2"/>
  <c r="I457" i="2"/>
  <c r="H457" i="2"/>
  <c r="G457" i="2"/>
  <c r="F457" i="2"/>
  <c r="E457" i="2"/>
  <c r="D457" i="2"/>
  <c r="C457" i="2"/>
  <c r="B457" i="2"/>
  <c r="A457" i="2"/>
  <c r="U456" i="2"/>
  <c r="T456" i="2"/>
  <c r="S456" i="2"/>
  <c r="R456" i="2"/>
  <c r="Q456" i="2"/>
  <c r="P456" i="2"/>
  <c r="L456" i="2"/>
  <c r="K456" i="2"/>
  <c r="J456" i="2"/>
  <c r="I456" i="2"/>
  <c r="H456" i="2"/>
  <c r="G456" i="2"/>
  <c r="F456" i="2"/>
  <c r="E456" i="2"/>
  <c r="D456" i="2"/>
  <c r="C456" i="2"/>
  <c r="B456" i="2"/>
  <c r="A456" i="2"/>
  <c r="U455" i="2"/>
  <c r="T455" i="2"/>
  <c r="S455" i="2"/>
  <c r="R455" i="2"/>
  <c r="Q455" i="2"/>
  <c r="P455" i="2"/>
  <c r="L455" i="2"/>
  <c r="K455" i="2"/>
  <c r="J455" i="2"/>
  <c r="I455" i="2"/>
  <c r="H455" i="2"/>
  <c r="G455" i="2"/>
  <c r="F455" i="2"/>
  <c r="E455" i="2"/>
  <c r="D455" i="2"/>
  <c r="C455" i="2"/>
  <c r="B455" i="2"/>
  <c r="A455" i="2"/>
  <c r="U454" i="2"/>
  <c r="T454" i="2"/>
  <c r="S454" i="2"/>
  <c r="R454" i="2"/>
  <c r="Q454" i="2"/>
  <c r="P454" i="2"/>
  <c r="L454" i="2"/>
  <c r="K454" i="2"/>
  <c r="J454" i="2"/>
  <c r="I454" i="2"/>
  <c r="H454" i="2"/>
  <c r="G454" i="2"/>
  <c r="F454" i="2"/>
  <c r="E454" i="2"/>
  <c r="D454" i="2"/>
  <c r="C454" i="2"/>
  <c r="B454" i="2"/>
  <c r="A454" i="2"/>
  <c r="U453" i="2"/>
  <c r="T453" i="2"/>
  <c r="S453" i="2"/>
  <c r="R453" i="2"/>
  <c r="Q453" i="2"/>
  <c r="P453" i="2"/>
  <c r="L453" i="2"/>
  <c r="K453" i="2"/>
  <c r="J453" i="2"/>
  <c r="I453" i="2"/>
  <c r="H453" i="2"/>
  <c r="G453" i="2"/>
  <c r="F453" i="2"/>
  <c r="E453" i="2"/>
  <c r="D453" i="2"/>
  <c r="C453" i="2"/>
  <c r="B453" i="2"/>
  <c r="A453" i="2"/>
  <c r="U452" i="2"/>
  <c r="T452" i="2"/>
  <c r="S452" i="2"/>
  <c r="R452" i="2"/>
  <c r="Q452" i="2"/>
  <c r="P452" i="2"/>
  <c r="L452" i="2"/>
  <c r="K452" i="2"/>
  <c r="J452" i="2"/>
  <c r="I452" i="2"/>
  <c r="H452" i="2"/>
  <c r="G452" i="2"/>
  <c r="F452" i="2"/>
  <c r="E452" i="2"/>
  <c r="D452" i="2"/>
  <c r="C452" i="2"/>
  <c r="B452" i="2"/>
  <c r="A452" i="2"/>
  <c r="U451" i="2"/>
  <c r="T451" i="2"/>
  <c r="S451" i="2"/>
  <c r="R451" i="2"/>
  <c r="Q451" i="2"/>
  <c r="P451" i="2"/>
  <c r="L451" i="2"/>
  <c r="K451" i="2"/>
  <c r="J451" i="2"/>
  <c r="I451" i="2"/>
  <c r="H451" i="2"/>
  <c r="G451" i="2"/>
  <c r="F451" i="2"/>
  <c r="E451" i="2"/>
  <c r="D451" i="2"/>
  <c r="C451" i="2"/>
  <c r="B451" i="2"/>
  <c r="A451" i="2"/>
  <c r="U450" i="2"/>
  <c r="T450" i="2"/>
  <c r="S450" i="2"/>
  <c r="R450" i="2"/>
  <c r="Q450" i="2"/>
  <c r="P450" i="2"/>
  <c r="O450" i="2"/>
  <c r="N450" i="2"/>
  <c r="M450" i="2"/>
  <c r="I450" i="2"/>
  <c r="H450" i="2"/>
  <c r="G450" i="2"/>
  <c r="F450" i="2"/>
  <c r="E450" i="2"/>
  <c r="D450" i="2"/>
  <c r="C450" i="2"/>
  <c r="B450" i="2"/>
  <c r="A450" i="2"/>
  <c r="U449" i="2"/>
  <c r="T449" i="2"/>
  <c r="S449" i="2"/>
  <c r="R449" i="2"/>
  <c r="Q449" i="2"/>
  <c r="P449" i="2"/>
  <c r="L449" i="2"/>
  <c r="K449" i="2"/>
  <c r="J449" i="2"/>
  <c r="I449" i="2"/>
  <c r="H449" i="2"/>
  <c r="G449" i="2"/>
  <c r="F449" i="2"/>
  <c r="E449" i="2"/>
  <c r="D449" i="2"/>
  <c r="C449" i="2"/>
  <c r="B449" i="2"/>
  <c r="A449" i="2"/>
  <c r="U448" i="2"/>
  <c r="T448" i="2"/>
  <c r="S448" i="2"/>
  <c r="R448" i="2"/>
  <c r="Q448" i="2"/>
  <c r="P448" i="2"/>
  <c r="L448" i="2"/>
  <c r="K448" i="2"/>
  <c r="J448" i="2"/>
  <c r="I448" i="2"/>
  <c r="H448" i="2"/>
  <c r="G448" i="2"/>
  <c r="F448" i="2"/>
  <c r="E448" i="2"/>
  <c r="D448" i="2"/>
  <c r="C448" i="2"/>
  <c r="B448" i="2"/>
  <c r="A448" i="2"/>
  <c r="U447" i="2"/>
  <c r="T447" i="2"/>
  <c r="S447" i="2"/>
  <c r="R447" i="2"/>
  <c r="Q447" i="2"/>
  <c r="P447" i="2"/>
  <c r="L447" i="2"/>
  <c r="K447" i="2"/>
  <c r="J447" i="2"/>
  <c r="I447" i="2"/>
  <c r="H447" i="2"/>
  <c r="G447" i="2"/>
  <c r="F447" i="2"/>
  <c r="E447" i="2"/>
  <c r="D447" i="2"/>
  <c r="C447" i="2"/>
  <c r="B447" i="2"/>
  <c r="A447" i="2"/>
  <c r="U446" i="2"/>
  <c r="T446" i="2"/>
  <c r="S446" i="2"/>
  <c r="R446" i="2"/>
  <c r="Q446" i="2"/>
  <c r="P446" i="2"/>
  <c r="L446" i="2"/>
  <c r="K446" i="2"/>
  <c r="J446" i="2"/>
  <c r="I446" i="2"/>
  <c r="H446" i="2"/>
  <c r="G446" i="2"/>
  <c r="F446" i="2"/>
  <c r="E446" i="2"/>
  <c r="D446" i="2"/>
  <c r="C446" i="2"/>
  <c r="B446" i="2"/>
  <c r="A446" i="2"/>
  <c r="U445" i="2"/>
  <c r="T445" i="2"/>
  <c r="S445" i="2"/>
  <c r="R445" i="2"/>
  <c r="Q445" i="2"/>
  <c r="P445" i="2"/>
  <c r="O445" i="2"/>
  <c r="N445" i="2"/>
  <c r="M445" i="2"/>
  <c r="I445" i="2"/>
  <c r="H445" i="2"/>
  <c r="G445" i="2"/>
  <c r="F445" i="2"/>
  <c r="E445" i="2"/>
  <c r="D445" i="2"/>
  <c r="C445" i="2"/>
  <c r="B445" i="2"/>
  <c r="A445" i="2"/>
  <c r="U444" i="2"/>
  <c r="T444" i="2"/>
  <c r="S444" i="2"/>
  <c r="R444" i="2"/>
  <c r="Q444" i="2"/>
  <c r="P444" i="2"/>
  <c r="L444" i="2"/>
  <c r="K444" i="2"/>
  <c r="J444" i="2"/>
  <c r="I444" i="2"/>
  <c r="H444" i="2"/>
  <c r="G444" i="2"/>
  <c r="F444" i="2"/>
  <c r="E444" i="2"/>
  <c r="D444" i="2"/>
  <c r="C444" i="2"/>
  <c r="B444" i="2"/>
  <c r="A444" i="2"/>
  <c r="U443" i="2"/>
  <c r="T443" i="2"/>
  <c r="S443" i="2"/>
  <c r="R443" i="2"/>
  <c r="Q443" i="2"/>
  <c r="P443" i="2"/>
  <c r="L443" i="2"/>
  <c r="K443" i="2"/>
  <c r="J443" i="2"/>
  <c r="I443" i="2"/>
  <c r="H443" i="2"/>
  <c r="G443" i="2"/>
  <c r="F443" i="2"/>
  <c r="E443" i="2"/>
  <c r="D443" i="2"/>
  <c r="C443" i="2"/>
  <c r="B443" i="2"/>
  <c r="A443" i="2"/>
  <c r="U442" i="2"/>
  <c r="T442" i="2"/>
  <c r="S442" i="2"/>
  <c r="R442" i="2"/>
  <c r="Q442" i="2"/>
  <c r="P442" i="2"/>
  <c r="O442" i="2"/>
  <c r="N442" i="2"/>
  <c r="M442" i="2"/>
  <c r="I442" i="2"/>
  <c r="H442" i="2"/>
  <c r="G442" i="2"/>
  <c r="F442" i="2"/>
  <c r="E442" i="2"/>
  <c r="D442" i="2"/>
  <c r="C442" i="2"/>
  <c r="B442" i="2"/>
  <c r="A442" i="2"/>
  <c r="U441" i="2"/>
  <c r="T441" i="2"/>
  <c r="S441" i="2"/>
  <c r="R441" i="2"/>
  <c r="Q441" i="2"/>
  <c r="P441" i="2"/>
  <c r="L441" i="2"/>
  <c r="K441" i="2"/>
  <c r="J441" i="2"/>
  <c r="I441" i="2"/>
  <c r="H441" i="2"/>
  <c r="G441" i="2"/>
  <c r="F441" i="2"/>
  <c r="E441" i="2"/>
  <c r="D441" i="2"/>
  <c r="C441" i="2"/>
  <c r="B441" i="2"/>
  <c r="A441" i="2"/>
  <c r="U440" i="2"/>
  <c r="T440" i="2"/>
  <c r="S440" i="2"/>
  <c r="R440" i="2"/>
  <c r="Q440" i="2"/>
  <c r="P440" i="2"/>
  <c r="O440" i="2"/>
  <c r="N440" i="2"/>
  <c r="M440" i="2"/>
  <c r="I440" i="2"/>
  <c r="H440" i="2"/>
  <c r="G440" i="2"/>
  <c r="F440" i="2"/>
  <c r="E440" i="2"/>
  <c r="D440" i="2"/>
  <c r="C440" i="2"/>
  <c r="B440" i="2"/>
  <c r="A440" i="2"/>
  <c r="U439" i="2"/>
  <c r="T439" i="2"/>
  <c r="S439" i="2"/>
  <c r="R439" i="2"/>
  <c r="Q439" i="2"/>
  <c r="P439" i="2"/>
  <c r="L439" i="2"/>
  <c r="K439" i="2"/>
  <c r="J439" i="2"/>
  <c r="I439" i="2"/>
  <c r="H439" i="2"/>
  <c r="G439" i="2"/>
  <c r="F439" i="2"/>
  <c r="E439" i="2"/>
  <c r="D439" i="2"/>
  <c r="C439" i="2"/>
  <c r="B439" i="2"/>
  <c r="A439" i="2"/>
  <c r="U438" i="2"/>
  <c r="T438" i="2"/>
  <c r="S438" i="2"/>
  <c r="R438" i="2"/>
  <c r="Q438" i="2"/>
  <c r="P438" i="2"/>
  <c r="L438" i="2"/>
  <c r="K438" i="2"/>
  <c r="J438" i="2"/>
  <c r="I438" i="2"/>
  <c r="H438" i="2"/>
  <c r="G438" i="2"/>
  <c r="F438" i="2"/>
  <c r="E438" i="2"/>
  <c r="D438" i="2"/>
  <c r="C438" i="2"/>
  <c r="B438" i="2"/>
  <c r="A438" i="2"/>
  <c r="U437" i="2"/>
  <c r="T437" i="2"/>
  <c r="S437" i="2"/>
  <c r="R437" i="2"/>
  <c r="Q437" i="2"/>
  <c r="P437" i="2"/>
  <c r="L437" i="2"/>
  <c r="K437" i="2"/>
  <c r="J437" i="2"/>
  <c r="I437" i="2"/>
  <c r="H437" i="2"/>
  <c r="G437" i="2"/>
  <c r="F437" i="2"/>
  <c r="E437" i="2"/>
  <c r="D437" i="2"/>
  <c r="C437" i="2"/>
  <c r="B437" i="2"/>
  <c r="A437" i="2"/>
  <c r="U436" i="2"/>
  <c r="T436" i="2"/>
  <c r="S436" i="2"/>
  <c r="R436" i="2"/>
  <c r="Q436" i="2"/>
  <c r="P436" i="2"/>
  <c r="L436" i="2"/>
  <c r="K436" i="2"/>
  <c r="J436" i="2"/>
  <c r="I436" i="2"/>
  <c r="H436" i="2"/>
  <c r="G436" i="2"/>
  <c r="F436" i="2"/>
  <c r="E436" i="2"/>
  <c r="D436" i="2"/>
  <c r="C436" i="2"/>
  <c r="B436" i="2"/>
  <c r="A436" i="2"/>
  <c r="U435" i="2"/>
  <c r="T435" i="2"/>
  <c r="S435" i="2"/>
  <c r="R435" i="2"/>
  <c r="Q435" i="2"/>
  <c r="P435" i="2"/>
  <c r="L435" i="2"/>
  <c r="K435" i="2"/>
  <c r="J435" i="2"/>
  <c r="I435" i="2"/>
  <c r="H435" i="2"/>
  <c r="G435" i="2"/>
  <c r="F435" i="2"/>
  <c r="E435" i="2"/>
  <c r="D435" i="2"/>
  <c r="C435" i="2"/>
  <c r="B435" i="2"/>
  <c r="A435" i="2"/>
  <c r="U434" i="2"/>
  <c r="T434" i="2"/>
  <c r="S434" i="2"/>
  <c r="R434" i="2"/>
  <c r="Q434" i="2"/>
  <c r="P434" i="2"/>
  <c r="O434" i="2"/>
  <c r="N434" i="2"/>
  <c r="M434" i="2"/>
  <c r="I434" i="2"/>
  <c r="H434" i="2"/>
  <c r="G434" i="2"/>
  <c r="F434" i="2"/>
  <c r="E434" i="2"/>
  <c r="D434" i="2"/>
  <c r="C434" i="2"/>
  <c r="B434" i="2"/>
  <c r="A434" i="2"/>
  <c r="U433" i="2"/>
  <c r="T433" i="2"/>
  <c r="S433" i="2"/>
  <c r="R433" i="2"/>
  <c r="Q433" i="2"/>
  <c r="P433" i="2"/>
  <c r="O433" i="2"/>
  <c r="N433" i="2"/>
  <c r="M433" i="2"/>
  <c r="I433" i="2"/>
  <c r="H433" i="2"/>
  <c r="G433" i="2"/>
  <c r="F433" i="2"/>
  <c r="E433" i="2"/>
  <c r="D433" i="2"/>
  <c r="C433" i="2"/>
  <c r="B433" i="2"/>
  <c r="A433" i="2"/>
  <c r="U432" i="2"/>
  <c r="T432" i="2"/>
  <c r="S432" i="2"/>
  <c r="R432" i="2"/>
  <c r="Q432" i="2"/>
  <c r="P432" i="2"/>
  <c r="L432" i="2"/>
  <c r="K432" i="2"/>
  <c r="J432" i="2"/>
  <c r="I432" i="2"/>
  <c r="H432" i="2"/>
  <c r="G432" i="2"/>
  <c r="F432" i="2"/>
  <c r="E432" i="2"/>
  <c r="D432" i="2"/>
  <c r="C432" i="2"/>
  <c r="B432" i="2"/>
  <c r="A432" i="2"/>
  <c r="U431" i="2"/>
  <c r="T431" i="2"/>
  <c r="S431" i="2"/>
  <c r="R431" i="2"/>
  <c r="Q431" i="2"/>
  <c r="P431" i="2"/>
  <c r="L431" i="2"/>
  <c r="K431" i="2"/>
  <c r="J431" i="2"/>
  <c r="I431" i="2"/>
  <c r="H431" i="2"/>
  <c r="G431" i="2"/>
  <c r="F431" i="2"/>
  <c r="E431" i="2"/>
  <c r="D431" i="2"/>
  <c r="C431" i="2"/>
  <c r="B431" i="2"/>
  <c r="A431" i="2"/>
  <c r="U430" i="2"/>
  <c r="T430" i="2"/>
  <c r="S430" i="2"/>
  <c r="R430" i="2"/>
  <c r="Q430" i="2"/>
  <c r="P430" i="2"/>
  <c r="O430" i="2"/>
  <c r="N430" i="2"/>
  <c r="M430" i="2"/>
  <c r="I430" i="2"/>
  <c r="H430" i="2"/>
  <c r="G430" i="2"/>
  <c r="F430" i="2"/>
  <c r="E430" i="2"/>
  <c r="D430" i="2"/>
  <c r="C430" i="2"/>
  <c r="B430" i="2"/>
  <c r="A430" i="2"/>
  <c r="U429" i="2"/>
  <c r="T429" i="2"/>
  <c r="S429" i="2"/>
  <c r="R429" i="2"/>
  <c r="Q429" i="2"/>
  <c r="P429" i="2"/>
  <c r="L429" i="2"/>
  <c r="K429" i="2"/>
  <c r="J429" i="2"/>
  <c r="I429" i="2"/>
  <c r="H429" i="2"/>
  <c r="G429" i="2"/>
  <c r="F429" i="2"/>
  <c r="E429" i="2"/>
  <c r="D429" i="2"/>
  <c r="C429" i="2"/>
  <c r="B429" i="2"/>
  <c r="A429" i="2"/>
  <c r="U428" i="2"/>
  <c r="T428" i="2"/>
  <c r="S428" i="2"/>
  <c r="R428" i="2"/>
  <c r="Q428" i="2"/>
  <c r="P428" i="2"/>
  <c r="L428" i="2"/>
  <c r="K428" i="2"/>
  <c r="J428" i="2"/>
  <c r="I428" i="2"/>
  <c r="H428" i="2"/>
  <c r="G428" i="2"/>
  <c r="F428" i="2"/>
  <c r="E428" i="2"/>
  <c r="D428" i="2"/>
  <c r="C428" i="2"/>
  <c r="B428" i="2"/>
  <c r="A428" i="2"/>
  <c r="U427" i="2"/>
  <c r="T427" i="2"/>
  <c r="S427" i="2"/>
  <c r="R427" i="2"/>
  <c r="Q427" i="2"/>
  <c r="P427" i="2"/>
  <c r="L427" i="2"/>
  <c r="K427" i="2"/>
  <c r="J427" i="2"/>
  <c r="I427" i="2"/>
  <c r="H427" i="2"/>
  <c r="G427" i="2"/>
  <c r="F427" i="2"/>
  <c r="E427" i="2"/>
  <c r="D427" i="2"/>
  <c r="C427" i="2"/>
  <c r="B427" i="2"/>
  <c r="A427" i="2"/>
  <c r="U426" i="2"/>
  <c r="T426" i="2"/>
  <c r="S426" i="2"/>
  <c r="R426" i="2"/>
  <c r="Q426" i="2"/>
  <c r="P426" i="2"/>
  <c r="O426" i="2"/>
  <c r="N426" i="2"/>
  <c r="M426" i="2"/>
  <c r="I426" i="2"/>
  <c r="H426" i="2"/>
  <c r="G426" i="2"/>
  <c r="F426" i="2"/>
  <c r="E426" i="2"/>
  <c r="D426" i="2"/>
  <c r="C426" i="2"/>
  <c r="B426" i="2"/>
  <c r="A426" i="2"/>
  <c r="U425" i="2"/>
  <c r="T425" i="2"/>
  <c r="S425" i="2"/>
  <c r="R425" i="2"/>
  <c r="Q425" i="2"/>
  <c r="P425" i="2"/>
  <c r="O425" i="2"/>
  <c r="N425" i="2"/>
  <c r="M425" i="2"/>
  <c r="I425" i="2"/>
  <c r="H425" i="2"/>
  <c r="G425" i="2"/>
  <c r="F425" i="2"/>
  <c r="E425" i="2"/>
  <c r="D425" i="2"/>
  <c r="C425" i="2"/>
  <c r="B425" i="2"/>
  <c r="A425" i="2"/>
  <c r="U424" i="2"/>
  <c r="T424" i="2"/>
  <c r="S424" i="2"/>
  <c r="R424" i="2"/>
  <c r="Q424" i="2"/>
  <c r="P424" i="2"/>
  <c r="L424" i="2"/>
  <c r="K424" i="2"/>
  <c r="J424" i="2"/>
  <c r="I424" i="2"/>
  <c r="H424" i="2"/>
  <c r="G424" i="2"/>
  <c r="F424" i="2"/>
  <c r="E424" i="2"/>
  <c r="D424" i="2"/>
  <c r="C424" i="2"/>
  <c r="B424" i="2"/>
  <c r="A424" i="2"/>
  <c r="U423" i="2"/>
  <c r="T423" i="2"/>
  <c r="S423" i="2"/>
  <c r="R423" i="2"/>
  <c r="Q423" i="2"/>
  <c r="P423" i="2"/>
  <c r="L423" i="2"/>
  <c r="K423" i="2"/>
  <c r="J423" i="2"/>
  <c r="I423" i="2"/>
  <c r="H423" i="2"/>
  <c r="G423" i="2"/>
  <c r="F423" i="2"/>
  <c r="E423" i="2"/>
  <c r="D423" i="2"/>
  <c r="C423" i="2"/>
  <c r="B423" i="2"/>
  <c r="A423" i="2"/>
  <c r="U422" i="2"/>
  <c r="T422" i="2"/>
  <c r="S422" i="2"/>
  <c r="R422" i="2"/>
  <c r="Q422" i="2"/>
  <c r="P422" i="2"/>
  <c r="L422" i="2"/>
  <c r="K422" i="2"/>
  <c r="J422" i="2"/>
  <c r="I422" i="2"/>
  <c r="H422" i="2"/>
  <c r="G422" i="2"/>
  <c r="F422" i="2"/>
  <c r="E422" i="2"/>
  <c r="D422" i="2"/>
  <c r="C422" i="2"/>
  <c r="B422" i="2"/>
  <c r="A422" i="2"/>
  <c r="U421" i="2"/>
  <c r="T421" i="2"/>
  <c r="S421" i="2"/>
  <c r="R421" i="2"/>
  <c r="Q421" i="2"/>
  <c r="P421" i="2"/>
  <c r="L421" i="2"/>
  <c r="K421" i="2"/>
  <c r="J421" i="2"/>
  <c r="I421" i="2"/>
  <c r="H421" i="2"/>
  <c r="G421" i="2"/>
  <c r="F421" i="2"/>
  <c r="E421" i="2"/>
  <c r="D421" i="2"/>
  <c r="C421" i="2"/>
  <c r="B421" i="2"/>
  <c r="A421" i="2"/>
  <c r="U420" i="2"/>
  <c r="T420" i="2"/>
  <c r="S420" i="2"/>
  <c r="R420" i="2"/>
  <c r="Q420" i="2"/>
  <c r="P420" i="2"/>
  <c r="L420" i="2"/>
  <c r="K420" i="2"/>
  <c r="J420" i="2"/>
  <c r="I420" i="2"/>
  <c r="H420" i="2"/>
  <c r="G420" i="2"/>
  <c r="F420" i="2"/>
  <c r="E420" i="2"/>
  <c r="D420" i="2"/>
  <c r="C420" i="2"/>
  <c r="B420" i="2"/>
  <c r="A420" i="2"/>
  <c r="U419" i="2"/>
  <c r="T419" i="2"/>
  <c r="S419" i="2"/>
  <c r="R419" i="2"/>
  <c r="Q419" i="2"/>
  <c r="P419" i="2"/>
  <c r="L419" i="2"/>
  <c r="K419" i="2"/>
  <c r="J419" i="2"/>
  <c r="I419" i="2"/>
  <c r="H419" i="2"/>
  <c r="G419" i="2"/>
  <c r="F419" i="2"/>
  <c r="E419" i="2"/>
  <c r="D419" i="2"/>
  <c r="C419" i="2"/>
  <c r="B419" i="2"/>
  <c r="A419" i="2"/>
  <c r="U418" i="2"/>
  <c r="T418" i="2"/>
  <c r="S418" i="2"/>
  <c r="R418" i="2"/>
  <c r="Q418" i="2"/>
  <c r="P418" i="2"/>
  <c r="L418" i="2"/>
  <c r="K418" i="2"/>
  <c r="J418" i="2"/>
  <c r="I418" i="2"/>
  <c r="H418" i="2"/>
  <c r="G418" i="2"/>
  <c r="F418" i="2"/>
  <c r="E418" i="2"/>
  <c r="D418" i="2"/>
  <c r="C418" i="2"/>
  <c r="B418" i="2"/>
  <c r="A418" i="2"/>
  <c r="U417" i="2"/>
  <c r="T417" i="2"/>
  <c r="S417" i="2"/>
  <c r="R417" i="2"/>
  <c r="Q417" i="2"/>
  <c r="P417" i="2"/>
  <c r="L417" i="2"/>
  <c r="K417" i="2"/>
  <c r="J417" i="2"/>
  <c r="I417" i="2"/>
  <c r="H417" i="2"/>
  <c r="G417" i="2"/>
  <c r="F417" i="2"/>
  <c r="E417" i="2"/>
  <c r="D417" i="2"/>
  <c r="C417" i="2"/>
  <c r="B417" i="2"/>
  <c r="A417" i="2"/>
  <c r="U416" i="2"/>
  <c r="T416" i="2"/>
  <c r="S416" i="2"/>
  <c r="R416" i="2"/>
  <c r="Q416" i="2"/>
  <c r="P416" i="2"/>
  <c r="O416" i="2"/>
  <c r="N416" i="2"/>
  <c r="M416" i="2"/>
  <c r="I416" i="2"/>
  <c r="H416" i="2"/>
  <c r="G416" i="2"/>
  <c r="F416" i="2"/>
  <c r="E416" i="2"/>
  <c r="D416" i="2"/>
  <c r="C416" i="2"/>
  <c r="B416" i="2"/>
  <c r="A416" i="2"/>
  <c r="U415" i="2"/>
  <c r="T415" i="2"/>
  <c r="S415" i="2"/>
  <c r="R415" i="2"/>
  <c r="Q415" i="2"/>
  <c r="P415" i="2"/>
  <c r="L415" i="2"/>
  <c r="K415" i="2"/>
  <c r="J415" i="2"/>
  <c r="I415" i="2"/>
  <c r="H415" i="2"/>
  <c r="G415" i="2"/>
  <c r="F415" i="2"/>
  <c r="E415" i="2"/>
  <c r="D415" i="2"/>
  <c r="C415" i="2"/>
  <c r="B415" i="2"/>
  <c r="A415" i="2"/>
  <c r="U414" i="2"/>
  <c r="T414" i="2"/>
  <c r="S414" i="2"/>
  <c r="R414" i="2"/>
  <c r="Q414" i="2"/>
  <c r="P414" i="2"/>
  <c r="O414" i="2"/>
  <c r="N414" i="2"/>
  <c r="M414" i="2"/>
  <c r="I414" i="2"/>
  <c r="H414" i="2"/>
  <c r="G414" i="2"/>
  <c r="F414" i="2"/>
  <c r="E414" i="2"/>
  <c r="D414" i="2"/>
  <c r="C414" i="2"/>
  <c r="B414" i="2"/>
  <c r="A414" i="2"/>
  <c r="U413" i="2"/>
  <c r="T413" i="2"/>
  <c r="S413" i="2"/>
  <c r="R413" i="2"/>
  <c r="Q413" i="2"/>
  <c r="P413" i="2"/>
  <c r="O413" i="2"/>
  <c r="N413" i="2"/>
  <c r="M413" i="2"/>
  <c r="I413" i="2"/>
  <c r="H413" i="2"/>
  <c r="G413" i="2"/>
  <c r="F413" i="2"/>
  <c r="E413" i="2"/>
  <c r="D413" i="2"/>
  <c r="C413" i="2"/>
  <c r="B413" i="2"/>
  <c r="A413" i="2"/>
  <c r="U412" i="2"/>
  <c r="T412" i="2"/>
  <c r="S412" i="2"/>
  <c r="R412" i="2"/>
  <c r="Q412" i="2"/>
  <c r="P412" i="2"/>
  <c r="L412" i="2"/>
  <c r="K412" i="2"/>
  <c r="J412" i="2"/>
  <c r="I412" i="2"/>
  <c r="H412" i="2"/>
  <c r="G412" i="2"/>
  <c r="F412" i="2"/>
  <c r="E412" i="2"/>
  <c r="D412" i="2"/>
  <c r="C412" i="2"/>
  <c r="B412" i="2"/>
  <c r="A412" i="2"/>
  <c r="U411" i="2"/>
  <c r="T411" i="2"/>
  <c r="S411" i="2"/>
  <c r="R411" i="2"/>
  <c r="Q411" i="2"/>
  <c r="P411" i="2"/>
  <c r="L411" i="2"/>
  <c r="K411" i="2"/>
  <c r="J411" i="2"/>
  <c r="I411" i="2"/>
  <c r="H411" i="2"/>
  <c r="G411" i="2"/>
  <c r="F411" i="2"/>
  <c r="E411" i="2"/>
  <c r="D411" i="2"/>
  <c r="C411" i="2"/>
  <c r="B411" i="2"/>
  <c r="A411" i="2"/>
  <c r="U410" i="2"/>
  <c r="T410" i="2"/>
  <c r="S410" i="2"/>
  <c r="R410" i="2"/>
  <c r="Q410" i="2"/>
  <c r="P410" i="2"/>
  <c r="L410" i="2"/>
  <c r="K410" i="2"/>
  <c r="J410" i="2"/>
  <c r="I410" i="2"/>
  <c r="H410" i="2"/>
  <c r="G410" i="2"/>
  <c r="F410" i="2"/>
  <c r="E410" i="2"/>
  <c r="D410" i="2"/>
  <c r="C410" i="2"/>
  <c r="B410" i="2"/>
  <c r="A410" i="2"/>
  <c r="U409" i="2"/>
  <c r="T409" i="2"/>
  <c r="S409" i="2"/>
  <c r="R409" i="2"/>
  <c r="Q409" i="2"/>
  <c r="P409" i="2"/>
  <c r="L409" i="2"/>
  <c r="K409" i="2"/>
  <c r="J409" i="2"/>
  <c r="I409" i="2"/>
  <c r="H409" i="2"/>
  <c r="G409" i="2"/>
  <c r="F409" i="2"/>
  <c r="E409" i="2"/>
  <c r="D409" i="2"/>
  <c r="C409" i="2"/>
  <c r="B409" i="2"/>
  <c r="A409" i="2"/>
  <c r="U408" i="2"/>
  <c r="T408" i="2"/>
  <c r="S408" i="2"/>
  <c r="R408" i="2"/>
  <c r="Q408" i="2"/>
  <c r="P408" i="2"/>
  <c r="L408" i="2"/>
  <c r="K408" i="2"/>
  <c r="J408" i="2"/>
  <c r="I408" i="2"/>
  <c r="H408" i="2"/>
  <c r="G408" i="2"/>
  <c r="F408" i="2"/>
  <c r="E408" i="2"/>
  <c r="D408" i="2"/>
  <c r="C408" i="2"/>
  <c r="B408" i="2"/>
  <c r="A408" i="2"/>
  <c r="U407" i="2"/>
  <c r="T407" i="2"/>
  <c r="S407" i="2"/>
  <c r="R407" i="2"/>
  <c r="Q407" i="2"/>
  <c r="P407" i="2"/>
  <c r="L407" i="2"/>
  <c r="K407" i="2"/>
  <c r="J407" i="2"/>
  <c r="I407" i="2"/>
  <c r="H407" i="2"/>
  <c r="G407" i="2"/>
  <c r="F407" i="2"/>
  <c r="E407" i="2"/>
  <c r="D407" i="2"/>
  <c r="C407" i="2"/>
  <c r="B407" i="2"/>
  <c r="A407" i="2"/>
  <c r="U406" i="2"/>
  <c r="T406" i="2"/>
  <c r="S406" i="2"/>
  <c r="R406" i="2"/>
  <c r="Q406" i="2"/>
  <c r="P406" i="2"/>
  <c r="L406" i="2"/>
  <c r="K406" i="2"/>
  <c r="J406" i="2"/>
  <c r="I406" i="2"/>
  <c r="H406" i="2"/>
  <c r="G406" i="2"/>
  <c r="F406" i="2"/>
  <c r="E406" i="2"/>
  <c r="D406" i="2"/>
  <c r="C406" i="2"/>
  <c r="B406" i="2"/>
  <c r="A406" i="2"/>
  <c r="U405" i="2"/>
  <c r="T405" i="2"/>
  <c r="S405" i="2"/>
  <c r="R405" i="2"/>
  <c r="Q405" i="2"/>
  <c r="P405" i="2"/>
  <c r="L405" i="2"/>
  <c r="K405" i="2"/>
  <c r="J405" i="2"/>
  <c r="I405" i="2"/>
  <c r="H405" i="2"/>
  <c r="G405" i="2"/>
  <c r="F405" i="2"/>
  <c r="E405" i="2"/>
  <c r="D405" i="2"/>
  <c r="C405" i="2"/>
  <c r="B405" i="2"/>
  <c r="A405" i="2"/>
  <c r="U404" i="2"/>
  <c r="T404" i="2"/>
  <c r="S404" i="2"/>
  <c r="R404" i="2"/>
  <c r="Q404" i="2"/>
  <c r="P404" i="2"/>
  <c r="L404" i="2"/>
  <c r="K404" i="2"/>
  <c r="J404" i="2"/>
  <c r="I404" i="2"/>
  <c r="H404" i="2"/>
  <c r="G404" i="2"/>
  <c r="F404" i="2"/>
  <c r="E404" i="2"/>
  <c r="D404" i="2"/>
  <c r="C404" i="2"/>
  <c r="B404" i="2"/>
  <c r="A404" i="2"/>
  <c r="U403" i="2"/>
  <c r="T403" i="2"/>
  <c r="S403" i="2"/>
  <c r="R403" i="2"/>
  <c r="Q403" i="2"/>
  <c r="P403" i="2"/>
  <c r="L403" i="2"/>
  <c r="K403" i="2"/>
  <c r="J403" i="2"/>
  <c r="I403" i="2"/>
  <c r="H403" i="2"/>
  <c r="G403" i="2"/>
  <c r="F403" i="2"/>
  <c r="E403" i="2"/>
  <c r="D403" i="2"/>
  <c r="C403" i="2"/>
  <c r="B403" i="2"/>
  <c r="A403" i="2"/>
  <c r="U402" i="2"/>
  <c r="T402" i="2"/>
  <c r="S402" i="2"/>
  <c r="R402" i="2"/>
  <c r="Q402" i="2"/>
  <c r="P402" i="2"/>
  <c r="L402" i="2"/>
  <c r="K402" i="2"/>
  <c r="J402" i="2"/>
  <c r="I402" i="2"/>
  <c r="H402" i="2"/>
  <c r="G402" i="2"/>
  <c r="F402" i="2"/>
  <c r="E402" i="2"/>
  <c r="D402" i="2"/>
  <c r="C402" i="2"/>
  <c r="B402" i="2"/>
  <c r="A402" i="2"/>
  <c r="U401" i="2"/>
  <c r="T401" i="2"/>
  <c r="S401" i="2"/>
  <c r="R401" i="2"/>
  <c r="Q401" i="2"/>
  <c r="P401" i="2"/>
  <c r="L401" i="2"/>
  <c r="K401" i="2"/>
  <c r="J401" i="2"/>
  <c r="I401" i="2"/>
  <c r="H401" i="2"/>
  <c r="G401" i="2"/>
  <c r="F401" i="2"/>
  <c r="E401" i="2"/>
  <c r="D401" i="2"/>
  <c r="C401" i="2"/>
  <c r="B401" i="2"/>
  <c r="A401" i="2"/>
  <c r="U400" i="2"/>
  <c r="T400" i="2"/>
  <c r="S400" i="2"/>
  <c r="R400" i="2"/>
  <c r="Q400" i="2"/>
  <c r="P400" i="2"/>
  <c r="L400" i="2"/>
  <c r="K400" i="2"/>
  <c r="J400" i="2"/>
  <c r="I400" i="2"/>
  <c r="H400" i="2"/>
  <c r="G400" i="2"/>
  <c r="F400" i="2"/>
  <c r="E400" i="2"/>
  <c r="D400" i="2"/>
  <c r="C400" i="2"/>
  <c r="B400" i="2"/>
  <c r="A400" i="2"/>
  <c r="U399" i="2"/>
  <c r="T399" i="2"/>
  <c r="S399" i="2"/>
  <c r="R399" i="2"/>
  <c r="Q399" i="2"/>
  <c r="P399" i="2"/>
  <c r="L399" i="2"/>
  <c r="K399" i="2"/>
  <c r="J399" i="2"/>
  <c r="I399" i="2"/>
  <c r="H399" i="2"/>
  <c r="G399" i="2"/>
  <c r="F399" i="2"/>
  <c r="E399" i="2"/>
  <c r="D399" i="2"/>
  <c r="C399" i="2"/>
  <c r="B399" i="2"/>
  <c r="A399" i="2"/>
  <c r="U398" i="2"/>
  <c r="T398" i="2"/>
  <c r="S398" i="2"/>
  <c r="R398" i="2"/>
  <c r="Q398" i="2"/>
  <c r="P398" i="2"/>
  <c r="L398" i="2"/>
  <c r="K398" i="2"/>
  <c r="J398" i="2"/>
  <c r="I398" i="2"/>
  <c r="H398" i="2"/>
  <c r="G398" i="2"/>
  <c r="F398" i="2"/>
  <c r="E398" i="2"/>
  <c r="D398" i="2"/>
  <c r="C398" i="2"/>
  <c r="B398" i="2"/>
  <c r="A398" i="2"/>
  <c r="U397" i="2"/>
  <c r="T397" i="2"/>
  <c r="S397" i="2"/>
  <c r="R397" i="2"/>
  <c r="Q397" i="2"/>
  <c r="P397" i="2"/>
  <c r="L397" i="2"/>
  <c r="K397" i="2"/>
  <c r="J397" i="2"/>
  <c r="I397" i="2"/>
  <c r="H397" i="2"/>
  <c r="G397" i="2"/>
  <c r="F397" i="2"/>
  <c r="E397" i="2"/>
  <c r="D397" i="2"/>
  <c r="C397" i="2"/>
  <c r="B397" i="2"/>
  <c r="A397" i="2"/>
  <c r="U396" i="2"/>
  <c r="T396" i="2"/>
  <c r="S396" i="2"/>
  <c r="R396" i="2"/>
  <c r="Q396" i="2"/>
  <c r="P396" i="2"/>
  <c r="L396" i="2"/>
  <c r="K396" i="2"/>
  <c r="J396" i="2"/>
  <c r="I396" i="2"/>
  <c r="H396" i="2"/>
  <c r="G396" i="2"/>
  <c r="F396" i="2"/>
  <c r="E396" i="2"/>
  <c r="D396" i="2"/>
  <c r="C396" i="2"/>
  <c r="B396" i="2"/>
  <c r="A396" i="2"/>
  <c r="U395" i="2"/>
  <c r="T395" i="2"/>
  <c r="S395" i="2"/>
  <c r="R395" i="2"/>
  <c r="Q395" i="2"/>
  <c r="P395" i="2"/>
  <c r="O395" i="2"/>
  <c r="N395" i="2"/>
  <c r="M395" i="2"/>
  <c r="I395" i="2"/>
  <c r="H395" i="2"/>
  <c r="G395" i="2"/>
  <c r="F395" i="2"/>
  <c r="E395" i="2"/>
  <c r="D395" i="2"/>
  <c r="C395" i="2"/>
  <c r="B395" i="2"/>
  <c r="A395" i="2"/>
  <c r="U394" i="2"/>
  <c r="T394" i="2"/>
  <c r="S394" i="2"/>
  <c r="R394" i="2"/>
  <c r="Q394" i="2"/>
  <c r="P394" i="2"/>
  <c r="L394" i="2"/>
  <c r="K394" i="2"/>
  <c r="J394" i="2"/>
  <c r="I394" i="2"/>
  <c r="H394" i="2"/>
  <c r="G394" i="2"/>
  <c r="F394" i="2"/>
  <c r="E394" i="2"/>
  <c r="D394" i="2"/>
  <c r="C394" i="2"/>
  <c r="B394" i="2"/>
  <c r="A394" i="2"/>
  <c r="U393" i="2"/>
  <c r="T393" i="2"/>
  <c r="S393" i="2"/>
  <c r="R393" i="2"/>
  <c r="Q393" i="2"/>
  <c r="P393" i="2"/>
  <c r="L393" i="2"/>
  <c r="K393" i="2"/>
  <c r="J393" i="2"/>
  <c r="I393" i="2"/>
  <c r="H393" i="2"/>
  <c r="G393" i="2"/>
  <c r="F393" i="2"/>
  <c r="E393" i="2"/>
  <c r="D393" i="2"/>
  <c r="C393" i="2"/>
  <c r="B393" i="2"/>
  <c r="A393" i="2"/>
  <c r="U392" i="2"/>
  <c r="T392" i="2"/>
  <c r="S392" i="2"/>
  <c r="R392" i="2"/>
  <c r="Q392" i="2"/>
  <c r="P392" i="2"/>
  <c r="L392" i="2"/>
  <c r="K392" i="2"/>
  <c r="J392" i="2"/>
  <c r="I392" i="2"/>
  <c r="H392" i="2"/>
  <c r="G392" i="2"/>
  <c r="F392" i="2"/>
  <c r="E392" i="2"/>
  <c r="D392" i="2"/>
  <c r="C392" i="2"/>
  <c r="B392" i="2"/>
  <c r="A392" i="2"/>
  <c r="U391" i="2"/>
  <c r="T391" i="2"/>
  <c r="S391" i="2"/>
  <c r="R391" i="2"/>
  <c r="Q391" i="2"/>
  <c r="P391" i="2"/>
  <c r="O391" i="2"/>
  <c r="N391" i="2"/>
  <c r="M391" i="2"/>
  <c r="I391" i="2"/>
  <c r="H391" i="2"/>
  <c r="G391" i="2"/>
  <c r="F391" i="2"/>
  <c r="E391" i="2"/>
  <c r="D391" i="2"/>
  <c r="C391" i="2"/>
  <c r="B391" i="2"/>
  <c r="A391" i="2"/>
  <c r="U390" i="2"/>
  <c r="T390" i="2"/>
  <c r="S390" i="2"/>
  <c r="R390" i="2"/>
  <c r="Q390" i="2"/>
  <c r="P390" i="2"/>
  <c r="L390" i="2"/>
  <c r="K390" i="2"/>
  <c r="J390" i="2"/>
  <c r="I390" i="2"/>
  <c r="H390" i="2"/>
  <c r="G390" i="2"/>
  <c r="F390" i="2"/>
  <c r="E390" i="2"/>
  <c r="D390" i="2"/>
  <c r="C390" i="2"/>
  <c r="B390" i="2"/>
  <c r="A390" i="2"/>
  <c r="U389" i="2"/>
  <c r="T389" i="2"/>
  <c r="S389" i="2"/>
  <c r="R389" i="2"/>
  <c r="Q389" i="2"/>
  <c r="P389" i="2"/>
  <c r="L389" i="2"/>
  <c r="K389" i="2"/>
  <c r="J389" i="2"/>
  <c r="I389" i="2"/>
  <c r="H389" i="2"/>
  <c r="G389" i="2"/>
  <c r="F389" i="2"/>
  <c r="E389" i="2"/>
  <c r="D389" i="2"/>
  <c r="C389" i="2"/>
  <c r="B389" i="2"/>
  <c r="A389" i="2"/>
  <c r="U388" i="2"/>
  <c r="T388" i="2"/>
  <c r="S388" i="2"/>
  <c r="R388" i="2"/>
  <c r="Q388" i="2"/>
  <c r="P388" i="2"/>
  <c r="L388" i="2"/>
  <c r="K388" i="2"/>
  <c r="J388" i="2"/>
  <c r="I388" i="2"/>
  <c r="H388" i="2"/>
  <c r="G388" i="2"/>
  <c r="F388" i="2"/>
  <c r="E388" i="2"/>
  <c r="D388" i="2"/>
  <c r="C388" i="2"/>
  <c r="B388" i="2"/>
  <c r="A388" i="2"/>
  <c r="U387" i="2"/>
  <c r="T387" i="2"/>
  <c r="S387" i="2"/>
  <c r="R387" i="2"/>
  <c r="Q387" i="2"/>
  <c r="P387" i="2"/>
  <c r="L387" i="2"/>
  <c r="K387" i="2"/>
  <c r="J387" i="2"/>
  <c r="I387" i="2"/>
  <c r="H387" i="2"/>
  <c r="G387" i="2"/>
  <c r="F387" i="2"/>
  <c r="E387" i="2"/>
  <c r="D387" i="2"/>
  <c r="C387" i="2"/>
  <c r="B387" i="2"/>
  <c r="A387" i="2"/>
  <c r="U386" i="2"/>
  <c r="T386" i="2"/>
  <c r="S386" i="2"/>
  <c r="R386" i="2"/>
  <c r="Q386" i="2"/>
  <c r="P386" i="2"/>
  <c r="L386" i="2"/>
  <c r="K386" i="2"/>
  <c r="J386" i="2"/>
  <c r="I386" i="2"/>
  <c r="H386" i="2"/>
  <c r="G386" i="2"/>
  <c r="F386" i="2"/>
  <c r="E386" i="2"/>
  <c r="D386" i="2"/>
  <c r="C386" i="2"/>
  <c r="B386" i="2"/>
  <c r="A386" i="2"/>
  <c r="U385" i="2"/>
  <c r="T385" i="2"/>
  <c r="S385" i="2"/>
  <c r="R385" i="2"/>
  <c r="Q385" i="2"/>
  <c r="P385" i="2"/>
  <c r="L385" i="2"/>
  <c r="K385" i="2"/>
  <c r="J385" i="2"/>
  <c r="I385" i="2"/>
  <c r="H385" i="2"/>
  <c r="G385" i="2"/>
  <c r="F385" i="2"/>
  <c r="E385" i="2"/>
  <c r="D385" i="2"/>
  <c r="C385" i="2"/>
  <c r="B385" i="2"/>
  <c r="A385" i="2"/>
  <c r="U384" i="2"/>
  <c r="T384" i="2"/>
  <c r="S384" i="2"/>
  <c r="R384" i="2"/>
  <c r="Q384" i="2"/>
  <c r="P384" i="2"/>
  <c r="L384" i="2"/>
  <c r="K384" i="2"/>
  <c r="J384" i="2"/>
  <c r="I384" i="2"/>
  <c r="H384" i="2"/>
  <c r="G384" i="2"/>
  <c r="F384" i="2"/>
  <c r="E384" i="2"/>
  <c r="D384" i="2"/>
  <c r="C384" i="2"/>
  <c r="B384" i="2"/>
  <c r="A384" i="2"/>
  <c r="U383" i="2"/>
  <c r="T383" i="2"/>
  <c r="S383" i="2"/>
  <c r="R383" i="2"/>
  <c r="Q383" i="2"/>
  <c r="P383" i="2"/>
  <c r="L383" i="2"/>
  <c r="K383" i="2"/>
  <c r="J383" i="2"/>
  <c r="I383" i="2"/>
  <c r="H383" i="2"/>
  <c r="G383" i="2"/>
  <c r="F383" i="2"/>
  <c r="E383" i="2"/>
  <c r="D383" i="2"/>
  <c r="C383" i="2"/>
  <c r="B383" i="2"/>
  <c r="A383" i="2"/>
  <c r="U382" i="2"/>
  <c r="T382" i="2"/>
  <c r="S382" i="2"/>
  <c r="R382" i="2"/>
  <c r="Q382" i="2"/>
  <c r="P382" i="2"/>
  <c r="L382" i="2"/>
  <c r="K382" i="2"/>
  <c r="J382" i="2"/>
  <c r="I382" i="2"/>
  <c r="H382" i="2"/>
  <c r="G382" i="2"/>
  <c r="F382" i="2"/>
  <c r="E382" i="2"/>
  <c r="D382" i="2"/>
  <c r="C382" i="2"/>
  <c r="B382" i="2"/>
  <c r="A382" i="2"/>
  <c r="U381" i="2"/>
  <c r="T381" i="2"/>
  <c r="S381" i="2"/>
  <c r="R381" i="2"/>
  <c r="Q381" i="2"/>
  <c r="P381" i="2"/>
  <c r="L381" i="2"/>
  <c r="K381" i="2"/>
  <c r="J381" i="2"/>
  <c r="I381" i="2"/>
  <c r="H381" i="2"/>
  <c r="G381" i="2"/>
  <c r="F381" i="2"/>
  <c r="E381" i="2"/>
  <c r="D381" i="2"/>
  <c r="C381" i="2"/>
  <c r="B381" i="2"/>
  <c r="A381" i="2"/>
  <c r="U380" i="2"/>
  <c r="T380" i="2"/>
  <c r="S380" i="2"/>
  <c r="R380" i="2"/>
  <c r="Q380" i="2"/>
  <c r="P380" i="2"/>
  <c r="L380" i="2"/>
  <c r="K380" i="2"/>
  <c r="J380" i="2"/>
  <c r="I380" i="2"/>
  <c r="H380" i="2"/>
  <c r="G380" i="2"/>
  <c r="F380" i="2"/>
  <c r="E380" i="2"/>
  <c r="D380" i="2"/>
  <c r="C380" i="2"/>
  <c r="B380" i="2"/>
  <c r="A380" i="2"/>
  <c r="U379" i="2"/>
  <c r="T379" i="2"/>
  <c r="S379" i="2"/>
  <c r="R379" i="2"/>
  <c r="Q379" i="2"/>
  <c r="P379" i="2"/>
  <c r="L379" i="2"/>
  <c r="K379" i="2"/>
  <c r="J379" i="2"/>
  <c r="I379" i="2"/>
  <c r="H379" i="2"/>
  <c r="G379" i="2"/>
  <c r="F379" i="2"/>
  <c r="E379" i="2"/>
  <c r="D379" i="2"/>
  <c r="C379" i="2"/>
  <c r="B379" i="2"/>
  <c r="A379" i="2"/>
  <c r="U378" i="2"/>
  <c r="T378" i="2"/>
  <c r="S378" i="2"/>
  <c r="R378" i="2"/>
  <c r="Q378" i="2"/>
  <c r="P378" i="2"/>
  <c r="L378" i="2"/>
  <c r="K378" i="2"/>
  <c r="J378" i="2"/>
  <c r="I378" i="2"/>
  <c r="H378" i="2"/>
  <c r="G378" i="2"/>
  <c r="F378" i="2"/>
  <c r="E378" i="2"/>
  <c r="D378" i="2"/>
  <c r="C378" i="2"/>
  <c r="B378" i="2"/>
  <c r="A378" i="2"/>
  <c r="U377" i="2"/>
  <c r="T377" i="2"/>
  <c r="S377" i="2"/>
  <c r="R377" i="2"/>
  <c r="Q377" i="2"/>
  <c r="P377" i="2"/>
  <c r="L377" i="2"/>
  <c r="K377" i="2"/>
  <c r="J377" i="2"/>
  <c r="I377" i="2"/>
  <c r="H377" i="2"/>
  <c r="G377" i="2"/>
  <c r="F377" i="2"/>
  <c r="E377" i="2"/>
  <c r="D377" i="2"/>
  <c r="C377" i="2"/>
  <c r="B377" i="2"/>
  <c r="A377" i="2"/>
  <c r="U376" i="2"/>
  <c r="T376" i="2"/>
  <c r="S376" i="2"/>
  <c r="R376" i="2"/>
  <c r="Q376" i="2"/>
  <c r="P376" i="2"/>
  <c r="L376" i="2"/>
  <c r="K376" i="2"/>
  <c r="J376" i="2"/>
  <c r="I376" i="2"/>
  <c r="H376" i="2"/>
  <c r="G376" i="2"/>
  <c r="F376" i="2"/>
  <c r="E376" i="2"/>
  <c r="D376" i="2"/>
  <c r="C376" i="2"/>
  <c r="B376" i="2"/>
  <c r="A376" i="2"/>
  <c r="U375" i="2"/>
  <c r="T375" i="2"/>
  <c r="S375" i="2"/>
  <c r="R375" i="2"/>
  <c r="Q375" i="2"/>
  <c r="P375" i="2"/>
  <c r="L375" i="2"/>
  <c r="K375" i="2"/>
  <c r="J375" i="2"/>
  <c r="I375" i="2"/>
  <c r="H375" i="2"/>
  <c r="G375" i="2"/>
  <c r="F375" i="2"/>
  <c r="E375" i="2"/>
  <c r="D375" i="2"/>
  <c r="C375" i="2"/>
  <c r="B375" i="2"/>
  <c r="A375" i="2"/>
  <c r="U374" i="2"/>
  <c r="T374" i="2"/>
  <c r="S374" i="2"/>
  <c r="R374" i="2"/>
  <c r="Q374" i="2"/>
  <c r="P374" i="2"/>
  <c r="L374" i="2"/>
  <c r="K374" i="2"/>
  <c r="J374" i="2"/>
  <c r="I374" i="2"/>
  <c r="H374" i="2"/>
  <c r="G374" i="2"/>
  <c r="F374" i="2"/>
  <c r="E374" i="2"/>
  <c r="D374" i="2"/>
  <c r="C374" i="2"/>
  <c r="B374" i="2"/>
  <c r="A374" i="2"/>
  <c r="U373" i="2"/>
  <c r="T373" i="2"/>
  <c r="S373" i="2"/>
  <c r="R373" i="2"/>
  <c r="Q373" i="2"/>
  <c r="P373" i="2"/>
  <c r="L373" i="2"/>
  <c r="K373" i="2"/>
  <c r="J373" i="2"/>
  <c r="I373" i="2"/>
  <c r="H373" i="2"/>
  <c r="G373" i="2"/>
  <c r="F373" i="2"/>
  <c r="E373" i="2"/>
  <c r="D373" i="2"/>
  <c r="C373" i="2"/>
  <c r="B373" i="2"/>
  <c r="A373" i="2"/>
  <c r="U372" i="2"/>
  <c r="T372" i="2"/>
  <c r="S372" i="2"/>
  <c r="R372" i="2"/>
  <c r="Q372" i="2"/>
  <c r="P372" i="2"/>
  <c r="L372" i="2"/>
  <c r="K372" i="2"/>
  <c r="J372" i="2"/>
  <c r="I372" i="2"/>
  <c r="H372" i="2"/>
  <c r="G372" i="2"/>
  <c r="F372" i="2"/>
  <c r="E372" i="2"/>
  <c r="D372" i="2"/>
  <c r="C372" i="2"/>
  <c r="B372" i="2"/>
  <c r="A372" i="2"/>
  <c r="U371" i="2"/>
  <c r="T371" i="2"/>
  <c r="S371" i="2"/>
  <c r="R371" i="2"/>
  <c r="Q371" i="2"/>
  <c r="P371" i="2"/>
  <c r="L371" i="2"/>
  <c r="K371" i="2"/>
  <c r="J371" i="2"/>
  <c r="I371" i="2"/>
  <c r="H371" i="2"/>
  <c r="G371" i="2"/>
  <c r="F371" i="2"/>
  <c r="E371" i="2"/>
  <c r="D371" i="2"/>
  <c r="C371" i="2"/>
  <c r="B371" i="2"/>
  <c r="A371" i="2"/>
  <c r="U370" i="2"/>
  <c r="T370" i="2"/>
  <c r="S370" i="2"/>
  <c r="R370" i="2"/>
  <c r="Q370" i="2"/>
  <c r="P370" i="2"/>
  <c r="L370" i="2"/>
  <c r="K370" i="2"/>
  <c r="J370" i="2"/>
  <c r="I370" i="2"/>
  <c r="H370" i="2"/>
  <c r="G370" i="2"/>
  <c r="F370" i="2"/>
  <c r="E370" i="2"/>
  <c r="D370" i="2"/>
  <c r="C370" i="2"/>
  <c r="B370" i="2"/>
  <c r="A370" i="2"/>
  <c r="U369" i="2"/>
  <c r="T369" i="2"/>
  <c r="S369" i="2"/>
  <c r="R369" i="2"/>
  <c r="Q369" i="2"/>
  <c r="P369" i="2"/>
  <c r="L369" i="2"/>
  <c r="K369" i="2"/>
  <c r="J369" i="2"/>
  <c r="I369" i="2"/>
  <c r="H369" i="2"/>
  <c r="G369" i="2"/>
  <c r="F369" i="2"/>
  <c r="E369" i="2"/>
  <c r="D369" i="2"/>
  <c r="C369" i="2"/>
  <c r="B369" i="2"/>
  <c r="A369" i="2"/>
  <c r="U368" i="2"/>
  <c r="T368" i="2"/>
  <c r="S368" i="2"/>
  <c r="R368" i="2"/>
  <c r="Q368" i="2"/>
  <c r="P368" i="2"/>
  <c r="L368" i="2"/>
  <c r="K368" i="2"/>
  <c r="J368" i="2"/>
  <c r="I368" i="2"/>
  <c r="H368" i="2"/>
  <c r="G368" i="2"/>
  <c r="F368" i="2"/>
  <c r="E368" i="2"/>
  <c r="D368" i="2"/>
  <c r="C368" i="2"/>
  <c r="B368" i="2"/>
  <c r="A368" i="2"/>
  <c r="U367" i="2"/>
  <c r="T367" i="2"/>
  <c r="S367" i="2"/>
  <c r="R367" i="2"/>
  <c r="Q367" i="2"/>
  <c r="P367" i="2"/>
  <c r="L367" i="2"/>
  <c r="K367" i="2"/>
  <c r="J367" i="2"/>
  <c r="I367" i="2"/>
  <c r="H367" i="2"/>
  <c r="G367" i="2"/>
  <c r="F367" i="2"/>
  <c r="E367" i="2"/>
  <c r="D367" i="2"/>
  <c r="C367" i="2"/>
  <c r="B367" i="2"/>
  <c r="A367" i="2"/>
  <c r="U366" i="2"/>
  <c r="T366" i="2"/>
  <c r="S366" i="2"/>
  <c r="R366" i="2"/>
  <c r="Q366" i="2"/>
  <c r="P366" i="2"/>
  <c r="O366" i="2"/>
  <c r="N366" i="2"/>
  <c r="M366" i="2"/>
  <c r="I366" i="2"/>
  <c r="H366" i="2"/>
  <c r="G366" i="2"/>
  <c r="F366" i="2"/>
  <c r="E366" i="2"/>
  <c r="D366" i="2"/>
  <c r="C366" i="2"/>
  <c r="B366" i="2"/>
  <c r="A366" i="2"/>
  <c r="U365" i="2"/>
  <c r="T365" i="2"/>
  <c r="S365" i="2"/>
  <c r="R365" i="2"/>
  <c r="Q365" i="2"/>
  <c r="P365" i="2"/>
  <c r="O365" i="2"/>
  <c r="N365" i="2"/>
  <c r="M365" i="2"/>
  <c r="I365" i="2"/>
  <c r="H365" i="2"/>
  <c r="G365" i="2"/>
  <c r="F365" i="2"/>
  <c r="E365" i="2"/>
  <c r="D365" i="2"/>
  <c r="C365" i="2"/>
  <c r="B365" i="2"/>
  <c r="A365" i="2"/>
  <c r="U364" i="2"/>
  <c r="T364" i="2"/>
  <c r="S364" i="2"/>
  <c r="R364" i="2"/>
  <c r="Q364" i="2"/>
  <c r="P364" i="2"/>
  <c r="L364" i="2"/>
  <c r="K364" i="2"/>
  <c r="J364" i="2"/>
  <c r="I364" i="2"/>
  <c r="H364" i="2"/>
  <c r="G364" i="2"/>
  <c r="F364" i="2"/>
  <c r="E364" i="2"/>
  <c r="D364" i="2"/>
  <c r="C364" i="2"/>
  <c r="B364" i="2"/>
  <c r="A364" i="2"/>
  <c r="U363" i="2"/>
  <c r="T363" i="2"/>
  <c r="S363" i="2"/>
  <c r="R363" i="2"/>
  <c r="Q363" i="2"/>
  <c r="P363" i="2"/>
  <c r="L363" i="2"/>
  <c r="K363" i="2"/>
  <c r="J363" i="2"/>
  <c r="I363" i="2"/>
  <c r="H363" i="2"/>
  <c r="G363" i="2"/>
  <c r="F363" i="2"/>
  <c r="E363" i="2"/>
  <c r="D363" i="2"/>
  <c r="C363" i="2"/>
  <c r="B363" i="2"/>
  <c r="A363" i="2"/>
  <c r="U362" i="2"/>
  <c r="T362" i="2"/>
  <c r="S362" i="2"/>
  <c r="R362" i="2"/>
  <c r="Q362" i="2"/>
  <c r="P362" i="2"/>
  <c r="L362" i="2"/>
  <c r="K362" i="2"/>
  <c r="J362" i="2"/>
  <c r="I362" i="2"/>
  <c r="H362" i="2"/>
  <c r="G362" i="2"/>
  <c r="F362" i="2"/>
  <c r="E362" i="2"/>
  <c r="D362" i="2"/>
  <c r="C362" i="2"/>
  <c r="B362" i="2"/>
  <c r="A362" i="2"/>
  <c r="U361" i="2"/>
  <c r="T361" i="2"/>
  <c r="S361" i="2"/>
  <c r="R361" i="2"/>
  <c r="Q361" i="2"/>
  <c r="P361" i="2"/>
  <c r="L361" i="2"/>
  <c r="K361" i="2"/>
  <c r="J361" i="2"/>
  <c r="I361" i="2"/>
  <c r="H361" i="2"/>
  <c r="G361" i="2"/>
  <c r="F361" i="2"/>
  <c r="E361" i="2"/>
  <c r="D361" i="2"/>
  <c r="C361" i="2"/>
  <c r="B361" i="2"/>
  <c r="A361" i="2"/>
  <c r="U360" i="2"/>
  <c r="T360" i="2"/>
  <c r="S360" i="2"/>
  <c r="R360" i="2"/>
  <c r="Q360" i="2"/>
  <c r="P360" i="2"/>
  <c r="L360" i="2"/>
  <c r="K360" i="2"/>
  <c r="J360" i="2"/>
  <c r="I360" i="2"/>
  <c r="H360" i="2"/>
  <c r="G360" i="2"/>
  <c r="F360" i="2"/>
  <c r="E360" i="2"/>
  <c r="D360" i="2"/>
  <c r="C360" i="2"/>
  <c r="B360" i="2"/>
  <c r="A360" i="2"/>
  <c r="U359" i="2"/>
  <c r="T359" i="2"/>
  <c r="S359" i="2"/>
  <c r="R359" i="2"/>
  <c r="Q359" i="2"/>
  <c r="P359" i="2"/>
  <c r="L359" i="2"/>
  <c r="K359" i="2"/>
  <c r="J359" i="2"/>
  <c r="I359" i="2"/>
  <c r="H359" i="2"/>
  <c r="G359" i="2"/>
  <c r="F359" i="2"/>
  <c r="E359" i="2"/>
  <c r="D359" i="2"/>
  <c r="C359" i="2"/>
  <c r="B359" i="2"/>
  <c r="A359" i="2"/>
  <c r="U358" i="2"/>
  <c r="T358" i="2"/>
  <c r="S358" i="2"/>
  <c r="R358" i="2"/>
  <c r="Q358" i="2"/>
  <c r="P358" i="2"/>
  <c r="O358" i="2"/>
  <c r="N358" i="2"/>
  <c r="M358" i="2"/>
  <c r="I358" i="2"/>
  <c r="H358" i="2"/>
  <c r="G358" i="2"/>
  <c r="F358" i="2"/>
  <c r="E358" i="2"/>
  <c r="D358" i="2"/>
  <c r="C358" i="2"/>
  <c r="B358" i="2"/>
  <c r="A358" i="2"/>
  <c r="U357" i="2"/>
  <c r="T357" i="2"/>
  <c r="S357" i="2"/>
  <c r="R357" i="2"/>
  <c r="Q357" i="2"/>
  <c r="P357" i="2"/>
  <c r="O357" i="2"/>
  <c r="N357" i="2"/>
  <c r="M357" i="2"/>
  <c r="I357" i="2"/>
  <c r="H357" i="2"/>
  <c r="G357" i="2"/>
  <c r="F357" i="2"/>
  <c r="E357" i="2"/>
  <c r="D357" i="2"/>
  <c r="C357" i="2"/>
  <c r="B357" i="2"/>
  <c r="A357" i="2"/>
  <c r="U356" i="2"/>
  <c r="T356" i="2"/>
  <c r="S356" i="2"/>
  <c r="R356" i="2"/>
  <c r="Q356" i="2"/>
  <c r="P356" i="2"/>
  <c r="L356" i="2"/>
  <c r="K356" i="2"/>
  <c r="J356" i="2"/>
  <c r="I356" i="2"/>
  <c r="H356" i="2"/>
  <c r="G356" i="2"/>
  <c r="F356" i="2"/>
  <c r="E356" i="2"/>
  <c r="D356" i="2"/>
  <c r="C356" i="2"/>
  <c r="B356" i="2"/>
  <c r="A356" i="2"/>
  <c r="U355" i="2"/>
  <c r="T355" i="2"/>
  <c r="S355" i="2"/>
  <c r="R355" i="2"/>
  <c r="Q355" i="2"/>
  <c r="P355" i="2"/>
  <c r="L355" i="2"/>
  <c r="K355" i="2"/>
  <c r="J355" i="2"/>
  <c r="I355" i="2"/>
  <c r="H355" i="2"/>
  <c r="G355" i="2"/>
  <c r="F355" i="2"/>
  <c r="E355" i="2"/>
  <c r="D355" i="2"/>
  <c r="C355" i="2"/>
  <c r="B355" i="2"/>
  <c r="A355" i="2"/>
  <c r="U354" i="2"/>
  <c r="T354" i="2"/>
  <c r="S354" i="2"/>
  <c r="R354" i="2"/>
  <c r="Q354" i="2"/>
  <c r="P354" i="2"/>
  <c r="L354" i="2"/>
  <c r="K354" i="2"/>
  <c r="J354" i="2"/>
  <c r="I354" i="2"/>
  <c r="H354" i="2"/>
  <c r="G354" i="2"/>
  <c r="F354" i="2"/>
  <c r="E354" i="2"/>
  <c r="D354" i="2"/>
  <c r="C354" i="2"/>
  <c r="B354" i="2"/>
  <c r="A354" i="2"/>
  <c r="U353" i="2"/>
  <c r="T353" i="2"/>
  <c r="S353" i="2"/>
  <c r="R353" i="2"/>
  <c r="Q353" i="2"/>
  <c r="P353" i="2"/>
  <c r="L353" i="2"/>
  <c r="K353" i="2"/>
  <c r="J353" i="2"/>
  <c r="I353" i="2"/>
  <c r="H353" i="2"/>
  <c r="G353" i="2"/>
  <c r="F353" i="2"/>
  <c r="E353" i="2"/>
  <c r="D353" i="2"/>
  <c r="C353" i="2"/>
  <c r="B353" i="2"/>
  <c r="A353" i="2"/>
  <c r="U352" i="2"/>
  <c r="T352" i="2"/>
  <c r="S352" i="2"/>
  <c r="R352" i="2"/>
  <c r="Q352" i="2"/>
  <c r="P352" i="2"/>
  <c r="L352" i="2"/>
  <c r="K352" i="2"/>
  <c r="J352" i="2"/>
  <c r="I352" i="2"/>
  <c r="H352" i="2"/>
  <c r="G352" i="2"/>
  <c r="F352" i="2"/>
  <c r="E352" i="2"/>
  <c r="D352" i="2"/>
  <c r="C352" i="2"/>
  <c r="B352" i="2"/>
  <c r="A352" i="2"/>
  <c r="U351" i="2"/>
  <c r="T351" i="2"/>
  <c r="S351" i="2"/>
  <c r="R351" i="2"/>
  <c r="Q351" i="2"/>
  <c r="P351" i="2"/>
  <c r="L351" i="2"/>
  <c r="K351" i="2"/>
  <c r="J351" i="2"/>
  <c r="I351" i="2"/>
  <c r="H351" i="2"/>
  <c r="G351" i="2"/>
  <c r="F351" i="2"/>
  <c r="E351" i="2"/>
  <c r="D351" i="2"/>
  <c r="C351" i="2"/>
  <c r="B351" i="2"/>
  <c r="A351" i="2"/>
  <c r="U350" i="2"/>
  <c r="T350" i="2"/>
  <c r="S350" i="2"/>
  <c r="R350" i="2"/>
  <c r="Q350" i="2"/>
  <c r="P350" i="2"/>
  <c r="L350" i="2"/>
  <c r="K350" i="2"/>
  <c r="J350" i="2"/>
  <c r="I350" i="2"/>
  <c r="H350" i="2"/>
  <c r="G350" i="2"/>
  <c r="F350" i="2"/>
  <c r="E350" i="2"/>
  <c r="D350" i="2"/>
  <c r="C350" i="2"/>
  <c r="B350" i="2"/>
  <c r="A350" i="2"/>
  <c r="U349" i="2"/>
  <c r="T349" i="2"/>
  <c r="S349" i="2"/>
  <c r="R349" i="2"/>
  <c r="Q349" i="2"/>
  <c r="P349" i="2"/>
  <c r="O349" i="2"/>
  <c r="N349" i="2"/>
  <c r="M349" i="2"/>
  <c r="I349" i="2"/>
  <c r="H349" i="2"/>
  <c r="G349" i="2"/>
  <c r="F349" i="2"/>
  <c r="E349" i="2"/>
  <c r="D349" i="2"/>
  <c r="C349" i="2"/>
  <c r="B349" i="2"/>
  <c r="A349" i="2"/>
  <c r="U348" i="2"/>
  <c r="T348" i="2"/>
  <c r="S348" i="2"/>
  <c r="R348" i="2"/>
  <c r="Q348" i="2"/>
  <c r="P348" i="2"/>
  <c r="O348" i="2"/>
  <c r="N348" i="2"/>
  <c r="M348" i="2"/>
  <c r="I348" i="2"/>
  <c r="H348" i="2"/>
  <c r="G348" i="2"/>
  <c r="F348" i="2"/>
  <c r="E348" i="2"/>
  <c r="D348" i="2"/>
  <c r="C348" i="2"/>
  <c r="B348" i="2"/>
  <c r="A348" i="2"/>
  <c r="U347" i="2"/>
  <c r="T347" i="2"/>
  <c r="S347" i="2"/>
  <c r="R347" i="2"/>
  <c r="Q347" i="2"/>
  <c r="P347" i="2"/>
  <c r="L347" i="2"/>
  <c r="K347" i="2"/>
  <c r="J347" i="2"/>
  <c r="I347" i="2"/>
  <c r="H347" i="2"/>
  <c r="G347" i="2"/>
  <c r="F347" i="2"/>
  <c r="E347" i="2"/>
  <c r="D347" i="2"/>
  <c r="C347" i="2"/>
  <c r="B347" i="2"/>
  <c r="A347" i="2"/>
  <c r="U346" i="2"/>
  <c r="T346" i="2"/>
  <c r="S346" i="2"/>
  <c r="R346" i="2"/>
  <c r="Q346" i="2"/>
  <c r="P346" i="2"/>
  <c r="L346" i="2"/>
  <c r="K346" i="2"/>
  <c r="J346" i="2"/>
  <c r="I346" i="2"/>
  <c r="H346" i="2"/>
  <c r="G346" i="2"/>
  <c r="F346" i="2"/>
  <c r="E346" i="2"/>
  <c r="D346" i="2"/>
  <c r="C346" i="2"/>
  <c r="B346" i="2"/>
  <c r="A346" i="2"/>
  <c r="U345" i="2"/>
  <c r="T345" i="2"/>
  <c r="S345" i="2"/>
  <c r="R345" i="2"/>
  <c r="Q345" i="2"/>
  <c r="P345" i="2"/>
  <c r="L345" i="2"/>
  <c r="K345" i="2"/>
  <c r="J345" i="2"/>
  <c r="I345" i="2"/>
  <c r="H345" i="2"/>
  <c r="G345" i="2"/>
  <c r="F345" i="2"/>
  <c r="E345" i="2"/>
  <c r="D345" i="2"/>
  <c r="C345" i="2"/>
  <c r="B345" i="2"/>
  <c r="A345" i="2"/>
  <c r="U344" i="2"/>
  <c r="T344" i="2"/>
  <c r="S344" i="2"/>
  <c r="R344" i="2"/>
  <c r="Q344" i="2"/>
  <c r="P344" i="2"/>
  <c r="L344" i="2"/>
  <c r="K344" i="2"/>
  <c r="J344" i="2"/>
  <c r="I344" i="2"/>
  <c r="H344" i="2"/>
  <c r="G344" i="2"/>
  <c r="F344" i="2"/>
  <c r="E344" i="2"/>
  <c r="D344" i="2"/>
  <c r="C344" i="2"/>
  <c r="B344" i="2"/>
  <c r="A344" i="2"/>
  <c r="U343" i="2"/>
  <c r="T343" i="2"/>
  <c r="S343" i="2"/>
  <c r="R343" i="2"/>
  <c r="Q343" i="2"/>
  <c r="P343" i="2"/>
  <c r="L343" i="2"/>
  <c r="K343" i="2"/>
  <c r="J343" i="2"/>
  <c r="I343" i="2"/>
  <c r="H343" i="2"/>
  <c r="G343" i="2"/>
  <c r="F343" i="2"/>
  <c r="E343" i="2"/>
  <c r="D343" i="2"/>
  <c r="C343" i="2"/>
  <c r="B343" i="2"/>
  <c r="A343" i="2"/>
  <c r="U342" i="2"/>
  <c r="T342" i="2"/>
  <c r="S342" i="2"/>
  <c r="R342" i="2"/>
  <c r="Q342" i="2"/>
  <c r="P342" i="2"/>
  <c r="L342" i="2"/>
  <c r="K342" i="2"/>
  <c r="J342" i="2"/>
  <c r="I342" i="2"/>
  <c r="H342" i="2"/>
  <c r="G342" i="2"/>
  <c r="F342" i="2"/>
  <c r="E342" i="2"/>
  <c r="D342" i="2"/>
  <c r="C342" i="2"/>
  <c r="B342" i="2"/>
  <c r="A342" i="2"/>
  <c r="U341" i="2"/>
  <c r="T341" i="2"/>
  <c r="S341" i="2"/>
  <c r="R341" i="2"/>
  <c r="Q341" i="2"/>
  <c r="P341" i="2"/>
  <c r="L341" i="2"/>
  <c r="K341" i="2"/>
  <c r="J341" i="2"/>
  <c r="I341" i="2"/>
  <c r="H341" i="2"/>
  <c r="G341" i="2"/>
  <c r="F341" i="2"/>
  <c r="E341" i="2"/>
  <c r="D341" i="2"/>
  <c r="C341" i="2"/>
  <c r="B341" i="2"/>
  <c r="A341" i="2"/>
  <c r="U340" i="2"/>
  <c r="T340" i="2"/>
  <c r="S340" i="2"/>
  <c r="R340" i="2"/>
  <c r="Q340" i="2"/>
  <c r="P340" i="2"/>
  <c r="L340" i="2"/>
  <c r="K340" i="2"/>
  <c r="J340" i="2"/>
  <c r="I340" i="2"/>
  <c r="H340" i="2"/>
  <c r="G340" i="2"/>
  <c r="F340" i="2"/>
  <c r="E340" i="2"/>
  <c r="D340" i="2"/>
  <c r="C340" i="2"/>
  <c r="B340" i="2"/>
  <c r="A340" i="2"/>
  <c r="U339" i="2"/>
  <c r="T339" i="2"/>
  <c r="S339" i="2"/>
  <c r="R339" i="2"/>
  <c r="Q339" i="2"/>
  <c r="P339" i="2"/>
  <c r="L339" i="2"/>
  <c r="K339" i="2"/>
  <c r="J339" i="2"/>
  <c r="I339" i="2"/>
  <c r="H339" i="2"/>
  <c r="G339" i="2"/>
  <c r="F339" i="2"/>
  <c r="E339" i="2"/>
  <c r="D339" i="2"/>
  <c r="C339" i="2"/>
  <c r="B339" i="2"/>
  <c r="A339" i="2"/>
  <c r="U338" i="2"/>
  <c r="T338" i="2"/>
  <c r="S338" i="2"/>
  <c r="R338" i="2"/>
  <c r="Q338" i="2"/>
  <c r="P338" i="2"/>
  <c r="L338" i="2"/>
  <c r="K338" i="2"/>
  <c r="J338" i="2"/>
  <c r="I338" i="2"/>
  <c r="H338" i="2"/>
  <c r="G338" i="2"/>
  <c r="F338" i="2"/>
  <c r="E338" i="2"/>
  <c r="D338" i="2"/>
  <c r="C338" i="2"/>
  <c r="B338" i="2"/>
  <c r="A338" i="2"/>
  <c r="U337" i="2"/>
  <c r="T337" i="2"/>
  <c r="S337" i="2"/>
  <c r="R337" i="2"/>
  <c r="Q337" i="2"/>
  <c r="P337" i="2"/>
  <c r="O337" i="2"/>
  <c r="N337" i="2"/>
  <c r="M337" i="2"/>
  <c r="I337" i="2"/>
  <c r="H337" i="2"/>
  <c r="G337" i="2"/>
  <c r="F337" i="2"/>
  <c r="E337" i="2"/>
  <c r="D337" i="2"/>
  <c r="C337" i="2"/>
  <c r="B337" i="2"/>
  <c r="A337" i="2"/>
  <c r="U336" i="2"/>
  <c r="T336" i="2"/>
  <c r="S336" i="2"/>
  <c r="R336" i="2"/>
  <c r="Q336" i="2"/>
  <c r="P336" i="2"/>
  <c r="L336" i="2"/>
  <c r="K336" i="2"/>
  <c r="J336" i="2"/>
  <c r="I336" i="2"/>
  <c r="H336" i="2"/>
  <c r="G336" i="2"/>
  <c r="F336" i="2"/>
  <c r="E336" i="2"/>
  <c r="D336" i="2"/>
  <c r="C336" i="2"/>
  <c r="B336" i="2"/>
  <c r="A336" i="2"/>
  <c r="U335" i="2"/>
  <c r="T335" i="2"/>
  <c r="S335" i="2"/>
  <c r="R335" i="2"/>
  <c r="Q335" i="2"/>
  <c r="P335" i="2"/>
  <c r="L335" i="2"/>
  <c r="K335" i="2"/>
  <c r="J335" i="2"/>
  <c r="I335" i="2"/>
  <c r="H335" i="2"/>
  <c r="G335" i="2"/>
  <c r="F335" i="2"/>
  <c r="E335" i="2"/>
  <c r="D335" i="2"/>
  <c r="C335" i="2"/>
  <c r="B335" i="2"/>
  <c r="A335" i="2"/>
  <c r="U334" i="2"/>
  <c r="T334" i="2"/>
  <c r="S334" i="2"/>
  <c r="R334" i="2"/>
  <c r="Q334" i="2"/>
  <c r="P334" i="2"/>
  <c r="L334" i="2"/>
  <c r="K334" i="2"/>
  <c r="J334" i="2"/>
  <c r="I334" i="2"/>
  <c r="H334" i="2"/>
  <c r="G334" i="2"/>
  <c r="F334" i="2"/>
  <c r="E334" i="2"/>
  <c r="D334" i="2"/>
  <c r="C334" i="2"/>
  <c r="B334" i="2"/>
  <c r="A334" i="2"/>
  <c r="U333" i="2"/>
  <c r="T333" i="2"/>
  <c r="S333" i="2"/>
  <c r="R333" i="2"/>
  <c r="Q333" i="2"/>
  <c r="P333" i="2"/>
  <c r="L333" i="2"/>
  <c r="K333" i="2"/>
  <c r="J333" i="2"/>
  <c r="I333" i="2"/>
  <c r="H333" i="2"/>
  <c r="G333" i="2"/>
  <c r="F333" i="2"/>
  <c r="E333" i="2"/>
  <c r="D333" i="2"/>
  <c r="C333" i="2"/>
  <c r="B333" i="2"/>
  <c r="A333" i="2"/>
  <c r="U332" i="2"/>
  <c r="T332" i="2"/>
  <c r="S332" i="2"/>
  <c r="R332" i="2"/>
  <c r="Q332" i="2"/>
  <c r="P332" i="2"/>
  <c r="L332" i="2"/>
  <c r="K332" i="2"/>
  <c r="J332" i="2"/>
  <c r="I332" i="2"/>
  <c r="H332" i="2"/>
  <c r="G332" i="2"/>
  <c r="F332" i="2"/>
  <c r="E332" i="2"/>
  <c r="D332" i="2"/>
  <c r="C332" i="2"/>
  <c r="B332" i="2"/>
  <c r="A332" i="2"/>
  <c r="U331" i="2"/>
  <c r="T331" i="2"/>
  <c r="S331" i="2"/>
  <c r="R331" i="2"/>
  <c r="Q331" i="2"/>
  <c r="P331" i="2"/>
  <c r="L331" i="2"/>
  <c r="K331" i="2"/>
  <c r="J331" i="2"/>
  <c r="I331" i="2"/>
  <c r="H331" i="2"/>
  <c r="G331" i="2"/>
  <c r="F331" i="2"/>
  <c r="E331" i="2"/>
  <c r="D331" i="2"/>
  <c r="C331" i="2"/>
  <c r="B331" i="2"/>
  <c r="A331" i="2"/>
  <c r="U330" i="2"/>
  <c r="T330" i="2"/>
  <c r="S330" i="2"/>
  <c r="R330" i="2"/>
  <c r="Q330" i="2"/>
  <c r="P330" i="2"/>
  <c r="L330" i="2"/>
  <c r="K330" i="2"/>
  <c r="J330" i="2"/>
  <c r="I330" i="2"/>
  <c r="H330" i="2"/>
  <c r="G330" i="2"/>
  <c r="F330" i="2"/>
  <c r="E330" i="2"/>
  <c r="D330" i="2"/>
  <c r="C330" i="2"/>
  <c r="B330" i="2"/>
  <c r="A330" i="2"/>
  <c r="U329" i="2"/>
  <c r="T329" i="2"/>
  <c r="S329" i="2"/>
  <c r="R329" i="2"/>
  <c r="Q329" i="2"/>
  <c r="P329" i="2"/>
  <c r="L329" i="2"/>
  <c r="K329" i="2"/>
  <c r="J329" i="2"/>
  <c r="I329" i="2"/>
  <c r="H329" i="2"/>
  <c r="G329" i="2"/>
  <c r="F329" i="2"/>
  <c r="E329" i="2"/>
  <c r="D329" i="2"/>
  <c r="C329" i="2"/>
  <c r="B329" i="2"/>
  <c r="A329" i="2"/>
  <c r="U328" i="2"/>
  <c r="T328" i="2"/>
  <c r="S328" i="2"/>
  <c r="R328" i="2"/>
  <c r="Q328" i="2"/>
  <c r="P328" i="2"/>
  <c r="L328" i="2"/>
  <c r="K328" i="2"/>
  <c r="J328" i="2"/>
  <c r="I328" i="2"/>
  <c r="H328" i="2"/>
  <c r="G328" i="2"/>
  <c r="F328" i="2"/>
  <c r="E328" i="2"/>
  <c r="D328" i="2"/>
  <c r="C328" i="2"/>
  <c r="B328" i="2"/>
  <c r="A328" i="2"/>
  <c r="U327" i="2"/>
  <c r="T327" i="2"/>
  <c r="S327" i="2"/>
  <c r="R327" i="2"/>
  <c r="Q327" i="2"/>
  <c r="P327" i="2"/>
  <c r="L327" i="2"/>
  <c r="K327" i="2"/>
  <c r="J327" i="2"/>
  <c r="I327" i="2"/>
  <c r="H327" i="2"/>
  <c r="G327" i="2"/>
  <c r="F327" i="2"/>
  <c r="E327" i="2"/>
  <c r="D327" i="2"/>
  <c r="C327" i="2"/>
  <c r="B327" i="2"/>
  <c r="A327" i="2"/>
  <c r="U326" i="2"/>
  <c r="T326" i="2"/>
  <c r="S326" i="2"/>
  <c r="R326" i="2"/>
  <c r="Q326" i="2"/>
  <c r="P326" i="2"/>
  <c r="O326" i="2"/>
  <c r="N326" i="2"/>
  <c r="M326" i="2"/>
  <c r="I326" i="2"/>
  <c r="H326" i="2"/>
  <c r="G326" i="2"/>
  <c r="F326" i="2"/>
  <c r="E326" i="2"/>
  <c r="D326" i="2"/>
  <c r="C326" i="2"/>
  <c r="B326" i="2"/>
  <c r="A326" i="2"/>
  <c r="U325" i="2"/>
  <c r="T325" i="2"/>
  <c r="S325" i="2"/>
  <c r="R325" i="2"/>
  <c r="Q325" i="2"/>
  <c r="P325" i="2"/>
  <c r="L325" i="2"/>
  <c r="K325" i="2"/>
  <c r="J325" i="2"/>
  <c r="I325" i="2"/>
  <c r="H325" i="2"/>
  <c r="G325" i="2"/>
  <c r="F325" i="2"/>
  <c r="E325" i="2"/>
  <c r="D325" i="2"/>
  <c r="C325" i="2"/>
  <c r="B325" i="2"/>
  <c r="A325" i="2"/>
  <c r="U324" i="2"/>
  <c r="T324" i="2"/>
  <c r="S324" i="2"/>
  <c r="R324" i="2"/>
  <c r="Q324" i="2"/>
  <c r="P324" i="2"/>
  <c r="L324" i="2"/>
  <c r="K324" i="2"/>
  <c r="J324" i="2"/>
  <c r="I324" i="2"/>
  <c r="H324" i="2"/>
  <c r="G324" i="2"/>
  <c r="F324" i="2"/>
  <c r="E324" i="2"/>
  <c r="D324" i="2"/>
  <c r="C324" i="2"/>
  <c r="B324" i="2"/>
  <c r="A324" i="2"/>
  <c r="U323" i="2"/>
  <c r="T323" i="2"/>
  <c r="S323" i="2"/>
  <c r="R323" i="2"/>
  <c r="Q323" i="2"/>
  <c r="P323" i="2"/>
  <c r="L323" i="2"/>
  <c r="K323" i="2"/>
  <c r="J323" i="2"/>
  <c r="I323" i="2"/>
  <c r="H323" i="2"/>
  <c r="G323" i="2"/>
  <c r="F323" i="2"/>
  <c r="E323" i="2"/>
  <c r="D323" i="2"/>
  <c r="C323" i="2"/>
  <c r="B323" i="2"/>
  <c r="A323" i="2"/>
  <c r="U322" i="2"/>
  <c r="T322" i="2"/>
  <c r="S322" i="2"/>
  <c r="R322" i="2"/>
  <c r="Q322" i="2"/>
  <c r="P322" i="2"/>
  <c r="O322" i="2"/>
  <c r="N322" i="2"/>
  <c r="M322" i="2"/>
  <c r="I322" i="2"/>
  <c r="H322" i="2"/>
  <c r="G322" i="2"/>
  <c r="F322" i="2"/>
  <c r="E322" i="2"/>
  <c r="D322" i="2"/>
  <c r="C322" i="2"/>
  <c r="B322" i="2"/>
  <c r="A322" i="2"/>
  <c r="U321" i="2"/>
  <c r="T321" i="2"/>
  <c r="S321" i="2"/>
  <c r="R321" i="2"/>
  <c r="Q321" i="2"/>
  <c r="P321" i="2"/>
  <c r="L321" i="2"/>
  <c r="K321" i="2"/>
  <c r="J321" i="2"/>
  <c r="I321" i="2"/>
  <c r="H321" i="2"/>
  <c r="G321" i="2"/>
  <c r="F321" i="2"/>
  <c r="E321" i="2"/>
  <c r="D321" i="2"/>
  <c r="C321" i="2"/>
  <c r="B321" i="2"/>
  <c r="A321" i="2"/>
  <c r="U320" i="2"/>
  <c r="T320" i="2"/>
  <c r="S320" i="2"/>
  <c r="R320" i="2"/>
  <c r="Q320" i="2"/>
  <c r="P320" i="2"/>
  <c r="L320" i="2"/>
  <c r="K320" i="2"/>
  <c r="J320" i="2"/>
  <c r="I320" i="2"/>
  <c r="H320" i="2"/>
  <c r="G320" i="2"/>
  <c r="F320" i="2"/>
  <c r="E320" i="2"/>
  <c r="D320" i="2"/>
  <c r="C320" i="2"/>
  <c r="B320" i="2"/>
  <c r="A320" i="2"/>
  <c r="U319" i="2"/>
  <c r="T319" i="2"/>
  <c r="S319" i="2"/>
  <c r="R319" i="2"/>
  <c r="Q319" i="2"/>
  <c r="P319" i="2"/>
  <c r="O319" i="2"/>
  <c r="N319" i="2"/>
  <c r="M319" i="2"/>
  <c r="I319" i="2"/>
  <c r="H319" i="2"/>
  <c r="G319" i="2"/>
  <c r="F319" i="2"/>
  <c r="E319" i="2"/>
  <c r="D319" i="2"/>
  <c r="C319" i="2"/>
  <c r="B319" i="2"/>
  <c r="A319" i="2"/>
  <c r="U318" i="2"/>
  <c r="T318" i="2"/>
  <c r="S318" i="2"/>
  <c r="R318" i="2"/>
  <c r="Q318" i="2"/>
  <c r="P318" i="2"/>
  <c r="L318" i="2"/>
  <c r="K318" i="2"/>
  <c r="J318" i="2"/>
  <c r="I318" i="2"/>
  <c r="H318" i="2"/>
  <c r="G318" i="2"/>
  <c r="F318" i="2"/>
  <c r="E318" i="2"/>
  <c r="D318" i="2"/>
  <c r="C318" i="2"/>
  <c r="B318" i="2"/>
  <c r="A318" i="2"/>
  <c r="U317" i="2"/>
  <c r="T317" i="2"/>
  <c r="S317" i="2"/>
  <c r="R317" i="2"/>
  <c r="Q317" i="2"/>
  <c r="P317" i="2"/>
  <c r="L317" i="2"/>
  <c r="K317" i="2"/>
  <c r="J317" i="2"/>
  <c r="I317" i="2"/>
  <c r="H317" i="2"/>
  <c r="G317" i="2"/>
  <c r="F317" i="2"/>
  <c r="E317" i="2"/>
  <c r="D317" i="2"/>
  <c r="C317" i="2"/>
  <c r="B317" i="2"/>
  <c r="A317" i="2"/>
  <c r="U316" i="2"/>
  <c r="T316" i="2"/>
  <c r="S316" i="2"/>
  <c r="R316" i="2"/>
  <c r="Q316" i="2"/>
  <c r="P316" i="2"/>
  <c r="L316" i="2"/>
  <c r="K316" i="2"/>
  <c r="J316" i="2"/>
  <c r="I316" i="2"/>
  <c r="H316" i="2"/>
  <c r="G316" i="2"/>
  <c r="F316" i="2"/>
  <c r="E316" i="2"/>
  <c r="D316" i="2"/>
  <c r="C316" i="2"/>
  <c r="B316" i="2"/>
  <c r="A316" i="2"/>
  <c r="U315" i="2"/>
  <c r="T315" i="2"/>
  <c r="S315" i="2"/>
  <c r="R315" i="2"/>
  <c r="Q315" i="2"/>
  <c r="P315" i="2"/>
  <c r="L315" i="2"/>
  <c r="K315" i="2"/>
  <c r="J315" i="2"/>
  <c r="I315" i="2"/>
  <c r="H315" i="2"/>
  <c r="G315" i="2"/>
  <c r="F315" i="2"/>
  <c r="E315" i="2"/>
  <c r="D315" i="2"/>
  <c r="C315" i="2"/>
  <c r="B315" i="2"/>
  <c r="A315" i="2"/>
  <c r="U314" i="2"/>
  <c r="T314" i="2"/>
  <c r="S314" i="2"/>
  <c r="R314" i="2"/>
  <c r="Q314" i="2"/>
  <c r="P314" i="2"/>
  <c r="L314" i="2"/>
  <c r="K314" i="2"/>
  <c r="J314" i="2"/>
  <c r="I314" i="2"/>
  <c r="H314" i="2"/>
  <c r="G314" i="2"/>
  <c r="F314" i="2"/>
  <c r="E314" i="2"/>
  <c r="D314" i="2"/>
  <c r="C314" i="2"/>
  <c r="B314" i="2"/>
  <c r="A314" i="2"/>
  <c r="U313" i="2"/>
  <c r="T313" i="2"/>
  <c r="S313" i="2"/>
  <c r="R313" i="2"/>
  <c r="Q313" i="2"/>
  <c r="P313" i="2"/>
  <c r="L313" i="2"/>
  <c r="K313" i="2"/>
  <c r="J313" i="2"/>
  <c r="I313" i="2"/>
  <c r="H313" i="2"/>
  <c r="G313" i="2"/>
  <c r="F313" i="2"/>
  <c r="E313" i="2"/>
  <c r="D313" i="2"/>
  <c r="C313" i="2"/>
  <c r="B313" i="2"/>
  <c r="A313" i="2"/>
  <c r="U312" i="2"/>
  <c r="T312" i="2"/>
  <c r="S312" i="2"/>
  <c r="R312" i="2"/>
  <c r="Q312" i="2"/>
  <c r="P312" i="2"/>
  <c r="L312" i="2"/>
  <c r="K312" i="2"/>
  <c r="J312" i="2"/>
  <c r="I312" i="2"/>
  <c r="H312" i="2"/>
  <c r="G312" i="2"/>
  <c r="F312" i="2"/>
  <c r="E312" i="2"/>
  <c r="D312" i="2"/>
  <c r="C312" i="2"/>
  <c r="B312" i="2"/>
  <c r="A312" i="2"/>
  <c r="U311" i="2"/>
  <c r="T311" i="2"/>
  <c r="S311" i="2"/>
  <c r="R311" i="2"/>
  <c r="Q311" i="2"/>
  <c r="P311" i="2"/>
  <c r="L311" i="2"/>
  <c r="K311" i="2"/>
  <c r="J311" i="2"/>
  <c r="I311" i="2"/>
  <c r="H311" i="2"/>
  <c r="G311" i="2"/>
  <c r="F311" i="2"/>
  <c r="E311" i="2"/>
  <c r="D311" i="2"/>
  <c r="C311" i="2"/>
  <c r="B311" i="2"/>
  <c r="A311" i="2"/>
  <c r="U310" i="2"/>
  <c r="T310" i="2"/>
  <c r="S310" i="2"/>
  <c r="R310" i="2"/>
  <c r="Q310" i="2"/>
  <c r="P310" i="2"/>
  <c r="L310" i="2"/>
  <c r="K310" i="2"/>
  <c r="J310" i="2"/>
  <c r="I310" i="2"/>
  <c r="H310" i="2"/>
  <c r="G310" i="2"/>
  <c r="F310" i="2"/>
  <c r="E310" i="2"/>
  <c r="D310" i="2"/>
  <c r="C310" i="2"/>
  <c r="B310" i="2"/>
  <c r="A310" i="2"/>
  <c r="U309" i="2"/>
  <c r="T309" i="2"/>
  <c r="S309" i="2"/>
  <c r="R309" i="2"/>
  <c r="Q309" i="2"/>
  <c r="P309" i="2"/>
  <c r="L309" i="2"/>
  <c r="K309" i="2"/>
  <c r="J309" i="2"/>
  <c r="I309" i="2"/>
  <c r="H309" i="2"/>
  <c r="G309" i="2"/>
  <c r="F309" i="2"/>
  <c r="E309" i="2"/>
  <c r="D309" i="2"/>
  <c r="C309" i="2"/>
  <c r="B309" i="2"/>
  <c r="A309" i="2"/>
  <c r="U308" i="2"/>
  <c r="T308" i="2"/>
  <c r="S308" i="2"/>
  <c r="R308" i="2"/>
  <c r="Q308" i="2"/>
  <c r="P308" i="2"/>
  <c r="O308" i="2"/>
  <c r="N308" i="2"/>
  <c r="M308" i="2"/>
  <c r="I308" i="2"/>
  <c r="H308" i="2"/>
  <c r="G308" i="2"/>
  <c r="F308" i="2"/>
  <c r="E308" i="2"/>
  <c r="D308" i="2"/>
  <c r="C308" i="2"/>
  <c r="B308" i="2"/>
  <c r="A308" i="2"/>
  <c r="U307" i="2"/>
  <c r="T307" i="2"/>
  <c r="S307" i="2"/>
  <c r="R307" i="2"/>
  <c r="Q307" i="2"/>
  <c r="P307" i="2"/>
  <c r="L307" i="2"/>
  <c r="K307" i="2"/>
  <c r="J307" i="2"/>
  <c r="I307" i="2"/>
  <c r="H307" i="2"/>
  <c r="G307" i="2"/>
  <c r="F307" i="2"/>
  <c r="E307" i="2"/>
  <c r="D307" i="2"/>
  <c r="C307" i="2"/>
  <c r="B307" i="2"/>
  <c r="A307" i="2"/>
  <c r="U306" i="2"/>
  <c r="T306" i="2"/>
  <c r="S306" i="2"/>
  <c r="R306" i="2"/>
  <c r="Q306" i="2"/>
  <c r="P306" i="2"/>
  <c r="O306" i="2"/>
  <c r="N306" i="2"/>
  <c r="M306" i="2"/>
  <c r="I306" i="2"/>
  <c r="H306" i="2"/>
  <c r="G306" i="2"/>
  <c r="F306" i="2"/>
  <c r="E306" i="2"/>
  <c r="D306" i="2"/>
  <c r="C306" i="2"/>
  <c r="B306" i="2"/>
  <c r="A306" i="2"/>
  <c r="U305" i="2"/>
  <c r="T305" i="2"/>
  <c r="S305" i="2"/>
  <c r="R305" i="2"/>
  <c r="Q305" i="2"/>
  <c r="P305" i="2"/>
  <c r="L305" i="2"/>
  <c r="K305" i="2"/>
  <c r="J305" i="2"/>
  <c r="I305" i="2"/>
  <c r="H305" i="2"/>
  <c r="G305" i="2"/>
  <c r="F305" i="2"/>
  <c r="E305" i="2"/>
  <c r="D305" i="2"/>
  <c r="C305" i="2"/>
  <c r="B305" i="2"/>
  <c r="A305" i="2"/>
  <c r="U304" i="2"/>
  <c r="T304" i="2"/>
  <c r="S304" i="2"/>
  <c r="R304" i="2"/>
  <c r="Q304" i="2"/>
  <c r="P304" i="2"/>
  <c r="L304" i="2"/>
  <c r="K304" i="2"/>
  <c r="J304" i="2"/>
  <c r="I304" i="2"/>
  <c r="H304" i="2"/>
  <c r="G304" i="2"/>
  <c r="F304" i="2"/>
  <c r="E304" i="2"/>
  <c r="D304" i="2"/>
  <c r="C304" i="2"/>
  <c r="B304" i="2"/>
  <c r="A304" i="2"/>
  <c r="U303" i="2"/>
  <c r="T303" i="2"/>
  <c r="S303" i="2"/>
  <c r="R303" i="2"/>
  <c r="Q303" i="2"/>
  <c r="P303" i="2"/>
  <c r="L303" i="2"/>
  <c r="K303" i="2"/>
  <c r="J303" i="2"/>
  <c r="I303" i="2"/>
  <c r="H303" i="2"/>
  <c r="G303" i="2"/>
  <c r="F303" i="2"/>
  <c r="E303" i="2"/>
  <c r="D303" i="2"/>
  <c r="C303" i="2"/>
  <c r="B303" i="2"/>
  <c r="A303" i="2"/>
  <c r="U302" i="2"/>
  <c r="T302" i="2"/>
  <c r="S302" i="2"/>
  <c r="R302" i="2"/>
  <c r="Q302" i="2"/>
  <c r="P302" i="2"/>
  <c r="L302" i="2"/>
  <c r="K302" i="2"/>
  <c r="J302" i="2"/>
  <c r="I302" i="2"/>
  <c r="H302" i="2"/>
  <c r="G302" i="2"/>
  <c r="F302" i="2"/>
  <c r="E302" i="2"/>
  <c r="D302" i="2"/>
  <c r="C302" i="2"/>
  <c r="B302" i="2"/>
  <c r="A302" i="2"/>
  <c r="U301" i="2"/>
  <c r="T301" i="2"/>
  <c r="S301" i="2"/>
  <c r="R301" i="2"/>
  <c r="Q301" i="2"/>
  <c r="P301" i="2"/>
  <c r="L301" i="2"/>
  <c r="K301" i="2"/>
  <c r="J301" i="2"/>
  <c r="I301" i="2"/>
  <c r="H301" i="2"/>
  <c r="G301" i="2"/>
  <c r="F301" i="2"/>
  <c r="E301" i="2"/>
  <c r="D301" i="2"/>
  <c r="C301" i="2"/>
  <c r="B301" i="2"/>
  <c r="A301" i="2"/>
  <c r="U300" i="2"/>
  <c r="T300" i="2"/>
  <c r="S300" i="2"/>
  <c r="R300" i="2"/>
  <c r="Q300" i="2"/>
  <c r="P300" i="2"/>
  <c r="L300" i="2"/>
  <c r="K300" i="2"/>
  <c r="J300" i="2"/>
  <c r="I300" i="2"/>
  <c r="H300" i="2"/>
  <c r="G300" i="2"/>
  <c r="F300" i="2"/>
  <c r="E300" i="2"/>
  <c r="D300" i="2"/>
  <c r="C300" i="2"/>
  <c r="B300" i="2"/>
  <c r="A300" i="2"/>
  <c r="U299" i="2"/>
  <c r="T299" i="2"/>
  <c r="S299" i="2"/>
  <c r="R299" i="2"/>
  <c r="Q299" i="2"/>
  <c r="P299" i="2"/>
  <c r="L299" i="2"/>
  <c r="K299" i="2"/>
  <c r="J299" i="2"/>
  <c r="I299" i="2"/>
  <c r="H299" i="2"/>
  <c r="G299" i="2"/>
  <c r="F299" i="2"/>
  <c r="E299" i="2"/>
  <c r="D299" i="2"/>
  <c r="C299" i="2"/>
  <c r="B299" i="2"/>
  <c r="A299" i="2"/>
  <c r="U298" i="2"/>
  <c r="T298" i="2"/>
  <c r="S298" i="2"/>
  <c r="R298" i="2"/>
  <c r="Q298" i="2"/>
  <c r="P298" i="2"/>
  <c r="L298" i="2"/>
  <c r="K298" i="2"/>
  <c r="J298" i="2"/>
  <c r="I298" i="2"/>
  <c r="H298" i="2"/>
  <c r="G298" i="2"/>
  <c r="F298" i="2"/>
  <c r="E298" i="2"/>
  <c r="D298" i="2"/>
  <c r="C298" i="2"/>
  <c r="B298" i="2"/>
  <c r="A298" i="2"/>
  <c r="U297" i="2"/>
  <c r="T297" i="2"/>
  <c r="S297" i="2"/>
  <c r="R297" i="2"/>
  <c r="Q297" i="2"/>
  <c r="P297" i="2"/>
  <c r="L297" i="2"/>
  <c r="K297" i="2"/>
  <c r="J297" i="2"/>
  <c r="I297" i="2"/>
  <c r="H297" i="2"/>
  <c r="G297" i="2"/>
  <c r="F297" i="2"/>
  <c r="E297" i="2"/>
  <c r="D297" i="2"/>
  <c r="C297" i="2"/>
  <c r="B297" i="2"/>
  <c r="A297" i="2"/>
  <c r="U296" i="2"/>
  <c r="T296" i="2"/>
  <c r="S296" i="2"/>
  <c r="R296" i="2"/>
  <c r="Q296" i="2"/>
  <c r="P296" i="2"/>
  <c r="L296" i="2"/>
  <c r="K296" i="2"/>
  <c r="J296" i="2"/>
  <c r="I296" i="2"/>
  <c r="H296" i="2"/>
  <c r="G296" i="2"/>
  <c r="F296" i="2"/>
  <c r="E296" i="2"/>
  <c r="D296" i="2"/>
  <c r="C296" i="2"/>
  <c r="B296" i="2"/>
  <c r="A296" i="2"/>
  <c r="U295" i="2"/>
  <c r="T295" i="2"/>
  <c r="S295" i="2"/>
  <c r="R295" i="2"/>
  <c r="Q295" i="2"/>
  <c r="P295" i="2"/>
  <c r="L295" i="2"/>
  <c r="K295" i="2"/>
  <c r="J295" i="2"/>
  <c r="I295" i="2"/>
  <c r="H295" i="2"/>
  <c r="G295" i="2"/>
  <c r="F295" i="2"/>
  <c r="E295" i="2"/>
  <c r="D295" i="2"/>
  <c r="C295" i="2"/>
  <c r="B295" i="2"/>
  <c r="A295" i="2"/>
  <c r="U294" i="2"/>
  <c r="T294" i="2"/>
  <c r="S294" i="2"/>
  <c r="R294" i="2"/>
  <c r="Q294" i="2"/>
  <c r="P294" i="2"/>
  <c r="L294" i="2"/>
  <c r="K294" i="2"/>
  <c r="J294" i="2"/>
  <c r="I294" i="2"/>
  <c r="H294" i="2"/>
  <c r="G294" i="2"/>
  <c r="F294" i="2"/>
  <c r="E294" i="2"/>
  <c r="D294" i="2"/>
  <c r="C294" i="2"/>
  <c r="B294" i="2"/>
  <c r="A294" i="2"/>
  <c r="U293" i="2"/>
  <c r="T293" i="2"/>
  <c r="S293" i="2"/>
  <c r="R293" i="2"/>
  <c r="Q293" i="2"/>
  <c r="P293" i="2"/>
  <c r="L293" i="2"/>
  <c r="K293" i="2"/>
  <c r="J293" i="2"/>
  <c r="I293" i="2"/>
  <c r="H293" i="2"/>
  <c r="G293" i="2"/>
  <c r="F293" i="2"/>
  <c r="E293" i="2"/>
  <c r="D293" i="2"/>
  <c r="C293" i="2"/>
  <c r="B293" i="2"/>
  <c r="A293" i="2"/>
  <c r="U292" i="2"/>
  <c r="T292" i="2"/>
  <c r="S292" i="2"/>
  <c r="R292" i="2"/>
  <c r="Q292" i="2"/>
  <c r="P292" i="2"/>
  <c r="L292" i="2"/>
  <c r="K292" i="2"/>
  <c r="J292" i="2"/>
  <c r="I292" i="2"/>
  <c r="H292" i="2"/>
  <c r="G292" i="2"/>
  <c r="F292" i="2"/>
  <c r="E292" i="2"/>
  <c r="D292" i="2"/>
  <c r="C292" i="2"/>
  <c r="B292" i="2"/>
  <c r="A292" i="2"/>
  <c r="U291" i="2"/>
  <c r="T291" i="2"/>
  <c r="S291" i="2"/>
  <c r="R291" i="2"/>
  <c r="Q291" i="2"/>
  <c r="P291" i="2"/>
  <c r="L291" i="2"/>
  <c r="K291" i="2"/>
  <c r="J291" i="2"/>
  <c r="I291" i="2"/>
  <c r="H291" i="2"/>
  <c r="G291" i="2"/>
  <c r="F291" i="2"/>
  <c r="E291" i="2"/>
  <c r="D291" i="2"/>
  <c r="C291" i="2"/>
  <c r="B291" i="2"/>
  <c r="A291" i="2"/>
  <c r="U290" i="2"/>
  <c r="T290" i="2"/>
  <c r="S290" i="2"/>
  <c r="R290" i="2"/>
  <c r="Q290" i="2"/>
  <c r="P290" i="2"/>
  <c r="O290" i="2"/>
  <c r="N290" i="2"/>
  <c r="M290" i="2"/>
  <c r="I290" i="2"/>
  <c r="H290" i="2"/>
  <c r="G290" i="2"/>
  <c r="F290" i="2"/>
  <c r="E290" i="2"/>
  <c r="D290" i="2"/>
  <c r="C290" i="2"/>
  <c r="B290" i="2"/>
  <c r="A290" i="2"/>
  <c r="U289" i="2"/>
  <c r="T289" i="2"/>
  <c r="S289" i="2"/>
  <c r="R289" i="2"/>
  <c r="Q289" i="2"/>
  <c r="P289" i="2"/>
  <c r="L289" i="2"/>
  <c r="K289" i="2"/>
  <c r="J289" i="2"/>
  <c r="I289" i="2"/>
  <c r="H289" i="2"/>
  <c r="G289" i="2"/>
  <c r="F289" i="2"/>
  <c r="E289" i="2"/>
  <c r="D289" i="2"/>
  <c r="C289" i="2"/>
  <c r="B289" i="2"/>
  <c r="A289" i="2"/>
  <c r="U288" i="2"/>
  <c r="T288" i="2"/>
  <c r="S288" i="2"/>
  <c r="R288" i="2"/>
  <c r="Q288" i="2"/>
  <c r="P288" i="2"/>
  <c r="L288" i="2"/>
  <c r="K288" i="2"/>
  <c r="J288" i="2"/>
  <c r="I288" i="2"/>
  <c r="H288" i="2"/>
  <c r="G288" i="2"/>
  <c r="F288" i="2"/>
  <c r="E288" i="2"/>
  <c r="D288" i="2"/>
  <c r="C288" i="2"/>
  <c r="B288" i="2"/>
  <c r="A288" i="2"/>
  <c r="U287" i="2"/>
  <c r="T287" i="2"/>
  <c r="S287" i="2"/>
  <c r="R287" i="2"/>
  <c r="Q287" i="2"/>
  <c r="P287" i="2"/>
  <c r="L287" i="2"/>
  <c r="K287" i="2"/>
  <c r="J287" i="2"/>
  <c r="I287" i="2"/>
  <c r="H287" i="2"/>
  <c r="G287" i="2"/>
  <c r="F287" i="2"/>
  <c r="E287" i="2"/>
  <c r="D287" i="2"/>
  <c r="C287" i="2"/>
  <c r="B287" i="2"/>
  <c r="A287" i="2"/>
  <c r="U286" i="2"/>
  <c r="T286" i="2"/>
  <c r="S286" i="2"/>
  <c r="R286" i="2"/>
  <c r="Q286" i="2"/>
  <c r="P286" i="2"/>
  <c r="O286" i="2"/>
  <c r="N286" i="2"/>
  <c r="M286" i="2"/>
  <c r="I286" i="2"/>
  <c r="H286" i="2"/>
  <c r="G286" i="2"/>
  <c r="F286" i="2"/>
  <c r="E286" i="2"/>
  <c r="D286" i="2"/>
  <c r="C286" i="2"/>
  <c r="B286" i="2"/>
  <c r="A286" i="2"/>
  <c r="U285" i="2"/>
  <c r="T285" i="2"/>
  <c r="S285" i="2"/>
  <c r="R285" i="2"/>
  <c r="Q285" i="2"/>
  <c r="P285" i="2"/>
  <c r="L285" i="2"/>
  <c r="K285" i="2"/>
  <c r="J285" i="2"/>
  <c r="I285" i="2"/>
  <c r="H285" i="2"/>
  <c r="G285" i="2"/>
  <c r="F285" i="2"/>
  <c r="E285" i="2"/>
  <c r="D285" i="2"/>
  <c r="C285" i="2"/>
  <c r="B285" i="2"/>
  <c r="A285" i="2"/>
  <c r="U284" i="2"/>
  <c r="T284" i="2"/>
  <c r="S284" i="2"/>
  <c r="R284" i="2"/>
  <c r="Q284" i="2"/>
  <c r="P284" i="2"/>
  <c r="O284" i="2"/>
  <c r="N284" i="2"/>
  <c r="M284" i="2"/>
  <c r="I284" i="2"/>
  <c r="H284" i="2"/>
  <c r="G284" i="2"/>
  <c r="F284" i="2"/>
  <c r="E284" i="2"/>
  <c r="D284" i="2"/>
  <c r="C284" i="2"/>
  <c r="B284" i="2"/>
  <c r="A284" i="2"/>
  <c r="U283" i="2"/>
  <c r="T283" i="2"/>
  <c r="S283" i="2"/>
  <c r="R283" i="2"/>
  <c r="Q283" i="2"/>
  <c r="P283" i="2"/>
  <c r="O283" i="2"/>
  <c r="N283" i="2"/>
  <c r="M283" i="2"/>
  <c r="I283" i="2"/>
  <c r="H283" i="2"/>
  <c r="G283" i="2"/>
  <c r="F283" i="2"/>
  <c r="E283" i="2"/>
  <c r="D283" i="2"/>
  <c r="C283" i="2"/>
  <c r="B283" i="2"/>
  <c r="A283" i="2"/>
  <c r="U282" i="2"/>
  <c r="T282" i="2"/>
  <c r="S282" i="2"/>
  <c r="R282" i="2"/>
  <c r="Q282" i="2"/>
  <c r="P282" i="2"/>
  <c r="L282" i="2"/>
  <c r="K282" i="2"/>
  <c r="J282" i="2"/>
  <c r="I282" i="2"/>
  <c r="H282" i="2"/>
  <c r="G282" i="2"/>
  <c r="F282" i="2"/>
  <c r="E282" i="2"/>
  <c r="D282" i="2"/>
  <c r="C282" i="2"/>
  <c r="B282" i="2"/>
  <c r="A282" i="2"/>
  <c r="U281" i="2"/>
  <c r="T281" i="2"/>
  <c r="S281" i="2"/>
  <c r="R281" i="2"/>
  <c r="Q281" i="2"/>
  <c r="P281" i="2"/>
  <c r="L281" i="2"/>
  <c r="K281" i="2"/>
  <c r="J281" i="2"/>
  <c r="I281" i="2"/>
  <c r="H281" i="2"/>
  <c r="G281" i="2"/>
  <c r="F281" i="2"/>
  <c r="E281" i="2"/>
  <c r="D281" i="2"/>
  <c r="C281" i="2"/>
  <c r="B281" i="2"/>
  <c r="A281" i="2"/>
  <c r="U280" i="2"/>
  <c r="T280" i="2"/>
  <c r="S280" i="2"/>
  <c r="R280" i="2"/>
  <c r="Q280" i="2"/>
  <c r="P280" i="2"/>
  <c r="L280" i="2"/>
  <c r="K280" i="2"/>
  <c r="J280" i="2"/>
  <c r="I280" i="2"/>
  <c r="H280" i="2"/>
  <c r="G280" i="2"/>
  <c r="F280" i="2"/>
  <c r="E280" i="2"/>
  <c r="D280" i="2"/>
  <c r="C280" i="2"/>
  <c r="B280" i="2"/>
  <c r="A280" i="2"/>
  <c r="U279" i="2"/>
  <c r="T279" i="2"/>
  <c r="S279" i="2"/>
  <c r="R279" i="2"/>
  <c r="Q279" i="2"/>
  <c r="P279" i="2"/>
  <c r="L279" i="2"/>
  <c r="K279" i="2"/>
  <c r="J279" i="2"/>
  <c r="I279" i="2"/>
  <c r="H279" i="2"/>
  <c r="G279" i="2"/>
  <c r="F279" i="2"/>
  <c r="E279" i="2"/>
  <c r="D279" i="2"/>
  <c r="C279" i="2"/>
  <c r="B279" i="2"/>
  <c r="A279" i="2"/>
  <c r="U278" i="2"/>
  <c r="T278" i="2"/>
  <c r="S278" i="2"/>
  <c r="R278" i="2"/>
  <c r="Q278" i="2"/>
  <c r="P278" i="2"/>
  <c r="L278" i="2"/>
  <c r="K278" i="2"/>
  <c r="J278" i="2"/>
  <c r="I278" i="2"/>
  <c r="H278" i="2"/>
  <c r="G278" i="2"/>
  <c r="F278" i="2"/>
  <c r="E278" i="2"/>
  <c r="D278" i="2"/>
  <c r="C278" i="2"/>
  <c r="B278" i="2"/>
  <c r="A278" i="2"/>
  <c r="U277" i="2"/>
  <c r="T277" i="2"/>
  <c r="S277" i="2"/>
  <c r="R277" i="2"/>
  <c r="Q277" i="2"/>
  <c r="P277" i="2"/>
  <c r="L277" i="2"/>
  <c r="K277" i="2"/>
  <c r="J277" i="2"/>
  <c r="I277" i="2"/>
  <c r="H277" i="2"/>
  <c r="G277" i="2"/>
  <c r="F277" i="2"/>
  <c r="E277" i="2"/>
  <c r="D277" i="2"/>
  <c r="C277" i="2"/>
  <c r="B277" i="2"/>
  <c r="A277" i="2"/>
  <c r="U276" i="2"/>
  <c r="T276" i="2"/>
  <c r="S276" i="2"/>
  <c r="R276" i="2"/>
  <c r="Q276" i="2"/>
  <c r="P276" i="2"/>
  <c r="O276" i="2"/>
  <c r="N276" i="2"/>
  <c r="M276" i="2"/>
  <c r="I276" i="2"/>
  <c r="H276" i="2"/>
  <c r="G276" i="2"/>
  <c r="F276" i="2"/>
  <c r="E276" i="2"/>
  <c r="D276" i="2"/>
  <c r="C276" i="2"/>
  <c r="B276" i="2"/>
  <c r="A276" i="2"/>
  <c r="U275" i="2"/>
  <c r="T275" i="2"/>
  <c r="S275" i="2"/>
  <c r="R275" i="2"/>
  <c r="Q275" i="2"/>
  <c r="P275" i="2"/>
  <c r="L275" i="2"/>
  <c r="K275" i="2"/>
  <c r="J275" i="2"/>
  <c r="I275" i="2"/>
  <c r="H275" i="2"/>
  <c r="G275" i="2"/>
  <c r="F275" i="2"/>
  <c r="E275" i="2"/>
  <c r="D275" i="2"/>
  <c r="C275" i="2"/>
  <c r="B275" i="2"/>
  <c r="A275" i="2"/>
  <c r="U274" i="2"/>
  <c r="T274" i="2"/>
  <c r="S274" i="2"/>
  <c r="R274" i="2"/>
  <c r="Q274" i="2"/>
  <c r="P274" i="2"/>
  <c r="O274" i="2"/>
  <c r="N274" i="2"/>
  <c r="M274" i="2"/>
  <c r="I274" i="2"/>
  <c r="H274" i="2"/>
  <c r="G274" i="2"/>
  <c r="F274" i="2"/>
  <c r="E274" i="2"/>
  <c r="D274" i="2"/>
  <c r="C274" i="2"/>
  <c r="B274" i="2"/>
  <c r="A274" i="2"/>
  <c r="U273" i="2"/>
  <c r="T273" i="2"/>
  <c r="S273" i="2"/>
  <c r="R273" i="2"/>
  <c r="Q273" i="2"/>
  <c r="P273" i="2"/>
  <c r="L273" i="2"/>
  <c r="K273" i="2"/>
  <c r="J273" i="2"/>
  <c r="I273" i="2"/>
  <c r="H273" i="2"/>
  <c r="G273" i="2"/>
  <c r="F273" i="2"/>
  <c r="E273" i="2"/>
  <c r="D273" i="2"/>
  <c r="C273" i="2"/>
  <c r="B273" i="2"/>
  <c r="A273" i="2"/>
  <c r="U272" i="2"/>
  <c r="T272" i="2"/>
  <c r="S272" i="2"/>
  <c r="R272" i="2"/>
  <c r="Q272" i="2"/>
  <c r="P272" i="2"/>
  <c r="L272" i="2"/>
  <c r="K272" i="2"/>
  <c r="J272" i="2"/>
  <c r="I272" i="2"/>
  <c r="H272" i="2"/>
  <c r="G272" i="2"/>
  <c r="F272" i="2"/>
  <c r="E272" i="2"/>
  <c r="D272" i="2"/>
  <c r="C272" i="2"/>
  <c r="B272" i="2"/>
  <c r="A272" i="2"/>
  <c r="U271" i="2"/>
  <c r="T271" i="2"/>
  <c r="S271" i="2"/>
  <c r="R271" i="2"/>
  <c r="Q271" i="2"/>
  <c r="P271" i="2"/>
  <c r="L271" i="2"/>
  <c r="K271" i="2"/>
  <c r="J271" i="2"/>
  <c r="I271" i="2"/>
  <c r="H271" i="2"/>
  <c r="G271" i="2"/>
  <c r="F271" i="2"/>
  <c r="E271" i="2"/>
  <c r="D271" i="2"/>
  <c r="C271" i="2"/>
  <c r="B271" i="2"/>
  <c r="A271" i="2"/>
  <c r="U270" i="2"/>
  <c r="T270" i="2"/>
  <c r="S270" i="2"/>
  <c r="R270" i="2"/>
  <c r="Q270" i="2"/>
  <c r="P270" i="2"/>
  <c r="O270" i="2"/>
  <c r="N270" i="2"/>
  <c r="M270" i="2"/>
  <c r="I270" i="2"/>
  <c r="H270" i="2"/>
  <c r="G270" i="2"/>
  <c r="F270" i="2"/>
  <c r="E270" i="2"/>
  <c r="D270" i="2"/>
  <c r="C270" i="2"/>
  <c r="B270" i="2"/>
  <c r="A270" i="2"/>
  <c r="U269" i="2"/>
  <c r="T269" i="2"/>
  <c r="S269" i="2"/>
  <c r="R269" i="2"/>
  <c r="Q269" i="2"/>
  <c r="P269" i="2"/>
  <c r="L269" i="2"/>
  <c r="K269" i="2"/>
  <c r="J269" i="2"/>
  <c r="I269" i="2"/>
  <c r="H269" i="2"/>
  <c r="G269" i="2"/>
  <c r="F269" i="2"/>
  <c r="E269" i="2"/>
  <c r="D269" i="2"/>
  <c r="C269" i="2"/>
  <c r="B269" i="2"/>
  <c r="A269" i="2"/>
  <c r="U268" i="2"/>
  <c r="T268" i="2"/>
  <c r="S268" i="2"/>
  <c r="R268" i="2"/>
  <c r="Q268" i="2"/>
  <c r="P268" i="2"/>
  <c r="L268" i="2"/>
  <c r="K268" i="2"/>
  <c r="J268" i="2"/>
  <c r="I268" i="2"/>
  <c r="H268" i="2"/>
  <c r="G268" i="2"/>
  <c r="F268" i="2"/>
  <c r="E268" i="2"/>
  <c r="D268" i="2"/>
  <c r="C268" i="2"/>
  <c r="B268" i="2"/>
  <c r="A268" i="2"/>
  <c r="U267" i="2"/>
  <c r="T267" i="2"/>
  <c r="S267" i="2"/>
  <c r="R267" i="2"/>
  <c r="Q267" i="2"/>
  <c r="P267" i="2"/>
  <c r="L267" i="2"/>
  <c r="K267" i="2"/>
  <c r="J267" i="2"/>
  <c r="I267" i="2"/>
  <c r="H267" i="2"/>
  <c r="G267" i="2"/>
  <c r="F267" i="2"/>
  <c r="E267" i="2"/>
  <c r="D267" i="2"/>
  <c r="C267" i="2"/>
  <c r="B267" i="2"/>
  <c r="A267" i="2"/>
  <c r="U266" i="2"/>
  <c r="T266" i="2"/>
  <c r="S266" i="2"/>
  <c r="R266" i="2"/>
  <c r="Q266" i="2"/>
  <c r="P266" i="2"/>
  <c r="O266" i="2"/>
  <c r="N266" i="2"/>
  <c r="M266" i="2"/>
  <c r="I266" i="2"/>
  <c r="H266" i="2"/>
  <c r="G266" i="2"/>
  <c r="F266" i="2"/>
  <c r="E266" i="2"/>
  <c r="D266" i="2"/>
  <c r="C266" i="2"/>
  <c r="B266" i="2"/>
  <c r="A266" i="2"/>
  <c r="U265" i="2"/>
  <c r="T265" i="2"/>
  <c r="S265" i="2"/>
  <c r="R265" i="2"/>
  <c r="Q265" i="2"/>
  <c r="P265" i="2"/>
  <c r="L265" i="2"/>
  <c r="K265" i="2"/>
  <c r="J265" i="2"/>
  <c r="I265" i="2"/>
  <c r="H265" i="2"/>
  <c r="G265" i="2"/>
  <c r="F265" i="2"/>
  <c r="E265" i="2"/>
  <c r="D265" i="2"/>
  <c r="C265" i="2"/>
  <c r="B265" i="2"/>
  <c r="A265" i="2"/>
  <c r="U264" i="2"/>
  <c r="T264" i="2"/>
  <c r="S264" i="2"/>
  <c r="R264" i="2"/>
  <c r="Q264" i="2"/>
  <c r="P264" i="2"/>
  <c r="L264" i="2"/>
  <c r="K264" i="2"/>
  <c r="J264" i="2"/>
  <c r="I264" i="2"/>
  <c r="H264" i="2"/>
  <c r="G264" i="2"/>
  <c r="F264" i="2"/>
  <c r="E264" i="2"/>
  <c r="D264" i="2"/>
  <c r="C264" i="2"/>
  <c r="B264" i="2"/>
  <c r="A264" i="2"/>
  <c r="U263" i="2"/>
  <c r="T263" i="2"/>
  <c r="S263" i="2"/>
  <c r="R263" i="2"/>
  <c r="Q263" i="2"/>
  <c r="P263" i="2"/>
  <c r="L263" i="2"/>
  <c r="K263" i="2"/>
  <c r="J263" i="2"/>
  <c r="I263" i="2"/>
  <c r="H263" i="2"/>
  <c r="G263" i="2"/>
  <c r="F263" i="2"/>
  <c r="E263" i="2"/>
  <c r="D263" i="2"/>
  <c r="C263" i="2"/>
  <c r="B263" i="2"/>
  <c r="A263" i="2"/>
  <c r="U262" i="2"/>
  <c r="T262" i="2"/>
  <c r="S262" i="2"/>
  <c r="R262" i="2"/>
  <c r="Q262" i="2"/>
  <c r="P262" i="2"/>
  <c r="L262" i="2"/>
  <c r="K262" i="2"/>
  <c r="J262" i="2"/>
  <c r="I262" i="2"/>
  <c r="H262" i="2"/>
  <c r="G262" i="2"/>
  <c r="F262" i="2"/>
  <c r="E262" i="2"/>
  <c r="D262" i="2"/>
  <c r="C262" i="2"/>
  <c r="B262" i="2"/>
  <c r="A262" i="2"/>
  <c r="U261" i="2"/>
  <c r="T261" i="2"/>
  <c r="S261" i="2"/>
  <c r="R261" i="2"/>
  <c r="Q261" i="2"/>
  <c r="P261" i="2"/>
  <c r="L261" i="2"/>
  <c r="K261" i="2"/>
  <c r="J261" i="2"/>
  <c r="I261" i="2"/>
  <c r="H261" i="2"/>
  <c r="G261" i="2"/>
  <c r="F261" i="2"/>
  <c r="E261" i="2"/>
  <c r="D261" i="2"/>
  <c r="C261" i="2"/>
  <c r="B261" i="2"/>
  <c r="A261" i="2"/>
  <c r="U260" i="2"/>
  <c r="T260" i="2"/>
  <c r="S260" i="2"/>
  <c r="R260" i="2"/>
  <c r="Q260" i="2"/>
  <c r="P260" i="2"/>
  <c r="L260" i="2"/>
  <c r="K260" i="2"/>
  <c r="J260" i="2"/>
  <c r="I260" i="2"/>
  <c r="H260" i="2"/>
  <c r="G260" i="2"/>
  <c r="F260" i="2"/>
  <c r="E260" i="2"/>
  <c r="D260" i="2"/>
  <c r="C260" i="2"/>
  <c r="B260" i="2"/>
  <c r="A260" i="2"/>
  <c r="U259" i="2"/>
  <c r="T259" i="2"/>
  <c r="S259" i="2"/>
  <c r="R259" i="2"/>
  <c r="Q259" i="2"/>
  <c r="P259" i="2"/>
  <c r="L259" i="2"/>
  <c r="K259" i="2"/>
  <c r="J259" i="2"/>
  <c r="I259" i="2"/>
  <c r="H259" i="2"/>
  <c r="G259" i="2"/>
  <c r="F259" i="2"/>
  <c r="E259" i="2"/>
  <c r="D259" i="2"/>
  <c r="C259" i="2"/>
  <c r="B259" i="2"/>
  <c r="A259" i="2"/>
  <c r="U258" i="2"/>
  <c r="T258" i="2"/>
  <c r="S258" i="2"/>
  <c r="R258" i="2"/>
  <c r="Q258" i="2"/>
  <c r="P258" i="2"/>
  <c r="L258" i="2"/>
  <c r="K258" i="2"/>
  <c r="J258" i="2"/>
  <c r="I258" i="2"/>
  <c r="H258" i="2"/>
  <c r="G258" i="2"/>
  <c r="F258" i="2"/>
  <c r="E258" i="2"/>
  <c r="D258" i="2"/>
  <c r="C258" i="2"/>
  <c r="B258" i="2"/>
  <c r="A258" i="2"/>
  <c r="U257" i="2"/>
  <c r="T257" i="2"/>
  <c r="S257" i="2"/>
  <c r="R257" i="2"/>
  <c r="Q257" i="2"/>
  <c r="P257" i="2"/>
  <c r="L257" i="2"/>
  <c r="K257" i="2"/>
  <c r="J257" i="2"/>
  <c r="I257" i="2"/>
  <c r="H257" i="2"/>
  <c r="G257" i="2"/>
  <c r="F257" i="2"/>
  <c r="E257" i="2"/>
  <c r="D257" i="2"/>
  <c r="C257" i="2"/>
  <c r="B257" i="2"/>
  <c r="A257" i="2"/>
  <c r="U256" i="2"/>
  <c r="T256" i="2"/>
  <c r="S256" i="2"/>
  <c r="R256" i="2"/>
  <c r="Q256" i="2"/>
  <c r="P256" i="2"/>
  <c r="L256" i="2"/>
  <c r="K256" i="2"/>
  <c r="J256" i="2"/>
  <c r="I256" i="2"/>
  <c r="H256" i="2"/>
  <c r="G256" i="2"/>
  <c r="F256" i="2"/>
  <c r="E256" i="2"/>
  <c r="D256" i="2"/>
  <c r="C256" i="2"/>
  <c r="B256" i="2"/>
  <c r="A256" i="2"/>
  <c r="U255" i="2"/>
  <c r="T255" i="2"/>
  <c r="S255" i="2"/>
  <c r="R255" i="2"/>
  <c r="Q255" i="2"/>
  <c r="P255" i="2"/>
  <c r="L255" i="2"/>
  <c r="K255" i="2"/>
  <c r="J255" i="2"/>
  <c r="I255" i="2"/>
  <c r="H255" i="2"/>
  <c r="G255" i="2"/>
  <c r="F255" i="2"/>
  <c r="E255" i="2"/>
  <c r="D255" i="2"/>
  <c r="C255" i="2"/>
  <c r="B255" i="2"/>
  <c r="A255" i="2"/>
  <c r="U254" i="2"/>
  <c r="T254" i="2"/>
  <c r="S254" i="2"/>
  <c r="R254" i="2"/>
  <c r="Q254" i="2"/>
  <c r="P254" i="2"/>
  <c r="L254" i="2"/>
  <c r="K254" i="2"/>
  <c r="J254" i="2"/>
  <c r="I254" i="2"/>
  <c r="H254" i="2"/>
  <c r="G254" i="2"/>
  <c r="F254" i="2"/>
  <c r="E254" i="2"/>
  <c r="D254" i="2"/>
  <c r="C254" i="2"/>
  <c r="B254" i="2"/>
  <c r="A254" i="2"/>
  <c r="U253" i="2"/>
  <c r="T253" i="2"/>
  <c r="S253" i="2"/>
  <c r="R253" i="2"/>
  <c r="Q253" i="2"/>
  <c r="P253" i="2"/>
  <c r="L253" i="2"/>
  <c r="K253" i="2"/>
  <c r="J253" i="2"/>
  <c r="I253" i="2"/>
  <c r="H253" i="2"/>
  <c r="G253" i="2"/>
  <c r="F253" i="2"/>
  <c r="E253" i="2"/>
  <c r="D253" i="2"/>
  <c r="C253" i="2"/>
  <c r="B253" i="2"/>
  <c r="A253" i="2"/>
  <c r="U252" i="2"/>
  <c r="T252" i="2"/>
  <c r="S252" i="2"/>
  <c r="R252" i="2"/>
  <c r="Q252" i="2"/>
  <c r="P252" i="2"/>
  <c r="L252" i="2"/>
  <c r="K252" i="2"/>
  <c r="J252" i="2"/>
  <c r="I252" i="2"/>
  <c r="H252" i="2"/>
  <c r="G252" i="2"/>
  <c r="F252" i="2"/>
  <c r="E252" i="2"/>
  <c r="D252" i="2"/>
  <c r="C252" i="2"/>
  <c r="B252" i="2"/>
  <c r="A252" i="2"/>
  <c r="U251" i="2"/>
  <c r="T251" i="2"/>
  <c r="S251" i="2"/>
  <c r="R251" i="2"/>
  <c r="Q251" i="2"/>
  <c r="P251" i="2"/>
  <c r="L251" i="2"/>
  <c r="K251" i="2"/>
  <c r="J251" i="2"/>
  <c r="I251" i="2"/>
  <c r="H251" i="2"/>
  <c r="G251" i="2"/>
  <c r="F251" i="2"/>
  <c r="E251" i="2"/>
  <c r="D251" i="2"/>
  <c r="C251" i="2"/>
  <c r="B251" i="2"/>
  <c r="A251" i="2"/>
  <c r="U250" i="2"/>
  <c r="T250" i="2"/>
  <c r="S250" i="2"/>
  <c r="R250" i="2"/>
  <c r="Q250" i="2"/>
  <c r="P250" i="2"/>
  <c r="L250" i="2"/>
  <c r="K250" i="2"/>
  <c r="J250" i="2"/>
  <c r="I250" i="2"/>
  <c r="H250" i="2"/>
  <c r="G250" i="2"/>
  <c r="F250" i="2"/>
  <c r="E250" i="2"/>
  <c r="D250" i="2"/>
  <c r="C250" i="2"/>
  <c r="B250" i="2"/>
  <c r="A250" i="2"/>
  <c r="U249" i="2"/>
  <c r="T249" i="2"/>
  <c r="S249" i="2"/>
  <c r="R249" i="2"/>
  <c r="Q249" i="2"/>
  <c r="P249" i="2"/>
  <c r="L249" i="2"/>
  <c r="K249" i="2"/>
  <c r="J249" i="2"/>
  <c r="I249" i="2"/>
  <c r="H249" i="2"/>
  <c r="G249" i="2"/>
  <c r="F249" i="2"/>
  <c r="E249" i="2"/>
  <c r="D249" i="2"/>
  <c r="C249" i="2"/>
  <c r="B249" i="2"/>
  <c r="A249" i="2"/>
  <c r="U248" i="2"/>
  <c r="T248" i="2"/>
  <c r="S248" i="2"/>
  <c r="R248" i="2"/>
  <c r="Q248" i="2"/>
  <c r="P248" i="2"/>
  <c r="L248" i="2"/>
  <c r="K248" i="2"/>
  <c r="J248" i="2"/>
  <c r="I248" i="2"/>
  <c r="H248" i="2"/>
  <c r="G248" i="2"/>
  <c r="F248" i="2"/>
  <c r="E248" i="2"/>
  <c r="D248" i="2"/>
  <c r="C248" i="2"/>
  <c r="B248" i="2"/>
  <c r="A248" i="2"/>
  <c r="U247" i="2"/>
  <c r="T247" i="2"/>
  <c r="S247" i="2"/>
  <c r="R247" i="2"/>
  <c r="Q247" i="2"/>
  <c r="P247" i="2"/>
  <c r="L247" i="2"/>
  <c r="K247" i="2"/>
  <c r="J247" i="2"/>
  <c r="I247" i="2"/>
  <c r="H247" i="2"/>
  <c r="G247" i="2"/>
  <c r="F247" i="2"/>
  <c r="E247" i="2"/>
  <c r="D247" i="2"/>
  <c r="C247" i="2"/>
  <c r="B247" i="2"/>
  <c r="A247" i="2"/>
  <c r="U246" i="2"/>
  <c r="T246" i="2"/>
  <c r="S246" i="2"/>
  <c r="R246" i="2"/>
  <c r="Q246" i="2"/>
  <c r="P246" i="2"/>
  <c r="L246" i="2"/>
  <c r="K246" i="2"/>
  <c r="J246" i="2"/>
  <c r="I246" i="2"/>
  <c r="H246" i="2"/>
  <c r="G246" i="2"/>
  <c r="F246" i="2"/>
  <c r="E246" i="2"/>
  <c r="D246" i="2"/>
  <c r="C246" i="2"/>
  <c r="B246" i="2"/>
  <c r="A246" i="2"/>
  <c r="U245" i="2"/>
  <c r="T245" i="2"/>
  <c r="S245" i="2"/>
  <c r="R245" i="2"/>
  <c r="Q245" i="2"/>
  <c r="P245" i="2"/>
  <c r="L245" i="2"/>
  <c r="K245" i="2"/>
  <c r="J245" i="2"/>
  <c r="I245" i="2"/>
  <c r="H245" i="2"/>
  <c r="G245" i="2"/>
  <c r="F245" i="2"/>
  <c r="E245" i="2"/>
  <c r="D245" i="2"/>
  <c r="C245" i="2"/>
  <c r="B245" i="2"/>
  <c r="A245" i="2"/>
  <c r="U244" i="2"/>
  <c r="T244" i="2"/>
  <c r="S244" i="2"/>
  <c r="R244" i="2"/>
  <c r="Q244" i="2"/>
  <c r="P244" i="2"/>
  <c r="L244" i="2"/>
  <c r="K244" i="2"/>
  <c r="J244" i="2"/>
  <c r="I244" i="2"/>
  <c r="H244" i="2"/>
  <c r="G244" i="2"/>
  <c r="F244" i="2"/>
  <c r="E244" i="2"/>
  <c r="D244" i="2"/>
  <c r="C244" i="2"/>
  <c r="B244" i="2"/>
  <c r="A244" i="2"/>
  <c r="U243" i="2"/>
  <c r="T243" i="2"/>
  <c r="S243" i="2"/>
  <c r="R243" i="2"/>
  <c r="Q243" i="2"/>
  <c r="P243" i="2"/>
  <c r="O243" i="2"/>
  <c r="N243" i="2"/>
  <c r="M243" i="2"/>
  <c r="I243" i="2"/>
  <c r="H243" i="2"/>
  <c r="G243" i="2"/>
  <c r="F243" i="2"/>
  <c r="E243" i="2"/>
  <c r="D243" i="2"/>
  <c r="C243" i="2"/>
  <c r="B243" i="2"/>
  <c r="A243" i="2"/>
  <c r="U242" i="2"/>
  <c r="T242" i="2"/>
  <c r="S242" i="2"/>
  <c r="R242" i="2"/>
  <c r="Q242" i="2"/>
  <c r="P242" i="2"/>
  <c r="O242" i="2"/>
  <c r="N242" i="2"/>
  <c r="M242" i="2"/>
  <c r="I242" i="2"/>
  <c r="H242" i="2"/>
  <c r="G242" i="2"/>
  <c r="F242" i="2"/>
  <c r="E242" i="2"/>
  <c r="D242" i="2"/>
  <c r="C242" i="2"/>
  <c r="B242" i="2"/>
  <c r="A242" i="2"/>
  <c r="U241" i="2"/>
  <c r="T241" i="2"/>
  <c r="S241" i="2"/>
  <c r="R241" i="2"/>
  <c r="Q241" i="2"/>
  <c r="P241" i="2"/>
  <c r="L241" i="2"/>
  <c r="K241" i="2"/>
  <c r="J241" i="2"/>
  <c r="I241" i="2"/>
  <c r="H241" i="2"/>
  <c r="G241" i="2"/>
  <c r="F241" i="2"/>
  <c r="E241" i="2"/>
  <c r="D241" i="2"/>
  <c r="C241" i="2"/>
  <c r="B241" i="2"/>
  <c r="A241" i="2"/>
  <c r="U240" i="2"/>
  <c r="T240" i="2"/>
  <c r="S240" i="2"/>
  <c r="R240" i="2"/>
  <c r="Q240" i="2"/>
  <c r="P240" i="2"/>
  <c r="L240" i="2"/>
  <c r="K240" i="2"/>
  <c r="J240" i="2"/>
  <c r="I240" i="2"/>
  <c r="H240" i="2"/>
  <c r="G240" i="2"/>
  <c r="F240" i="2"/>
  <c r="E240" i="2"/>
  <c r="D240" i="2"/>
  <c r="C240" i="2"/>
  <c r="B240" i="2"/>
  <c r="A240" i="2"/>
  <c r="U239" i="2"/>
  <c r="T239" i="2"/>
  <c r="S239" i="2"/>
  <c r="R239" i="2"/>
  <c r="Q239" i="2"/>
  <c r="P239" i="2"/>
  <c r="L239" i="2"/>
  <c r="K239" i="2"/>
  <c r="J239" i="2"/>
  <c r="I239" i="2"/>
  <c r="H239" i="2"/>
  <c r="G239" i="2"/>
  <c r="F239" i="2"/>
  <c r="E239" i="2"/>
  <c r="D239" i="2"/>
  <c r="C239" i="2"/>
  <c r="B239" i="2"/>
  <c r="A239" i="2"/>
  <c r="U238" i="2"/>
  <c r="T238" i="2"/>
  <c r="S238" i="2"/>
  <c r="R238" i="2"/>
  <c r="Q238" i="2"/>
  <c r="P238" i="2"/>
  <c r="O238" i="2"/>
  <c r="N238" i="2"/>
  <c r="M238" i="2"/>
  <c r="I238" i="2"/>
  <c r="H238" i="2"/>
  <c r="G238" i="2"/>
  <c r="F238" i="2"/>
  <c r="E238" i="2"/>
  <c r="D238" i="2"/>
  <c r="C238" i="2"/>
  <c r="B238" i="2"/>
  <c r="A238" i="2"/>
  <c r="U237" i="2"/>
  <c r="T237" i="2"/>
  <c r="S237" i="2"/>
  <c r="R237" i="2"/>
  <c r="Q237" i="2"/>
  <c r="P237" i="2"/>
  <c r="L237" i="2"/>
  <c r="K237" i="2"/>
  <c r="J237" i="2"/>
  <c r="I237" i="2"/>
  <c r="H237" i="2"/>
  <c r="G237" i="2"/>
  <c r="F237" i="2"/>
  <c r="E237" i="2"/>
  <c r="D237" i="2"/>
  <c r="C237" i="2"/>
  <c r="B237" i="2"/>
  <c r="A237" i="2"/>
  <c r="U236" i="2"/>
  <c r="T236" i="2"/>
  <c r="S236" i="2"/>
  <c r="R236" i="2"/>
  <c r="Q236" i="2"/>
  <c r="P236" i="2"/>
  <c r="L236" i="2"/>
  <c r="K236" i="2"/>
  <c r="J236" i="2"/>
  <c r="I236" i="2"/>
  <c r="H236" i="2"/>
  <c r="G236" i="2"/>
  <c r="F236" i="2"/>
  <c r="E236" i="2"/>
  <c r="D236" i="2"/>
  <c r="C236" i="2"/>
  <c r="B236" i="2"/>
  <c r="A236" i="2"/>
  <c r="U235" i="2"/>
  <c r="T235" i="2"/>
  <c r="S235" i="2"/>
  <c r="R235" i="2"/>
  <c r="Q235" i="2"/>
  <c r="P235" i="2"/>
  <c r="O235" i="2"/>
  <c r="N235" i="2"/>
  <c r="M235" i="2"/>
  <c r="I235" i="2"/>
  <c r="H235" i="2"/>
  <c r="G235" i="2"/>
  <c r="F235" i="2"/>
  <c r="E235" i="2"/>
  <c r="D235" i="2"/>
  <c r="C235" i="2"/>
  <c r="B235" i="2"/>
  <c r="A235" i="2"/>
  <c r="U234" i="2"/>
  <c r="T234" i="2"/>
  <c r="S234" i="2"/>
  <c r="R234" i="2"/>
  <c r="Q234" i="2"/>
  <c r="P234" i="2"/>
  <c r="L234" i="2"/>
  <c r="K234" i="2"/>
  <c r="J234" i="2"/>
  <c r="I234" i="2"/>
  <c r="H234" i="2"/>
  <c r="G234" i="2"/>
  <c r="F234" i="2"/>
  <c r="E234" i="2"/>
  <c r="D234" i="2"/>
  <c r="C234" i="2"/>
  <c r="B234" i="2"/>
  <c r="A234" i="2"/>
  <c r="U233" i="2"/>
  <c r="T233" i="2"/>
  <c r="S233" i="2"/>
  <c r="R233" i="2"/>
  <c r="Q233" i="2"/>
  <c r="P233" i="2"/>
  <c r="L233" i="2"/>
  <c r="K233" i="2"/>
  <c r="J233" i="2"/>
  <c r="I233" i="2"/>
  <c r="H233" i="2"/>
  <c r="G233" i="2"/>
  <c r="F233" i="2"/>
  <c r="E233" i="2"/>
  <c r="D233" i="2"/>
  <c r="C233" i="2"/>
  <c r="B233" i="2"/>
  <c r="A233" i="2"/>
  <c r="U232" i="2"/>
  <c r="T232" i="2"/>
  <c r="S232" i="2"/>
  <c r="R232" i="2"/>
  <c r="Q232" i="2"/>
  <c r="P232" i="2"/>
  <c r="L232" i="2"/>
  <c r="K232" i="2"/>
  <c r="J232" i="2"/>
  <c r="I232" i="2"/>
  <c r="H232" i="2"/>
  <c r="G232" i="2"/>
  <c r="F232" i="2"/>
  <c r="E232" i="2"/>
  <c r="D232" i="2"/>
  <c r="C232" i="2"/>
  <c r="B232" i="2"/>
  <c r="A232" i="2"/>
  <c r="U231" i="2"/>
  <c r="T231" i="2"/>
  <c r="S231" i="2"/>
  <c r="R231" i="2"/>
  <c r="Q231" i="2"/>
  <c r="P231" i="2"/>
  <c r="L231" i="2"/>
  <c r="K231" i="2"/>
  <c r="J231" i="2"/>
  <c r="I231" i="2"/>
  <c r="H231" i="2"/>
  <c r="G231" i="2"/>
  <c r="F231" i="2"/>
  <c r="E231" i="2"/>
  <c r="D231" i="2"/>
  <c r="C231" i="2"/>
  <c r="B231" i="2"/>
  <c r="A231" i="2"/>
  <c r="U230" i="2"/>
  <c r="T230" i="2"/>
  <c r="S230" i="2"/>
  <c r="R230" i="2"/>
  <c r="Q230" i="2"/>
  <c r="P230" i="2"/>
  <c r="L230" i="2"/>
  <c r="K230" i="2"/>
  <c r="J230" i="2"/>
  <c r="I230" i="2"/>
  <c r="H230" i="2"/>
  <c r="G230" i="2"/>
  <c r="F230" i="2"/>
  <c r="E230" i="2"/>
  <c r="D230" i="2"/>
  <c r="C230" i="2"/>
  <c r="B230" i="2"/>
  <c r="A230" i="2"/>
  <c r="U229" i="2"/>
  <c r="T229" i="2"/>
  <c r="S229" i="2"/>
  <c r="R229" i="2"/>
  <c r="Q229" i="2"/>
  <c r="P229" i="2"/>
  <c r="L229" i="2"/>
  <c r="K229" i="2"/>
  <c r="J229" i="2"/>
  <c r="I229" i="2"/>
  <c r="H229" i="2"/>
  <c r="G229" i="2"/>
  <c r="F229" i="2"/>
  <c r="E229" i="2"/>
  <c r="D229" i="2"/>
  <c r="C229" i="2"/>
  <c r="B229" i="2"/>
  <c r="A229" i="2"/>
  <c r="U228" i="2"/>
  <c r="T228" i="2"/>
  <c r="S228" i="2"/>
  <c r="R228" i="2"/>
  <c r="Q228" i="2"/>
  <c r="P228" i="2"/>
  <c r="O228" i="2"/>
  <c r="N228" i="2"/>
  <c r="M228" i="2"/>
  <c r="I228" i="2"/>
  <c r="H228" i="2"/>
  <c r="G228" i="2"/>
  <c r="F228" i="2"/>
  <c r="E228" i="2"/>
  <c r="D228" i="2"/>
  <c r="C228" i="2"/>
  <c r="B228" i="2"/>
  <c r="A228" i="2"/>
  <c r="U227" i="2"/>
  <c r="T227" i="2"/>
  <c r="S227" i="2"/>
  <c r="R227" i="2"/>
  <c r="Q227" i="2"/>
  <c r="P227" i="2"/>
  <c r="L227" i="2"/>
  <c r="K227" i="2"/>
  <c r="J227" i="2"/>
  <c r="I227" i="2"/>
  <c r="H227" i="2"/>
  <c r="G227" i="2"/>
  <c r="F227" i="2"/>
  <c r="E227" i="2"/>
  <c r="D227" i="2"/>
  <c r="C227" i="2"/>
  <c r="B227" i="2"/>
  <c r="A227" i="2"/>
  <c r="U226" i="2"/>
  <c r="T226" i="2"/>
  <c r="S226" i="2"/>
  <c r="R226" i="2"/>
  <c r="Q226" i="2"/>
  <c r="P226" i="2"/>
  <c r="L226" i="2"/>
  <c r="K226" i="2"/>
  <c r="J226" i="2"/>
  <c r="I226" i="2"/>
  <c r="H226" i="2"/>
  <c r="G226" i="2"/>
  <c r="F226" i="2"/>
  <c r="E226" i="2"/>
  <c r="D226" i="2"/>
  <c r="C226" i="2"/>
  <c r="B226" i="2"/>
  <c r="A226" i="2"/>
  <c r="U225" i="2"/>
  <c r="T225" i="2"/>
  <c r="S225" i="2"/>
  <c r="R225" i="2"/>
  <c r="Q225" i="2"/>
  <c r="P225" i="2"/>
  <c r="L225" i="2"/>
  <c r="K225" i="2"/>
  <c r="J225" i="2"/>
  <c r="I225" i="2"/>
  <c r="H225" i="2"/>
  <c r="G225" i="2"/>
  <c r="F225" i="2"/>
  <c r="E225" i="2"/>
  <c r="D225" i="2"/>
  <c r="C225" i="2"/>
  <c r="B225" i="2"/>
  <c r="A225" i="2"/>
  <c r="U224" i="2"/>
  <c r="T224" i="2"/>
  <c r="S224" i="2"/>
  <c r="R224" i="2"/>
  <c r="Q224" i="2"/>
  <c r="P224" i="2"/>
  <c r="L224" i="2"/>
  <c r="K224" i="2"/>
  <c r="J224" i="2"/>
  <c r="I224" i="2"/>
  <c r="H224" i="2"/>
  <c r="G224" i="2"/>
  <c r="F224" i="2"/>
  <c r="E224" i="2"/>
  <c r="D224" i="2"/>
  <c r="C224" i="2"/>
  <c r="B224" i="2"/>
  <c r="A224" i="2"/>
  <c r="U223" i="2"/>
  <c r="T223" i="2"/>
  <c r="S223" i="2"/>
  <c r="R223" i="2"/>
  <c r="Q223" i="2"/>
  <c r="P223" i="2"/>
  <c r="L223" i="2"/>
  <c r="K223" i="2"/>
  <c r="J223" i="2"/>
  <c r="I223" i="2"/>
  <c r="H223" i="2"/>
  <c r="G223" i="2"/>
  <c r="F223" i="2"/>
  <c r="E223" i="2"/>
  <c r="D223" i="2"/>
  <c r="C223" i="2"/>
  <c r="B223" i="2"/>
  <c r="A223" i="2"/>
  <c r="U222" i="2"/>
  <c r="T222" i="2"/>
  <c r="S222" i="2"/>
  <c r="R222" i="2"/>
  <c r="Q222" i="2"/>
  <c r="P222" i="2"/>
  <c r="O222" i="2"/>
  <c r="N222" i="2"/>
  <c r="M222" i="2"/>
  <c r="I222" i="2"/>
  <c r="H222" i="2"/>
  <c r="G222" i="2"/>
  <c r="F222" i="2"/>
  <c r="E222" i="2"/>
  <c r="D222" i="2"/>
  <c r="C222" i="2"/>
  <c r="B222" i="2"/>
  <c r="A222" i="2"/>
  <c r="U221" i="2"/>
  <c r="T221" i="2"/>
  <c r="S221" i="2"/>
  <c r="R221" i="2"/>
  <c r="Q221" i="2"/>
  <c r="P221" i="2"/>
  <c r="O221" i="2"/>
  <c r="N221" i="2"/>
  <c r="M221" i="2"/>
  <c r="I221" i="2"/>
  <c r="H221" i="2"/>
  <c r="G221" i="2"/>
  <c r="F221" i="2"/>
  <c r="E221" i="2"/>
  <c r="D221" i="2"/>
  <c r="C221" i="2"/>
  <c r="B221" i="2"/>
  <c r="A221" i="2"/>
  <c r="U220" i="2"/>
  <c r="T220" i="2"/>
  <c r="S220" i="2"/>
  <c r="R220" i="2"/>
  <c r="Q220" i="2"/>
  <c r="P220" i="2"/>
  <c r="L220" i="2"/>
  <c r="K220" i="2"/>
  <c r="J220" i="2"/>
  <c r="I220" i="2"/>
  <c r="H220" i="2"/>
  <c r="G220" i="2"/>
  <c r="F220" i="2"/>
  <c r="E220" i="2"/>
  <c r="D220" i="2"/>
  <c r="C220" i="2"/>
  <c r="B220" i="2"/>
  <c r="A220" i="2"/>
  <c r="U219" i="2"/>
  <c r="T219" i="2"/>
  <c r="S219" i="2"/>
  <c r="R219" i="2"/>
  <c r="Q219" i="2"/>
  <c r="P219" i="2"/>
  <c r="L219" i="2"/>
  <c r="K219" i="2"/>
  <c r="J219" i="2"/>
  <c r="I219" i="2"/>
  <c r="H219" i="2"/>
  <c r="G219" i="2"/>
  <c r="F219" i="2"/>
  <c r="E219" i="2"/>
  <c r="D219" i="2"/>
  <c r="C219" i="2"/>
  <c r="B219" i="2"/>
  <c r="A219" i="2"/>
  <c r="U218" i="2"/>
  <c r="T218" i="2"/>
  <c r="S218" i="2"/>
  <c r="R218" i="2"/>
  <c r="Q218" i="2"/>
  <c r="P218" i="2"/>
  <c r="L218" i="2"/>
  <c r="K218" i="2"/>
  <c r="J218" i="2"/>
  <c r="I218" i="2"/>
  <c r="H218" i="2"/>
  <c r="G218" i="2"/>
  <c r="F218" i="2"/>
  <c r="E218" i="2"/>
  <c r="D218" i="2"/>
  <c r="C218" i="2"/>
  <c r="B218" i="2"/>
  <c r="A218" i="2"/>
  <c r="U217" i="2"/>
  <c r="T217" i="2"/>
  <c r="S217" i="2"/>
  <c r="R217" i="2"/>
  <c r="Q217" i="2"/>
  <c r="P217" i="2"/>
  <c r="L217" i="2"/>
  <c r="K217" i="2"/>
  <c r="J217" i="2"/>
  <c r="I217" i="2"/>
  <c r="H217" i="2"/>
  <c r="G217" i="2"/>
  <c r="F217" i="2"/>
  <c r="E217" i="2"/>
  <c r="D217" i="2"/>
  <c r="C217" i="2"/>
  <c r="B217" i="2"/>
  <c r="A217" i="2"/>
  <c r="U216" i="2"/>
  <c r="T216" i="2"/>
  <c r="S216" i="2"/>
  <c r="R216" i="2"/>
  <c r="Q216" i="2"/>
  <c r="P216" i="2"/>
  <c r="O216" i="2"/>
  <c r="N216" i="2"/>
  <c r="M216" i="2"/>
  <c r="I216" i="2"/>
  <c r="H216" i="2"/>
  <c r="G216" i="2"/>
  <c r="F216" i="2"/>
  <c r="E216" i="2"/>
  <c r="D216" i="2"/>
  <c r="C216" i="2"/>
  <c r="B216" i="2"/>
  <c r="A216" i="2"/>
  <c r="U215" i="2"/>
  <c r="T215" i="2"/>
  <c r="S215" i="2"/>
  <c r="R215" i="2"/>
  <c r="Q215" i="2"/>
  <c r="P215" i="2"/>
  <c r="L215" i="2"/>
  <c r="K215" i="2"/>
  <c r="J215" i="2"/>
  <c r="I215" i="2"/>
  <c r="H215" i="2"/>
  <c r="G215" i="2"/>
  <c r="F215" i="2"/>
  <c r="E215" i="2"/>
  <c r="D215" i="2"/>
  <c r="C215" i="2"/>
  <c r="B215" i="2"/>
  <c r="A215" i="2"/>
  <c r="U214" i="2"/>
  <c r="T214" i="2"/>
  <c r="S214" i="2"/>
  <c r="R214" i="2"/>
  <c r="Q214" i="2"/>
  <c r="P214" i="2"/>
  <c r="O214" i="2"/>
  <c r="N214" i="2"/>
  <c r="M214" i="2"/>
  <c r="I214" i="2"/>
  <c r="H214" i="2"/>
  <c r="G214" i="2"/>
  <c r="F214" i="2"/>
  <c r="E214" i="2"/>
  <c r="D214" i="2"/>
  <c r="C214" i="2"/>
  <c r="B214" i="2"/>
  <c r="A214" i="2"/>
  <c r="U213" i="2"/>
  <c r="T213" i="2"/>
  <c r="S213" i="2"/>
  <c r="R213" i="2"/>
  <c r="Q213" i="2"/>
  <c r="P213" i="2"/>
  <c r="L213" i="2"/>
  <c r="K213" i="2"/>
  <c r="J213" i="2"/>
  <c r="I213" i="2"/>
  <c r="H213" i="2"/>
  <c r="G213" i="2"/>
  <c r="F213" i="2"/>
  <c r="E213" i="2"/>
  <c r="D213" i="2"/>
  <c r="C213" i="2"/>
  <c r="B213" i="2"/>
  <c r="A213" i="2"/>
  <c r="U212" i="2"/>
  <c r="T212" i="2"/>
  <c r="S212" i="2"/>
  <c r="R212" i="2"/>
  <c r="Q212" i="2"/>
  <c r="P212" i="2"/>
  <c r="L212" i="2"/>
  <c r="K212" i="2"/>
  <c r="J212" i="2"/>
  <c r="I212" i="2"/>
  <c r="H212" i="2"/>
  <c r="G212" i="2"/>
  <c r="F212" i="2"/>
  <c r="E212" i="2"/>
  <c r="D212" i="2"/>
  <c r="C212" i="2"/>
  <c r="B212" i="2"/>
  <c r="A212" i="2"/>
  <c r="U211" i="2"/>
  <c r="T211" i="2"/>
  <c r="S211" i="2"/>
  <c r="R211" i="2"/>
  <c r="Q211" i="2"/>
  <c r="P211" i="2"/>
  <c r="L211" i="2"/>
  <c r="K211" i="2"/>
  <c r="J211" i="2"/>
  <c r="I211" i="2"/>
  <c r="H211" i="2"/>
  <c r="G211" i="2"/>
  <c r="F211" i="2"/>
  <c r="E211" i="2"/>
  <c r="D211" i="2"/>
  <c r="C211" i="2"/>
  <c r="B211" i="2"/>
  <c r="A211" i="2"/>
  <c r="U210" i="2"/>
  <c r="T210" i="2"/>
  <c r="S210" i="2"/>
  <c r="R210" i="2"/>
  <c r="Q210" i="2"/>
  <c r="P210" i="2"/>
  <c r="L210" i="2"/>
  <c r="K210" i="2"/>
  <c r="J210" i="2"/>
  <c r="I210" i="2"/>
  <c r="H210" i="2"/>
  <c r="G210" i="2"/>
  <c r="F210" i="2"/>
  <c r="E210" i="2"/>
  <c r="D210" i="2"/>
  <c r="C210" i="2"/>
  <c r="B210" i="2"/>
  <c r="A210" i="2"/>
  <c r="U209" i="2"/>
  <c r="T209" i="2"/>
  <c r="S209" i="2"/>
  <c r="R209" i="2"/>
  <c r="Q209" i="2"/>
  <c r="P209" i="2"/>
  <c r="L209" i="2"/>
  <c r="K209" i="2"/>
  <c r="J209" i="2"/>
  <c r="I209" i="2"/>
  <c r="H209" i="2"/>
  <c r="G209" i="2"/>
  <c r="F209" i="2"/>
  <c r="E209" i="2"/>
  <c r="D209" i="2"/>
  <c r="C209" i="2"/>
  <c r="B209" i="2"/>
  <c r="A209" i="2"/>
  <c r="U208" i="2"/>
  <c r="T208" i="2"/>
  <c r="S208" i="2"/>
  <c r="R208" i="2"/>
  <c r="Q208" i="2"/>
  <c r="P208" i="2"/>
  <c r="L208" i="2"/>
  <c r="K208" i="2"/>
  <c r="J208" i="2"/>
  <c r="I208" i="2"/>
  <c r="H208" i="2"/>
  <c r="G208" i="2"/>
  <c r="F208" i="2"/>
  <c r="E208" i="2"/>
  <c r="D208" i="2"/>
  <c r="C208" i="2"/>
  <c r="B208" i="2"/>
  <c r="A208" i="2"/>
  <c r="U207" i="2"/>
  <c r="T207" i="2"/>
  <c r="S207" i="2"/>
  <c r="R207" i="2"/>
  <c r="Q207" i="2"/>
  <c r="P207" i="2"/>
  <c r="L207" i="2"/>
  <c r="K207" i="2"/>
  <c r="J207" i="2"/>
  <c r="I207" i="2"/>
  <c r="H207" i="2"/>
  <c r="G207" i="2"/>
  <c r="F207" i="2"/>
  <c r="E207" i="2"/>
  <c r="D207" i="2"/>
  <c r="C207" i="2"/>
  <c r="B207" i="2"/>
  <c r="A207" i="2"/>
  <c r="U206" i="2"/>
  <c r="T206" i="2"/>
  <c r="S206" i="2"/>
  <c r="R206" i="2"/>
  <c r="Q206" i="2"/>
  <c r="P206" i="2"/>
  <c r="L206" i="2"/>
  <c r="K206" i="2"/>
  <c r="J206" i="2"/>
  <c r="I206" i="2"/>
  <c r="H206" i="2"/>
  <c r="G206" i="2"/>
  <c r="F206" i="2"/>
  <c r="E206" i="2"/>
  <c r="D206" i="2"/>
  <c r="C206" i="2"/>
  <c r="B206" i="2"/>
  <c r="A206" i="2"/>
  <c r="U205" i="2"/>
  <c r="T205" i="2"/>
  <c r="S205" i="2"/>
  <c r="R205" i="2"/>
  <c r="Q205" i="2"/>
  <c r="P205" i="2"/>
  <c r="L205" i="2"/>
  <c r="K205" i="2"/>
  <c r="J205" i="2"/>
  <c r="I205" i="2"/>
  <c r="H205" i="2"/>
  <c r="G205" i="2"/>
  <c r="F205" i="2"/>
  <c r="E205" i="2"/>
  <c r="D205" i="2"/>
  <c r="C205" i="2"/>
  <c r="B205" i="2"/>
  <c r="A205" i="2"/>
  <c r="U204" i="2"/>
  <c r="T204" i="2"/>
  <c r="S204" i="2"/>
  <c r="R204" i="2"/>
  <c r="Q204" i="2"/>
  <c r="P204" i="2"/>
  <c r="L204" i="2"/>
  <c r="K204" i="2"/>
  <c r="J204" i="2"/>
  <c r="I204" i="2"/>
  <c r="H204" i="2"/>
  <c r="G204" i="2"/>
  <c r="F204" i="2"/>
  <c r="E204" i="2"/>
  <c r="D204" i="2"/>
  <c r="C204" i="2"/>
  <c r="B204" i="2"/>
  <c r="A204" i="2"/>
  <c r="U203" i="2"/>
  <c r="T203" i="2"/>
  <c r="S203" i="2"/>
  <c r="R203" i="2"/>
  <c r="Q203" i="2"/>
  <c r="P203" i="2"/>
  <c r="L203" i="2"/>
  <c r="K203" i="2"/>
  <c r="J203" i="2"/>
  <c r="I203" i="2"/>
  <c r="H203" i="2"/>
  <c r="G203" i="2"/>
  <c r="F203" i="2"/>
  <c r="E203" i="2"/>
  <c r="D203" i="2"/>
  <c r="C203" i="2"/>
  <c r="B203" i="2"/>
  <c r="A203" i="2"/>
  <c r="U202" i="2"/>
  <c r="T202" i="2"/>
  <c r="S202" i="2"/>
  <c r="R202" i="2"/>
  <c r="Q202" i="2"/>
  <c r="P202" i="2"/>
  <c r="L202" i="2"/>
  <c r="K202" i="2"/>
  <c r="J202" i="2"/>
  <c r="I202" i="2"/>
  <c r="H202" i="2"/>
  <c r="G202" i="2"/>
  <c r="F202" i="2"/>
  <c r="E202" i="2"/>
  <c r="D202" i="2"/>
  <c r="C202" i="2"/>
  <c r="B202" i="2"/>
  <c r="A202" i="2"/>
  <c r="U201" i="2"/>
  <c r="T201" i="2"/>
  <c r="S201" i="2"/>
  <c r="R201" i="2"/>
  <c r="Q201" i="2"/>
  <c r="P201" i="2"/>
  <c r="L201" i="2"/>
  <c r="K201" i="2"/>
  <c r="J201" i="2"/>
  <c r="I201" i="2"/>
  <c r="H201" i="2"/>
  <c r="G201" i="2"/>
  <c r="F201" i="2"/>
  <c r="E201" i="2"/>
  <c r="D201" i="2"/>
  <c r="C201" i="2"/>
  <c r="B201" i="2"/>
  <c r="A201" i="2"/>
  <c r="U200" i="2"/>
  <c r="T200" i="2"/>
  <c r="S200" i="2"/>
  <c r="R200" i="2"/>
  <c r="Q200" i="2"/>
  <c r="P200" i="2"/>
  <c r="O200" i="2"/>
  <c r="N200" i="2"/>
  <c r="M200" i="2"/>
  <c r="I200" i="2"/>
  <c r="H200" i="2"/>
  <c r="G200" i="2"/>
  <c r="F200" i="2"/>
  <c r="E200" i="2"/>
  <c r="D200" i="2"/>
  <c r="C200" i="2"/>
  <c r="B200" i="2"/>
  <c r="A200" i="2"/>
  <c r="U199" i="2"/>
  <c r="T199" i="2"/>
  <c r="S199" i="2"/>
  <c r="R199" i="2"/>
  <c r="Q199" i="2"/>
  <c r="P199" i="2"/>
  <c r="L199" i="2"/>
  <c r="K199" i="2"/>
  <c r="J199" i="2"/>
  <c r="I199" i="2"/>
  <c r="H199" i="2"/>
  <c r="G199" i="2"/>
  <c r="F199" i="2"/>
  <c r="E199" i="2"/>
  <c r="D199" i="2"/>
  <c r="C199" i="2"/>
  <c r="B199" i="2"/>
  <c r="A199" i="2"/>
  <c r="U198" i="2"/>
  <c r="T198" i="2"/>
  <c r="S198" i="2"/>
  <c r="R198" i="2"/>
  <c r="Q198" i="2"/>
  <c r="P198" i="2"/>
  <c r="L198" i="2"/>
  <c r="K198" i="2"/>
  <c r="J198" i="2"/>
  <c r="I198" i="2"/>
  <c r="H198" i="2"/>
  <c r="G198" i="2"/>
  <c r="F198" i="2"/>
  <c r="E198" i="2"/>
  <c r="D198" i="2"/>
  <c r="C198" i="2"/>
  <c r="B198" i="2"/>
  <c r="A198" i="2"/>
  <c r="U197" i="2"/>
  <c r="T197" i="2"/>
  <c r="S197" i="2"/>
  <c r="R197" i="2"/>
  <c r="Q197" i="2"/>
  <c r="P197" i="2"/>
  <c r="L197" i="2"/>
  <c r="K197" i="2"/>
  <c r="J197" i="2"/>
  <c r="I197" i="2"/>
  <c r="H197" i="2"/>
  <c r="G197" i="2"/>
  <c r="F197" i="2"/>
  <c r="E197" i="2"/>
  <c r="D197" i="2"/>
  <c r="C197" i="2"/>
  <c r="B197" i="2"/>
  <c r="A197" i="2"/>
  <c r="U196" i="2"/>
  <c r="T196" i="2"/>
  <c r="S196" i="2"/>
  <c r="R196" i="2"/>
  <c r="Q196" i="2"/>
  <c r="P196" i="2"/>
  <c r="L196" i="2"/>
  <c r="K196" i="2"/>
  <c r="J196" i="2"/>
  <c r="I196" i="2"/>
  <c r="H196" i="2"/>
  <c r="G196" i="2"/>
  <c r="F196" i="2"/>
  <c r="E196" i="2"/>
  <c r="D196" i="2"/>
  <c r="C196" i="2"/>
  <c r="B196" i="2"/>
  <c r="A196" i="2"/>
  <c r="U195" i="2"/>
  <c r="T195" i="2"/>
  <c r="S195" i="2"/>
  <c r="R195" i="2"/>
  <c r="Q195" i="2"/>
  <c r="P195" i="2"/>
  <c r="O195" i="2"/>
  <c r="N195" i="2"/>
  <c r="M195" i="2"/>
  <c r="I195" i="2"/>
  <c r="H195" i="2"/>
  <c r="G195" i="2"/>
  <c r="F195" i="2"/>
  <c r="E195" i="2"/>
  <c r="D195" i="2"/>
  <c r="C195" i="2"/>
  <c r="B195" i="2"/>
  <c r="A195" i="2"/>
  <c r="U194" i="2"/>
  <c r="T194" i="2"/>
  <c r="S194" i="2"/>
  <c r="R194" i="2"/>
  <c r="Q194" i="2"/>
  <c r="P194" i="2"/>
  <c r="L194" i="2"/>
  <c r="K194" i="2"/>
  <c r="J194" i="2"/>
  <c r="I194" i="2"/>
  <c r="H194" i="2"/>
  <c r="G194" i="2"/>
  <c r="F194" i="2"/>
  <c r="E194" i="2"/>
  <c r="D194" i="2"/>
  <c r="C194" i="2"/>
  <c r="B194" i="2"/>
  <c r="A194" i="2"/>
  <c r="U193" i="2"/>
  <c r="T193" i="2"/>
  <c r="S193" i="2"/>
  <c r="R193" i="2"/>
  <c r="Q193" i="2"/>
  <c r="P193" i="2"/>
  <c r="L193" i="2"/>
  <c r="K193" i="2"/>
  <c r="J193" i="2"/>
  <c r="I193" i="2"/>
  <c r="H193" i="2"/>
  <c r="G193" i="2"/>
  <c r="F193" i="2"/>
  <c r="E193" i="2"/>
  <c r="D193" i="2"/>
  <c r="C193" i="2"/>
  <c r="B193" i="2"/>
  <c r="A193" i="2"/>
  <c r="U192" i="2"/>
  <c r="T192" i="2"/>
  <c r="S192" i="2"/>
  <c r="R192" i="2"/>
  <c r="Q192" i="2"/>
  <c r="P192" i="2"/>
  <c r="O192" i="2"/>
  <c r="N192" i="2"/>
  <c r="M192" i="2"/>
  <c r="I192" i="2"/>
  <c r="H192" i="2"/>
  <c r="G192" i="2"/>
  <c r="F192" i="2"/>
  <c r="E192" i="2"/>
  <c r="D192" i="2"/>
  <c r="C192" i="2"/>
  <c r="B192" i="2"/>
  <c r="A192" i="2"/>
  <c r="U191" i="2"/>
  <c r="T191" i="2"/>
  <c r="S191" i="2"/>
  <c r="R191" i="2"/>
  <c r="Q191" i="2"/>
  <c r="P191" i="2"/>
  <c r="L191" i="2"/>
  <c r="K191" i="2"/>
  <c r="J191" i="2"/>
  <c r="I191" i="2"/>
  <c r="H191" i="2"/>
  <c r="G191" i="2"/>
  <c r="F191" i="2"/>
  <c r="E191" i="2"/>
  <c r="D191" i="2"/>
  <c r="C191" i="2"/>
  <c r="B191" i="2"/>
  <c r="A191" i="2"/>
  <c r="U190" i="2"/>
  <c r="T190" i="2"/>
  <c r="S190" i="2"/>
  <c r="R190" i="2"/>
  <c r="Q190" i="2"/>
  <c r="P190" i="2"/>
  <c r="L190" i="2"/>
  <c r="K190" i="2"/>
  <c r="J190" i="2"/>
  <c r="I190" i="2"/>
  <c r="H190" i="2"/>
  <c r="G190" i="2"/>
  <c r="F190" i="2"/>
  <c r="E190" i="2"/>
  <c r="D190" i="2"/>
  <c r="C190" i="2"/>
  <c r="B190" i="2"/>
  <c r="A190" i="2"/>
  <c r="U189" i="2"/>
  <c r="T189" i="2"/>
  <c r="S189" i="2"/>
  <c r="R189" i="2"/>
  <c r="Q189" i="2"/>
  <c r="P189" i="2"/>
  <c r="L189" i="2"/>
  <c r="K189" i="2"/>
  <c r="J189" i="2"/>
  <c r="I189" i="2"/>
  <c r="H189" i="2"/>
  <c r="G189" i="2"/>
  <c r="F189" i="2"/>
  <c r="E189" i="2"/>
  <c r="D189" i="2"/>
  <c r="C189" i="2"/>
  <c r="B189" i="2"/>
  <c r="A189" i="2"/>
  <c r="U188" i="2"/>
  <c r="T188" i="2"/>
  <c r="S188" i="2"/>
  <c r="R188" i="2"/>
  <c r="Q188" i="2"/>
  <c r="P188" i="2"/>
  <c r="L188" i="2"/>
  <c r="K188" i="2"/>
  <c r="J188" i="2"/>
  <c r="I188" i="2"/>
  <c r="H188" i="2"/>
  <c r="G188" i="2"/>
  <c r="F188" i="2"/>
  <c r="E188" i="2"/>
  <c r="D188" i="2"/>
  <c r="C188" i="2"/>
  <c r="B188" i="2"/>
  <c r="A188" i="2"/>
  <c r="U187" i="2"/>
  <c r="T187" i="2"/>
  <c r="S187" i="2"/>
  <c r="R187" i="2"/>
  <c r="Q187" i="2"/>
  <c r="P187" i="2"/>
  <c r="L187" i="2"/>
  <c r="K187" i="2"/>
  <c r="J187" i="2"/>
  <c r="I187" i="2"/>
  <c r="H187" i="2"/>
  <c r="G187" i="2"/>
  <c r="F187" i="2"/>
  <c r="E187" i="2"/>
  <c r="D187" i="2"/>
  <c r="C187" i="2"/>
  <c r="B187" i="2"/>
  <c r="A187" i="2"/>
  <c r="U186" i="2"/>
  <c r="T186" i="2"/>
  <c r="S186" i="2"/>
  <c r="R186" i="2"/>
  <c r="Q186" i="2"/>
  <c r="P186" i="2"/>
  <c r="O186" i="2"/>
  <c r="N186" i="2"/>
  <c r="M186" i="2"/>
  <c r="I186" i="2"/>
  <c r="H186" i="2"/>
  <c r="G186" i="2"/>
  <c r="F186" i="2"/>
  <c r="E186" i="2"/>
  <c r="D186" i="2"/>
  <c r="C186" i="2"/>
  <c r="B186" i="2"/>
  <c r="A186" i="2"/>
  <c r="U185" i="2"/>
  <c r="T185" i="2"/>
  <c r="S185" i="2"/>
  <c r="R185" i="2"/>
  <c r="Q185" i="2"/>
  <c r="P185" i="2"/>
  <c r="L185" i="2"/>
  <c r="K185" i="2"/>
  <c r="J185" i="2"/>
  <c r="I185" i="2"/>
  <c r="H185" i="2"/>
  <c r="G185" i="2"/>
  <c r="F185" i="2"/>
  <c r="E185" i="2"/>
  <c r="D185" i="2"/>
  <c r="C185" i="2"/>
  <c r="B185" i="2"/>
  <c r="A185" i="2"/>
  <c r="U184" i="2"/>
  <c r="T184" i="2"/>
  <c r="S184" i="2"/>
  <c r="R184" i="2"/>
  <c r="Q184" i="2"/>
  <c r="P184" i="2"/>
  <c r="O184" i="2"/>
  <c r="N184" i="2"/>
  <c r="M184" i="2"/>
  <c r="I184" i="2"/>
  <c r="H184" i="2"/>
  <c r="G184" i="2"/>
  <c r="F184" i="2"/>
  <c r="E184" i="2"/>
  <c r="D184" i="2"/>
  <c r="C184" i="2"/>
  <c r="B184" i="2"/>
  <c r="A184" i="2"/>
  <c r="U183" i="2"/>
  <c r="T183" i="2"/>
  <c r="S183" i="2"/>
  <c r="R183" i="2"/>
  <c r="Q183" i="2"/>
  <c r="P183" i="2"/>
  <c r="L183" i="2"/>
  <c r="K183" i="2"/>
  <c r="J183" i="2"/>
  <c r="I183" i="2"/>
  <c r="H183" i="2"/>
  <c r="G183" i="2"/>
  <c r="F183" i="2"/>
  <c r="E183" i="2"/>
  <c r="D183" i="2"/>
  <c r="C183" i="2"/>
  <c r="B183" i="2"/>
  <c r="A183" i="2"/>
  <c r="U182" i="2"/>
  <c r="T182" i="2"/>
  <c r="S182" i="2"/>
  <c r="R182" i="2"/>
  <c r="Q182" i="2"/>
  <c r="P182" i="2"/>
  <c r="L182" i="2"/>
  <c r="K182" i="2"/>
  <c r="J182" i="2"/>
  <c r="I182" i="2"/>
  <c r="H182" i="2"/>
  <c r="G182" i="2"/>
  <c r="F182" i="2"/>
  <c r="E182" i="2"/>
  <c r="D182" i="2"/>
  <c r="C182" i="2"/>
  <c r="B182" i="2"/>
  <c r="A182" i="2"/>
  <c r="U181" i="2"/>
  <c r="T181" i="2"/>
  <c r="S181" i="2"/>
  <c r="R181" i="2"/>
  <c r="Q181" i="2"/>
  <c r="P181" i="2"/>
  <c r="L181" i="2"/>
  <c r="K181" i="2"/>
  <c r="J181" i="2"/>
  <c r="I181" i="2"/>
  <c r="H181" i="2"/>
  <c r="G181" i="2"/>
  <c r="F181" i="2"/>
  <c r="E181" i="2"/>
  <c r="D181" i="2"/>
  <c r="C181" i="2"/>
  <c r="B181" i="2"/>
  <c r="A181" i="2"/>
  <c r="U180" i="2"/>
  <c r="T180" i="2"/>
  <c r="S180" i="2"/>
  <c r="R180" i="2"/>
  <c r="Q180" i="2"/>
  <c r="P180" i="2"/>
  <c r="L180" i="2"/>
  <c r="K180" i="2"/>
  <c r="J180" i="2"/>
  <c r="I180" i="2"/>
  <c r="H180" i="2"/>
  <c r="G180" i="2"/>
  <c r="F180" i="2"/>
  <c r="E180" i="2"/>
  <c r="D180" i="2"/>
  <c r="C180" i="2"/>
  <c r="B180" i="2"/>
  <c r="A180" i="2"/>
  <c r="U179" i="2"/>
  <c r="T179" i="2"/>
  <c r="S179" i="2"/>
  <c r="R179" i="2"/>
  <c r="Q179" i="2"/>
  <c r="P179" i="2"/>
  <c r="L179" i="2"/>
  <c r="K179" i="2"/>
  <c r="J179" i="2"/>
  <c r="I179" i="2"/>
  <c r="H179" i="2"/>
  <c r="G179" i="2"/>
  <c r="F179" i="2"/>
  <c r="E179" i="2"/>
  <c r="D179" i="2"/>
  <c r="C179" i="2"/>
  <c r="B179" i="2"/>
  <c r="A179" i="2"/>
  <c r="U178" i="2"/>
  <c r="T178" i="2"/>
  <c r="S178" i="2"/>
  <c r="R178" i="2"/>
  <c r="Q178" i="2"/>
  <c r="P178" i="2"/>
  <c r="L178" i="2"/>
  <c r="K178" i="2"/>
  <c r="J178" i="2"/>
  <c r="I178" i="2"/>
  <c r="H178" i="2"/>
  <c r="G178" i="2"/>
  <c r="F178" i="2"/>
  <c r="E178" i="2"/>
  <c r="D178" i="2"/>
  <c r="C178" i="2"/>
  <c r="B178" i="2"/>
  <c r="A178" i="2"/>
  <c r="U177" i="2"/>
  <c r="T177" i="2"/>
  <c r="S177" i="2"/>
  <c r="R177" i="2"/>
  <c r="Q177" i="2"/>
  <c r="P177" i="2"/>
  <c r="L177" i="2"/>
  <c r="K177" i="2"/>
  <c r="J177" i="2"/>
  <c r="I177" i="2"/>
  <c r="H177" i="2"/>
  <c r="G177" i="2"/>
  <c r="F177" i="2"/>
  <c r="E177" i="2"/>
  <c r="D177" i="2"/>
  <c r="C177" i="2"/>
  <c r="B177" i="2"/>
  <c r="A177" i="2"/>
  <c r="U176" i="2"/>
  <c r="T176" i="2"/>
  <c r="S176" i="2"/>
  <c r="R176" i="2"/>
  <c r="Q176" i="2"/>
  <c r="P176" i="2"/>
  <c r="L176" i="2"/>
  <c r="K176" i="2"/>
  <c r="J176" i="2"/>
  <c r="I176" i="2"/>
  <c r="H176" i="2"/>
  <c r="G176" i="2"/>
  <c r="F176" i="2"/>
  <c r="E176" i="2"/>
  <c r="D176" i="2"/>
  <c r="C176" i="2"/>
  <c r="B176" i="2"/>
  <c r="A176" i="2"/>
  <c r="U175" i="2"/>
  <c r="T175" i="2"/>
  <c r="S175" i="2"/>
  <c r="R175" i="2"/>
  <c r="Q175" i="2"/>
  <c r="P175" i="2"/>
  <c r="L175" i="2"/>
  <c r="K175" i="2"/>
  <c r="J175" i="2"/>
  <c r="I175" i="2"/>
  <c r="H175" i="2"/>
  <c r="G175" i="2"/>
  <c r="F175" i="2"/>
  <c r="E175" i="2"/>
  <c r="D175" i="2"/>
  <c r="C175" i="2"/>
  <c r="B175" i="2"/>
  <c r="A175" i="2"/>
  <c r="U174" i="2"/>
  <c r="T174" i="2"/>
  <c r="S174" i="2"/>
  <c r="R174" i="2"/>
  <c r="Q174" i="2"/>
  <c r="P174" i="2"/>
  <c r="L174" i="2"/>
  <c r="K174" i="2"/>
  <c r="J174" i="2"/>
  <c r="I174" i="2"/>
  <c r="H174" i="2"/>
  <c r="G174" i="2"/>
  <c r="F174" i="2"/>
  <c r="E174" i="2"/>
  <c r="D174" i="2"/>
  <c r="C174" i="2"/>
  <c r="B174" i="2"/>
  <c r="A174" i="2"/>
  <c r="U173" i="2"/>
  <c r="T173" i="2"/>
  <c r="S173" i="2"/>
  <c r="R173" i="2"/>
  <c r="Q173" i="2"/>
  <c r="P173" i="2"/>
  <c r="L173" i="2"/>
  <c r="K173" i="2"/>
  <c r="J173" i="2"/>
  <c r="I173" i="2"/>
  <c r="H173" i="2"/>
  <c r="G173" i="2"/>
  <c r="F173" i="2"/>
  <c r="E173" i="2"/>
  <c r="D173" i="2"/>
  <c r="C173" i="2"/>
  <c r="B173" i="2"/>
  <c r="A173" i="2"/>
  <c r="U172" i="2"/>
  <c r="T172" i="2"/>
  <c r="S172" i="2"/>
  <c r="R172" i="2"/>
  <c r="Q172" i="2"/>
  <c r="P172" i="2"/>
  <c r="L172" i="2"/>
  <c r="K172" i="2"/>
  <c r="J172" i="2"/>
  <c r="I172" i="2"/>
  <c r="H172" i="2"/>
  <c r="G172" i="2"/>
  <c r="F172" i="2"/>
  <c r="E172" i="2"/>
  <c r="D172" i="2"/>
  <c r="C172" i="2"/>
  <c r="B172" i="2"/>
  <c r="A172" i="2"/>
  <c r="U171" i="2"/>
  <c r="T171" i="2"/>
  <c r="S171" i="2"/>
  <c r="R171" i="2"/>
  <c r="Q171" i="2"/>
  <c r="P171" i="2"/>
  <c r="L171" i="2"/>
  <c r="K171" i="2"/>
  <c r="J171" i="2"/>
  <c r="I171" i="2"/>
  <c r="H171" i="2"/>
  <c r="G171" i="2"/>
  <c r="F171" i="2"/>
  <c r="E171" i="2"/>
  <c r="D171" i="2"/>
  <c r="C171" i="2"/>
  <c r="B171" i="2"/>
  <c r="A171" i="2"/>
  <c r="U170" i="2"/>
  <c r="T170" i="2"/>
  <c r="S170" i="2"/>
  <c r="R170" i="2"/>
  <c r="Q170" i="2"/>
  <c r="P170" i="2"/>
  <c r="O170" i="2"/>
  <c r="N170" i="2"/>
  <c r="M170" i="2"/>
  <c r="I170" i="2"/>
  <c r="H170" i="2"/>
  <c r="G170" i="2"/>
  <c r="F170" i="2"/>
  <c r="E170" i="2"/>
  <c r="D170" i="2"/>
  <c r="C170" i="2"/>
  <c r="B170" i="2"/>
  <c r="A170" i="2"/>
  <c r="U169" i="2"/>
  <c r="T169" i="2"/>
  <c r="S169" i="2"/>
  <c r="R169" i="2"/>
  <c r="Q169" i="2"/>
  <c r="P169" i="2"/>
  <c r="L169" i="2"/>
  <c r="K169" i="2"/>
  <c r="J169" i="2"/>
  <c r="I169" i="2"/>
  <c r="H169" i="2"/>
  <c r="G169" i="2"/>
  <c r="F169" i="2"/>
  <c r="E169" i="2"/>
  <c r="D169" i="2"/>
  <c r="C169" i="2"/>
  <c r="B169" i="2"/>
  <c r="A169" i="2"/>
  <c r="U168" i="2"/>
  <c r="T168" i="2"/>
  <c r="S168" i="2"/>
  <c r="R168" i="2"/>
  <c r="Q168" i="2"/>
  <c r="P168" i="2"/>
  <c r="O168" i="2"/>
  <c r="N168" i="2"/>
  <c r="M168" i="2"/>
  <c r="I168" i="2"/>
  <c r="H168" i="2"/>
  <c r="G168" i="2"/>
  <c r="F168" i="2"/>
  <c r="E168" i="2"/>
  <c r="D168" i="2"/>
  <c r="C168" i="2"/>
  <c r="B168" i="2"/>
  <c r="A168" i="2"/>
  <c r="U167" i="2"/>
  <c r="T167" i="2"/>
  <c r="S167" i="2"/>
  <c r="R167" i="2"/>
  <c r="Q167" i="2"/>
  <c r="P167" i="2"/>
  <c r="L167" i="2"/>
  <c r="K167" i="2"/>
  <c r="J167" i="2"/>
  <c r="I167" i="2"/>
  <c r="H167" i="2"/>
  <c r="G167" i="2"/>
  <c r="F167" i="2"/>
  <c r="E167" i="2"/>
  <c r="D167" i="2"/>
  <c r="C167" i="2"/>
  <c r="B167" i="2"/>
  <c r="A167" i="2"/>
  <c r="U166" i="2"/>
  <c r="T166" i="2"/>
  <c r="S166" i="2"/>
  <c r="R166" i="2"/>
  <c r="Q166" i="2"/>
  <c r="P166" i="2"/>
  <c r="L166" i="2"/>
  <c r="K166" i="2"/>
  <c r="J166" i="2"/>
  <c r="I166" i="2"/>
  <c r="H166" i="2"/>
  <c r="G166" i="2"/>
  <c r="F166" i="2"/>
  <c r="E166" i="2"/>
  <c r="D166" i="2"/>
  <c r="C166" i="2"/>
  <c r="B166" i="2"/>
  <c r="A166" i="2"/>
  <c r="U165" i="2"/>
  <c r="T165" i="2"/>
  <c r="S165" i="2"/>
  <c r="R165" i="2"/>
  <c r="Q165" i="2"/>
  <c r="P165" i="2"/>
  <c r="L165" i="2"/>
  <c r="K165" i="2"/>
  <c r="J165" i="2"/>
  <c r="I165" i="2"/>
  <c r="H165" i="2"/>
  <c r="G165" i="2"/>
  <c r="F165" i="2"/>
  <c r="E165" i="2"/>
  <c r="D165" i="2"/>
  <c r="C165" i="2"/>
  <c r="B165" i="2"/>
  <c r="A165" i="2"/>
  <c r="U164" i="2"/>
  <c r="T164" i="2"/>
  <c r="S164" i="2"/>
  <c r="R164" i="2"/>
  <c r="Q164" i="2"/>
  <c r="P164" i="2"/>
  <c r="L164" i="2"/>
  <c r="K164" i="2"/>
  <c r="J164" i="2"/>
  <c r="I164" i="2"/>
  <c r="H164" i="2"/>
  <c r="G164" i="2"/>
  <c r="F164" i="2"/>
  <c r="E164" i="2"/>
  <c r="D164" i="2"/>
  <c r="C164" i="2"/>
  <c r="B164" i="2"/>
  <c r="A164" i="2"/>
  <c r="U163" i="2"/>
  <c r="T163" i="2"/>
  <c r="S163" i="2"/>
  <c r="R163" i="2"/>
  <c r="Q163" i="2"/>
  <c r="P163" i="2"/>
  <c r="L163" i="2"/>
  <c r="K163" i="2"/>
  <c r="J163" i="2"/>
  <c r="I163" i="2"/>
  <c r="H163" i="2"/>
  <c r="G163" i="2"/>
  <c r="F163" i="2"/>
  <c r="E163" i="2"/>
  <c r="D163" i="2"/>
  <c r="C163" i="2"/>
  <c r="B163" i="2"/>
  <c r="A163" i="2"/>
  <c r="U162" i="2"/>
  <c r="T162" i="2"/>
  <c r="S162" i="2"/>
  <c r="R162" i="2"/>
  <c r="Q162" i="2"/>
  <c r="P162" i="2"/>
  <c r="L162" i="2"/>
  <c r="K162" i="2"/>
  <c r="J162" i="2"/>
  <c r="I162" i="2"/>
  <c r="H162" i="2"/>
  <c r="G162" i="2"/>
  <c r="F162" i="2"/>
  <c r="E162" i="2"/>
  <c r="D162" i="2"/>
  <c r="C162" i="2"/>
  <c r="B162" i="2"/>
  <c r="A162" i="2"/>
  <c r="U161" i="2"/>
  <c r="T161" i="2"/>
  <c r="S161" i="2"/>
  <c r="R161" i="2"/>
  <c r="Q161" i="2"/>
  <c r="P161" i="2"/>
  <c r="L161" i="2"/>
  <c r="K161" i="2"/>
  <c r="J161" i="2"/>
  <c r="I161" i="2"/>
  <c r="H161" i="2"/>
  <c r="G161" i="2"/>
  <c r="F161" i="2"/>
  <c r="E161" i="2"/>
  <c r="D161" i="2"/>
  <c r="C161" i="2"/>
  <c r="B161" i="2"/>
  <c r="A161" i="2"/>
  <c r="U160" i="2"/>
  <c r="T160" i="2"/>
  <c r="S160" i="2"/>
  <c r="R160" i="2"/>
  <c r="Q160" i="2"/>
  <c r="P160" i="2"/>
  <c r="L160" i="2"/>
  <c r="K160" i="2"/>
  <c r="J160" i="2"/>
  <c r="I160" i="2"/>
  <c r="H160" i="2"/>
  <c r="G160" i="2"/>
  <c r="F160" i="2"/>
  <c r="E160" i="2"/>
  <c r="D160" i="2"/>
  <c r="C160" i="2"/>
  <c r="B160" i="2"/>
  <c r="A160" i="2"/>
  <c r="U159" i="2"/>
  <c r="T159" i="2"/>
  <c r="S159" i="2"/>
  <c r="R159" i="2"/>
  <c r="Q159" i="2"/>
  <c r="P159" i="2"/>
  <c r="L159" i="2"/>
  <c r="K159" i="2"/>
  <c r="J159" i="2"/>
  <c r="I159" i="2"/>
  <c r="H159" i="2"/>
  <c r="G159" i="2"/>
  <c r="F159" i="2"/>
  <c r="E159" i="2"/>
  <c r="D159" i="2"/>
  <c r="C159" i="2"/>
  <c r="B159" i="2"/>
  <c r="A159" i="2"/>
  <c r="U158" i="2"/>
  <c r="T158" i="2"/>
  <c r="S158" i="2"/>
  <c r="R158" i="2"/>
  <c r="Q158" i="2"/>
  <c r="P158" i="2"/>
  <c r="L158" i="2"/>
  <c r="K158" i="2"/>
  <c r="J158" i="2"/>
  <c r="I158" i="2"/>
  <c r="H158" i="2"/>
  <c r="G158" i="2"/>
  <c r="F158" i="2"/>
  <c r="E158" i="2"/>
  <c r="D158" i="2"/>
  <c r="C158" i="2"/>
  <c r="B158" i="2"/>
  <c r="A158" i="2"/>
  <c r="U157" i="2"/>
  <c r="T157" i="2"/>
  <c r="S157" i="2"/>
  <c r="R157" i="2"/>
  <c r="Q157" i="2"/>
  <c r="P157" i="2"/>
  <c r="L157" i="2"/>
  <c r="K157" i="2"/>
  <c r="J157" i="2"/>
  <c r="I157" i="2"/>
  <c r="H157" i="2"/>
  <c r="G157" i="2"/>
  <c r="F157" i="2"/>
  <c r="E157" i="2"/>
  <c r="D157" i="2"/>
  <c r="C157" i="2"/>
  <c r="B157" i="2"/>
  <c r="A157" i="2"/>
  <c r="U156" i="2"/>
  <c r="T156" i="2"/>
  <c r="S156" i="2"/>
  <c r="R156" i="2"/>
  <c r="Q156" i="2"/>
  <c r="P156" i="2"/>
  <c r="L156" i="2"/>
  <c r="K156" i="2"/>
  <c r="J156" i="2"/>
  <c r="I156" i="2"/>
  <c r="H156" i="2"/>
  <c r="G156" i="2"/>
  <c r="F156" i="2"/>
  <c r="E156" i="2"/>
  <c r="D156" i="2"/>
  <c r="C156" i="2"/>
  <c r="B156" i="2"/>
  <c r="A156" i="2"/>
  <c r="U155" i="2"/>
  <c r="T155" i="2"/>
  <c r="S155" i="2"/>
  <c r="R155" i="2"/>
  <c r="Q155" i="2"/>
  <c r="P155" i="2"/>
  <c r="L155" i="2"/>
  <c r="K155" i="2"/>
  <c r="J155" i="2"/>
  <c r="I155" i="2"/>
  <c r="H155" i="2"/>
  <c r="G155" i="2"/>
  <c r="F155" i="2"/>
  <c r="E155" i="2"/>
  <c r="D155" i="2"/>
  <c r="C155" i="2"/>
  <c r="B155" i="2"/>
  <c r="A155" i="2"/>
  <c r="U154" i="2"/>
  <c r="T154" i="2"/>
  <c r="S154" i="2"/>
  <c r="R154" i="2"/>
  <c r="Q154" i="2"/>
  <c r="P154" i="2"/>
  <c r="L154" i="2"/>
  <c r="K154" i="2"/>
  <c r="J154" i="2"/>
  <c r="I154" i="2"/>
  <c r="H154" i="2"/>
  <c r="G154" i="2"/>
  <c r="F154" i="2"/>
  <c r="E154" i="2"/>
  <c r="D154" i="2"/>
  <c r="C154" i="2"/>
  <c r="B154" i="2"/>
  <c r="A154" i="2"/>
  <c r="U153" i="2"/>
  <c r="T153" i="2"/>
  <c r="S153" i="2"/>
  <c r="R153" i="2"/>
  <c r="Q153" i="2"/>
  <c r="P153" i="2"/>
  <c r="L153" i="2"/>
  <c r="K153" i="2"/>
  <c r="J153" i="2"/>
  <c r="I153" i="2"/>
  <c r="H153" i="2"/>
  <c r="G153" i="2"/>
  <c r="F153" i="2"/>
  <c r="E153" i="2"/>
  <c r="D153" i="2"/>
  <c r="C153" i="2"/>
  <c r="B153" i="2"/>
  <c r="A153" i="2"/>
  <c r="U152" i="2"/>
  <c r="T152" i="2"/>
  <c r="S152" i="2"/>
  <c r="R152" i="2"/>
  <c r="Q152" i="2"/>
  <c r="P152" i="2"/>
  <c r="L152" i="2"/>
  <c r="K152" i="2"/>
  <c r="J152" i="2"/>
  <c r="I152" i="2"/>
  <c r="H152" i="2"/>
  <c r="G152" i="2"/>
  <c r="F152" i="2"/>
  <c r="E152" i="2"/>
  <c r="D152" i="2"/>
  <c r="C152" i="2"/>
  <c r="B152" i="2"/>
  <c r="A152" i="2"/>
  <c r="U151" i="2"/>
  <c r="T151" i="2"/>
  <c r="S151" i="2"/>
  <c r="R151" i="2"/>
  <c r="Q151" i="2"/>
  <c r="P151" i="2"/>
  <c r="L151" i="2"/>
  <c r="K151" i="2"/>
  <c r="J151" i="2"/>
  <c r="I151" i="2"/>
  <c r="H151" i="2"/>
  <c r="G151" i="2"/>
  <c r="F151" i="2"/>
  <c r="E151" i="2"/>
  <c r="D151" i="2"/>
  <c r="C151" i="2"/>
  <c r="B151" i="2"/>
  <c r="A151" i="2"/>
  <c r="U150" i="2"/>
  <c r="T150" i="2"/>
  <c r="S150" i="2"/>
  <c r="R150" i="2"/>
  <c r="Q150" i="2"/>
  <c r="P150" i="2"/>
  <c r="L150" i="2"/>
  <c r="K150" i="2"/>
  <c r="J150" i="2"/>
  <c r="I150" i="2"/>
  <c r="H150" i="2"/>
  <c r="G150" i="2"/>
  <c r="F150" i="2"/>
  <c r="E150" i="2"/>
  <c r="D150" i="2"/>
  <c r="C150" i="2"/>
  <c r="B150" i="2"/>
  <c r="A150" i="2"/>
  <c r="U149" i="2"/>
  <c r="T149" i="2"/>
  <c r="S149" i="2"/>
  <c r="R149" i="2"/>
  <c r="Q149" i="2"/>
  <c r="P149" i="2"/>
  <c r="L149" i="2"/>
  <c r="K149" i="2"/>
  <c r="J149" i="2"/>
  <c r="I149" i="2"/>
  <c r="H149" i="2"/>
  <c r="G149" i="2"/>
  <c r="F149" i="2"/>
  <c r="E149" i="2"/>
  <c r="D149" i="2"/>
  <c r="C149" i="2"/>
  <c r="B149" i="2"/>
  <c r="A149" i="2"/>
  <c r="U148" i="2"/>
  <c r="T148" i="2"/>
  <c r="S148" i="2"/>
  <c r="R148" i="2"/>
  <c r="Q148" i="2"/>
  <c r="P148" i="2"/>
  <c r="L148" i="2"/>
  <c r="K148" i="2"/>
  <c r="J148" i="2"/>
  <c r="I148" i="2"/>
  <c r="H148" i="2"/>
  <c r="G148" i="2"/>
  <c r="F148" i="2"/>
  <c r="E148" i="2"/>
  <c r="D148" i="2"/>
  <c r="C148" i="2"/>
  <c r="B148" i="2"/>
  <c r="A148" i="2"/>
  <c r="U147" i="2"/>
  <c r="T147" i="2"/>
  <c r="S147" i="2"/>
  <c r="R147" i="2"/>
  <c r="Q147" i="2"/>
  <c r="P147" i="2"/>
  <c r="L147" i="2"/>
  <c r="K147" i="2"/>
  <c r="J147" i="2"/>
  <c r="I147" i="2"/>
  <c r="H147" i="2"/>
  <c r="G147" i="2"/>
  <c r="F147" i="2"/>
  <c r="E147" i="2"/>
  <c r="D147" i="2"/>
  <c r="C147" i="2"/>
  <c r="B147" i="2"/>
  <c r="A147" i="2"/>
  <c r="U146" i="2"/>
  <c r="T146" i="2"/>
  <c r="S146" i="2"/>
  <c r="R146" i="2"/>
  <c r="Q146" i="2"/>
  <c r="P146" i="2"/>
  <c r="O146" i="2"/>
  <c r="N146" i="2"/>
  <c r="M146" i="2"/>
  <c r="I146" i="2"/>
  <c r="H146" i="2"/>
  <c r="G146" i="2"/>
  <c r="F146" i="2"/>
  <c r="E146" i="2"/>
  <c r="D146" i="2"/>
  <c r="C146" i="2"/>
  <c r="B146" i="2"/>
  <c r="A146" i="2"/>
  <c r="U145" i="2"/>
  <c r="T145" i="2"/>
  <c r="S145" i="2"/>
  <c r="R145" i="2"/>
  <c r="Q145" i="2"/>
  <c r="P145" i="2"/>
  <c r="L145" i="2"/>
  <c r="K145" i="2"/>
  <c r="J145" i="2"/>
  <c r="I145" i="2"/>
  <c r="H145" i="2"/>
  <c r="G145" i="2"/>
  <c r="F145" i="2"/>
  <c r="E145" i="2"/>
  <c r="D145" i="2"/>
  <c r="C145" i="2"/>
  <c r="B145" i="2"/>
  <c r="A145" i="2"/>
  <c r="U144" i="2"/>
  <c r="T144" i="2"/>
  <c r="S144" i="2"/>
  <c r="R144" i="2"/>
  <c r="Q144" i="2"/>
  <c r="P144" i="2"/>
  <c r="L144" i="2"/>
  <c r="K144" i="2"/>
  <c r="J144" i="2"/>
  <c r="I144" i="2"/>
  <c r="H144" i="2"/>
  <c r="G144" i="2"/>
  <c r="F144" i="2"/>
  <c r="E144" i="2"/>
  <c r="D144" i="2"/>
  <c r="C144" i="2"/>
  <c r="B144" i="2"/>
  <c r="A144" i="2"/>
  <c r="U143" i="2"/>
  <c r="T143" i="2"/>
  <c r="S143" i="2"/>
  <c r="R143" i="2"/>
  <c r="Q143" i="2"/>
  <c r="P143" i="2"/>
  <c r="L143" i="2"/>
  <c r="K143" i="2"/>
  <c r="J143" i="2"/>
  <c r="I143" i="2"/>
  <c r="H143" i="2"/>
  <c r="G143" i="2"/>
  <c r="F143" i="2"/>
  <c r="E143" i="2"/>
  <c r="D143" i="2"/>
  <c r="C143" i="2"/>
  <c r="B143" i="2"/>
  <c r="A143" i="2"/>
  <c r="U142" i="2"/>
  <c r="T142" i="2"/>
  <c r="S142" i="2"/>
  <c r="R142" i="2"/>
  <c r="Q142" i="2"/>
  <c r="P142" i="2"/>
  <c r="L142" i="2"/>
  <c r="K142" i="2"/>
  <c r="J142" i="2"/>
  <c r="I142" i="2"/>
  <c r="H142" i="2"/>
  <c r="G142" i="2"/>
  <c r="F142" i="2"/>
  <c r="E142" i="2"/>
  <c r="D142" i="2"/>
  <c r="C142" i="2"/>
  <c r="B142" i="2"/>
  <c r="A142" i="2"/>
  <c r="U141" i="2"/>
  <c r="T141" i="2"/>
  <c r="S141" i="2"/>
  <c r="R141" i="2"/>
  <c r="Q141" i="2"/>
  <c r="P141" i="2"/>
  <c r="L141" i="2"/>
  <c r="K141" i="2"/>
  <c r="J141" i="2"/>
  <c r="I141" i="2"/>
  <c r="H141" i="2"/>
  <c r="G141" i="2"/>
  <c r="F141" i="2"/>
  <c r="E141" i="2"/>
  <c r="D141" i="2"/>
  <c r="C141" i="2"/>
  <c r="B141" i="2"/>
  <c r="A141" i="2"/>
  <c r="U140" i="2"/>
  <c r="T140" i="2"/>
  <c r="S140" i="2"/>
  <c r="R140" i="2"/>
  <c r="Q140" i="2"/>
  <c r="P140" i="2"/>
  <c r="L140" i="2"/>
  <c r="K140" i="2"/>
  <c r="J140" i="2"/>
  <c r="I140" i="2"/>
  <c r="H140" i="2"/>
  <c r="G140" i="2"/>
  <c r="F140" i="2"/>
  <c r="E140" i="2"/>
  <c r="D140" i="2"/>
  <c r="C140" i="2"/>
  <c r="B140" i="2"/>
  <c r="A140" i="2"/>
  <c r="U139" i="2"/>
  <c r="T139" i="2"/>
  <c r="S139" i="2"/>
  <c r="R139" i="2"/>
  <c r="Q139" i="2"/>
  <c r="P139" i="2"/>
  <c r="L139" i="2"/>
  <c r="K139" i="2"/>
  <c r="J139" i="2"/>
  <c r="I139" i="2"/>
  <c r="H139" i="2"/>
  <c r="G139" i="2"/>
  <c r="F139" i="2"/>
  <c r="E139" i="2"/>
  <c r="D139" i="2"/>
  <c r="C139" i="2"/>
  <c r="B139" i="2"/>
  <c r="A139" i="2"/>
  <c r="U138" i="2"/>
  <c r="T138" i="2"/>
  <c r="S138" i="2"/>
  <c r="R138" i="2"/>
  <c r="Q138" i="2"/>
  <c r="P138" i="2"/>
  <c r="L138" i="2"/>
  <c r="K138" i="2"/>
  <c r="J138" i="2"/>
  <c r="I138" i="2"/>
  <c r="H138" i="2"/>
  <c r="G138" i="2"/>
  <c r="F138" i="2"/>
  <c r="E138" i="2"/>
  <c r="D138" i="2"/>
  <c r="C138" i="2"/>
  <c r="B138" i="2"/>
  <c r="A138" i="2"/>
  <c r="U137" i="2"/>
  <c r="T137" i="2"/>
  <c r="S137" i="2"/>
  <c r="R137" i="2"/>
  <c r="Q137" i="2"/>
  <c r="P137" i="2"/>
  <c r="O137" i="2"/>
  <c r="N137" i="2"/>
  <c r="M137" i="2"/>
  <c r="I137" i="2"/>
  <c r="H137" i="2"/>
  <c r="G137" i="2"/>
  <c r="F137" i="2"/>
  <c r="E137" i="2"/>
  <c r="D137" i="2"/>
  <c r="C137" i="2"/>
  <c r="B137" i="2"/>
  <c r="A137" i="2"/>
  <c r="U136" i="2"/>
  <c r="T136" i="2"/>
  <c r="S136" i="2"/>
  <c r="R136" i="2"/>
  <c r="Q136" i="2"/>
  <c r="P136" i="2"/>
  <c r="L136" i="2"/>
  <c r="K136" i="2"/>
  <c r="J136" i="2"/>
  <c r="I136" i="2"/>
  <c r="H136" i="2"/>
  <c r="G136" i="2"/>
  <c r="F136" i="2"/>
  <c r="E136" i="2"/>
  <c r="D136" i="2"/>
  <c r="C136" i="2"/>
  <c r="B136" i="2"/>
  <c r="A136" i="2"/>
  <c r="U135" i="2"/>
  <c r="T135" i="2"/>
  <c r="S135" i="2"/>
  <c r="R135" i="2"/>
  <c r="Q135" i="2"/>
  <c r="P135" i="2"/>
  <c r="O135" i="2"/>
  <c r="N135" i="2"/>
  <c r="M135" i="2"/>
  <c r="I135" i="2"/>
  <c r="H135" i="2"/>
  <c r="G135" i="2"/>
  <c r="F135" i="2"/>
  <c r="E135" i="2"/>
  <c r="D135" i="2"/>
  <c r="C135" i="2"/>
  <c r="B135" i="2"/>
  <c r="A135" i="2"/>
  <c r="U134" i="2"/>
  <c r="T134" i="2"/>
  <c r="S134" i="2"/>
  <c r="R134" i="2"/>
  <c r="Q134" i="2"/>
  <c r="P134" i="2"/>
  <c r="L134" i="2"/>
  <c r="K134" i="2"/>
  <c r="J134" i="2"/>
  <c r="I134" i="2"/>
  <c r="H134" i="2"/>
  <c r="G134" i="2"/>
  <c r="F134" i="2"/>
  <c r="E134" i="2"/>
  <c r="D134" i="2"/>
  <c r="C134" i="2"/>
  <c r="B134" i="2"/>
  <c r="A134" i="2"/>
  <c r="U133" i="2"/>
  <c r="T133" i="2"/>
  <c r="S133" i="2"/>
  <c r="R133" i="2"/>
  <c r="Q133" i="2"/>
  <c r="P133" i="2"/>
  <c r="L133" i="2"/>
  <c r="K133" i="2"/>
  <c r="J133" i="2"/>
  <c r="I133" i="2"/>
  <c r="H133" i="2"/>
  <c r="G133" i="2"/>
  <c r="F133" i="2"/>
  <c r="E133" i="2"/>
  <c r="D133" i="2"/>
  <c r="C133" i="2"/>
  <c r="B133" i="2"/>
  <c r="A133" i="2"/>
  <c r="U132" i="2"/>
  <c r="T132" i="2"/>
  <c r="S132" i="2"/>
  <c r="R132" i="2"/>
  <c r="Q132" i="2"/>
  <c r="P132" i="2"/>
  <c r="L132" i="2"/>
  <c r="K132" i="2"/>
  <c r="J132" i="2"/>
  <c r="I132" i="2"/>
  <c r="H132" i="2"/>
  <c r="G132" i="2"/>
  <c r="F132" i="2"/>
  <c r="E132" i="2"/>
  <c r="D132" i="2"/>
  <c r="C132" i="2"/>
  <c r="B132" i="2"/>
  <c r="A132" i="2"/>
  <c r="U131" i="2"/>
  <c r="T131" i="2"/>
  <c r="S131" i="2"/>
  <c r="R131" i="2"/>
  <c r="Q131" i="2"/>
  <c r="P131" i="2"/>
  <c r="L131" i="2"/>
  <c r="K131" i="2"/>
  <c r="J131" i="2"/>
  <c r="I131" i="2"/>
  <c r="H131" i="2"/>
  <c r="G131" i="2"/>
  <c r="F131" i="2"/>
  <c r="E131" i="2"/>
  <c r="D131" i="2"/>
  <c r="C131" i="2"/>
  <c r="B131" i="2"/>
  <c r="A131" i="2"/>
  <c r="U130" i="2"/>
  <c r="T130" i="2"/>
  <c r="S130" i="2"/>
  <c r="R130" i="2"/>
  <c r="Q130" i="2"/>
  <c r="P130" i="2"/>
  <c r="O130" i="2"/>
  <c r="N130" i="2"/>
  <c r="M130" i="2"/>
  <c r="I130" i="2"/>
  <c r="H130" i="2"/>
  <c r="G130" i="2"/>
  <c r="F130" i="2"/>
  <c r="E130" i="2"/>
  <c r="D130" i="2"/>
  <c r="C130" i="2"/>
  <c r="B130" i="2"/>
  <c r="A130" i="2"/>
  <c r="U129" i="2"/>
  <c r="T129" i="2"/>
  <c r="S129" i="2"/>
  <c r="R129" i="2"/>
  <c r="Q129" i="2"/>
  <c r="P129" i="2"/>
  <c r="L129" i="2"/>
  <c r="K129" i="2"/>
  <c r="J129" i="2"/>
  <c r="I129" i="2"/>
  <c r="H129" i="2"/>
  <c r="G129" i="2"/>
  <c r="F129" i="2"/>
  <c r="E129" i="2"/>
  <c r="D129" i="2"/>
  <c r="C129" i="2"/>
  <c r="B129" i="2"/>
  <c r="A129" i="2"/>
  <c r="U128" i="2"/>
  <c r="T128" i="2"/>
  <c r="S128" i="2"/>
  <c r="R128" i="2"/>
  <c r="Q128" i="2"/>
  <c r="P128" i="2"/>
  <c r="O128" i="2"/>
  <c r="N128" i="2"/>
  <c r="M128" i="2"/>
  <c r="I128" i="2"/>
  <c r="H128" i="2"/>
  <c r="G128" i="2"/>
  <c r="F128" i="2"/>
  <c r="E128" i="2"/>
  <c r="D128" i="2"/>
  <c r="C128" i="2"/>
  <c r="B128" i="2"/>
  <c r="A128" i="2"/>
  <c r="U127" i="2"/>
  <c r="T127" i="2"/>
  <c r="S127" i="2"/>
  <c r="R127" i="2"/>
  <c r="Q127" i="2"/>
  <c r="P127" i="2"/>
  <c r="L127" i="2"/>
  <c r="K127" i="2"/>
  <c r="J127" i="2"/>
  <c r="I127" i="2"/>
  <c r="H127" i="2"/>
  <c r="G127" i="2"/>
  <c r="F127" i="2"/>
  <c r="E127" i="2"/>
  <c r="D127" i="2"/>
  <c r="C127" i="2"/>
  <c r="B127" i="2"/>
  <c r="A127" i="2"/>
  <c r="U126" i="2"/>
  <c r="T126" i="2"/>
  <c r="S126" i="2"/>
  <c r="R126" i="2"/>
  <c r="Q126" i="2"/>
  <c r="P126" i="2"/>
  <c r="L126" i="2"/>
  <c r="K126" i="2"/>
  <c r="J126" i="2"/>
  <c r="I126" i="2"/>
  <c r="H126" i="2"/>
  <c r="G126" i="2"/>
  <c r="F126" i="2"/>
  <c r="E126" i="2"/>
  <c r="D126" i="2"/>
  <c r="C126" i="2"/>
  <c r="B126" i="2"/>
  <c r="A126" i="2"/>
  <c r="U125" i="2"/>
  <c r="T125" i="2"/>
  <c r="S125" i="2"/>
  <c r="R125" i="2"/>
  <c r="Q125" i="2"/>
  <c r="P125" i="2"/>
  <c r="L125" i="2"/>
  <c r="K125" i="2"/>
  <c r="J125" i="2"/>
  <c r="I125" i="2"/>
  <c r="H125" i="2"/>
  <c r="G125" i="2"/>
  <c r="F125" i="2"/>
  <c r="E125" i="2"/>
  <c r="D125" i="2"/>
  <c r="C125" i="2"/>
  <c r="B125" i="2"/>
  <c r="A125" i="2"/>
  <c r="U124" i="2"/>
  <c r="T124" i="2"/>
  <c r="S124" i="2"/>
  <c r="R124" i="2"/>
  <c r="Q124" i="2"/>
  <c r="P124" i="2"/>
  <c r="O124" i="2"/>
  <c r="N124" i="2"/>
  <c r="M124" i="2"/>
  <c r="I124" i="2"/>
  <c r="H124" i="2"/>
  <c r="G124" i="2"/>
  <c r="F124" i="2"/>
  <c r="E124" i="2"/>
  <c r="D124" i="2"/>
  <c r="C124" i="2"/>
  <c r="B124" i="2"/>
  <c r="A124" i="2"/>
  <c r="U123" i="2"/>
  <c r="T123" i="2"/>
  <c r="S123" i="2"/>
  <c r="R123" i="2"/>
  <c r="Q123" i="2"/>
  <c r="P123" i="2"/>
  <c r="L123" i="2"/>
  <c r="K123" i="2"/>
  <c r="J123" i="2"/>
  <c r="I123" i="2"/>
  <c r="H123" i="2"/>
  <c r="G123" i="2"/>
  <c r="F123" i="2"/>
  <c r="E123" i="2"/>
  <c r="D123" i="2"/>
  <c r="C123" i="2"/>
  <c r="B123" i="2"/>
  <c r="A123" i="2"/>
  <c r="U122" i="2"/>
  <c r="T122" i="2"/>
  <c r="S122" i="2"/>
  <c r="R122" i="2"/>
  <c r="Q122" i="2"/>
  <c r="P122" i="2"/>
  <c r="L122" i="2"/>
  <c r="K122" i="2"/>
  <c r="J122" i="2"/>
  <c r="I122" i="2"/>
  <c r="H122" i="2"/>
  <c r="G122" i="2"/>
  <c r="F122" i="2"/>
  <c r="E122" i="2"/>
  <c r="D122" i="2"/>
  <c r="C122" i="2"/>
  <c r="B122" i="2"/>
  <c r="A122" i="2"/>
  <c r="U121" i="2"/>
  <c r="T121" i="2"/>
  <c r="S121" i="2"/>
  <c r="R121" i="2"/>
  <c r="Q121" i="2"/>
  <c r="P121" i="2"/>
  <c r="L121" i="2"/>
  <c r="K121" i="2"/>
  <c r="J121" i="2"/>
  <c r="I121" i="2"/>
  <c r="H121" i="2"/>
  <c r="G121" i="2"/>
  <c r="F121" i="2"/>
  <c r="E121" i="2"/>
  <c r="D121" i="2"/>
  <c r="C121" i="2"/>
  <c r="B121" i="2"/>
  <c r="A121" i="2"/>
  <c r="U120" i="2"/>
  <c r="T120" i="2"/>
  <c r="S120" i="2"/>
  <c r="R120" i="2"/>
  <c r="Q120" i="2"/>
  <c r="P120" i="2"/>
  <c r="L120" i="2"/>
  <c r="K120" i="2"/>
  <c r="J120" i="2"/>
  <c r="I120" i="2"/>
  <c r="H120" i="2"/>
  <c r="G120" i="2"/>
  <c r="F120" i="2"/>
  <c r="E120" i="2"/>
  <c r="D120" i="2"/>
  <c r="C120" i="2"/>
  <c r="B120" i="2"/>
  <c r="A120" i="2"/>
  <c r="U119" i="2"/>
  <c r="T119" i="2"/>
  <c r="S119" i="2"/>
  <c r="R119" i="2"/>
  <c r="Q119" i="2"/>
  <c r="P119" i="2"/>
  <c r="L119" i="2"/>
  <c r="K119" i="2"/>
  <c r="J119" i="2"/>
  <c r="I119" i="2"/>
  <c r="H119" i="2"/>
  <c r="G119" i="2"/>
  <c r="F119" i="2"/>
  <c r="E119" i="2"/>
  <c r="D119" i="2"/>
  <c r="C119" i="2"/>
  <c r="B119" i="2"/>
  <c r="A119" i="2"/>
  <c r="U118" i="2"/>
  <c r="T118" i="2"/>
  <c r="S118" i="2"/>
  <c r="R118" i="2"/>
  <c r="Q118" i="2"/>
  <c r="P118" i="2"/>
  <c r="L118" i="2"/>
  <c r="K118" i="2"/>
  <c r="J118" i="2"/>
  <c r="I118" i="2"/>
  <c r="H118" i="2"/>
  <c r="G118" i="2"/>
  <c r="F118" i="2"/>
  <c r="E118" i="2"/>
  <c r="D118" i="2"/>
  <c r="C118" i="2"/>
  <c r="B118" i="2"/>
  <c r="A118" i="2"/>
  <c r="U117" i="2"/>
  <c r="T117" i="2"/>
  <c r="S117" i="2"/>
  <c r="R117" i="2"/>
  <c r="Q117" i="2"/>
  <c r="P117" i="2"/>
  <c r="L117" i="2"/>
  <c r="K117" i="2"/>
  <c r="J117" i="2"/>
  <c r="I117" i="2"/>
  <c r="H117" i="2"/>
  <c r="G117" i="2"/>
  <c r="F117" i="2"/>
  <c r="E117" i="2"/>
  <c r="D117" i="2"/>
  <c r="C117" i="2"/>
  <c r="B117" i="2"/>
  <c r="A117" i="2"/>
  <c r="U116" i="2"/>
  <c r="T116" i="2"/>
  <c r="S116" i="2"/>
  <c r="R116" i="2"/>
  <c r="Q116" i="2"/>
  <c r="P116" i="2"/>
  <c r="O116" i="2"/>
  <c r="N116" i="2"/>
  <c r="M116" i="2"/>
  <c r="I116" i="2"/>
  <c r="H116" i="2"/>
  <c r="G116" i="2"/>
  <c r="F116" i="2"/>
  <c r="E116" i="2"/>
  <c r="D116" i="2"/>
  <c r="C116" i="2"/>
  <c r="B116" i="2"/>
  <c r="A116" i="2"/>
  <c r="U115" i="2"/>
  <c r="T115" i="2"/>
  <c r="S115" i="2"/>
  <c r="R115" i="2"/>
  <c r="Q115" i="2"/>
  <c r="P115" i="2"/>
  <c r="L115" i="2"/>
  <c r="K115" i="2"/>
  <c r="J115" i="2"/>
  <c r="I115" i="2"/>
  <c r="H115" i="2"/>
  <c r="G115" i="2"/>
  <c r="F115" i="2"/>
  <c r="E115" i="2"/>
  <c r="D115" i="2"/>
  <c r="C115" i="2"/>
  <c r="B115" i="2"/>
  <c r="A115" i="2"/>
  <c r="U114" i="2"/>
  <c r="T114" i="2"/>
  <c r="S114" i="2"/>
  <c r="R114" i="2"/>
  <c r="Q114" i="2"/>
  <c r="P114" i="2"/>
  <c r="L114" i="2"/>
  <c r="K114" i="2"/>
  <c r="J114" i="2"/>
  <c r="I114" i="2"/>
  <c r="H114" i="2"/>
  <c r="G114" i="2"/>
  <c r="F114" i="2"/>
  <c r="E114" i="2"/>
  <c r="D114" i="2"/>
  <c r="C114" i="2"/>
  <c r="B114" i="2"/>
  <c r="A114" i="2"/>
  <c r="U113" i="2"/>
  <c r="T113" i="2"/>
  <c r="S113" i="2"/>
  <c r="R113" i="2"/>
  <c r="Q113" i="2"/>
  <c r="P113" i="2"/>
  <c r="L113" i="2"/>
  <c r="K113" i="2"/>
  <c r="J113" i="2"/>
  <c r="I113" i="2"/>
  <c r="H113" i="2"/>
  <c r="G113" i="2"/>
  <c r="F113" i="2"/>
  <c r="E113" i="2"/>
  <c r="D113" i="2"/>
  <c r="C113" i="2"/>
  <c r="B113" i="2"/>
  <c r="A113" i="2"/>
  <c r="U112" i="2"/>
  <c r="T112" i="2"/>
  <c r="S112" i="2"/>
  <c r="R112" i="2"/>
  <c r="Q112" i="2"/>
  <c r="P112" i="2"/>
  <c r="L112" i="2"/>
  <c r="K112" i="2"/>
  <c r="J112" i="2"/>
  <c r="I112" i="2"/>
  <c r="H112" i="2"/>
  <c r="G112" i="2"/>
  <c r="F112" i="2"/>
  <c r="E112" i="2"/>
  <c r="D112" i="2"/>
  <c r="C112" i="2"/>
  <c r="B112" i="2"/>
  <c r="A112" i="2"/>
  <c r="U111" i="2"/>
  <c r="T111" i="2"/>
  <c r="S111" i="2"/>
  <c r="R111" i="2"/>
  <c r="Q111" i="2"/>
  <c r="P111" i="2"/>
  <c r="L111" i="2"/>
  <c r="K111" i="2"/>
  <c r="J111" i="2"/>
  <c r="I111" i="2"/>
  <c r="H111" i="2"/>
  <c r="G111" i="2"/>
  <c r="F111" i="2"/>
  <c r="E111" i="2"/>
  <c r="D111" i="2"/>
  <c r="C111" i="2"/>
  <c r="B111" i="2"/>
  <c r="A111" i="2"/>
  <c r="U110" i="2"/>
  <c r="T110" i="2"/>
  <c r="S110" i="2"/>
  <c r="R110" i="2"/>
  <c r="Q110" i="2"/>
  <c r="P110" i="2"/>
  <c r="L110" i="2"/>
  <c r="K110" i="2"/>
  <c r="J110" i="2"/>
  <c r="I110" i="2"/>
  <c r="H110" i="2"/>
  <c r="G110" i="2"/>
  <c r="F110" i="2"/>
  <c r="E110" i="2"/>
  <c r="D110" i="2"/>
  <c r="C110" i="2"/>
  <c r="B110" i="2"/>
  <c r="A110" i="2"/>
  <c r="U109" i="2"/>
  <c r="T109" i="2"/>
  <c r="S109" i="2"/>
  <c r="R109" i="2"/>
  <c r="Q109" i="2"/>
  <c r="P109" i="2"/>
  <c r="L109" i="2"/>
  <c r="K109" i="2"/>
  <c r="J109" i="2"/>
  <c r="I109" i="2"/>
  <c r="H109" i="2"/>
  <c r="G109" i="2"/>
  <c r="F109" i="2"/>
  <c r="E109" i="2"/>
  <c r="D109" i="2"/>
  <c r="C109" i="2"/>
  <c r="B109" i="2"/>
  <c r="A109" i="2"/>
  <c r="U108" i="2"/>
  <c r="T108" i="2"/>
  <c r="S108" i="2"/>
  <c r="R108" i="2"/>
  <c r="Q108" i="2"/>
  <c r="P108" i="2"/>
  <c r="O108" i="2"/>
  <c r="N108" i="2"/>
  <c r="M108" i="2"/>
  <c r="I108" i="2"/>
  <c r="H108" i="2"/>
  <c r="G108" i="2"/>
  <c r="F108" i="2"/>
  <c r="E108" i="2"/>
  <c r="D108" i="2"/>
  <c r="C108" i="2"/>
  <c r="B108" i="2"/>
  <c r="A108" i="2"/>
  <c r="U107" i="2"/>
  <c r="T107" i="2"/>
  <c r="S107" i="2"/>
  <c r="R107" i="2"/>
  <c r="Q107" i="2"/>
  <c r="P107" i="2"/>
  <c r="L107" i="2"/>
  <c r="K107" i="2"/>
  <c r="J107" i="2"/>
  <c r="I107" i="2"/>
  <c r="H107" i="2"/>
  <c r="G107" i="2"/>
  <c r="F107" i="2"/>
  <c r="E107" i="2"/>
  <c r="D107" i="2"/>
  <c r="C107" i="2"/>
  <c r="B107" i="2"/>
  <c r="A107" i="2"/>
  <c r="U106" i="2"/>
  <c r="T106" i="2"/>
  <c r="S106" i="2"/>
  <c r="R106" i="2"/>
  <c r="Q106" i="2"/>
  <c r="P106" i="2"/>
  <c r="L106" i="2"/>
  <c r="K106" i="2"/>
  <c r="J106" i="2"/>
  <c r="I106" i="2"/>
  <c r="H106" i="2"/>
  <c r="G106" i="2"/>
  <c r="F106" i="2"/>
  <c r="E106" i="2"/>
  <c r="D106" i="2"/>
  <c r="C106" i="2"/>
  <c r="B106" i="2"/>
  <c r="A106" i="2"/>
  <c r="U105" i="2"/>
  <c r="T105" i="2"/>
  <c r="S105" i="2"/>
  <c r="R105" i="2"/>
  <c r="Q105" i="2"/>
  <c r="P105" i="2"/>
  <c r="O105" i="2"/>
  <c r="N105" i="2"/>
  <c r="M105" i="2"/>
  <c r="I105" i="2"/>
  <c r="H105" i="2"/>
  <c r="G105" i="2"/>
  <c r="F105" i="2"/>
  <c r="E105" i="2"/>
  <c r="D105" i="2"/>
  <c r="C105" i="2"/>
  <c r="B105" i="2"/>
  <c r="A105" i="2"/>
  <c r="U104" i="2"/>
  <c r="T104" i="2"/>
  <c r="S104" i="2"/>
  <c r="R104" i="2"/>
  <c r="Q104" i="2"/>
  <c r="P104" i="2"/>
  <c r="L104" i="2"/>
  <c r="K104" i="2"/>
  <c r="J104" i="2"/>
  <c r="I104" i="2"/>
  <c r="H104" i="2"/>
  <c r="G104" i="2"/>
  <c r="F104" i="2"/>
  <c r="E104" i="2"/>
  <c r="D104" i="2"/>
  <c r="C104" i="2"/>
  <c r="B104" i="2"/>
  <c r="A104" i="2"/>
  <c r="U103" i="2"/>
  <c r="T103" i="2"/>
  <c r="S103" i="2"/>
  <c r="R103" i="2"/>
  <c r="Q103" i="2"/>
  <c r="P103" i="2"/>
  <c r="L103" i="2"/>
  <c r="K103" i="2"/>
  <c r="J103" i="2"/>
  <c r="I103" i="2"/>
  <c r="H103" i="2"/>
  <c r="G103" i="2"/>
  <c r="F103" i="2"/>
  <c r="E103" i="2"/>
  <c r="D103" i="2"/>
  <c r="C103" i="2"/>
  <c r="B103" i="2"/>
  <c r="A103" i="2"/>
  <c r="U102" i="2"/>
  <c r="T102" i="2"/>
  <c r="S102" i="2"/>
  <c r="R102" i="2"/>
  <c r="Q102" i="2"/>
  <c r="P102" i="2"/>
  <c r="L102" i="2"/>
  <c r="K102" i="2"/>
  <c r="J102" i="2"/>
  <c r="I102" i="2"/>
  <c r="H102" i="2"/>
  <c r="G102" i="2"/>
  <c r="F102" i="2"/>
  <c r="E102" i="2"/>
  <c r="D102" i="2"/>
  <c r="C102" i="2"/>
  <c r="B102" i="2"/>
  <c r="A102" i="2"/>
  <c r="U101" i="2"/>
  <c r="T101" i="2"/>
  <c r="S101" i="2"/>
  <c r="R101" i="2"/>
  <c r="Q101" i="2"/>
  <c r="P101" i="2"/>
  <c r="L101" i="2"/>
  <c r="K101" i="2"/>
  <c r="J101" i="2"/>
  <c r="I101" i="2"/>
  <c r="H101" i="2"/>
  <c r="G101" i="2"/>
  <c r="F101" i="2"/>
  <c r="E101" i="2"/>
  <c r="D101" i="2"/>
  <c r="C101" i="2"/>
  <c r="B101" i="2"/>
  <c r="A101" i="2"/>
  <c r="U100" i="2"/>
  <c r="T100" i="2"/>
  <c r="S100" i="2"/>
  <c r="R100" i="2"/>
  <c r="Q100" i="2"/>
  <c r="P100" i="2"/>
  <c r="L100" i="2"/>
  <c r="K100" i="2"/>
  <c r="J100" i="2"/>
  <c r="I100" i="2"/>
  <c r="H100" i="2"/>
  <c r="G100" i="2"/>
  <c r="F100" i="2"/>
  <c r="E100" i="2"/>
  <c r="D100" i="2"/>
  <c r="C100" i="2"/>
  <c r="B100" i="2"/>
  <c r="A100" i="2"/>
  <c r="U99" i="2"/>
  <c r="T99" i="2"/>
  <c r="S99" i="2"/>
  <c r="R99" i="2"/>
  <c r="Q99" i="2"/>
  <c r="P99" i="2"/>
  <c r="L99" i="2"/>
  <c r="K99" i="2"/>
  <c r="J99" i="2"/>
  <c r="I99" i="2"/>
  <c r="H99" i="2"/>
  <c r="G99" i="2"/>
  <c r="F99" i="2"/>
  <c r="E99" i="2"/>
  <c r="D99" i="2"/>
  <c r="C99" i="2"/>
  <c r="B99" i="2"/>
  <c r="A99" i="2"/>
  <c r="U98" i="2"/>
  <c r="T98" i="2"/>
  <c r="S98" i="2"/>
  <c r="R98" i="2"/>
  <c r="Q98" i="2"/>
  <c r="P98" i="2"/>
  <c r="L98" i="2"/>
  <c r="K98" i="2"/>
  <c r="J98" i="2"/>
  <c r="I98" i="2"/>
  <c r="H98" i="2"/>
  <c r="G98" i="2"/>
  <c r="F98" i="2"/>
  <c r="E98" i="2"/>
  <c r="D98" i="2"/>
  <c r="C98" i="2"/>
  <c r="B98" i="2"/>
  <c r="A98" i="2"/>
  <c r="U97" i="2"/>
  <c r="T97" i="2"/>
  <c r="S97" i="2"/>
  <c r="R97" i="2"/>
  <c r="Q97" i="2"/>
  <c r="P97" i="2"/>
  <c r="L97" i="2"/>
  <c r="K97" i="2"/>
  <c r="J97" i="2"/>
  <c r="I97" i="2"/>
  <c r="H97" i="2"/>
  <c r="G97" i="2"/>
  <c r="F97" i="2"/>
  <c r="E97" i="2"/>
  <c r="D97" i="2"/>
  <c r="C97" i="2"/>
  <c r="B97" i="2"/>
  <c r="A97" i="2"/>
  <c r="U96" i="2"/>
  <c r="T96" i="2"/>
  <c r="S96" i="2"/>
  <c r="R96" i="2"/>
  <c r="Q96" i="2"/>
  <c r="P96" i="2"/>
  <c r="L96" i="2"/>
  <c r="K96" i="2"/>
  <c r="J96" i="2"/>
  <c r="I96" i="2"/>
  <c r="H96" i="2"/>
  <c r="G96" i="2"/>
  <c r="F96" i="2"/>
  <c r="E96" i="2"/>
  <c r="D96" i="2"/>
  <c r="C96" i="2"/>
  <c r="B96" i="2"/>
  <c r="A96" i="2"/>
  <c r="U95" i="2"/>
  <c r="T95" i="2"/>
  <c r="S95" i="2"/>
  <c r="R95" i="2"/>
  <c r="Q95" i="2"/>
  <c r="P95" i="2"/>
  <c r="L95" i="2"/>
  <c r="K95" i="2"/>
  <c r="J95" i="2"/>
  <c r="I95" i="2"/>
  <c r="H95" i="2"/>
  <c r="G95" i="2"/>
  <c r="F95" i="2"/>
  <c r="E95" i="2"/>
  <c r="D95" i="2"/>
  <c r="C95" i="2"/>
  <c r="B95" i="2"/>
  <c r="A95" i="2"/>
  <c r="U94" i="2"/>
  <c r="T94" i="2"/>
  <c r="S94" i="2"/>
  <c r="R94" i="2"/>
  <c r="Q94" i="2"/>
  <c r="P94" i="2"/>
  <c r="O94" i="2"/>
  <c r="N94" i="2"/>
  <c r="M94" i="2"/>
  <c r="I94" i="2"/>
  <c r="H94" i="2"/>
  <c r="G94" i="2"/>
  <c r="F94" i="2"/>
  <c r="E94" i="2"/>
  <c r="D94" i="2"/>
  <c r="C94" i="2"/>
  <c r="B94" i="2"/>
  <c r="A94" i="2"/>
  <c r="U93" i="2"/>
  <c r="T93" i="2"/>
  <c r="S93" i="2"/>
  <c r="R93" i="2"/>
  <c r="Q93" i="2"/>
  <c r="P93" i="2"/>
  <c r="L93" i="2"/>
  <c r="K93" i="2"/>
  <c r="J93" i="2"/>
  <c r="I93" i="2"/>
  <c r="H93" i="2"/>
  <c r="G93" i="2"/>
  <c r="F93" i="2"/>
  <c r="E93" i="2"/>
  <c r="D93" i="2"/>
  <c r="C93" i="2"/>
  <c r="B93" i="2"/>
  <c r="A93" i="2"/>
  <c r="U92" i="2"/>
  <c r="T92" i="2"/>
  <c r="S92" i="2"/>
  <c r="R92" i="2"/>
  <c r="Q92" i="2"/>
  <c r="P92" i="2"/>
  <c r="L92" i="2"/>
  <c r="K92" i="2"/>
  <c r="J92" i="2"/>
  <c r="I92" i="2"/>
  <c r="H92" i="2"/>
  <c r="G92" i="2"/>
  <c r="F92" i="2"/>
  <c r="E92" i="2"/>
  <c r="D92" i="2"/>
  <c r="C92" i="2"/>
  <c r="B92" i="2"/>
  <c r="A92" i="2"/>
  <c r="U91" i="2"/>
  <c r="T91" i="2"/>
  <c r="S91" i="2"/>
  <c r="R91" i="2"/>
  <c r="Q91" i="2"/>
  <c r="P91" i="2"/>
  <c r="L91" i="2"/>
  <c r="K91" i="2"/>
  <c r="J91" i="2"/>
  <c r="I91" i="2"/>
  <c r="H91" i="2"/>
  <c r="G91" i="2"/>
  <c r="F91" i="2"/>
  <c r="E91" i="2"/>
  <c r="D91" i="2"/>
  <c r="C91" i="2"/>
  <c r="B91" i="2"/>
  <c r="A91" i="2"/>
  <c r="U90" i="2"/>
  <c r="T90" i="2"/>
  <c r="S90" i="2"/>
  <c r="R90" i="2"/>
  <c r="Q90" i="2"/>
  <c r="P90" i="2"/>
  <c r="L90" i="2"/>
  <c r="K90" i="2"/>
  <c r="J90" i="2"/>
  <c r="I90" i="2"/>
  <c r="H90" i="2"/>
  <c r="G90" i="2"/>
  <c r="F90" i="2"/>
  <c r="E90" i="2"/>
  <c r="D90" i="2"/>
  <c r="C90" i="2"/>
  <c r="B90" i="2"/>
  <c r="A90" i="2"/>
  <c r="U89" i="2"/>
  <c r="T89" i="2"/>
  <c r="S89" i="2"/>
  <c r="R89" i="2"/>
  <c r="Q89" i="2"/>
  <c r="P89" i="2"/>
  <c r="O89" i="2"/>
  <c r="N89" i="2"/>
  <c r="M89" i="2"/>
  <c r="I89" i="2"/>
  <c r="H89" i="2"/>
  <c r="G89" i="2"/>
  <c r="F89" i="2"/>
  <c r="E89" i="2"/>
  <c r="D89" i="2"/>
  <c r="C89" i="2"/>
  <c r="B89" i="2"/>
  <c r="A89" i="2"/>
  <c r="U88" i="2"/>
  <c r="T88" i="2"/>
  <c r="S88" i="2"/>
  <c r="R88" i="2"/>
  <c r="Q88" i="2"/>
  <c r="P88" i="2"/>
  <c r="L88" i="2"/>
  <c r="K88" i="2"/>
  <c r="J88" i="2"/>
  <c r="I88" i="2"/>
  <c r="H88" i="2"/>
  <c r="G88" i="2"/>
  <c r="F88" i="2"/>
  <c r="E88" i="2"/>
  <c r="D88" i="2"/>
  <c r="C88" i="2"/>
  <c r="B88" i="2"/>
  <c r="A88" i="2"/>
  <c r="U87" i="2"/>
  <c r="T87" i="2"/>
  <c r="S87" i="2"/>
  <c r="R87" i="2"/>
  <c r="Q87" i="2"/>
  <c r="P87" i="2"/>
  <c r="L87" i="2"/>
  <c r="K87" i="2"/>
  <c r="J87" i="2"/>
  <c r="I87" i="2"/>
  <c r="H87" i="2"/>
  <c r="G87" i="2"/>
  <c r="F87" i="2"/>
  <c r="E87" i="2"/>
  <c r="D87" i="2"/>
  <c r="C87" i="2"/>
  <c r="B87" i="2"/>
  <c r="A87" i="2"/>
  <c r="U86" i="2"/>
  <c r="T86" i="2"/>
  <c r="S86" i="2"/>
  <c r="R86" i="2"/>
  <c r="Q86" i="2"/>
  <c r="P86" i="2"/>
  <c r="O86" i="2"/>
  <c r="N86" i="2"/>
  <c r="M86" i="2"/>
  <c r="I86" i="2"/>
  <c r="H86" i="2"/>
  <c r="G86" i="2"/>
  <c r="F86" i="2"/>
  <c r="E86" i="2"/>
  <c r="D86" i="2"/>
  <c r="C86" i="2"/>
  <c r="B86" i="2"/>
  <c r="A86" i="2"/>
  <c r="U85" i="2"/>
  <c r="T85" i="2"/>
  <c r="S85" i="2"/>
  <c r="R85" i="2"/>
  <c r="Q85" i="2"/>
  <c r="P85" i="2"/>
  <c r="L85" i="2"/>
  <c r="K85" i="2"/>
  <c r="J85" i="2"/>
  <c r="I85" i="2"/>
  <c r="H85" i="2"/>
  <c r="G85" i="2"/>
  <c r="F85" i="2"/>
  <c r="E85" i="2"/>
  <c r="D85" i="2"/>
  <c r="C85" i="2"/>
  <c r="B85" i="2"/>
  <c r="A85" i="2"/>
  <c r="U84" i="2"/>
  <c r="T84" i="2"/>
  <c r="S84" i="2"/>
  <c r="R84" i="2"/>
  <c r="Q84" i="2"/>
  <c r="P84" i="2"/>
  <c r="L84" i="2"/>
  <c r="K84" i="2"/>
  <c r="J84" i="2"/>
  <c r="I84" i="2"/>
  <c r="H84" i="2"/>
  <c r="G84" i="2"/>
  <c r="F84" i="2"/>
  <c r="E84" i="2"/>
  <c r="D84" i="2"/>
  <c r="C84" i="2"/>
  <c r="B84" i="2"/>
  <c r="A84" i="2"/>
  <c r="U83" i="2"/>
  <c r="T83" i="2"/>
  <c r="S83" i="2"/>
  <c r="R83" i="2"/>
  <c r="Q83" i="2"/>
  <c r="P83" i="2"/>
  <c r="L83" i="2"/>
  <c r="K83" i="2"/>
  <c r="J83" i="2"/>
  <c r="I83" i="2"/>
  <c r="H83" i="2"/>
  <c r="G83" i="2"/>
  <c r="F83" i="2"/>
  <c r="E83" i="2"/>
  <c r="D83" i="2"/>
  <c r="C83" i="2"/>
  <c r="B83" i="2"/>
  <c r="A83" i="2"/>
  <c r="U82" i="2"/>
  <c r="T82" i="2"/>
  <c r="S82" i="2"/>
  <c r="R82" i="2"/>
  <c r="Q82" i="2"/>
  <c r="P82" i="2"/>
  <c r="O82" i="2"/>
  <c r="N82" i="2"/>
  <c r="M82" i="2"/>
  <c r="I82" i="2"/>
  <c r="H82" i="2"/>
  <c r="G82" i="2"/>
  <c r="F82" i="2"/>
  <c r="E82" i="2"/>
  <c r="D82" i="2"/>
  <c r="C82" i="2"/>
  <c r="B82" i="2"/>
  <c r="A82" i="2"/>
  <c r="U81" i="2"/>
  <c r="T81" i="2"/>
  <c r="S81" i="2"/>
  <c r="R81" i="2"/>
  <c r="Q81" i="2"/>
  <c r="P81" i="2"/>
  <c r="O81" i="2"/>
  <c r="N81" i="2"/>
  <c r="M81" i="2"/>
  <c r="I81" i="2"/>
  <c r="H81" i="2"/>
  <c r="G81" i="2"/>
  <c r="F81" i="2"/>
  <c r="E81" i="2"/>
  <c r="D81" i="2"/>
  <c r="C81" i="2"/>
  <c r="B81" i="2"/>
  <c r="A81" i="2"/>
  <c r="U80" i="2"/>
  <c r="T80" i="2"/>
  <c r="S80" i="2"/>
  <c r="R80" i="2"/>
  <c r="Q80" i="2"/>
  <c r="P80" i="2"/>
  <c r="L80" i="2"/>
  <c r="K80" i="2"/>
  <c r="J80" i="2"/>
  <c r="I80" i="2"/>
  <c r="H80" i="2"/>
  <c r="G80" i="2"/>
  <c r="F80" i="2"/>
  <c r="E80" i="2"/>
  <c r="D80" i="2"/>
  <c r="C80" i="2"/>
  <c r="B80" i="2"/>
  <c r="A80" i="2"/>
  <c r="U79" i="2"/>
  <c r="T79" i="2"/>
  <c r="S79" i="2"/>
  <c r="R79" i="2"/>
  <c r="Q79" i="2"/>
  <c r="P79" i="2"/>
  <c r="O79" i="2"/>
  <c r="N79" i="2"/>
  <c r="M79" i="2"/>
  <c r="I79" i="2"/>
  <c r="H79" i="2"/>
  <c r="G79" i="2"/>
  <c r="F79" i="2"/>
  <c r="E79" i="2"/>
  <c r="D79" i="2"/>
  <c r="C79" i="2"/>
  <c r="B79" i="2"/>
  <c r="A79" i="2"/>
  <c r="U78" i="2"/>
  <c r="T78" i="2"/>
  <c r="S78" i="2"/>
  <c r="R78" i="2"/>
  <c r="Q78" i="2"/>
  <c r="P78" i="2"/>
  <c r="O78" i="2"/>
  <c r="N78" i="2"/>
  <c r="M78" i="2"/>
  <c r="I78" i="2"/>
  <c r="H78" i="2"/>
  <c r="G78" i="2"/>
  <c r="F78" i="2"/>
  <c r="E78" i="2"/>
  <c r="D78" i="2"/>
  <c r="C78" i="2"/>
  <c r="B78" i="2"/>
  <c r="A78" i="2"/>
  <c r="U77" i="2"/>
  <c r="T77" i="2"/>
  <c r="S77" i="2"/>
  <c r="R77" i="2"/>
  <c r="Q77" i="2"/>
  <c r="P77" i="2"/>
  <c r="L77" i="2"/>
  <c r="K77" i="2"/>
  <c r="J77" i="2"/>
  <c r="I77" i="2"/>
  <c r="H77" i="2"/>
  <c r="G77" i="2"/>
  <c r="F77" i="2"/>
  <c r="E77" i="2"/>
  <c r="D77" i="2"/>
  <c r="C77" i="2"/>
  <c r="B77" i="2"/>
  <c r="A77" i="2"/>
  <c r="U76" i="2"/>
  <c r="T76" i="2"/>
  <c r="S76" i="2"/>
  <c r="R76" i="2"/>
  <c r="Q76" i="2"/>
  <c r="P76" i="2"/>
  <c r="L76" i="2"/>
  <c r="K76" i="2"/>
  <c r="J76" i="2"/>
  <c r="I76" i="2"/>
  <c r="H76" i="2"/>
  <c r="G76" i="2"/>
  <c r="F76" i="2"/>
  <c r="E76" i="2"/>
  <c r="D76" i="2"/>
  <c r="C76" i="2"/>
  <c r="B76" i="2"/>
  <c r="A76" i="2"/>
  <c r="U75" i="2"/>
  <c r="T75" i="2"/>
  <c r="S75" i="2"/>
  <c r="R75" i="2"/>
  <c r="Q75" i="2"/>
  <c r="P75" i="2"/>
  <c r="L75" i="2"/>
  <c r="K75" i="2"/>
  <c r="J75" i="2"/>
  <c r="I75" i="2"/>
  <c r="H75" i="2"/>
  <c r="G75" i="2"/>
  <c r="F75" i="2"/>
  <c r="E75" i="2"/>
  <c r="D75" i="2"/>
  <c r="C75" i="2"/>
  <c r="B75" i="2"/>
  <c r="A75" i="2"/>
  <c r="U74" i="2"/>
  <c r="T74" i="2"/>
  <c r="S74" i="2"/>
  <c r="R74" i="2"/>
  <c r="Q74" i="2"/>
  <c r="P74" i="2"/>
  <c r="L74" i="2"/>
  <c r="K74" i="2"/>
  <c r="J74" i="2"/>
  <c r="I74" i="2"/>
  <c r="H74" i="2"/>
  <c r="G74" i="2"/>
  <c r="F74" i="2"/>
  <c r="E74" i="2"/>
  <c r="D74" i="2"/>
  <c r="C74" i="2"/>
  <c r="B74" i="2"/>
  <c r="A74" i="2"/>
  <c r="U73" i="2"/>
  <c r="T73" i="2"/>
  <c r="S73" i="2"/>
  <c r="R73" i="2"/>
  <c r="Q73" i="2"/>
  <c r="P73" i="2"/>
  <c r="L73" i="2"/>
  <c r="K73" i="2"/>
  <c r="J73" i="2"/>
  <c r="I73" i="2"/>
  <c r="H73" i="2"/>
  <c r="G73" i="2"/>
  <c r="F73" i="2"/>
  <c r="E73" i="2"/>
  <c r="D73" i="2"/>
  <c r="C73" i="2"/>
  <c r="B73" i="2"/>
  <c r="A73" i="2"/>
  <c r="U72" i="2"/>
  <c r="T72" i="2"/>
  <c r="S72" i="2"/>
  <c r="R72" i="2"/>
  <c r="Q72" i="2"/>
  <c r="P72" i="2"/>
  <c r="L72" i="2"/>
  <c r="K72" i="2"/>
  <c r="J72" i="2"/>
  <c r="I72" i="2"/>
  <c r="H72" i="2"/>
  <c r="G72" i="2"/>
  <c r="F72" i="2"/>
  <c r="E72" i="2"/>
  <c r="D72" i="2"/>
  <c r="C72" i="2"/>
  <c r="B72" i="2"/>
  <c r="A72" i="2"/>
  <c r="U71" i="2"/>
  <c r="T71" i="2"/>
  <c r="S71" i="2"/>
  <c r="R71" i="2"/>
  <c r="Q71" i="2"/>
  <c r="P71" i="2"/>
  <c r="L71" i="2"/>
  <c r="K71" i="2"/>
  <c r="J71" i="2"/>
  <c r="I71" i="2"/>
  <c r="H71" i="2"/>
  <c r="G71" i="2"/>
  <c r="F71" i="2"/>
  <c r="E71" i="2"/>
  <c r="D71" i="2"/>
  <c r="C71" i="2"/>
  <c r="B71" i="2"/>
  <c r="A71" i="2"/>
  <c r="U70" i="2"/>
  <c r="T70" i="2"/>
  <c r="S70" i="2"/>
  <c r="R70" i="2"/>
  <c r="Q70" i="2"/>
  <c r="P70" i="2"/>
  <c r="L70" i="2"/>
  <c r="K70" i="2"/>
  <c r="J70" i="2"/>
  <c r="I70" i="2"/>
  <c r="H70" i="2"/>
  <c r="G70" i="2"/>
  <c r="F70" i="2"/>
  <c r="E70" i="2"/>
  <c r="D70" i="2"/>
  <c r="C70" i="2"/>
  <c r="B70" i="2"/>
  <c r="A70" i="2"/>
  <c r="U69" i="2"/>
  <c r="T69" i="2"/>
  <c r="S69" i="2"/>
  <c r="R69" i="2"/>
  <c r="Q69" i="2"/>
  <c r="P69" i="2"/>
  <c r="L69" i="2"/>
  <c r="K69" i="2"/>
  <c r="J69" i="2"/>
  <c r="I69" i="2"/>
  <c r="H69" i="2"/>
  <c r="G69" i="2"/>
  <c r="F69" i="2"/>
  <c r="E69" i="2"/>
  <c r="D69" i="2"/>
  <c r="C69" i="2"/>
  <c r="B69" i="2"/>
  <c r="A69" i="2"/>
  <c r="U68" i="2"/>
  <c r="T68" i="2"/>
  <c r="S68" i="2"/>
  <c r="R68" i="2"/>
  <c r="Q68" i="2"/>
  <c r="P68" i="2"/>
  <c r="L68" i="2"/>
  <c r="K68" i="2"/>
  <c r="J68" i="2"/>
  <c r="I68" i="2"/>
  <c r="H68" i="2"/>
  <c r="G68" i="2"/>
  <c r="F68" i="2"/>
  <c r="E68" i="2"/>
  <c r="D68" i="2"/>
  <c r="C68" i="2"/>
  <c r="B68" i="2"/>
  <c r="A68" i="2"/>
  <c r="U67" i="2"/>
  <c r="T67" i="2"/>
  <c r="S67" i="2"/>
  <c r="R67" i="2"/>
  <c r="Q67" i="2"/>
  <c r="P67" i="2"/>
  <c r="L67" i="2"/>
  <c r="K67" i="2"/>
  <c r="J67" i="2"/>
  <c r="I67" i="2"/>
  <c r="H67" i="2"/>
  <c r="G67" i="2"/>
  <c r="F67" i="2"/>
  <c r="E67" i="2"/>
  <c r="D67" i="2"/>
  <c r="C67" i="2"/>
  <c r="B67" i="2"/>
  <c r="A67" i="2"/>
  <c r="U66" i="2"/>
  <c r="T66" i="2"/>
  <c r="S66" i="2"/>
  <c r="R66" i="2"/>
  <c r="Q66" i="2"/>
  <c r="P66" i="2"/>
  <c r="L66" i="2"/>
  <c r="K66" i="2"/>
  <c r="J66" i="2"/>
  <c r="I66" i="2"/>
  <c r="H66" i="2"/>
  <c r="G66" i="2"/>
  <c r="F66" i="2"/>
  <c r="E66" i="2"/>
  <c r="D66" i="2"/>
  <c r="C66" i="2"/>
  <c r="B66" i="2"/>
  <c r="A66" i="2"/>
  <c r="U65" i="2"/>
  <c r="T65" i="2"/>
  <c r="S65" i="2"/>
  <c r="R65" i="2"/>
  <c r="Q65" i="2"/>
  <c r="P65" i="2"/>
  <c r="L65" i="2"/>
  <c r="K65" i="2"/>
  <c r="J65" i="2"/>
  <c r="I65" i="2"/>
  <c r="H65" i="2"/>
  <c r="G65" i="2"/>
  <c r="F65" i="2"/>
  <c r="E65" i="2"/>
  <c r="D65" i="2"/>
  <c r="C65" i="2"/>
  <c r="B65" i="2"/>
  <c r="A65" i="2"/>
  <c r="U64" i="2"/>
  <c r="T64" i="2"/>
  <c r="S64" i="2"/>
  <c r="R64" i="2"/>
  <c r="Q64" i="2"/>
  <c r="P64" i="2"/>
  <c r="L64" i="2"/>
  <c r="K64" i="2"/>
  <c r="J64" i="2"/>
  <c r="I64" i="2"/>
  <c r="H64" i="2"/>
  <c r="G64" i="2"/>
  <c r="F64" i="2"/>
  <c r="E64" i="2"/>
  <c r="D64" i="2"/>
  <c r="C64" i="2"/>
  <c r="B64" i="2"/>
  <c r="A64" i="2"/>
  <c r="U63" i="2"/>
  <c r="T63" i="2"/>
  <c r="S63" i="2"/>
  <c r="R63" i="2"/>
  <c r="Q63" i="2"/>
  <c r="P63" i="2"/>
  <c r="L63" i="2"/>
  <c r="K63" i="2"/>
  <c r="J63" i="2"/>
  <c r="I63" i="2"/>
  <c r="H63" i="2"/>
  <c r="G63" i="2"/>
  <c r="F63" i="2"/>
  <c r="E63" i="2"/>
  <c r="D63" i="2"/>
  <c r="C63" i="2"/>
  <c r="B63" i="2"/>
  <c r="A63" i="2"/>
  <c r="U62" i="2"/>
  <c r="T62" i="2"/>
  <c r="S62" i="2"/>
  <c r="R62" i="2"/>
  <c r="Q62" i="2"/>
  <c r="P62" i="2"/>
  <c r="L62" i="2"/>
  <c r="K62" i="2"/>
  <c r="J62" i="2"/>
  <c r="I62" i="2"/>
  <c r="H62" i="2"/>
  <c r="G62" i="2"/>
  <c r="F62" i="2"/>
  <c r="E62" i="2"/>
  <c r="D62" i="2"/>
  <c r="C62" i="2"/>
  <c r="B62" i="2"/>
  <c r="A62" i="2"/>
  <c r="U61" i="2"/>
  <c r="T61" i="2"/>
  <c r="S61" i="2"/>
  <c r="R61" i="2"/>
  <c r="Q61" i="2"/>
  <c r="P61" i="2"/>
  <c r="L61" i="2"/>
  <c r="K61" i="2"/>
  <c r="J61" i="2"/>
  <c r="I61" i="2"/>
  <c r="H61" i="2"/>
  <c r="G61" i="2"/>
  <c r="F61" i="2"/>
  <c r="E61" i="2"/>
  <c r="D61" i="2"/>
  <c r="C61" i="2"/>
  <c r="B61" i="2"/>
  <c r="A61" i="2"/>
  <c r="U60" i="2"/>
  <c r="T60" i="2"/>
  <c r="S60" i="2"/>
  <c r="R60" i="2"/>
  <c r="Q60" i="2"/>
  <c r="P60" i="2"/>
  <c r="L60" i="2"/>
  <c r="K60" i="2"/>
  <c r="J60" i="2"/>
  <c r="I60" i="2"/>
  <c r="H60" i="2"/>
  <c r="G60" i="2"/>
  <c r="F60" i="2"/>
  <c r="E60" i="2"/>
  <c r="D60" i="2"/>
  <c r="C60" i="2"/>
  <c r="B60" i="2"/>
  <c r="A60" i="2"/>
  <c r="U59" i="2"/>
  <c r="T59" i="2"/>
  <c r="S59" i="2"/>
  <c r="R59" i="2"/>
  <c r="Q59" i="2"/>
  <c r="P59" i="2"/>
  <c r="L59" i="2"/>
  <c r="K59" i="2"/>
  <c r="J59" i="2"/>
  <c r="I59" i="2"/>
  <c r="H59" i="2"/>
  <c r="G59" i="2"/>
  <c r="F59" i="2"/>
  <c r="E59" i="2"/>
  <c r="D59" i="2"/>
  <c r="C59" i="2"/>
  <c r="B59" i="2"/>
  <c r="A59" i="2"/>
  <c r="U58" i="2"/>
  <c r="T58" i="2"/>
  <c r="S58" i="2"/>
  <c r="R58" i="2"/>
  <c r="Q58" i="2"/>
  <c r="P58" i="2"/>
  <c r="L58" i="2"/>
  <c r="K58" i="2"/>
  <c r="J58" i="2"/>
  <c r="I58" i="2"/>
  <c r="H58" i="2"/>
  <c r="G58" i="2"/>
  <c r="F58" i="2"/>
  <c r="E58" i="2"/>
  <c r="D58" i="2"/>
  <c r="C58" i="2"/>
  <c r="B58" i="2"/>
  <c r="A58" i="2"/>
  <c r="U57" i="2"/>
  <c r="T57" i="2"/>
  <c r="S57" i="2"/>
  <c r="R57" i="2"/>
  <c r="Q57" i="2"/>
  <c r="P57" i="2"/>
  <c r="L57" i="2"/>
  <c r="K57" i="2"/>
  <c r="J57" i="2"/>
  <c r="I57" i="2"/>
  <c r="H57" i="2"/>
  <c r="G57" i="2"/>
  <c r="F57" i="2"/>
  <c r="E57" i="2"/>
  <c r="D57" i="2"/>
  <c r="C57" i="2"/>
  <c r="B57" i="2"/>
  <c r="A57" i="2"/>
  <c r="U56" i="2"/>
  <c r="T56" i="2"/>
  <c r="S56" i="2"/>
  <c r="R56" i="2"/>
  <c r="Q56" i="2"/>
  <c r="P56" i="2"/>
  <c r="O56" i="2"/>
  <c r="N56" i="2"/>
  <c r="M56" i="2"/>
  <c r="I56" i="2"/>
  <c r="H56" i="2"/>
  <c r="G56" i="2"/>
  <c r="F56" i="2"/>
  <c r="E56" i="2"/>
  <c r="D56" i="2"/>
  <c r="C56" i="2"/>
  <c r="B56" i="2"/>
  <c r="A56" i="2"/>
  <c r="U55" i="2"/>
  <c r="T55" i="2"/>
  <c r="S55" i="2"/>
  <c r="R55" i="2"/>
  <c r="Q55" i="2"/>
  <c r="P55" i="2"/>
  <c r="L55" i="2"/>
  <c r="K55" i="2"/>
  <c r="J55" i="2"/>
  <c r="I55" i="2"/>
  <c r="H55" i="2"/>
  <c r="G55" i="2"/>
  <c r="F55" i="2"/>
  <c r="E55" i="2"/>
  <c r="D55" i="2"/>
  <c r="C55" i="2"/>
  <c r="B55" i="2"/>
  <c r="A55" i="2"/>
  <c r="U54" i="2"/>
  <c r="T54" i="2"/>
  <c r="S54" i="2"/>
  <c r="R54" i="2"/>
  <c r="Q54" i="2"/>
  <c r="P54" i="2"/>
  <c r="L54" i="2"/>
  <c r="K54" i="2"/>
  <c r="J54" i="2"/>
  <c r="I54" i="2"/>
  <c r="H54" i="2"/>
  <c r="G54" i="2"/>
  <c r="F54" i="2"/>
  <c r="E54" i="2"/>
  <c r="D54" i="2"/>
  <c r="C54" i="2"/>
  <c r="B54" i="2"/>
  <c r="A54" i="2"/>
  <c r="U53" i="2"/>
  <c r="T53" i="2"/>
  <c r="S53" i="2"/>
  <c r="R53" i="2"/>
  <c r="Q53" i="2"/>
  <c r="P53" i="2"/>
  <c r="L53" i="2"/>
  <c r="K53" i="2"/>
  <c r="J53" i="2"/>
  <c r="I53" i="2"/>
  <c r="H53" i="2"/>
  <c r="G53" i="2"/>
  <c r="F53" i="2"/>
  <c r="E53" i="2"/>
  <c r="D53" i="2"/>
  <c r="C53" i="2"/>
  <c r="B53" i="2"/>
  <c r="A53" i="2"/>
  <c r="U52" i="2"/>
  <c r="T52" i="2"/>
  <c r="S52" i="2"/>
  <c r="R52" i="2"/>
  <c r="Q52" i="2"/>
  <c r="P52" i="2"/>
  <c r="L52" i="2"/>
  <c r="K52" i="2"/>
  <c r="J52" i="2"/>
  <c r="I52" i="2"/>
  <c r="H52" i="2"/>
  <c r="G52" i="2"/>
  <c r="F52" i="2"/>
  <c r="E52" i="2"/>
  <c r="D52" i="2"/>
  <c r="C52" i="2"/>
  <c r="B52" i="2"/>
  <c r="A52" i="2"/>
  <c r="U51" i="2"/>
  <c r="T51" i="2"/>
  <c r="S51" i="2"/>
  <c r="R51" i="2"/>
  <c r="Q51" i="2"/>
  <c r="P51" i="2"/>
  <c r="L51" i="2"/>
  <c r="K51" i="2"/>
  <c r="J51" i="2"/>
  <c r="I51" i="2"/>
  <c r="H51" i="2"/>
  <c r="G51" i="2"/>
  <c r="F51" i="2"/>
  <c r="E51" i="2"/>
  <c r="D51" i="2"/>
  <c r="C51" i="2"/>
  <c r="B51" i="2"/>
  <c r="A51" i="2"/>
  <c r="U50" i="2"/>
  <c r="T50" i="2"/>
  <c r="S50" i="2"/>
  <c r="R50" i="2"/>
  <c r="Q50" i="2"/>
  <c r="P50" i="2"/>
  <c r="L50" i="2"/>
  <c r="K50" i="2"/>
  <c r="J50" i="2"/>
  <c r="I50" i="2"/>
  <c r="H50" i="2"/>
  <c r="G50" i="2"/>
  <c r="F50" i="2"/>
  <c r="E50" i="2"/>
  <c r="D50" i="2"/>
  <c r="C50" i="2"/>
  <c r="B50" i="2"/>
  <c r="A50" i="2"/>
  <c r="U49" i="2"/>
  <c r="T49" i="2"/>
  <c r="S49" i="2"/>
  <c r="R49" i="2"/>
  <c r="Q49" i="2"/>
  <c r="P49" i="2"/>
  <c r="L49" i="2"/>
  <c r="K49" i="2"/>
  <c r="J49" i="2"/>
  <c r="I49" i="2"/>
  <c r="H49" i="2"/>
  <c r="G49" i="2"/>
  <c r="F49" i="2"/>
  <c r="E49" i="2"/>
  <c r="D49" i="2"/>
  <c r="C49" i="2"/>
  <c r="B49" i="2"/>
  <c r="A49" i="2"/>
  <c r="U48" i="2"/>
  <c r="T48" i="2"/>
  <c r="S48" i="2"/>
  <c r="R48" i="2"/>
  <c r="Q48" i="2"/>
  <c r="P48" i="2"/>
  <c r="L48" i="2"/>
  <c r="K48" i="2"/>
  <c r="J48" i="2"/>
  <c r="I48" i="2"/>
  <c r="H48" i="2"/>
  <c r="G48" i="2"/>
  <c r="F48" i="2"/>
  <c r="E48" i="2"/>
  <c r="D48" i="2"/>
  <c r="C48" i="2"/>
  <c r="B48" i="2"/>
  <c r="A48" i="2"/>
  <c r="U47" i="2"/>
  <c r="T47" i="2"/>
  <c r="S47" i="2"/>
  <c r="R47" i="2"/>
  <c r="Q47" i="2"/>
  <c r="P47" i="2"/>
  <c r="L47" i="2"/>
  <c r="K47" i="2"/>
  <c r="J47" i="2"/>
  <c r="I47" i="2"/>
  <c r="H47" i="2"/>
  <c r="G47" i="2"/>
  <c r="F47" i="2"/>
  <c r="E47" i="2"/>
  <c r="D47" i="2"/>
  <c r="C47" i="2"/>
  <c r="B47" i="2"/>
  <c r="A47" i="2"/>
  <c r="U46" i="2"/>
  <c r="T46" i="2"/>
  <c r="S46" i="2"/>
  <c r="R46" i="2"/>
  <c r="Q46" i="2"/>
  <c r="P46" i="2"/>
  <c r="L46" i="2"/>
  <c r="K46" i="2"/>
  <c r="J46" i="2"/>
  <c r="I46" i="2"/>
  <c r="H46" i="2"/>
  <c r="G46" i="2"/>
  <c r="F46" i="2"/>
  <c r="E46" i="2"/>
  <c r="D46" i="2"/>
  <c r="C46" i="2"/>
  <c r="B46" i="2"/>
  <c r="A46" i="2"/>
  <c r="U45" i="2"/>
  <c r="T45" i="2"/>
  <c r="S45" i="2"/>
  <c r="R45" i="2"/>
  <c r="Q45" i="2"/>
  <c r="P45" i="2"/>
  <c r="L45" i="2"/>
  <c r="K45" i="2"/>
  <c r="J45" i="2"/>
  <c r="I45" i="2"/>
  <c r="H45" i="2"/>
  <c r="G45" i="2"/>
  <c r="F45" i="2"/>
  <c r="E45" i="2"/>
  <c r="D45" i="2"/>
  <c r="C45" i="2"/>
  <c r="B45" i="2"/>
  <c r="A45" i="2"/>
  <c r="U44" i="2"/>
  <c r="T44" i="2"/>
  <c r="S44" i="2"/>
  <c r="R44" i="2"/>
  <c r="Q44" i="2"/>
  <c r="P44" i="2"/>
  <c r="L44" i="2"/>
  <c r="K44" i="2"/>
  <c r="J44" i="2"/>
  <c r="I44" i="2"/>
  <c r="H44" i="2"/>
  <c r="G44" i="2"/>
  <c r="F44" i="2"/>
  <c r="E44" i="2"/>
  <c r="D44" i="2"/>
  <c r="C44" i="2"/>
  <c r="B44" i="2"/>
  <c r="A44" i="2"/>
  <c r="U43" i="2"/>
  <c r="T43" i="2"/>
  <c r="S43" i="2"/>
  <c r="R43" i="2"/>
  <c r="Q43" i="2"/>
  <c r="P43" i="2"/>
  <c r="L43" i="2"/>
  <c r="K43" i="2"/>
  <c r="J43" i="2"/>
  <c r="I43" i="2"/>
  <c r="H43" i="2"/>
  <c r="G43" i="2"/>
  <c r="F43" i="2"/>
  <c r="E43" i="2"/>
  <c r="D43" i="2"/>
  <c r="C43" i="2"/>
  <c r="B43" i="2"/>
  <c r="A43" i="2"/>
  <c r="U42" i="2"/>
  <c r="T42" i="2"/>
  <c r="S42" i="2"/>
  <c r="R42" i="2"/>
  <c r="Q42" i="2"/>
  <c r="P42" i="2"/>
  <c r="O42" i="2"/>
  <c r="N42" i="2"/>
  <c r="M42" i="2"/>
  <c r="I42" i="2"/>
  <c r="H42" i="2"/>
  <c r="G42" i="2"/>
  <c r="F42" i="2"/>
  <c r="E42" i="2"/>
  <c r="D42" i="2"/>
  <c r="C42" i="2"/>
  <c r="B42" i="2"/>
  <c r="A42" i="2"/>
  <c r="U41" i="2"/>
  <c r="T41" i="2"/>
  <c r="S41" i="2"/>
  <c r="R41" i="2"/>
  <c r="Q41" i="2"/>
  <c r="P41" i="2"/>
  <c r="L41" i="2"/>
  <c r="K41" i="2"/>
  <c r="J41" i="2"/>
  <c r="I41" i="2"/>
  <c r="H41" i="2"/>
  <c r="G41" i="2"/>
  <c r="F41" i="2"/>
  <c r="E41" i="2"/>
  <c r="D41" i="2"/>
  <c r="C41" i="2"/>
  <c r="B41" i="2"/>
  <c r="A41" i="2"/>
  <c r="U40" i="2"/>
  <c r="T40" i="2"/>
  <c r="S40" i="2"/>
  <c r="R40" i="2"/>
  <c r="Q40" i="2"/>
  <c r="P40" i="2"/>
  <c r="L40" i="2"/>
  <c r="K40" i="2"/>
  <c r="J40" i="2"/>
  <c r="I40" i="2"/>
  <c r="H40" i="2"/>
  <c r="G40" i="2"/>
  <c r="F40" i="2"/>
  <c r="E40" i="2"/>
  <c r="D40" i="2"/>
  <c r="C40" i="2"/>
  <c r="B40" i="2"/>
  <c r="A40" i="2"/>
  <c r="U39" i="2"/>
  <c r="T39" i="2"/>
  <c r="S39" i="2"/>
  <c r="R39" i="2"/>
  <c r="Q39" i="2"/>
  <c r="P39" i="2"/>
  <c r="L39" i="2"/>
  <c r="K39" i="2"/>
  <c r="J39" i="2"/>
  <c r="I39" i="2"/>
  <c r="H39" i="2"/>
  <c r="G39" i="2"/>
  <c r="F39" i="2"/>
  <c r="E39" i="2"/>
  <c r="D39" i="2"/>
  <c r="C39" i="2"/>
  <c r="B39" i="2"/>
  <c r="A39" i="2"/>
  <c r="U38" i="2"/>
  <c r="T38" i="2"/>
  <c r="S38" i="2"/>
  <c r="R38" i="2"/>
  <c r="Q38" i="2"/>
  <c r="P38" i="2"/>
  <c r="L38" i="2"/>
  <c r="K38" i="2"/>
  <c r="J38" i="2"/>
  <c r="I38" i="2"/>
  <c r="H38" i="2"/>
  <c r="G38" i="2"/>
  <c r="F38" i="2"/>
  <c r="E38" i="2"/>
  <c r="D38" i="2"/>
  <c r="C38" i="2"/>
  <c r="B38" i="2"/>
  <c r="A38" i="2"/>
  <c r="U37" i="2"/>
  <c r="T37" i="2"/>
  <c r="S37" i="2"/>
  <c r="R37" i="2"/>
  <c r="Q37" i="2"/>
  <c r="P37" i="2"/>
  <c r="O37" i="2"/>
  <c r="N37" i="2"/>
  <c r="M37" i="2"/>
  <c r="I37" i="2"/>
  <c r="H37" i="2"/>
  <c r="G37" i="2"/>
  <c r="F37" i="2"/>
  <c r="E37" i="2"/>
  <c r="D37" i="2"/>
  <c r="C37" i="2"/>
  <c r="B37" i="2"/>
  <c r="A37" i="2"/>
  <c r="U36" i="2"/>
  <c r="T36" i="2"/>
  <c r="S36" i="2"/>
  <c r="R36" i="2"/>
  <c r="Q36" i="2"/>
  <c r="P36" i="2"/>
  <c r="L36" i="2"/>
  <c r="K36" i="2"/>
  <c r="J36" i="2"/>
  <c r="I36" i="2"/>
  <c r="H36" i="2"/>
  <c r="G36" i="2"/>
  <c r="F36" i="2"/>
  <c r="E36" i="2"/>
  <c r="D36" i="2"/>
  <c r="C36" i="2"/>
  <c r="B36" i="2"/>
  <c r="A36" i="2"/>
  <c r="U35" i="2"/>
  <c r="T35" i="2"/>
  <c r="S35" i="2"/>
  <c r="R35" i="2"/>
  <c r="Q35" i="2"/>
  <c r="P35" i="2"/>
  <c r="L35" i="2"/>
  <c r="K35" i="2"/>
  <c r="J35" i="2"/>
  <c r="I35" i="2"/>
  <c r="H35" i="2"/>
  <c r="G35" i="2"/>
  <c r="F35" i="2"/>
  <c r="E35" i="2"/>
  <c r="D35" i="2"/>
  <c r="C35" i="2"/>
  <c r="B35" i="2"/>
  <c r="A35" i="2"/>
  <c r="U34" i="2"/>
  <c r="T34" i="2"/>
  <c r="S34" i="2"/>
  <c r="R34" i="2"/>
  <c r="Q34" i="2"/>
  <c r="P34" i="2"/>
  <c r="L34" i="2"/>
  <c r="K34" i="2"/>
  <c r="J34" i="2"/>
  <c r="I34" i="2"/>
  <c r="H34" i="2"/>
  <c r="G34" i="2"/>
  <c r="F34" i="2"/>
  <c r="E34" i="2"/>
  <c r="D34" i="2"/>
  <c r="C34" i="2"/>
  <c r="B34" i="2"/>
  <c r="A34" i="2"/>
  <c r="U33" i="2"/>
  <c r="T33" i="2"/>
  <c r="S33" i="2"/>
  <c r="R33" i="2"/>
  <c r="Q33" i="2"/>
  <c r="P33" i="2"/>
  <c r="L33" i="2"/>
  <c r="K33" i="2"/>
  <c r="J33" i="2"/>
  <c r="I33" i="2"/>
  <c r="H33" i="2"/>
  <c r="G33" i="2"/>
  <c r="F33" i="2"/>
  <c r="E33" i="2"/>
  <c r="D33" i="2"/>
  <c r="C33" i="2"/>
  <c r="B33" i="2"/>
  <c r="A33" i="2"/>
  <c r="U32" i="2"/>
  <c r="T32" i="2"/>
  <c r="S32" i="2"/>
  <c r="R32" i="2"/>
  <c r="Q32" i="2"/>
  <c r="P32" i="2"/>
  <c r="L32" i="2"/>
  <c r="K32" i="2"/>
  <c r="J32" i="2"/>
  <c r="I32" i="2"/>
  <c r="H32" i="2"/>
  <c r="G32" i="2"/>
  <c r="F32" i="2"/>
  <c r="E32" i="2"/>
  <c r="D32" i="2"/>
  <c r="C32" i="2"/>
  <c r="B32" i="2"/>
  <c r="A32" i="2"/>
  <c r="U31" i="2"/>
  <c r="T31" i="2"/>
  <c r="S31" i="2"/>
  <c r="R31" i="2"/>
  <c r="Q31" i="2"/>
  <c r="P31" i="2"/>
  <c r="L31" i="2"/>
  <c r="K31" i="2"/>
  <c r="J31" i="2"/>
  <c r="I31" i="2"/>
  <c r="H31" i="2"/>
  <c r="G31" i="2"/>
  <c r="F31" i="2"/>
  <c r="E31" i="2"/>
  <c r="D31" i="2"/>
  <c r="C31" i="2"/>
  <c r="B31" i="2"/>
  <c r="A31" i="2"/>
  <c r="U30" i="2"/>
  <c r="T30" i="2"/>
  <c r="S30" i="2"/>
  <c r="R30" i="2"/>
  <c r="Q30" i="2"/>
  <c r="P30" i="2"/>
  <c r="L30" i="2"/>
  <c r="K30" i="2"/>
  <c r="J30" i="2"/>
  <c r="I30" i="2"/>
  <c r="H30" i="2"/>
  <c r="G30" i="2"/>
  <c r="F30" i="2"/>
  <c r="E30" i="2"/>
  <c r="D30" i="2"/>
  <c r="C30" i="2"/>
  <c r="B30" i="2"/>
  <c r="A30" i="2"/>
  <c r="U29" i="2"/>
  <c r="T29" i="2"/>
  <c r="S29" i="2"/>
  <c r="R29" i="2"/>
  <c r="Q29" i="2"/>
  <c r="P29" i="2"/>
  <c r="L29" i="2"/>
  <c r="K29" i="2"/>
  <c r="J29" i="2"/>
  <c r="I29" i="2"/>
  <c r="H29" i="2"/>
  <c r="G29" i="2"/>
  <c r="F29" i="2"/>
  <c r="E29" i="2"/>
  <c r="D29" i="2"/>
  <c r="C29" i="2"/>
  <c r="B29" i="2"/>
  <c r="A29" i="2"/>
  <c r="U28" i="2"/>
  <c r="T28" i="2"/>
  <c r="S28" i="2"/>
  <c r="R28" i="2"/>
  <c r="Q28" i="2"/>
  <c r="P28" i="2"/>
  <c r="L28" i="2"/>
  <c r="K28" i="2"/>
  <c r="J28" i="2"/>
  <c r="I28" i="2"/>
  <c r="H28" i="2"/>
  <c r="G28" i="2"/>
  <c r="F28" i="2"/>
  <c r="E28" i="2"/>
  <c r="D28" i="2"/>
  <c r="C28" i="2"/>
  <c r="B28" i="2"/>
  <c r="A28" i="2"/>
  <c r="U27" i="2"/>
  <c r="T27" i="2"/>
  <c r="S27" i="2"/>
  <c r="R27" i="2"/>
  <c r="Q27" i="2"/>
  <c r="P27" i="2"/>
  <c r="L27" i="2"/>
  <c r="K27" i="2"/>
  <c r="J27" i="2"/>
  <c r="I27" i="2"/>
  <c r="H27" i="2"/>
  <c r="G27" i="2"/>
  <c r="F27" i="2"/>
  <c r="E27" i="2"/>
  <c r="D27" i="2"/>
  <c r="C27" i="2"/>
  <c r="B27" i="2"/>
  <c r="A27" i="2"/>
  <c r="U26" i="2"/>
  <c r="T26" i="2"/>
  <c r="S26" i="2"/>
  <c r="R26" i="2"/>
  <c r="Q26" i="2"/>
  <c r="P26" i="2"/>
  <c r="L26" i="2"/>
  <c r="K26" i="2"/>
  <c r="J26" i="2"/>
  <c r="I26" i="2"/>
  <c r="H26" i="2"/>
  <c r="G26" i="2"/>
  <c r="F26" i="2"/>
  <c r="E26" i="2"/>
  <c r="D26" i="2"/>
  <c r="C26" i="2"/>
  <c r="B26" i="2"/>
  <c r="A26" i="2"/>
  <c r="U25" i="2"/>
  <c r="T25" i="2"/>
  <c r="S25" i="2"/>
  <c r="R25" i="2"/>
  <c r="Q25" i="2"/>
  <c r="P25" i="2"/>
  <c r="L25" i="2"/>
  <c r="K25" i="2"/>
  <c r="J25" i="2"/>
  <c r="I25" i="2"/>
  <c r="H25" i="2"/>
  <c r="G25" i="2"/>
  <c r="F25" i="2"/>
  <c r="E25" i="2"/>
  <c r="D25" i="2"/>
  <c r="C25" i="2"/>
  <c r="B25" i="2"/>
  <c r="A25" i="2"/>
  <c r="U24" i="2"/>
  <c r="T24" i="2"/>
  <c r="S24" i="2"/>
  <c r="R24" i="2"/>
  <c r="Q24" i="2"/>
  <c r="P24" i="2"/>
  <c r="O24" i="2"/>
  <c r="N24" i="2"/>
  <c r="M24" i="2"/>
  <c r="I24" i="2"/>
  <c r="H24" i="2"/>
  <c r="G24" i="2"/>
  <c r="F24" i="2"/>
  <c r="E24" i="2"/>
  <c r="D24" i="2"/>
  <c r="C24" i="2"/>
  <c r="B24" i="2"/>
  <c r="A24" i="2"/>
  <c r="U23" i="2"/>
  <c r="T23" i="2"/>
  <c r="S23" i="2"/>
  <c r="R23" i="2"/>
  <c r="Q23" i="2"/>
  <c r="P23" i="2"/>
  <c r="L23" i="2"/>
  <c r="K23" i="2"/>
  <c r="J23" i="2"/>
  <c r="I23" i="2"/>
  <c r="H23" i="2"/>
  <c r="G23" i="2"/>
  <c r="F23" i="2"/>
  <c r="E23" i="2"/>
  <c r="D23" i="2"/>
  <c r="C23" i="2"/>
  <c r="B23" i="2"/>
  <c r="A23" i="2"/>
  <c r="U22" i="2"/>
  <c r="T22" i="2"/>
  <c r="S22" i="2"/>
  <c r="R22" i="2"/>
  <c r="Q22" i="2"/>
  <c r="P22" i="2"/>
  <c r="O22" i="2"/>
  <c r="N22" i="2"/>
  <c r="M22" i="2"/>
  <c r="I22" i="2"/>
  <c r="H22" i="2"/>
  <c r="G22" i="2"/>
  <c r="F22" i="2"/>
  <c r="E22" i="2"/>
  <c r="D22" i="2"/>
  <c r="C22" i="2"/>
  <c r="B22" i="2"/>
  <c r="A22" i="2"/>
  <c r="U21" i="2"/>
  <c r="T21" i="2"/>
  <c r="S21" i="2"/>
  <c r="R21" i="2"/>
  <c r="Q21" i="2"/>
  <c r="P21" i="2"/>
  <c r="O21" i="2"/>
  <c r="N21" i="2"/>
  <c r="M21" i="2"/>
  <c r="I21" i="2"/>
  <c r="H21" i="2"/>
  <c r="G21" i="2"/>
  <c r="F21" i="2"/>
  <c r="E21" i="2"/>
  <c r="D21" i="2"/>
  <c r="C21" i="2"/>
  <c r="B21" i="2"/>
  <c r="A21" i="2"/>
  <c r="U20" i="2"/>
  <c r="T20" i="2"/>
  <c r="S20" i="2"/>
  <c r="R20" i="2"/>
  <c r="Q20" i="2"/>
  <c r="P20" i="2"/>
  <c r="L20" i="2"/>
  <c r="K20" i="2"/>
  <c r="J20" i="2"/>
  <c r="I20" i="2"/>
  <c r="H20" i="2"/>
  <c r="G20" i="2"/>
  <c r="F20" i="2"/>
  <c r="E20" i="2"/>
  <c r="D20" i="2"/>
  <c r="C20" i="2"/>
  <c r="B20" i="2"/>
  <c r="A20" i="2"/>
  <c r="U19" i="2"/>
  <c r="T19" i="2"/>
  <c r="S19" i="2"/>
  <c r="R19" i="2"/>
  <c r="Q19" i="2"/>
  <c r="P19" i="2"/>
  <c r="L19" i="2"/>
  <c r="K19" i="2"/>
  <c r="J19" i="2"/>
  <c r="I19" i="2"/>
  <c r="H19" i="2"/>
  <c r="G19" i="2"/>
  <c r="F19" i="2"/>
  <c r="E19" i="2"/>
  <c r="D19" i="2"/>
  <c r="C19" i="2"/>
  <c r="B19" i="2"/>
  <c r="A19" i="2"/>
  <c r="U18" i="2"/>
  <c r="T18" i="2"/>
  <c r="S18" i="2"/>
  <c r="R18" i="2"/>
  <c r="Q18" i="2"/>
  <c r="P18" i="2"/>
  <c r="L18" i="2"/>
  <c r="K18" i="2"/>
  <c r="J18" i="2"/>
  <c r="I18" i="2"/>
  <c r="H18" i="2"/>
  <c r="G18" i="2"/>
  <c r="F18" i="2"/>
  <c r="E18" i="2"/>
  <c r="D18" i="2"/>
  <c r="C18" i="2"/>
  <c r="B18" i="2"/>
  <c r="A18" i="2"/>
  <c r="U17" i="2"/>
  <c r="T17" i="2"/>
  <c r="S17" i="2"/>
  <c r="R17" i="2"/>
  <c r="Q17" i="2"/>
  <c r="P17" i="2"/>
  <c r="L17" i="2"/>
  <c r="K17" i="2"/>
  <c r="J17" i="2"/>
  <c r="I17" i="2"/>
  <c r="H17" i="2"/>
  <c r="G17" i="2"/>
  <c r="F17" i="2"/>
  <c r="E17" i="2"/>
  <c r="D17" i="2"/>
  <c r="C17" i="2"/>
  <c r="B17" i="2"/>
  <c r="A17" i="2"/>
  <c r="U16" i="2"/>
  <c r="T16" i="2"/>
  <c r="S16" i="2"/>
  <c r="R16" i="2"/>
  <c r="Q16" i="2"/>
  <c r="P16" i="2"/>
  <c r="L16" i="2"/>
  <c r="K16" i="2"/>
  <c r="J16" i="2"/>
  <c r="I16" i="2"/>
  <c r="H16" i="2"/>
  <c r="G16" i="2"/>
  <c r="F16" i="2"/>
  <c r="E16" i="2"/>
  <c r="D16" i="2"/>
  <c r="C16" i="2"/>
  <c r="B16" i="2"/>
  <c r="A16" i="2"/>
  <c r="U15" i="2"/>
  <c r="T15" i="2"/>
  <c r="S15" i="2"/>
  <c r="R15" i="2"/>
  <c r="Q15" i="2"/>
  <c r="P15" i="2"/>
  <c r="L15" i="2"/>
  <c r="K15" i="2"/>
  <c r="J15" i="2"/>
  <c r="I15" i="2"/>
  <c r="H15" i="2"/>
  <c r="G15" i="2"/>
  <c r="F15" i="2"/>
  <c r="E15" i="2"/>
  <c r="D15" i="2"/>
  <c r="C15" i="2"/>
  <c r="B15" i="2"/>
  <c r="A15" i="2"/>
  <c r="U14" i="2"/>
  <c r="T14" i="2"/>
  <c r="S14" i="2"/>
  <c r="R14" i="2"/>
  <c r="Q14" i="2"/>
  <c r="P14" i="2"/>
  <c r="L14" i="2"/>
  <c r="K14" i="2"/>
  <c r="J14" i="2"/>
  <c r="I14" i="2"/>
  <c r="H14" i="2"/>
  <c r="G14" i="2"/>
  <c r="F14" i="2"/>
  <c r="E14" i="2"/>
  <c r="D14" i="2"/>
  <c r="C14" i="2"/>
  <c r="B14" i="2"/>
  <c r="A14" i="2"/>
  <c r="U13" i="2"/>
  <c r="T13" i="2"/>
  <c r="S13" i="2"/>
  <c r="R13" i="2"/>
  <c r="Q13" i="2"/>
  <c r="P13" i="2"/>
  <c r="L13" i="2"/>
  <c r="K13" i="2"/>
  <c r="J13" i="2"/>
  <c r="I13" i="2"/>
  <c r="H13" i="2"/>
  <c r="G13" i="2"/>
  <c r="F13" i="2"/>
  <c r="E13" i="2"/>
  <c r="D13" i="2"/>
  <c r="C13" i="2"/>
  <c r="B13" i="2"/>
  <c r="A13" i="2"/>
  <c r="U12" i="2"/>
  <c r="T12" i="2"/>
  <c r="S12" i="2"/>
  <c r="R12" i="2"/>
  <c r="Q12" i="2"/>
  <c r="P12" i="2"/>
  <c r="L12" i="2"/>
  <c r="K12" i="2"/>
  <c r="J12" i="2"/>
  <c r="I12" i="2"/>
  <c r="H12" i="2"/>
  <c r="G12" i="2"/>
  <c r="F12" i="2"/>
  <c r="E12" i="2"/>
  <c r="D12" i="2"/>
  <c r="C12" i="2"/>
  <c r="B12" i="2"/>
  <c r="A12" i="2"/>
  <c r="U11" i="2"/>
  <c r="T11" i="2"/>
  <c r="S11" i="2"/>
  <c r="R11" i="2"/>
  <c r="Q11" i="2"/>
  <c r="P11" i="2"/>
  <c r="L11" i="2"/>
  <c r="K11" i="2"/>
  <c r="J11" i="2"/>
  <c r="I11" i="2"/>
  <c r="H11" i="2"/>
  <c r="G11" i="2"/>
  <c r="F11" i="2"/>
  <c r="E11" i="2"/>
  <c r="D11" i="2"/>
  <c r="C11" i="2"/>
  <c r="B11" i="2"/>
  <c r="A11" i="2"/>
  <c r="U10" i="2"/>
  <c r="T10" i="2"/>
  <c r="S10" i="2"/>
  <c r="R10" i="2"/>
  <c r="Q10" i="2"/>
  <c r="P10" i="2"/>
  <c r="L10" i="2"/>
  <c r="K10" i="2"/>
  <c r="J10" i="2"/>
  <c r="I10" i="2"/>
  <c r="H10" i="2"/>
  <c r="G10" i="2"/>
  <c r="F10" i="2"/>
  <c r="E10" i="2"/>
  <c r="D10" i="2"/>
  <c r="C10" i="2"/>
  <c r="B10" i="2"/>
  <c r="A10" i="2"/>
  <c r="U9" i="2"/>
  <c r="T9" i="2"/>
  <c r="S9" i="2"/>
  <c r="R9" i="2"/>
  <c r="Q9" i="2"/>
  <c r="P9" i="2"/>
  <c r="O9" i="2"/>
  <c r="N9" i="2"/>
  <c r="M9" i="2"/>
  <c r="I9" i="2"/>
  <c r="H9" i="2"/>
  <c r="G9" i="2"/>
  <c r="F9" i="2"/>
  <c r="E9" i="2"/>
  <c r="D9" i="2"/>
  <c r="C9" i="2"/>
  <c r="B9" i="2"/>
  <c r="A9" i="2"/>
  <c r="U8" i="2"/>
  <c r="T8" i="2"/>
  <c r="S8" i="2"/>
  <c r="R8" i="2"/>
  <c r="Q8" i="2"/>
  <c r="P8" i="2"/>
  <c r="L8" i="2"/>
  <c r="K8" i="2"/>
  <c r="J8" i="2"/>
  <c r="I8" i="2"/>
  <c r="H8" i="2"/>
  <c r="G8" i="2"/>
  <c r="F8" i="2"/>
  <c r="E8" i="2"/>
  <c r="D8" i="2"/>
  <c r="C8" i="2"/>
  <c r="B8" i="2"/>
  <c r="A8" i="2"/>
  <c r="U7" i="2"/>
  <c r="T7" i="2"/>
  <c r="S7" i="2"/>
  <c r="R7" i="2"/>
  <c r="Q7" i="2"/>
  <c r="P7" i="2"/>
  <c r="L7" i="2"/>
  <c r="K7" i="2"/>
  <c r="J7" i="2"/>
  <c r="I7" i="2"/>
  <c r="H7" i="2"/>
  <c r="G7" i="2"/>
  <c r="F7" i="2"/>
  <c r="E7" i="2"/>
  <c r="D7" i="2"/>
  <c r="C7" i="2"/>
  <c r="B7" i="2"/>
  <c r="A7" i="2"/>
  <c r="U6" i="2"/>
  <c r="T6" i="2"/>
  <c r="S6" i="2"/>
  <c r="R6" i="2"/>
  <c r="Q6" i="2"/>
  <c r="P6" i="2"/>
  <c r="L6" i="2"/>
  <c r="K6" i="2"/>
  <c r="J6" i="2"/>
  <c r="I6" i="2"/>
  <c r="H6" i="2"/>
  <c r="G6" i="2"/>
  <c r="F6" i="2"/>
  <c r="E6" i="2"/>
  <c r="D6" i="2"/>
  <c r="C6" i="2"/>
  <c r="B6" i="2"/>
  <c r="A6" i="2"/>
  <c r="U5" i="2"/>
  <c r="T5" i="2"/>
  <c r="S5" i="2"/>
  <c r="R5" i="2"/>
  <c r="Q5" i="2"/>
  <c r="P5" i="2"/>
  <c r="L5" i="2"/>
  <c r="K5" i="2"/>
  <c r="J5" i="2"/>
  <c r="I5" i="2"/>
  <c r="H5" i="2"/>
  <c r="G5" i="2"/>
  <c r="F5" i="2"/>
  <c r="E5" i="2"/>
  <c r="D5" i="2"/>
  <c r="C5" i="2"/>
  <c r="B5" i="2"/>
  <c r="A5" i="2"/>
  <c r="U4" i="2"/>
  <c r="T4" i="2"/>
  <c r="S4" i="2"/>
  <c r="R4" i="2"/>
  <c r="Q4" i="2"/>
  <c r="P4" i="2"/>
  <c r="L4" i="2"/>
  <c r="K4" i="2"/>
  <c r="J4" i="2"/>
  <c r="I4" i="2"/>
  <c r="H4" i="2"/>
  <c r="G4" i="2"/>
  <c r="F4" i="2"/>
  <c r="E4" i="2"/>
  <c r="D4" i="2"/>
  <c r="C4" i="2"/>
  <c r="B4" i="2"/>
  <c r="A4" i="2"/>
  <c r="U3" i="2"/>
  <c r="T3" i="2"/>
  <c r="S3" i="2"/>
  <c r="R3" i="2"/>
  <c r="Q3" i="2"/>
  <c r="P3" i="2"/>
  <c r="O3" i="2"/>
  <c r="N3" i="2"/>
  <c r="M3" i="2"/>
  <c r="I3" i="2"/>
  <c r="H3" i="2"/>
  <c r="G3" i="2"/>
  <c r="F3" i="2"/>
  <c r="E3" i="2"/>
  <c r="D3" i="2"/>
  <c r="C3" i="2"/>
  <c r="B3" i="2"/>
  <c r="A3" i="2"/>
  <c r="U2" i="2"/>
  <c r="T2" i="2"/>
  <c r="S2" i="2"/>
  <c r="R2" i="2"/>
  <c r="Q2" i="2"/>
  <c r="P2" i="2"/>
  <c r="L2" i="2"/>
  <c r="K2" i="2"/>
  <c r="J2" i="2"/>
  <c r="I2" i="2"/>
  <c r="H2" i="2"/>
  <c r="G2" i="2"/>
  <c r="F2" i="2"/>
  <c r="E2" i="2"/>
  <c r="D2" i="2"/>
  <c r="C2" i="2"/>
  <c r="B2" i="2"/>
  <c r="A2" i="2"/>
</calcChain>
</file>

<file path=xl/sharedStrings.xml><?xml version="1.0" encoding="utf-8"?>
<sst xmlns="http://schemas.openxmlformats.org/spreadsheetml/2006/main" count="56" uniqueCount="35">
  <si>
    <t>application_id</t>
  </si>
  <si>
    <t>submitted_at</t>
  </si>
  <si>
    <t>full_name</t>
  </si>
  <si>
    <t>dob</t>
  </si>
  <si>
    <t>gender</t>
  </si>
  <si>
    <t>nationality</t>
  </si>
  <si>
    <t>phone</t>
  </si>
  <si>
    <t>email</t>
  </si>
  <si>
    <t>address</t>
  </si>
  <si>
    <t>id_number</t>
  </si>
  <si>
    <t>id_front_file</t>
  </si>
  <si>
    <t>id_back_file</t>
  </si>
  <si>
    <t>passport_number</t>
  </si>
  <si>
    <t>passport_file</t>
  </si>
  <si>
    <t>visa_file</t>
  </si>
  <si>
    <t>employment_type</t>
  </si>
  <si>
    <t>declared_income</t>
  </si>
  <si>
    <t>income_proof_file</t>
  </si>
  <si>
    <t>requested_limit</t>
  </si>
  <si>
    <t>card_type</t>
  </si>
  <si>
    <t>application_channel</t>
  </si>
  <si>
    <t>APP0001</t>
  </si>
  <si>
    <t>Đặng Ngọc Mai</t>
  </si>
  <si>
    <t>23/01/2001</t>
  </si>
  <si>
    <t>Female</t>
  </si>
  <si>
    <t>Vietnam</t>
  </si>
  <si>
    <t>0985632617</t>
  </si>
  <si>
    <t>dangngocmai@gmail.com</t>
  </si>
  <si>
    <t>113/1 Lý Thường Kiệt, Quận 2, Việt Nam</t>
  </si>
  <si>
    <t>https://drive.google.com/open?id=10Cd5BajwrxAGhjl4ZFaAlrj8MBO9qtzR</t>
  </si>
  <si>
    <t>https://drive.google.com/open?id=1KIKIO62Z6BPtKfYUnE6t-l4BxPqe1izG</t>
  </si>
  <si>
    <t>Full-time</t>
  </si>
  <si>
    <t>https://drive.google.com/open?id=1fR7iaO3FftBP67ShxEpoRXM4U7eB0OSA</t>
  </si>
  <si>
    <t>Classic</t>
  </si>
  <si>
    <t>Online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</si>
</sst>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yy\ h:mm:ss"/>
    <numFmt numFmtId="168" formatCode="mm/dd/yyyy\ hh:mm"/>
  </numFmts>
  <fonts count="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u/>
      <sz val="10"/>
      <color rgb="FF0000FF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2" fillId="0" borderId="0" xfId="0" applyFont="1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rive.google.com/open?id=1fR7iaO3FftBP67ShxEpoRXM4U7eB0OSA" TargetMode="External"/><Relationship Id="rId2" Type="http://schemas.openxmlformats.org/officeDocument/2006/relationships/hyperlink" Target="https://drive.google.com/open?id=1KIKIO62Z6BPtKfYUnE6t-l4BxPqe1izG" TargetMode="External"/><Relationship Id="rId1" Type="http://schemas.openxmlformats.org/officeDocument/2006/relationships/hyperlink" Target="https://drive.google.com/open?id=10Cd5BajwrxAGhjl4ZFaAlrj8MBO9qtzR" TargetMode="External"/></Relationships>
</file>

<file path=xl/worksheets/_rels/sheet2.xml.rels><?xml version="1.0" encoding="UTF-8" standalone="yes"?>
<Relationships xmlns="http://schemas.openxmlformats.org/package/2006/relationships"><Relationship Id="rId21" Type="http://schemas.openxmlformats.org/officeDocument/2006/relationships/hyperlink" Target="https://drive.google.com/open?id=tFzO8vwqp8eqU1BQhD7F" TargetMode="External"/><Relationship Id="rId170" Type="http://schemas.openxmlformats.org/officeDocument/2006/relationships/hyperlink" Target="https://drive.google.com/open?id=5TiF45x18GeiLiNPhfvG" TargetMode="External"/><Relationship Id="rId268" Type="http://schemas.openxmlformats.org/officeDocument/2006/relationships/hyperlink" Target="https://drive.google.com/open?id=L9i0AYmAUyd8OsBdsEW3" TargetMode="External"/><Relationship Id="rId475" Type="http://schemas.openxmlformats.org/officeDocument/2006/relationships/hyperlink" Target="https://drive.google.com/open?id=mfXhaE1Jk9r6cMPwatA0" TargetMode="External"/><Relationship Id="rId682" Type="http://schemas.openxmlformats.org/officeDocument/2006/relationships/hyperlink" Target="https://drive.google.com/open?id=jBOyoqr22Q0pVUgHx1OO" TargetMode="External"/><Relationship Id="rId128" Type="http://schemas.openxmlformats.org/officeDocument/2006/relationships/hyperlink" Target="https://drive.google.com/open?id=X59i4jgiTLMZRnt9zlhj" TargetMode="External"/><Relationship Id="rId335" Type="http://schemas.openxmlformats.org/officeDocument/2006/relationships/hyperlink" Target="https://drive.google.com/open?id=TaKDX0FVHcaRyuSiFini" TargetMode="External"/><Relationship Id="rId542" Type="http://schemas.openxmlformats.org/officeDocument/2006/relationships/hyperlink" Target="https://drive.google.com/open?id=hEbVudPAvVt0jWzRemhh" TargetMode="External"/><Relationship Id="rId987" Type="http://schemas.openxmlformats.org/officeDocument/2006/relationships/hyperlink" Target="https://drive.google.com/open?id=CYNRZZWMQjVkcEA1Ia0T" TargetMode="External"/><Relationship Id="rId1172" Type="http://schemas.openxmlformats.org/officeDocument/2006/relationships/hyperlink" Target="https://drive.google.com/open?id=wQ7UI4zXDmsWOGEM76t7" TargetMode="External"/><Relationship Id="rId402" Type="http://schemas.openxmlformats.org/officeDocument/2006/relationships/hyperlink" Target="https://drive.google.com/open?id=oDOkbfjwHA90448Vqjzr" TargetMode="External"/><Relationship Id="rId847" Type="http://schemas.openxmlformats.org/officeDocument/2006/relationships/hyperlink" Target="https://drive.google.com/open?id=H9iNEXSH4L36vorhCXkd" TargetMode="External"/><Relationship Id="rId1032" Type="http://schemas.openxmlformats.org/officeDocument/2006/relationships/hyperlink" Target="https://drive.google.com/open?id=2XOEen7RzTyHqFuLlcui" TargetMode="External"/><Relationship Id="rId1477" Type="http://schemas.openxmlformats.org/officeDocument/2006/relationships/hyperlink" Target="https://drive.google.com/open?id=Up9wAjxk4c40SGCrMnDB" TargetMode="External"/><Relationship Id="rId707" Type="http://schemas.openxmlformats.org/officeDocument/2006/relationships/hyperlink" Target="https://drive.google.com/open?id=4LHR6BCuUMKfBsjnOyS2" TargetMode="External"/><Relationship Id="rId914" Type="http://schemas.openxmlformats.org/officeDocument/2006/relationships/hyperlink" Target="https://drive.google.com/open?id=Yf4NCn7bCEr79TcAbTac" TargetMode="External"/><Relationship Id="rId1337" Type="http://schemas.openxmlformats.org/officeDocument/2006/relationships/hyperlink" Target="https://drive.google.com/open?id=WMWKYuBPS3X0211VIC5z" TargetMode="External"/><Relationship Id="rId43" Type="http://schemas.openxmlformats.org/officeDocument/2006/relationships/hyperlink" Target="https://drive.google.com/open?id=3UKyGC8OGVKOfDQCbv0m" TargetMode="External"/><Relationship Id="rId1404" Type="http://schemas.openxmlformats.org/officeDocument/2006/relationships/hyperlink" Target="https://drive.google.com/open?id=enmsRW0DS0OomR9xsQ1m" TargetMode="External"/><Relationship Id="rId192" Type="http://schemas.openxmlformats.org/officeDocument/2006/relationships/hyperlink" Target="https://drive.google.com/open?id=tHe5hCJtSJEnvRCVilTb" TargetMode="External"/><Relationship Id="rId497" Type="http://schemas.openxmlformats.org/officeDocument/2006/relationships/hyperlink" Target="https://drive.google.com/open?id=JW4KYUciHJPMrlpz9DAj" TargetMode="External"/><Relationship Id="rId357" Type="http://schemas.openxmlformats.org/officeDocument/2006/relationships/hyperlink" Target="https://drive.google.com/open?id=8LY86n2kVQPcg1kv7FYo" TargetMode="External"/><Relationship Id="rId1194" Type="http://schemas.openxmlformats.org/officeDocument/2006/relationships/hyperlink" Target="https://drive.google.com/open?id=V7OxMd2BkZ7efg3qWT7I" TargetMode="External"/><Relationship Id="rId217" Type="http://schemas.openxmlformats.org/officeDocument/2006/relationships/hyperlink" Target="https://drive.google.com/open?id=jgoGf0co9dgi35Zsj87B" TargetMode="External"/><Relationship Id="rId564" Type="http://schemas.openxmlformats.org/officeDocument/2006/relationships/hyperlink" Target="https://drive.google.com/open?id=v39PP4zSEwBkGPn6KXoB" TargetMode="External"/><Relationship Id="rId771" Type="http://schemas.openxmlformats.org/officeDocument/2006/relationships/hyperlink" Target="https://drive.google.com/open?id=Ubsl6pAusII8joD0I8kJ" TargetMode="External"/><Relationship Id="rId869" Type="http://schemas.openxmlformats.org/officeDocument/2006/relationships/hyperlink" Target="https://drive.google.com/open?id=xbR7kSmtD7bHjx9AcDuY" TargetMode="External"/><Relationship Id="rId1499" Type="http://schemas.openxmlformats.org/officeDocument/2006/relationships/hyperlink" Target="https://drive.google.com/open?id=wK7oHYeZSsaquPvwMfVu" TargetMode="External"/><Relationship Id="rId424" Type="http://schemas.openxmlformats.org/officeDocument/2006/relationships/hyperlink" Target="https://drive.google.com/open?id=bSqusicFPTssVzGM2IsJ" TargetMode="External"/><Relationship Id="rId631" Type="http://schemas.openxmlformats.org/officeDocument/2006/relationships/hyperlink" Target="https://drive.google.com/open?id=Nfj6DlbXtU3OruZys3Fk" TargetMode="External"/><Relationship Id="rId729" Type="http://schemas.openxmlformats.org/officeDocument/2006/relationships/hyperlink" Target="https://drive.google.com/open?id=DmEKaGFyRxvcs4xSrZrv" TargetMode="External"/><Relationship Id="rId1054" Type="http://schemas.openxmlformats.org/officeDocument/2006/relationships/hyperlink" Target="https://drive.google.com/open?id=qsN9OWoaMajcdw5iOTrO" TargetMode="External"/><Relationship Id="rId1261" Type="http://schemas.openxmlformats.org/officeDocument/2006/relationships/hyperlink" Target="https://drive.google.com/open?id=sszpEhh5eyWdbDEayoiK" TargetMode="External"/><Relationship Id="rId1359" Type="http://schemas.openxmlformats.org/officeDocument/2006/relationships/hyperlink" Target="https://drive.google.com/open?id=xciws1QfhMyhdmzwQoGe" TargetMode="External"/><Relationship Id="rId936" Type="http://schemas.openxmlformats.org/officeDocument/2006/relationships/hyperlink" Target="https://drive.google.com/open?id=sVhwcaBJcvvQuEEJK79P" TargetMode="External"/><Relationship Id="rId1121" Type="http://schemas.openxmlformats.org/officeDocument/2006/relationships/hyperlink" Target="https://drive.google.com/open?id=pJD7Vh7kOwSUWDy7cv00" TargetMode="External"/><Relationship Id="rId1219" Type="http://schemas.openxmlformats.org/officeDocument/2006/relationships/hyperlink" Target="https://drive.google.com/open?id=wN8nB6HjRQp3Q9EgH6yZ" TargetMode="External"/><Relationship Id="rId65" Type="http://schemas.openxmlformats.org/officeDocument/2006/relationships/hyperlink" Target="https://drive.google.com/open?id=qqPWMR2vBB88So01stiy" TargetMode="External"/><Relationship Id="rId1426" Type="http://schemas.openxmlformats.org/officeDocument/2006/relationships/hyperlink" Target="https://drive.google.com/open?id=K6HjdyoBuMAfA0gFOUYE" TargetMode="External"/><Relationship Id="rId281" Type="http://schemas.openxmlformats.org/officeDocument/2006/relationships/hyperlink" Target="https://drive.google.com/open?id=Wm3cDJYgtCjW3nO09m2G" TargetMode="External"/><Relationship Id="rId141" Type="http://schemas.openxmlformats.org/officeDocument/2006/relationships/hyperlink" Target="https://drive.google.com/open?id=hnGmuAW0FlYHjIYwj0y3" TargetMode="External"/><Relationship Id="rId379" Type="http://schemas.openxmlformats.org/officeDocument/2006/relationships/hyperlink" Target="https://drive.google.com/open?id=rl3mGPr82v4E5kRF1xCC" TargetMode="External"/><Relationship Id="rId586" Type="http://schemas.openxmlformats.org/officeDocument/2006/relationships/hyperlink" Target="https://drive.google.com/open?id=3z3esbYluvdP0oP8PIfk" TargetMode="External"/><Relationship Id="rId793" Type="http://schemas.openxmlformats.org/officeDocument/2006/relationships/hyperlink" Target="https://drive.google.com/open?id=tgzfHgHE4vTxFVzcvEzj" TargetMode="External"/><Relationship Id="rId7" Type="http://schemas.openxmlformats.org/officeDocument/2006/relationships/hyperlink" Target="https://drive.google.com/open?id=DSngNVm7UPD6P8wDxSNm" TargetMode="External"/><Relationship Id="rId239" Type="http://schemas.openxmlformats.org/officeDocument/2006/relationships/hyperlink" Target="https://drive.google.com/open?id=arNu4rtD8zpwoVC2E63C" TargetMode="External"/><Relationship Id="rId446" Type="http://schemas.openxmlformats.org/officeDocument/2006/relationships/hyperlink" Target="https://drive.google.com/open?id=osw3aIdwMVMTVJ8c3k97" TargetMode="External"/><Relationship Id="rId653" Type="http://schemas.openxmlformats.org/officeDocument/2006/relationships/hyperlink" Target="https://drive.google.com/open?id=pf6QNVQuYTt9OqeXW47v" TargetMode="External"/><Relationship Id="rId1076" Type="http://schemas.openxmlformats.org/officeDocument/2006/relationships/hyperlink" Target="https://drive.google.com/open?id=8KDeCltVUOZqPjtwn0ci" TargetMode="External"/><Relationship Id="rId1283" Type="http://schemas.openxmlformats.org/officeDocument/2006/relationships/hyperlink" Target="https://drive.google.com/open?id=S3euvsJL9qWTMqx6kFCg" TargetMode="External"/><Relationship Id="rId1490" Type="http://schemas.openxmlformats.org/officeDocument/2006/relationships/hyperlink" Target="https://drive.google.com/open?id=m9HMJRCf4HbmjGpjnP7R" TargetMode="External"/><Relationship Id="rId306" Type="http://schemas.openxmlformats.org/officeDocument/2006/relationships/hyperlink" Target="https://drive.google.com/open?id=1s33oiBzKrvxGdFi8T1T" TargetMode="External"/><Relationship Id="rId860" Type="http://schemas.openxmlformats.org/officeDocument/2006/relationships/hyperlink" Target="https://drive.google.com/open?id=AYYwTbeBIllmzdj97ONB" TargetMode="External"/><Relationship Id="rId958" Type="http://schemas.openxmlformats.org/officeDocument/2006/relationships/hyperlink" Target="https://drive.google.com/open?id=CGB265fGSEYrAlm20FbF" TargetMode="External"/><Relationship Id="rId1143" Type="http://schemas.openxmlformats.org/officeDocument/2006/relationships/hyperlink" Target="https://drive.google.com/open?id=wipgKeIhWSrzR2dk6cs6" TargetMode="External"/><Relationship Id="rId87" Type="http://schemas.openxmlformats.org/officeDocument/2006/relationships/hyperlink" Target="https://drive.google.com/open?id=iCDz86PasWwlf2YRcXEi" TargetMode="External"/><Relationship Id="rId513" Type="http://schemas.openxmlformats.org/officeDocument/2006/relationships/hyperlink" Target="https://drive.google.com/open?id=ZOmg0TEyaHR7IiQt1vwn" TargetMode="External"/><Relationship Id="rId720" Type="http://schemas.openxmlformats.org/officeDocument/2006/relationships/hyperlink" Target="https://drive.google.com/open?id=fr1ZbG0sAJz22lvlnN5D" TargetMode="External"/><Relationship Id="rId818" Type="http://schemas.openxmlformats.org/officeDocument/2006/relationships/hyperlink" Target="https://drive.google.com/open?id=cKzUtSYeQezbV2BelOh4" TargetMode="External"/><Relationship Id="rId1350" Type="http://schemas.openxmlformats.org/officeDocument/2006/relationships/hyperlink" Target="https://drive.google.com/open?id=bctodUEOqGNqgDPrfXgi" TargetMode="External"/><Relationship Id="rId1448" Type="http://schemas.openxmlformats.org/officeDocument/2006/relationships/hyperlink" Target="https://drive.google.com/open?id=KslWT2eG7cqPECx0nDSp" TargetMode="External"/><Relationship Id="rId1003" Type="http://schemas.openxmlformats.org/officeDocument/2006/relationships/hyperlink" Target="https://drive.google.com/open?id=hZtvOHuiZAQ6vBq2HPDh" TargetMode="External"/><Relationship Id="rId1210" Type="http://schemas.openxmlformats.org/officeDocument/2006/relationships/hyperlink" Target="https://drive.google.com/open?id=KeiSDTQihhSyEPzX8wU6" TargetMode="External"/><Relationship Id="rId1308" Type="http://schemas.openxmlformats.org/officeDocument/2006/relationships/hyperlink" Target="https://drive.google.com/open?id=tXR73Bxc35swwttLivfi" TargetMode="External"/><Relationship Id="rId14" Type="http://schemas.openxmlformats.org/officeDocument/2006/relationships/hyperlink" Target="https://drive.google.com/open?id=GRtYIGgxFAVQR9HGlIbY" TargetMode="External"/><Relationship Id="rId163" Type="http://schemas.openxmlformats.org/officeDocument/2006/relationships/hyperlink" Target="https://drive.google.com/open?id=xtKT5Yvz75G29ei3sao8" TargetMode="External"/><Relationship Id="rId370" Type="http://schemas.openxmlformats.org/officeDocument/2006/relationships/hyperlink" Target="https://drive.google.com/open?id=69i5Es7KPr4hLLntMzkr" TargetMode="External"/><Relationship Id="rId230" Type="http://schemas.openxmlformats.org/officeDocument/2006/relationships/hyperlink" Target="https://drive.google.com/open?id=zg5IVWmHVNMpubUpwIhA" TargetMode="External"/><Relationship Id="rId468" Type="http://schemas.openxmlformats.org/officeDocument/2006/relationships/hyperlink" Target="https://drive.google.com/open?id=6KS03M25Ejr8DfTF3Bdf" TargetMode="External"/><Relationship Id="rId675" Type="http://schemas.openxmlformats.org/officeDocument/2006/relationships/hyperlink" Target="https://drive.google.com/open?id=dobkeL7dbXNjCRCHmjnF" TargetMode="External"/><Relationship Id="rId882" Type="http://schemas.openxmlformats.org/officeDocument/2006/relationships/hyperlink" Target="https://drive.google.com/open?id=p8Ua7mGRqwTSJK6z83bF" TargetMode="External"/><Relationship Id="rId1098" Type="http://schemas.openxmlformats.org/officeDocument/2006/relationships/hyperlink" Target="https://drive.google.com/open?id=r9lF1bFvjdb8MQWdIHTC" TargetMode="External"/><Relationship Id="rId328" Type="http://schemas.openxmlformats.org/officeDocument/2006/relationships/hyperlink" Target="https://drive.google.com/open?id=Pt5gx9MwUjf8RPbr2Og3" TargetMode="External"/><Relationship Id="rId535" Type="http://schemas.openxmlformats.org/officeDocument/2006/relationships/hyperlink" Target="https://drive.google.com/open?id=Z8YJsNQH4DVkRnk6stTp" TargetMode="External"/><Relationship Id="rId742" Type="http://schemas.openxmlformats.org/officeDocument/2006/relationships/hyperlink" Target="https://drive.google.com/open?id=qogLYPAHj87vD9brQw7k" TargetMode="External"/><Relationship Id="rId1165" Type="http://schemas.openxmlformats.org/officeDocument/2006/relationships/hyperlink" Target="https://drive.google.com/open?id=uYAJC0zPKyPVDIZdk49I" TargetMode="External"/><Relationship Id="rId1372" Type="http://schemas.openxmlformats.org/officeDocument/2006/relationships/hyperlink" Target="https://drive.google.com/open?id=rU56X2dQv99bjk9T6u7O" TargetMode="External"/><Relationship Id="rId602" Type="http://schemas.openxmlformats.org/officeDocument/2006/relationships/hyperlink" Target="https://drive.google.com/open?id=Xek0FZS1Ma2tVZhZ30LX" TargetMode="External"/><Relationship Id="rId1025" Type="http://schemas.openxmlformats.org/officeDocument/2006/relationships/hyperlink" Target="https://drive.google.com/open?id=eCEIxZThJWOsAtHYeveT" TargetMode="External"/><Relationship Id="rId1232" Type="http://schemas.openxmlformats.org/officeDocument/2006/relationships/hyperlink" Target="https://drive.google.com/open?id=b8EiKCNLLADeJYgTeeew" TargetMode="External"/><Relationship Id="rId907" Type="http://schemas.openxmlformats.org/officeDocument/2006/relationships/hyperlink" Target="https://drive.google.com/open?id=CqLErZzcwsAqX8bNJumR" TargetMode="External"/><Relationship Id="rId36" Type="http://schemas.openxmlformats.org/officeDocument/2006/relationships/hyperlink" Target="https://drive.google.com/open?id=9FETE2Ia4eLx1U3uM4VQ" TargetMode="External"/><Relationship Id="rId185" Type="http://schemas.openxmlformats.org/officeDocument/2006/relationships/hyperlink" Target="https://drive.google.com/open?id=rz7xH37d2UnnBOgEZwVs" TargetMode="External"/><Relationship Id="rId392" Type="http://schemas.openxmlformats.org/officeDocument/2006/relationships/hyperlink" Target="https://drive.google.com/open?id=WFel6SZOA4icUFMCQt4p" TargetMode="External"/><Relationship Id="rId697" Type="http://schemas.openxmlformats.org/officeDocument/2006/relationships/hyperlink" Target="https://drive.google.com/open?id=AV1LOwddk7vaBU0r33P3" TargetMode="External"/><Relationship Id="rId252" Type="http://schemas.openxmlformats.org/officeDocument/2006/relationships/hyperlink" Target="https://drive.google.com/open?id=lBDAb6Jo3qpI0rAkv9OK" TargetMode="External"/><Relationship Id="rId1187" Type="http://schemas.openxmlformats.org/officeDocument/2006/relationships/hyperlink" Target="https://drive.google.com/open?id=iSQ3uX2J6EnCN5kzLZed" TargetMode="External"/><Relationship Id="rId112" Type="http://schemas.openxmlformats.org/officeDocument/2006/relationships/hyperlink" Target="https://drive.google.com/open?id=XCCsvGLpipGft7ZJQyyT" TargetMode="External"/><Relationship Id="rId557" Type="http://schemas.openxmlformats.org/officeDocument/2006/relationships/hyperlink" Target="https://drive.google.com/open?id=k6R2u5zbclmHf6goTJYP" TargetMode="External"/><Relationship Id="rId764" Type="http://schemas.openxmlformats.org/officeDocument/2006/relationships/hyperlink" Target="https://drive.google.com/open?id=TtTiyFu0d1wFNyiiakW0" TargetMode="External"/><Relationship Id="rId971" Type="http://schemas.openxmlformats.org/officeDocument/2006/relationships/hyperlink" Target="https://drive.google.com/open?id=BKACCV4LORrgOFksXEeA" TargetMode="External"/><Relationship Id="rId1394" Type="http://schemas.openxmlformats.org/officeDocument/2006/relationships/hyperlink" Target="https://drive.google.com/open?id=p5kgHheW9H1jVELyO6An" TargetMode="External"/><Relationship Id="rId417" Type="http://schemas.openxmlformats.org/officeDocument/2006/relationships/hyperlink" Target="https://drive.google.com/open?id=3bSkDdQ2K7lou5xHkaP2" TargetMode="External"/><Relationship Id="rId624" Type="http://schemas.openxmlformats.org/officeDocument/2006/relationships/hyperlink" Target="https://drive.google.com/open?id=8q1ELJ7WO3DhhgYDbDcH" TargetMode="External"/><Relationship Id="rId831" Type="http://schemas.openxmlformats.org/officeDocument/2006/relationships/hyperlink" Target="https://drive.google.com/open?id=JpL7bBHS9GSSBABr86JR" TargetMode="External"/><Relationship Id="rId1047" Type="http://schemas.openxmlformats.org/officeDocument/2006/relationships/hyperlink" Target="https://drive.google.com/open?id=A5KQktHVL5Pihccio0wu" TargetMode="External"/><Relationship Id="rId1254" Type="http://schemas.openxmlformats.org/officeDocument/2006/relationships/hyperlink" Target="https://drive.google.com/open?id=COQMtFK6izaY7V7TUjrw" TargetMode="External"/><Relationship Id="rId1461" Type="http://schemas.openxmlformats.org/officeDocument/2006/relationships/hyperlink" Target="https://drive.google.com/open?id=AjbH75pewGD7X1x2qgWv" TargetMode="External"/><Relationship Id="rId929" Type="http://schemas.openxmlformats.org/officeDocument/2006/relationships/hyperlink" Target="https://drive.google.com/open?id=cg1avoC80CO3KEDNZ4iE" TargetMode="External"/><Relationship Id="rId1114" Type="http://schemas.openxmlformats.org/officeDocument/2006/relationships/hyperlink" Target="https://drive.google.com/open?id=ONwtbalGtbWRVnD1wRP7" TargetMode="External"/><Relationship Id="rId1321" Type="http://schemas.openxmlformats.org/officeDocument/2006/relationships/hyperlink" Target="https://drive.google.com/open?id=YJDg62StRujwOUuFaqwn" TargetMode="External"/><Relationship Id="rId58" Type="http://schemas.openxmlformats.org/officeDocument/2006/relationships/hyperlink" Target="https://drive.google.com/open?id=j1XBhagAEaUhar8tU5JQ" TargetMode="External"/><Relationship Id="rId1419" Type="http://schemas.openxmlformats.org/officeDocument/2006/relationships/hyperlink" Target="https://drive.google.com/open?id=eJSnyAISvxlzkEbu7wCX" TargetMode="External"/><Relationship Id="rId274" Type="http://schemas.openxmlformats.org/officeDocument/2006/relationships/hyperlink" Target="https://drive.google.com/open?id=IJX7g9BlWkLFnXmKbKvY" TargetMode="External"/><Relationship Id="rId481" Type="http://schemas.openxmlformats.org/officeDocument/2006/relationships/hyperlink" Target="https://drive.google.com/open?id=PsMRxmZHJhdXiVRGeTQ0" TargetMode="External"/><Relationship Id="rId134" Type="http://schemas.openxmlformats.org/officeDocument/2006/relationships/hyperlink" Target="https://drive.google.com/open?id=9oIo3YFPrJ4rqgkTAtVT" TargetMode="External"/><Relationship Id="rId579" Type="http://schemas.openxmlformats.org/officeDocument/2006/relationships/hyperlink" Target="https://drive.google.com/open?id=Hb0tFL4rjkGC6hGBYLBg" TargetMode="External"/><Relationship Id="rId786" Type="http://schemas.openxmlformats.org/officeDocument/2006/relationships/hyperlink" Target="https://drive.google.com/open?id=6T6PIPKNzgo8seAWgtnv" TargetMode="External"/><Relationship Id="rId993" Type="http://schemas.openxmlformats.org/officeDocument/2006/relationships/hyperlink" Target="https://drive.google.com/open?id=MtFn7qCeM7DPdPtYmyWg" TargetMode="External"/><Relationship Id="rId341" Type="http://schemas.openxmlformats.org/officeDocument/2006/relationships/hyperlink" Target="https://drive.google.com/open?id=Ez1cnZtBAMy2W9Ip7ixb" TargetMode="External"/><Relationship Id="rId439" Type="http://schemas.openxmlformats.org/officeDocument/2006/relationships/hyperlink" Target="https://drive.google.com/open?id=lpHBMVvTV83fZvz5UVGP" TargetMode="External"/><Relationship Id="rId646" Type="http://schemas.openxmlformats.org/officeDocument/2006/relationships/hyperlink" Target="https://drive.google.com/open?id=iYAL8Mat3hDt3pL6flCL" TargetMode="External"/><Relationship Id="rId1069" Type="http://schemas.openxmlformats.org/officeDocument/2006/relationships/hyperlink" Target="https://drive.google.com/open?id=tXhRRaLdJVmEQyU88sW2" TargetMode="External"/><Relationship Id="rId1276" Type="http://schemas.openxmlformats.org/officeDocument/2006/relationships/hyperlink" Target="https://drive.google.com/open?id=ob0jCukWsRLuB2iReZVj" TargetMode="External"/><Relationship Id="rId1483" Type="http://schemas.openxmlformats.org/officeDocument/2006/relationships/hyperlink" Target="https://drive.google.com/open?id=P2lxC7X3ZzeZOZvuw8ry" TargetMode="External"/><Relationship Id="rId201" Type="http://schemas.openxmlformats.org/officeDocument/2006/relationships/hyperlink" Target="https://drive.google.com/open?id=1I8E0T5ZHr3F7g5hwP6I" TargetMode="External"/><Relationship Id="rId506" Type="http://schemas.openxmlformats.org/officeDocument/2006/relationships/hyperlink" Target="https://drive.google.com/open?id=xNuqWRnN6oOb69sPN2Db" TargetMode="External"/><Relationship Id="rId853" Type="http://schemas.openxmlformats.org/officeDocument/2006/relationships/hyperlink" Target="https://drive.google.com/open?id=CdRAPFEnDOJCP8Viwm3Q" TargetMode="External"/><Relationship Id="rId1136" Type="http://schemas.openxmlformats.org/officeDocument/2006/relationships/hyperlink" Target="https://drive.google.com/open?id=aYrzEFZX6Zg4myBOBzel" TargetMode="External"/><Relationship Id="rId713" Type="http://schemas.openxmlformats.org/officeDocument/2006/relationships/hyperlink" Target="https://drive.google.com/open?id=XSvxFPc80Xkz0lS1ElkS" TargetMode="External"/><Relationship Id="rId920" Type="http://schemas.openxmlformats.org/officeDocument/2006/relationships/hyperlink" Target="https://drive.google.com/open?id=FlDQAxRkRL4OGQg1rYju" TargetMode="External"/><Relationship Id="rId1343" Type="http://schemas.openxmlformats.org/officeDocument/2006/relationships/hyperlink" Target="https://drive.google.com/open?id=mS0d49rAHeDQjL5A3qeB" TargetMode="External"/><Relationship Id="rId1203" Type="http://schemas.openxmlformats.org/officeDocument/2006/relationships/hyperlink" Target="https://drive.google.com/open?id=Uiq6zotIqpIYlwOYaG0z" TargetMode="External"/><Relationship Id="rId1410" Type="http://schemas.openxmlformats.org/officeDocument/2006/relationships/hyperlink" Target="https://drive.google.com/open?id=tEbJCTChjsbjR4pE3OBu" TargetMode="External"/><Relationship Id="rId296" Type="http://schemas.openxmlformats.org/officeDocument/2006/relationships/hyperlink" Target="https://drive.google.com/open?id=88p2TAtxVeGDGyV1KhsL" TargetMode="External"/><Relationship Id="rId156" Type="http://schemas.openxmlformats.org/officeDocument/2006/relationships/hyperlink" Target="https://drive.google.com/open?id=LVOeajBz1LyKnboCGNez" TargetMode="External"/><Relationship Id="rId363" Type="http://schemas.openxmlformats.org/officeDocument/2006/relationships/hyperlink" Target="https://drive.google.com/open?id=tB4sWTjACsughtxTTmTb" TargetMode="External"/><Relationship Id="rId570" Type="http://schemas.openxmlformats.org/officeDocument/2006/relationships/hyperlink" Target="https://drive.google.com/open?id=zxWhBVV9pzQoVXP43ZJl" TargetMode="External"/><Relationship Id="rId223" Type="http://schemas.openxmlformats.org/officeDocument/2006/relationships/hyperlink" Target="https://drive.google.com/open?id=bUiMxUuZpThEXRzQbsZB" TargetMode="External"/><Relationship Id="rId430" Type="http://schemas.openxmlformats.org/officeDocument/2006/relationships/hyperlink" Target="https://drive.google.com/open?id=cw43bhIVpwLWT8IxYXs9" TargetMode="External"/><Relationship Id="rId668" Type="http://schemas.openxmlformats.org/officeDocument/2006/relationships/hyperlink" Target="https://drive.google.com/open?id=XuBEooP1pb824rkir79u" TargetMode="External"/><Relationship Id="rId875" Type="http://schemas.openxmlformats.org/officeDocument/2006/relationships/hyperlink" Target="https://drive.google.com/open?id=FYm3rwPQ823Stw6DmYd0" TargetMode="External"/><Relationship Id="rId1060" Type="http://schemas.openxmlformats.org/officeDocument/2006/relationships/hyperlink" Target="https://drive.google.com/open?id=YQJnvm2h5cloGPhmKifo" TargetMode="External"/><Relationship Id="rId1298" Type="http://schemas.openxmlformats.org/officeDocument/2006/relationships/hyperlink" Target="https://drive.google.com/open?id=O1rAwaOfqr1lOBGcp5Dn" TargetMode="External"/><Relationship Id="rId528" Type="http://schemas.openxmlformats.org/officeDocument/2006/relationships/hyperlink" Target="https://drive.google.com/open?id=WmJm73uxvrKnL2CTaXEu" TargetMode="External"/><Relationship Id="rId735" Type="http://schemas.openxmlformats.org/officeDocument/2006/relationships/hyperlink" Target="https://drive.google.com/open?id=qZOWgai9l0I5xvmbKADo" TargetMode="External"/><Relationship Id="rId942" Type="http://schemas.openxmlformats.org/officeDocument/2006/relationships/hyperlink" Target="https://drive.google.com/open?id=m9iLBWzpmOR12BybqjhP" TargetMode="External"/><Relationship Id="rId1158" Type="http://schemas.openxmlformats.org/officeDocument/2006/relationships/hyperlink" Target="https://drive.google.com/open?id=3ZiNzCd1tmQDIo5ZDW5G" TargetMode="External"/><Relationship Id="rId1365" Type="http://schemas.openxmlformats.org/officeDocument/2006/relationships/hyperlink" Target="https://drive.google.com/open?id=OkDkNnuiO0s72sy9wuAV" TargetMode="External"/><Relationship Id="rId1018" Type="http://schemas.openxmlformats.org/officeDocument/2006/relationships/hyperlink" Target="https://drive.google.com/open?id=gxPgXpmKeEfJb6E6zvSP" TargetMode="External"/><Relationship Id="rId1225" Type="http://schemas.openxmlformats.org/officeDocument/2006/relationships/hyperlink" Target="https://drive.google.com/open?id=JvEBJjS91VsMtSFc9Pfc" TargetMode="External"/><Relationship Id="rId1432" Type="http://schemas.openxmlformats.org/officeDocument/2006/relationships/hyperlink" Target="https://drive.google.com/open?id=K1o1dxh0vYVHJ17HgBHI" TargetMode="External"/><Relationship Id="rId71" Type="http://schemas.openxmlformats.org/officeDocument/2006/relationships/hyperlink" Target="https://drive.google.com/open?id=wueJcXJhI358cNz6i6N8" TargetMode="External"/><Relationship Id="rId802" Type="http://schemas.openxmlformats.org/officeDocument/2006/relationships/hyperlink" Target="https://drive.google.com/open?id=eY01PTfpT6OHGXnm29RG" TargetMode="External"/><Relationship Id="rId29" Type="http://schemas.openxmlformats.org/officeDocument/2006/relationships/hyperlink" Target="https://drive.google.com/open?id=lZD1hOxnwWhctdy82SMC" TargetMode="External"/><Relationship Id="rId178" Type="http://schemas.openxmlformats.org/officeDocument/2006/relationships/hyperlink" Target="https://drive.google.com/open?id=uq1DTn5H3xUCQrA7Gwqu" TargetMode="External"/><Relationship Id="rId385" Type="http://schemas.openxmlformats.org/officeDocument/2006/relationships/hyperlink" Target="https://drive.google.com/open?id=yIItXt5IIDd34szqLuDy" TargetMode="External"/><Relationship Id="rId592" Type="http://schemas.openxmlformats.org/officeDocument/2006/relationships/hyperlink" Target="https://drive.google.com/open?id=3vGgRBZ9PdyclX0mkTRq" TargetMode="External"/><Relationship Id="rId245" Type="http://schemas.openxmlformats.org/officeDocument/2006/relationships/hyperlink" Target="https://drive.google.com/open?id=G8ZwufriypYh4s5dr9xa" TargetMode="External"/><Relationship Id="rId452" Type="http://schemas.openxmlformats.org/officeDocument/2006/relationships/hyperlink" Target="https://drive.google.com/open?id=nttg6pAY83kwHEwetnFz" TargetMode="External"/><Relationship Id="rId897" Type="http://schemas.openxmlformats.org/officeDocument/2006/relationships/hyperlink" Target="https://drive.google.com/open?id=M6j9veieM5BSf4W0LPkv" TargetMode="External"/><Relationship Id="rId1082" Type="http://schemas.openxmlformats.org/officeDocument/2006/relationships/hyperlink" Target="https://drive.google.com/open?id=tVuToTSr2NBz1n5Micef" TargetMode="External"/><Relationship Id="rId105" Type="http://schemas.openxmlformats.org/officeDocument/2006/relationships/hyperlink" Target="https://drive.google.com/open?id=NzQRUfagaqyocSs5EBzO" TargetMode="External"/><Relationship Id="rId312" Type="http://schemas.openxmlformats.org/officeDocument/2006/relationships/hyperlink" Target="https://drive.google.com/open?id=0fCbSVCm3rQGXHSRL01j" TargetMode="External"/><Relationship Id="rId757" Type="http://schemas.openxmlformats.org/officeDocument/2006/relationships/hyperlink" Target="https://drive.google.com/open?id=G2frW46SS7ZyBrmpqAoL" TargetMode="External"/><Relationship Id="rId964" Type="http://schemas.openxmlformats.org/officeDocument/2006/relationships/hyperlink" Target="https://drive.google.com/open?id=pAU5Ijccx2gpOvGhu7s8" TargetMode="External"/><Relationship Id="rId1387" Type="http://schemas.openxmlformats.org/officeDocument/2006/relationships/hyperlink" Target="https://drive.google.com/open?id=Irb2NKP1HdmtPqg1Ub5S" TargetMode="External"/><Relationship Id="rId93" Type="http://schemas.openxmlformats.org/officeDocument/2006/relationships/hyperlink" Target="https://drive.google.com/open?id=k5lsH8AVBO1nhlLKn4Uv" TargetMode="External"/><Relationship Id="rId617" Type="http://schemas.openxmlformats.org/officeDocument/2006/relationships/hyperlink" Target="https://drive.google.com/open?id=A3OlzL0Vwlf31z7jBaEz" TargetMode="External"/><Relationship Id="rId824" Type="http://schemas.openxmlformats.org/officeDocument/2006/relationships/hyperlink" Target="https://drive.google.com/open?id=gqviTdHLxoLpiSfix7nO" TargetMode="External"/><Relationship Id="rId1247" Type="http://schemas.openxmlformats.org/officeDocument/2006/relationships/hyperlink" Target="https://drive.google.com/open?id=c5cunlcx4G394DamHFeh" TargetMode="External"/><Relationship Id="rId1454" Type="http://schemas.openxmlformats.org/officeDocument/2006/relationships/hyperlink" Target="https://drive.google.com/open?id=3mubuJmXRpmgnVbd2kDG" TargetMode="External"/><Relationship Id="rId1107" Type="http://schemas.openxmlformats.org/officeDocument/2006/relationships/hyperlink" Target="https://drive.google.com/open?id=XhuNkF03p4r4p8mdkwMS" TargetMode="External"/><Relationship Id="rId1314" Type="http://schemas.openxmlformats.org/officeDocument/2006/relationships/hyperlink" Target="https://drive.google.com/open?id=J8sYLx6DqsPHyROugaAf" TargetMode="External"/><Relationship Id="rId20" Type="http://schemas.openxmlformats.org/officeDocument/2006/relationships/hyperlink" Target="https://drive.google.com/open?id=pfZbp29dSupWjVsUb8An" TargetMode="External"/><Relationship Id="rId267" Type="http://schemas.openxmlformats.org/officeDocument/2006/relationships/hyperlink" Target="https://drive.google.com/open?id=cdP9x0CldDQpBkUYIPUd" TargetMode="External"/><Relationship Id="rId474" Type="http://schemas.openxmlformats.org/officeDocument/2006/relationships/hyperlink" Target="https://drive.google.com/open?id=qUSQrAfGsJzSQAcHfFVb" TargetMode="External"/><Relationship Id="rId127" Type="http://schemas.openxmlformats.org/officeDocument/2006/relationships/hyperlink" Target="https://drive.google.com/open?id=hZvvWmuflgMTjUkYVROZ" TargetMode="External"/><Relationship Id="rId681" Type="http://schemas.openxmlformats.org/officeDocument/2006/relationships/hyperlink" Target="https://drive.google.com/open?id=fvEeNJFerf7K3yx09zqt" TargetMode="External"/><Relationship Id="rId779" Type="http://schemas.openxmlformats.org/officeDocument/2006/relationships/hyperlink" Target="https://drive.google.com/open?id=p2oLbhW1bDiOYCqthb8g" TargetMode="External"/><Relationship Id="rId986" Type="http://schemas.openxmlformats.org/officeDocument/2006/relationships/hyperlink" Target="https://drive.google.com/open?id=ns1ZB6cdFIaqHyv98q3L" TargetMode="External"/><Relationship Id="rId334" Type="http://schemas.openxmlformats.org/officeDocument/2006/relationships/hyperlink" Target="https://drive.google.com/open?id=kn1dArkjWcLZun77Wqyk" TargetMode="External"/><Relationship Id="rId541" Type="http://schemas.openxmlformats.org/officeDocument/2006/relationships/hyperlink" Target="https://drive.google.com/open?id=anX3OmdmMLi9d3B6z0NE" TargetMode="External"/><Relationship Id="rId639" Type="http://schemas.openxmlformats.org/officeDocument/2006/relationships/hyperlink" Target="https://drive.google.com/open?id=IBJXdR4BOgr8GRn2b9Jm" TargetMode="External"/><Relationship Id="rId1171" Type="http://schemas.openxmlformats.org/officeDocument/2006/relationships/hyperlink" Target="https://drive.google.com/open?id=K7rDpUV3mk9asGW6oggp" TargetMode="External"/><Relationship Id="rId1269" Type="http://schemas.openxmlformats.org/officeDocument/2006/relationships/hyperlink" Target="https://drive.google.com/open?id=kp6seSepNX3v62guKLGG" TargetMode="External"/><Relationship Id="rId1476" Type="http://schemas.openxmlformats.org/officeDocument/2006/relationships/hyperlink" Target="https://drive.google.com/open?id=8lpZV1BsRAmaGbzTE5BH" TargetMode="External"/><Relationship Id="rId401" Type="http://schemas.openxmlformats.org/officeDocument/2006/relationships/hyperlink" Target="https://drive.google.com/open?id=vSAOFiFsXYydbI7ItM2c" TargetMode="External"/><Relationship Id="rId846" Type="http://schemas.openxmlformats.org/officeDocument/2006/relationships/hyperlink" Target="https://drive.google.com/open?id=3j5sh4OClkEo6CNOKNSs" TargetMode="External"/><Relationship Id="rId1031" Type="http://schemas.openxmlformats.org/officeDocument/2006/relationships/hyperlink" Target="https://drive.google.com/open?id=hTBHHhN8KiyLInrPGsXw" TargetMode="External"/><Relationship Id="rId1129" Type="http://schemas.openxmlformats.org/officeDocument/2006/relationships/hyperlink" Target="https://drive.google.com/open?id=jlfj5q7SV8p68qrgeKLx" TargetMode="External"/><Relationship Id="rId706" Type="http://schemas.openxmlformats.org/officeDocument/2006/relationships/hyperlink" Target="https://drive.google.com/open?id=zp1SbdwICbocR4iTJaUa" TargetMode="External"/><Relationship Id="rId913" Type="http://schemas.openxmlformats.org/officeDocument/2006/relationships/hyperlink" Target="https://drive.google.com/open?id=DaKaiXlPGL8brBJUOov7" TargetMode="External"/><Relationship Id="rId1336" Type="http://schemas.openxmlformats.org/officeDocument/2006/relationships/hyperlink" Target="https://drive.google.com/open?id=mGMW63ZrMopRKDHWXb2R" TargetMode="External"/><Relationship Id="rId42" Type="http://schemas.openxmlformats.org/officeDocument/2006/relationships/hyperlink" Target="https://drive.google.com/open?id=Qovfo8HVlp7KaIoPWKHJ" TargetMode="External"/><Relationship Id="rId1403" Type="http://schemas.openxmlformats.org/officeDocument/2006/relationships/hyperlink" Target="https://drive.google.com/open?id=DAyYKVSUIvHxXIigMJu3" TargetMode="External"/><Relationship Id="rId191" Type="http://schemas.openxmlformats.org/officeDocument/2006/relationships/hyperlink" Target="https://drive.google.com/open?id=B1AWTb7bDyhxFO43jtPA" TargetMode="External"/><Relationship Id="rId289" Type="http://schemas.openxmlformats.org/officeDocument/2006/relationships/hyperlink" Target="https://drive.google.com/open?id=tWPuYTB3RUgZ2ks4mVre" TargetMode="External"/><Relationship Id="rId496" Type="http://schemas.openxmlformats.org/officeDocument/2006/relationships/hyperlink" Target="https://drive.google.com/open?id=AFnS3uOdCDnGMAreDv2d" TargetMode="External"/><Relationship Id="rId149" Type="http://schemas.openxmlformats.org/officeDocument/2006/relationships/hyperlink" Target="https://drive.google.com/open?id=cONBOUnIN9FBrUwSzFOx" TargetMode="External"/><Relationship Id="rId356" Type="http://schemas.openxmlformats.org/officeDocument/2006/relationships/hyperlink" Target="https://drive.google.com/open?id=cXZVqqzERq5AowcfHFJ8" TargetMode="External"/><Relationship Id="rId563" Type="http://schemas.openxmlformats.org/officeDocument/2006/relationships/hyperlink" Target="https://drive.google.com/open?id=aCwwrwhl97WD1cAUiyeK" TargetMode="External"/><Relationship Id="rId770" Type="http://schemas.openxmlformats.org/officeDocument/2006/relationships/hyperlink" Target="https://drive.google.com/open?id=rX07SECUJJuWNww50Zy0" TargetMode="External"/><Relationship Id="rId1193" Type="http://schemas.openxmlformats.org/officeDocument/2006/relationships/hyperlink" Target="https://drive.google.com/open?id=jcnabFsmKlgxZX3Em3YV" TargetMode="External"/><Relationship Id="rId216" Type="http://schemas.openxmlformats.org/officeDocument/2006/relationships/hyperlink" Target="https://drive.google.com/open?id=naT2n3Zx4AJFkNmjE92f" TargetMode="External"/><Relationship Id="rId423" Type="http://schemas.openxmlformats.org/officeDocument/2006/relationships/hyperlink" Target="https://drive.google.com/open?id=dkR5sX0XD9vZetN8sB23" TargetMode="External"/><Relationship Id="rId868" Type="http://schemas.openxmlformats.org/officeDocument/2006/relationships/hyperlink" Target="https://drive.google.com/open?id=Qh4iHiONbuffgGP6LoPr" TargetMode="External"/><Relationship Id="rId1053" Type="http://schemas.openxmlformats.org/officeDocument/2006/relationships/hyperlink" Target="https://drive.google.com/open?id=UW3J6DYzNdmpv4apJpFY" TargetMode="External"/><Relationship Id="rId1260" Type="http://schemas.openxmlformats.org/officeDocument/2006/relationships/hyperlink" Target="https://drive.google.com/open?id=mrU9kfFeOEa57n9rZ6aZ" TargetMode="External"/><Relationship Id="rId1498" Type="http://schemas.openxmlformats.org/officeDocument/2006/relationships/hyperlink" Target="https://drive.google.com/open?id=4EpfGxaD5OkFAK4jGnZM" TargetMode="External"/><Relationship Id="rId630" Type="http://schemas.openxmlformats.org/officeDocument/2006/relationships/hyperlink" Target="https://drive.google.com/open?id=Mz7Jpzs2JiGivSWgjVwo" TargetMode="External"/><Relationship Id="rId728" Type="http://schemas.openxmlformats.org/officeDocument/2006/relationships/hyperlink" Target="https://drive.google.com/open?id=OGrAXaauPjO78laZi8Ey" TargetMode="External"/><Relationship Id="rId935" Type="http://schemas.openxmlformats.org/officeDocument/2006/relationships/hyperlink" Target="https://drive.google.com/open?id=4tv0grQhvxADAl07RUTj" TargetMode="External"/><Relationship Id="rId1358" Type="http://schemas.openxmlformats.org/officeDocument/2006/relationships/hyperlink" Target="https://drive.google.com/open?id=22pKJLeDTcLkCTsK7Pn7" TargetMode="External"/><Relationship Id="rId64" Type="http://schemas.openxmlformats.org/officeDocument/2006/relationships/hyperlink" Target="https://drive.google.com/open?id=y39Nk88b5SYVH1ALF5Hy" TargetMode="External"/><Relationship Id="rId1120" Type="http://schemas.openxmlformats.org/officeDocument/2006/relationships/hyperlink" Target="https://drive.google.com/open?id=shaJ38RtpuvsNBJ1JTyo" TargetMode="External"/><Relationship Id="rId1218" Type="http://schemas.openxmlformats.org/officeDocument/2006/relationships/hyperlink" Target="https://drive.google.com/open?id=V6tjjk8jHFGwAOSy9X8I" TargetMode="External"/><Relationship Id="rId1425" Type="http://schemas.openxmlformats.org/officeDocument/2006/relationships/hyperlink" Target="https://drive.google.com/open?id=DMnic7u3wnxFbj4rDyZS" TargetMode="External"/><Relationship Id="rId280" Type="http://schemas.openxmlformats.org/officeDocument/2006/relationships/hyperlink" Target="https://drive.google.com/open?id=ixHhMmfFsNhdJLlrepfG" TargetMode="External"/><Relationship Id="rId140" Type="http://schemas.openxmlformats.org/officeDocument/2006/relationships/hyperlink" Target="https://drive.google.com/open?id=1QosskiGAiBFY5IMZVVB" TargetMode="External"/><Relationship Id="rId378" Type="http://schemas.openxmlformats.org/officeDocument/2006/relationships/hyperlink" Target="https://drive.google.com/open?id=ToK6PsDSaV12M6sIagkN" TargetMode="External"/><Relationship Id="rId585" Type="http://schemas.openxmlformats.org/officeDocument/2006/relationships/hyperlink" Target="https://drive.google.com/open?id=n2DQ7ApwX2vqIIhuBifZ" TargetMode="External"/><Relationship Id="rId792" Type="http://schemas.openxmlformats.org/officeDocument/2006/relationships/hyperlink" Target="https://drive.google.com/open?id=nK2iokKrimdDMBOulE5m" TargetMode="External"/><Relationship Id="rId6" Type="http://schemas.openxmlformats.org/officeDocument/2006/relationships/hyperlink" Target="https://drive.google.com/open?id=ifeYvIqCgJlTWk4Ospql" TargetMode="External"/><Relationship Id="rId238" Type="http://schemas.openxmlformats.org/officeDocument/2006/relationships/hyperlink" Target="https://drive.google.com/open?id=tNQD6Ejfwds5eCRZhThI" TargetMode="External"/><Relationship Id="rId445" Type="http://schemas.openxmlformats.org/officeDocument/2006/relationships/hyperlink" Target="https://drive.google.com/open?id=6eF4nrWlMbrVxJxRQarE" TargetMode="External"/><Relationship Id="rId652" Type="http://schemas.openxmlformats.org/officeDocument/2006/relationships/hyperlink" Target="https://drive.google.com/open?id=4ort1x7jPoGVPCpUZjcm" TargetMode="External"/><Relationship Id="rId1075" Type="http://schemas.openxmlformats.org/officeDocument/2006/relationships/hyperlink" Target="https://drive.google.com/open?id=OXNkSswTtNVKBDLTFxAp" TargetMode="External"/><Relationship Id="rId1282" Type="http://schemas.openxmlformats.org/officeDocument/2006/relationships/hyperlink" Target="https://drive.google.com/open?id=Jvsh9XFmTK9lAD82P4oU" TargetMode="External"/><Relationship Id="rId305" Type="http://schemas.openxmlformats.org/officeDocument/2006/relationships/hyperlink" Target="https://drive.google.com/open?id=RujajNgIxWp2nODjgakt" TargetMode="External"/><Relationship Id="rId512" Type="http://schemas.openxmlformats.org/officeDocument/2006/relationships/hyperlink" Target="https://drive.google.com/open?id=laTeIl3v1OVZZ62FgrPC" TargetMode="External"/><Relationship Id="rId957" Type="http://schemas.openxmlformats.org/officeDocument/2006/relationships/hyperlink" Target="https://drive.google.com/open?id=ygM2OqVH5lniH61oTD69" TargetMode="External"/><Relationship Id="rId1142" Type="http://schemas.openxmlformats.org/officeDocument/2006/relationships/hyperlink" Target="https://drive.google.com/open?id=t15YvOzivd3nMyanxGru" TargetMode="External"/><Relationship Id="rId86" Type="http://schemas.openxmlformats.org/officeDocument/2006/relationships/hyperlink" Target="https://drive.google.com/open?id=DHX9uHhCGWLBwO6MbNE5" TargetMode="External"/><Relationship Id="rId817" Type="http://schemas.openxmlformats.org/officeDocument/2006/relationships/hyperlink" Target="https://drive.google.com/open?id=QSTM85cPltgQQvYaefsX" TargetMode="External"/><Relationship Id="rId1002" Type="http://schemas.openxmlformats.org/officeDocument/2006/relationships/hyperlink" Target="https://drive.google.com/open?id=fWabDWoKr9KnF6tMqMD4" TargetMode="External"/><Relationship Id="rId1447" Type="http://schemas.openxmlformats.org/officeDocument/2006/relationships/hyperlink" Target="https://drive.google.com/open?id=IgJWdSa7qykjzMxnMdDJ" TargetMode="External"/><Relationship Id="rId1307" Type="http://schemas.openxmlformats.org/officeDocument/2006/relationships/hyperlink" Target="https://drive.google.com/open?id=xyfrn6bN0LzETY00TJUf" TargetMode="External"/><Relationship Id="rId13" Type="http://schemas.openxmlformats.org/officeDocument/2006/relationships/hyperlink" Target="https://drive.google.com/open?id=qsnTEdOQxM1nawLbeDi9" TargetMode="External"/><Relationship Id="rId162" Type="http://schemas.openxmlformats.org/officeDocument/2006/relationships/hyperlink" Target="https://drive.google.com/open?id=JNLTxEUGEYplm6CCoXua" TargetMode="External"/><Relationship Id="rId467" Type="http://schemas.openxmlformats.org/officeDocument/2006/relationships/hyperlink" Target="https://drive.google.com/open?id=8pLvbjoEZNCVoUzqctr2" TargetMode="External"/><Relationship Id="rId1097" Type="http://schemas.openxmlformats.org/officeDocument/2006/relationships/hyperlink" Target="https://drive.google.com/open?id=jyTqqjoZ4q7SYOFxp2pa" TargetMode="External"/><Relationship Id="rId674" Type="http://schemas.openxmlformats.org/officeDocument/2006/relationships/hyperlink" Target="https://drive.google.com/open?id=yYSeUBWQ7Ye2XTAKvy3z" TargetMode="External"/><Relationship Id="rId881" Type="http://schemas.openxmlformats.org/officeDocument/2006/relationships/hyperlink" Target="https://drive.google.com/open?id=c1gyrXv8YAwMTlF7e3LZ" TargetMode="External"/><Relationship Id="rId979" Type="http://schemas.openxmlformats.org/officeDocument/2006/relationships/hyperlink" Target="https://drive.google.com/open?id=THr0TVaxD1Jc38PO59y7" TargetMode="External"/><Relationship Id="rId327" Type="http://schemas.openxmlformats.org/officeDocument/2006/relationships/hyperlink" Target="https://drive.google.com/open?id=v8MFibkQ0mSL3yF1zP3a" TargetMode="External"/><Relationship Id="rId534" Type="http://schemas.openxmlformats.org/officeDocument/2006/relationships/hyperlink" Target="https://drive.google.com/open?id=kcbXKTbpliikDLqgnUvq" TargetMode="External"/><Relationship Id="rId741" Type="http://schemas.openxmlformats.org/officeDocument/2006/relationships/hyperlink" Target="https://drive.google.com/open?id=AGFBAMzEjI5oKQWpA0Cz" TargetMode="External"/><Relationship Id="rId839" Type="http://schemas.openxmlformats.org/officeDocument/2006/relationships/hyperlink" Target="https://drive.google.com/open?id=OOggrdusOwEcMi3ti8xe" TargetMode="External"/><Relationship Id="rId1164" Type="http://schemas.openxmlformats.org/officeDocument/2006/relationships/hyperlink" Target="https://drive.google.com/open?id=11n8iJDAe0iyyKVxSsiz" TargetMode="External"/><Relationship Id="rId1371" Type="http://schemas.openxmlformats.org/officeDocument/2006/relationships/hyperlink" Target="https://drive.google.com/open?id=8PTZ6Y6aRg2dnqzmFfEY" TargetMode="External"/><Relationship Id="rId1469" Type="http://schemas.openxmlformats.org/officeDocument/2006/relationships/hyperlink" Target="https://drive.google.com/open?id=zQRODPSxTf5pkUp7OhrB" TargetMode="External"/><Relationship Id="rId601" Type="http://schemas.openxmlformats.org/officeDocument/2006/relationships/hyperlink" Target="https://drive.google.com/open?id=xNdah5fpuTOIzZeMrqGq" TargetMode="External"/><Relationship Id="rId1024" Type="http://schemas.openxmlformats.org/officeDocument/2006/relationships/hyperlink" Target="https://drive.google.com/open?id=hcQZ0pF2loz7zAc6DhHa" TargetMode="External"/><Relationship Id="rId1231" Type="http://schemas.openxmlformats.org/officeDocument/2006/relationships/hyperlink" Target="https://drive.google.com/open?id=KFSeXaEgvS3uVFoGm6hL" TargetMode="External"/><Relationship Id="rId906" Type="http://schemas.openxmlformats.org/officeDocument/2006/relationships/hyperlink" Target="https://drive.google.com/open?id=TZDFfAXplNZNc2BWlNrv" TargetMode="External"/><Relationship Id="rId1329" Type="http://schemas.openxmlformats.org/officeDocument/2006/relationships/hyperlink" Target="https://drive.google.com/open?id=fzeekNxExOEAs74LCIGg" TargetMode="External"/><Relationship Id="rId35" Type="http://schemas.openxmlformats.org/officeDocument/2006/relationships/hyperlink" Target="https://drive.google.com/open?id=tP5cNczpmWq91Ydsd5sd" TargetMode="External"/><Relationship Id="rId184" Type="http://schemas.openxmlformats.org/officeDocument/2006/relationships/hyperlink" Target="https://drive.google.com/open?id=u8SoI7djhK0jlugBUa8h" TargetMode="External"/><Relationship Id="rId391" Type="http://schemas.openxmlformats.org/officeDocument/2006/relationships/hyperlink" Target="https://drive.google.com/open?id=cx216DRKZKzGpi3o9Fwx" TargetMode="External"/><Relationship Id="rId251" Type="http://schemas.openxmlformats.org/officeDocument/2006/relationships/hyperlink" Target="https://drive.google.com/open?id=f38CZLqHpmmgI9bBqaO1" TargetMode="External"/><Relationship Id="rId489" Type="http://schemas.openxmlformats.org/officeDocument/2006/relationships/hyperlink" Target="https://drive.google.com/open?id=x2Wt5AXhuOZngHBmIuD3" TargetMode="External"/><Relationship Id="rId696" Type="http://schemas.openxmlformats.org/officeDocument/2006/relationships/hyperlink" Target="https://drive.google.com/open?id=Ot13GcYUPDzqalk1P08w" TargetMode="External"/><Relationship Id="rId349" Type="http://schemas.openxmlformats.org/officeDocument/2006/relationships/hyperlink" Target="https://drive.google.com/open?id=nGMkCKI6eBUEe0EmUePJ" TargetMode="External"/><Relationship Id="rId556" Type="http://schemas.openxmlformats.org/officeDocument/2006/relationships/hyperlink" Target="https://drive.google.com/open?id=bUQUoWy5MRvyQXXI6kwH" TargetMode="External"/><Relationship Id="rId763" Type="http://schemas.openxmlformats.org/officeDocument/2006/relationships/hyperlink" Target="https://drive.google.com/open?id=12hVdm8ywe92LUTqAyqc" TargetMode="External"/><Relationship Id="rId1186" Type="http://schemas.openxmlformats.org/officeDocument/2006/relationships/hyperlink" Target="https://drive.google.com/open?id=oX96pSww9qoY5K9iUlO5" TargetMode="External"/><Relationship Id="rId1393" Type="http://schemas.openxmlformats.org/officeDocument/2006/relationships/hyperlink" Target="https://drive.google.com/open?id=AmBZEcHa1waSJQ0OswSC" TargetMode="External"/><Relationship Id="rId111" Type="http://schemas.openxmlformats.org/officeDocument/2006/relationships/hyperlink" Target="https://drive.google.com/open?id=50UuVvY7vA8Wp9QOQrV0" TargetMode="External"/><Relationship Id="rId209" Type="http://schemas.openxmlformats.org/officeDocument/2006/relationships/hyperlink" Target="https://drive.google.com/open?id=sciVqL38fUqGmHUxl7r1" TargetMode="External"/><Relationship Id="rId416" Type="http://schemas.openxmlformats.org/officeDocument/2006/relationships/hyperlink" Target="https://drive.google.com/open?id=CyjFPRpoPlySC8oHRcll" TargetMode="External"/><Relationship Id="rId970" Type="http://schemas.openxmlformats.org/officeDocument/2006/relationships/hyperlink" Target="https://drive.google.com/open?id=ioIAsyHm6v4wWFkHpDWH" TargetMode="External"/><Relationship Id="rId1046" Type="http://schemas.openxmlformats.org/officeDocument/2006/relationships/hyperlink" Target="https://drive.google.com/open?id=kQQUHf3mF53ydyN7WwNM" TargetMode="External"/><Relationship Id="rId1253" Type="http://schemas.openxmlformats.org/officeDocument/2006/relationships/hyperlink" Target="https://drive.google.com/open?id=hQRDx4LlyA3LQl5cp9YP" TargetMode="External"/><Relationship Id="rId623" Type="http://schemas.openxmlformats.org/officeDocument/2006/relationships/hyperlink" Target="https://drive.google.com/open?id=Jzws7jyJDPuHJsNPF3k3" TargetMode="External"/><Relationship Id="rId830" Type="http://schemas.openxmlformats.org/officeDocument/2006/relationships/hyperlink" Target="https://drive.google.com/open?id=p4BKpfX4fGq4LTRqT7c7" TargetMode="External"/><Relationship Id="rId928" Type="http://schemas.openxmlformats.org/officeDocument/2006/relationships/hyperlink" Target="https://drive.google.com/open?id=C0A5xYUXaHkUwruAdLGp" TargetMode="External"/><Relationship Id="rId1460" Type="http://schemas.openxmlformats.org/officeDocument/2006/relationships/hyperlink" Target="https://drive.google.com/open?id=rF3j7ws8f1KdKcViELyK" TargetMode="External"/><Relationship Id="rId57" Type="http://schemas.openxmlformats.org/officeDocument/2006/relationships/hyperlink" Target="https://drive.google.com/open?id=1etkQK5r8zPdJzKW7glA" TargetMode="External"/><Relationship Id="rId1113" Type="http://schemas.openxmlformats.org/officeDocument/2006/relationships/hyperlink" Target="https://drive.google.com/open?id=hnCNOW8R2QxQ2UpXBZ3M" TargetMode="External"/><Relationship Id="rId1320" Type="http://schemas.openxmlformats.org/officeDocument/2006/relationships/hyperlink" Target="https://drive.google.com/open?id=4bxttyYBk4buJcP75pi3" TargetMode="External"/><Relationship Id="rId1418" Type="http://schemas.openxmlformats.org/officeDocument/2006/relationships/hyperlink" Target="https://drive.google.com/open?id=mRbUzwZriAXFQNm0tjxO" TargetMode="External"/><Relationship Id="rId273" Type="http://schemas.openxmlformats.org/officeDocument/2006/relationships/hyperlink" Target="https://drive.google.com/open?id=ennP95CIVQ3JDLxLjKBH" TargetMode="External"/><Relationship Id="rId480" Type="http://schemas.openxmlformats.org/officeDocument/2006/relationships/hyperlink" Target="https://drive.google.com/open?id=d2o6zAVX4O6sdQjHvMD6" TargetMode="External"/><Relationship Id="rId133" Type="http://schemas.openxmlformats.org/officeDocument/2006/relationships/hyperlink" Target="https://drive.google.com/open?id=U12fGG5ERMN7URlCD3Hv" TargetMode="External"/><Relationship Id="rId340" Type="http://schemas.openxmlformats.org/officeDocument/2006/relationships/hyperlink" Target="https://drive.google.com/open?id=LpP7hjuB5Ctvyc67FR6a" TargetMode="External"/><Relationship Id="rId578" Type="http://schemas.openxmlformats.org/officeDocument/2006/relationships/hyperlink" Target="https://drive.google.com/open?id=H4LDlbNqc7BxRoTKQ8N2" TargetMode="External"/><Relationship Id="rId785" Type="http://schemas.openxmlformats.org/officeDocument/2006/relationships/hyperlink" Target="https://drive.google.com/open?id=4DowSL2fJvuaFT1owxG5" TargetMode="External"/><Relationship Id="rId992" Type="http://schemas.openxmlformats.org/officeDocument/2006/relationships/hyperlink" Target="https://drive.google.com/open?id=PlqCZixQqyRlEQeOHwIj" TargetMode="External"/><Relationship Id="rId200" Type="http://schemas.openxmlformats.org/officeDocument/2006/relationships/hyperlink" Target="https://drive.google.com/open?id=R4qTXKYa5iwQAsIx2F5j" TargetMode="External"/><Relationship Id="rId438" Type="http://schemas.openxmlformats.org/officeDocument/2006/relationships/hyperlink" Target="https://drive.google.com/open?id=igBAmaBp7GLOsj2GUPwe" TargetMode="External"/><Relationship Id="rId645" Type="http://schemas.openxmlformats.org/officeDocument/2006/relationships/hyperlink" Target="https://drive.google.com/open?id=7P8f88d9Ekh5UMGI7heO" TargetMode="External"/><Relationship Id="rId852" Type="http://schemas.openxmlformats.org/officeDocument/2006/relationships/hyperlink" Target="https://drive.google.com/open?id=ujB3U1qAjRzSTZLhZc98" TargetMode="External"/><Relationship Id="rId1068" Type="http://schemas.openxmlformats.org/officeDocument/2006/relationships/hyperlink" Target="https://drive.google.com/open?id=ga2o89vR322MvfcB6ZIz" TargetMode="External"/><Relationship Id="rId1275" Type="http://schemas.openxmlformats.org/officeDocument/2006/relationships/hyperlink" Target="https://drive.google.com/open?id=BrJBtBr7FhOxgDsPOnbz" TargetMode="External"/><Relationship Id="rId1482" Type="http://schemas.openxmlformats.org/officeDocument/2006/relationships/hyperlink" Target="https://drive.google.com/open?id=3VmpEJQnthsvrIzRgaEd" TargetMode="External"/><Relationship Id="rId505" Type="http://schemas.openxmlformats.org/officeDocument/2006/relationships/hyperlink" Target="https://drive.google.com/open?id=ViVl3GwVBgnJ7ttw53Br" TargetMode="External"/><Relationship Id="rId712" Type="http://schemas.openxmlformats.org/officeDocument/2006/relationships/hyperlink" Target="https://drive.google.com/open?id=ILP0ENoz3RotEgZrIIc1" TargetMode="External"/><Relationship Id="rId1135" Type="http://schemas.openxmlformats.org/officeDocument/2006/relationships/hyperlink" Target="https://drive.google.com/open?id=Qs3WDBArLy1HJbfWGcva" TargetMode="External"/><Relationship Id="rId1342" Type="http://schemas.openxmlformats.org/officeDocument/2006/relationships/hyperlink" Target="https://drive.google.com/open?id=MJuiplDzu81IaGeRuenW" TargetMode="External"/><Relationship Id="rId79" Type="http://schemas.openxmlformats.org/officeDocument/2006/relationships/hyperlink" Target="https://drive.google.com/open?id=3ggFWFY0zniFgTmey6ue" TargetMode="External"/><Relationship Id="rId1202" Type="http://schemas.openxmlformats.org/officeDocument/2006/relationships/hyperlink" Target="https://drive.google.com/open?id=QiJzIKeN5nRnx714llV9" TargetMode="External"/><Relationship Id="rId295" Type="http://schemas.openxmlformats.org/officeDocument/2006/relationships/hyperlink" Target="https://drive.google.com/open?id=vxirXOdQjgvZ5m3zdd7R" TargetMode="External"/><Relationship Id="rId155" Type="http://schemas.openxmlformats.org/officeDocument/2006/relationships/hyperlink" Target="https://drive.google.com/open?id=0fHIJ789B4LUGmY1hVxK" TargetMode="External"/><Relationship Id="rId362" Type="http://schemas.openxmlformats.org/officeDocument/2006/relationships/hyperlink" Target="https://drive.google.com/open?id=YYhvIF8GGFCvn1sU7Z1E" TargetMode="External"/><Relationship Id="rId1297" Type="http://schemas.openxmlformats.org/officeDocument/2006/relationships/hyperlink" Target="https://drive.google.com/open?id=eT278gPqoxRX2wDwHT7z" TargetMode="External"/><Relationship Id="rId222" Type="http://schemas.openxmlformats.org/officeDocument/2006/relationships/hyperlink" Target="https://drive.google.com/open?id=Bk9vPC7TB5Eb5Gi8gq28" TargetMode="External"/><Relationship Id="rId667" Type="http://schemas.openxmlformats.org/officeDocument/2006/relationships/hyperlink" Target="https://drive.google.com/open?id=mfuiQhtoxXAs37t4RS0l" TargetMode="External"/><Relationship Id="rId874" Type="http://schemas.openxmlformats.org/officeDocument/2006/relationships/hyperlink" Target="https://drive.google.com/open?id=i3DARLqmfoxPlSsnYYvt" TargetMode="External"/><Relationship Id="rId527" Type="http://schemas.openxmlformats.org/officeDocument/2006/relationships/hyperlink" Target="https://drive.google.com/open?id=H1sqEkI89D8uVEtOKiFG" TargetMode="External"/><Relationship Id="rId734" Type="http://schemas.openxmlformats.org/officeDocument/2006/relationships/hyperlink" Target="https://drive.google.com/open?id=wNTMi4Q3Gc43D8zFfRpn" TargetMode="External"/><Relationship Id="rId941" Type="http://schemas.openxmlformats.org/officeDocument/2006/relationships/hyperlink" Target="https://drive.google.com/open?id=HoECvDt0xVPAEjYKMoCL" TargetMode="External"/><Relationship Id="rId1157" Type="http://schemas.openxmlformats.org/officeDocument/2006/relationships/hyperlink" Target="https://drive.google.com/open?id=ZZgHBIJ4By24GK8ju7wy" TargetMode="External"/><Relationship Id="rId1364" Type="http://schemas.openxmlformats.org/officeDocument/2006/relationships/hyperlink" Target="https://drive.google.com/open?id=Wglc7Mh6oTsL1CuWqbjs" TargetMode="External"/><Relationship Id="rId70" Type="http://schemas.openxmlformats.org/officeDocument/2006/relationships/hyperlink" Target="https://drive.google.com/open?id=kK2MrbqCYnYHP8VYuG0g" TargetMode="External"/><Relationship Id="rId801" Type="http://schemas.openxmlformats.org/officeDocument/2006/relationships/hyperlink" Target="https://drive.google.com/open?id=4w6gQxEkn9QBzJPDOlRT" TargetMode="External"/><Relationship Id="rId1017" Type="http://schemas.openxmlformats.org/officeDocument/2006/relationships/hyperlink" Target="https://drive.google.com/open?id=kK9gvbVAgEQIbEFJ73YP" TargetMode="External"/><Relationship Id="rId1224" Type="http://schemas.openxmlformats.org/officeDocument/2006/relationships/hyperlink" Target="https://drive.google.com/open?id=OkFQUEJ5Yg00X01fa3i9" TargetMode="External"/><Relationship Id="rId1431" Type="http://schemas.openxmlformats.org/officeDocument/2006/relationships/hyperlink" Target="https://drive.google.com/open?id=dzVGnDoU3gkHCOVFoEJL" TargetMode="External"/><Relationship Id="rId28" Type="http://schemas.openxmlformats.org/officeDocument/2006/relationships/hyperlink" Target="https://drive.google.com/open?id=KOB2BQOUeMHx0seX6Egl" TargetMode="External"/><Relationship Id="rId177" Type="http://schemas.openxmlformats.org/officeDocument/2006/relationships/hyperlink" Target="https://drive.google.com/open?id=sHAI2Q6ZAgNTiXx8dG0K" TargetMode="External"/><Relationship Id="rId384" Type="http://schemas.openxmlformats.org/officeDocument/2006/relationships/hyperlink" Target="https://drive.google.com/open?id=OJLuBMS5qfWJdOLI0CGd" TargetMode="External"/><Relationship Id="rId591" Type="http://schemas.openxmlformats.org/officeDocument/2006/relationships/hyperlink" Target="https://drive.google.com/open?id=S2ZbjuzPqPZBz4aYtC34" TargetMode="External"/><Relationship Id="rId244" Type="http://schemas.openxmlformats.org/officeDocument/2006/relationships/hyperlink" Target="https://drive.google.com/open?id=3wGjELKDpC85sr3MGAbE" TargetMode="External"/><Relationship Id="rId689" Type="http://schemas.openxmlformats.org/officeDocument/2006/relationships/hyperlink" Target="https://drive.google.com/open?id=MGp6Ms76GzRj448I1MVq" TargetMode="External"/><Relationship Id="rId896" Type="http://schemas.openxmlformats.org/officeDocument/2006/relationships/hyperlink" Target="https://drive.google.com/open?id=i0BeJsvYNDYxw7hU2QgJ" TargetMode="External"/><Relationship Id="rId1081" Type="http://schemas.openxmlformats.org/officeDocument/2006/relationships/hyperlink" Target="https://drive.google.com/open?id=H2115nJSi9xc1mWT7jCw" TargetMode="External"/><Relationship Id="rId451" Type="http://schemas.openxmlformats.org/officeDocument/2006/relationships/hyperlink" Target="https://drive.google.com/open?id=6sBTKNO2PwOnRwZ8oUzC" TargetMode="External"/><Relationship Id="rId549" Type="http://schemas.openxmlformats.org/officeDocument/2006/relationships/hyperlink" Target="https://drive.google.com/open?id=4gNROchJEANCad6pD3Ul" TargetMode="External"/><Relationship Id="rId756" Type="http://schemas.openxmlformats.org/officeDocument/2006/relationships/hyperlink" Target="https://drive.google.com/open?id=B2oYWgO9JlQH8JtTUUCs" TargetMode="External"/><Relationship Id="rId1179" Type="http://schemas.openxmlformats.org/officeDocument/2006/relationships/hyperlink" Target="https://drive.google.com/open?id=WbtwVk80Zrvns8SQuMhl" TargetMode="External"/><Relationship Id="rId1386" Type="http://schemas.openxmlformats.org/officeDocument/2006/relationships/hyperlink" Target="https://drive.google.com/open?id=73mu4M9gGQlhYuqDaELm" TargetMode="External"/><Relationship Id="rId104" Type="http://schemas.openxmlformats.org/officeDocument/2006/relationships/hyperlink" Target="https://drive.google.com/open?id=ZB5VkiSUenZLeiJ8P0zc" TargetMode="External"/><Relationship Id="rId311" Type="http://schemas.openxmlformats.org/officeDocument/2006/relationships/hyperlink" Target="https://drive.google.com/open?id=PKFMnQUaR3afOGt5Ofi6" TargetMode="External"/><Relationship Id="rId409" Type="http://schemas.openxmlformats.org/officeDocument/2006/relationships/hyperlink" Target="https://drive.google.com/open?id=TknkWpbsKnVjb1taBZ2g" TargetMode="External"/><Relationship Id="rId963" Type="http://schemas.openxmlformats.org/officeDocument/2006/relationships/hyperlink" Target="https://drive.google.com/open?id=UHHJpGLkBDgc9VeGNqCT" TargetMode="External"/><Relationship Id="rId1039" Type="http://schemas.openxmlformats.org/officeDocument/2006/relationships/hyperlink" Target="https://drive.google.com/open?id=5eJgEAKlR0EMEhqsKXps" TargetMode="External"/><Relationship Id="rId1246" Type="http://schemas.openxmlformats.org/officeDocument/2006/relationships/hyperlink" Target="https://drive.google.com/open?id=o36XBDB8TEeHKK4Clnja" TargetMode="External"/><Relationship Id="rId92" Type="http://schemas.openxmlformats.org/officeDocument/2006/relationships/hyperlink" Target="https://drive.google.com/open?id=yZ9OsBeaxp95ETA88Hfy" TargetMode="External"/><Relationship Id="rId616" Type="http://schemas.openxmlformats.org/officeDocument/2006/relationships/hyperlink" Target="https://drive.google.com/open?id=GL2TWGODCoj6nkJ9M1IJ" TargetMode="External"/><Relationship Id="rId823" Type="http://schemas.openxmlformats.org/officeDocument/2006/relationships/hyperlink" Target="https://drive.google.com/open?id=wcckV7AO4HYY2fpbl5SN" TargetMode="External"/><Relationship Id="rId1453" Type="http://schemas.openxmlformats.org/officeDocument/2006/relationships/hyperlink" Target="https://drive.google.com/open?id=nrG7ouDkNU4oqTji3h7h" TargetMode="External"/><Relationship Id="rId1106" Type="http://schemas.openxmlformats.org/officeDocument/2006/relationships/hyperlink" Target="https://drive.google.com/open?id=QlizSKoV4tniOjOE2Xe2" TargetMode="External"/><Relationship Id="rId1313" Type="http://schemas.openxmlformats.org/officeDocument/2006/relationships/hyperlink" Target="https://drive.google.com/open?id=S4bfQWgTNDzZmHbEinhh" TargetMode="External"/><Relationship Id="rId199" Type="http://schemas.openxmlformats.org/officeDocument/2006/relationships/hyperlink" Target="https://drive.google.com/open?id=KP4U8G666kb9w2HDaJAM" TargetMode="External"/><Relationship Id="rId266" Type="http://schemas.openxmlformats.org/officeDocument/2006/relationships/hyperlink" Target="https://drive.google.com/open?id=uI4Ky9ygDFTVUsTykJqP" TargetMode="External"/><Relationship Id="rId473" Type="http://schemas.openxmlformats.org/officeDocument/2006/relationships/hyperlink" Target="https://drive.google.com/open?id=utg5uxliX6nGwTyjVOlF" TargetMode="External"/><Relationship Id="rId680" Type="http://schemas.openxmlformats.org/officeDocument/2006/relationships/hyperlink" Target="https://drive.google.com/open?id=UGdTWhtyZEwQATiQvoWj" TargetMode="External"/><Relationship Id="rId126" Type="http://schemas.openxmlformats.org/officeDocument/2006/relationships/hyperlink" Target="https://drive.google.com/open?id=xoGs65sQteKbPyZjbepZ" TargetMode="External"/><Relationship Id="rId333" Type="http://schemas.openxmlformats.org/officeDocument/2006/relationships/hyperlink" Target="https://drive.google.com/open?id=j00h96E1tj6AljTyYcJ5" TargetMode="External"/><Relationship Id="rId540" Type="http://schemas.openxmlformats.org/officeDocument/2006/relationships/hyperlink" Target="https://drive.google.com/open?id=WYPEKU4xm4HXXKW5bwN4" TargetMode="External"/><Relationship Id="rId778" Type="http://schemas.openxmlformats.org/officeDocument/2006/relationships/hyperlink" Target="https://drive.google.com/open?id=jOJ9ePuNHjkiFbyEKcpC" TargetMode="External"/><Relationship Id="rId985" Type="http://schemas.openxmlformats.org/officeDocument/2006/relationships/hyperlink" Target="https://drive.google.com/open?id=Pr8QsOwRAvHIC9Xbw92X" TargetMode="External"/><Relationship Id="rId1170" Type="http://schemas.openxmlformats.org/officeDocument/2006/relationships/hyperlink" Target="https://drive.google.com/open?id=kMOJslHhYZXkf4NfgBLt" TargetMode="External"/><Relationship Id="rId638" Type="http://schemas.openxmlformats.org/officeDocument/2006/relationships/hyperlink" Target="https://drive.google.com/open?id=5vcXGIcJq4nYPefnnHXg" TargetMode="External"/><Relationship Id="rId845" Type="http://schemas.openxmlformats.org/officeDocument/2006/relationships/hyperlink" Target="https://drive.google.com/open?id=I4hoQWymkK0deGKBIava" TargetMode="External"/><Relationship Id="rId1030" Type="http://schemas.openxmlformats.org/officeDocument/2006/relationships/hyperlink" Target="https://drive.google.com/open?id=2Ue99QKIl5ltUAQkywiI" TargetMode="External"/><Relationship Id="rId1268" Type="http://schemas.openxmlformats.org/officeDocument/2006/relationships/hyperlink" Target="https://drive.google.com/open?id=c7CT4L4HMdPpiNmuGDIv" TargetMode="External"/><Relationship Id="rId1475" Type="http://schemas.openxmlformats.org/officeDocument/2006/relationships/hyperlink" Target="https://drive.google.com/open?id=MlPj6k6AN5tpTFePqDj8" TargetMode="External"/><Relationship Id="rId277" Type="http://schemas.openxmlformats.org/officeDocument/2006/relationships/hyperlink" Target="https://drive.google.com/open?id=bvSrDc2L8HzXK4uBI80d" TargetMode="External"/><Relationship Id="rId400" Type="http://schemas.openxmlformats.org/officeDocument/2006/relationships/hyperlink" Target="https://drive.google.com/open?id=pzuPeCo44rUd3mbIa50m" TargetMode="External"/><Relationship Id="rId484" Type="http://schemas.openxmlformats.org/officeDocument/2006/relationships/hyperlink" Target="https://drive.google.com/open?id=ef4iecgCiEmdqpaRzqkZ" TargetMode="External"/><Relationship Id="rId705" Type="http://schemas.openxmlformats.org/officeDocument/2006/relationships/hyperlink" Target="https://drive.google.com/open?id=XPp5hF9bIGXQcigzN4WA" TargetMode="External"/><Relationship Id="rId1128" Type="http://schemas.openxmlformats.org/officeDocument/2006/relationships/hyperlink" Target="https://drive.google.com/open?id=3g3b8xjvX8myyw78h4nz" TargetMode="External"/><Relationship Id="rId1335" Type="http://schemas.openxmlformats.org/officeDocument/2006/relationships/hyperlink" Target="https://drive.google.com/open?id=L9J6dSWsNE2XZ01jZNoL" TargetMode="External"/><Relationship Id="rId137" Type="http://schemas.openxmlformats.org/officeDocument/2006/relationships/hyperlink" Target="https://drive.google.com/open?id=eK31JjXCE36zthlAKAbU" TargetMode="External"/><Relationship Id="rId344" Type="http://schemas.openxmlformats.org/officeDocument/2006/relationships/hyperlink" Target="https://drive.google.com/open?id=bCPYlgjmNTNxmux68nWi" TargetMode="External"/><Relationship Id="rId691" Type="http://schemas.openxmlformats.org/officeDocument/2006/relationships/hyperlink" Target="https://drive.google.com/open?id=aDnm291di0FeYHtkbt5D" TargetMode="External"/><Relationship Id="rId789" Type="http://schemas.openxmlformats.org/officeDocument/2006/relationships/hyperlink" Target="https://drive.google.com/open?id=0dNQSSiTGfAM8FF4RKAD" TargetMode="External"/><Relationship Id="rId912" Type="http://schemas.openxmlformats.org/officeDocument/2006/relationships/hyperlink" Target="https://drive.google.com/open?id=6d7xcpfHvR5jEg4jAnZa" TargetMode="External"/><Relationship Id="rId996" Type="http://schemas.openxmlformats.org/officeDocument/2006/relationships/hyperlink" Target="https://drive.google.com/open?id=ipdAWN4ZZgmvDmxmaSD0" TargetMode="External"/><Relationship Id="rId41" Type="http://schemas.openxmlformats.org/officeDocument/2006/relationships/hyperlink" Target="https://drive.google.com/open?id=LB21baIFcdy3aIbASxP5" TargetMode="External"/><Relationship Id="rId551" Type="http://schemas.openxmlformats.org/officeDocument/2006/relationships/hyperlink" Target="https://drive.google.com/open?id=dhynpGJMCLUrio6QGvpo" TargetMode="External"/><Relationship Id="rId649" Type="http://schemas.openxmlformats.org/officeDocument/2006/relationships/hyperlink" Target="https://drive.google.com/open?id=4UY7FD4HGTNYS1A4AK7n" TargetMode="External"/><Relationship Id="rId856" Type="http://schemas.openxmlformats.org/officeDocument/2006/relationships/hyperlink" Target="https://drive.google.com/open?id=7TxPEDwrugSsGdmIm8RI" TargetMode="External"/><Relationship Id="rId1181" Type="http://schemas.openxmlformats.org/officeDocument/2006/relationships/hyperlink" Target="https://drive.google.com/open?id=3HPN3vimVRUbrgMcmloQ" TargetMode="External"/><Relationship Id="rId1279" Type="http://schemas.openxmlformats.org/officeDocument/2006/relationships/hyperlink" Target="https://drive.google.com/open?id=jxDI7yJnFR19E5B5oxB0" TargetMode="External"/><Relationship Id="rId1402" Type="http://schemas.openxmlformats.org/officeDocument/2006/relationships/hyperlink" Target="https://drive.google.com/open?id=KVUkMH9iME5frIu0c0AL" TargetMode="External"/><Relationship Id="rId1486" Type="http://schemas.openxmlformats.org/officeDocument/2006/relationships/hyperlink" Target="https://drive.google.com/open?id=KAT2HkAySkOuNeT3N7b9" TargetMode="External"/><Relationship Id="rId190" Type="http://schemas.openxmlformats.org/officeDocument/2006/relationships/hyperlink" Target="https://drive.google.com/open?id=KmPvuMlss0xFIEl1twoZ" TargetMode="External"/><Relationship Id="rId204" Type="http://schemas.openxmlformats.org/officeDocument/2006/relationships/hyperlink" Target="https://drive.google.com/open?id=yTTqWclkDybj8zxTUsPn" TargetMode="External"/><Relationship Id="rId288" Type="http://schemas.openxmlformats.org/officeDocument/2006/relationships/hyperlink" Target="https://drive.google.com/open?id=NgvgeIXVkIOG8H4BiC9p" TargetMode="External"/><Relationship Id="rId411" Type="http://schemas.openxmlformats.org/officeDocument/2006/relationships/hyperlink" Target="https://drive.google.com/open?id=kWAAcIdLqQdeykqS2EHW" TargetMode="External"/><Relationship Id="rId509" Type="http://schemas.openxmlformats.org/officeDocument/2006/relationships/hyperlink" Target="https://drive.google.com/open?id=BbdjovaxwGD3ExrNqBFE" TargetMode="External"/><Relationship Id="rId1041" Type="http://schemas.openxmlformats.org/officeDocument/2006/relationships/hyperlink" Target="https://drive.google.com/open?id=M3vwAssxcyGKaDIhoQUB" TargetMode="External"/><Relationship Id="rId1139" Type="http://schemas.openxmlformats.org/officeDocument/2006/relationships/hyperlink" Target="https://drive.google.com/open?id=1Yo10NKNQLrFFl0VWGXD" TargetMode="External"/><Relationship Id="rId1346" Type="http://schemas.openxmlformats.org/officeDocument/2006/relationships/hyperlink" Target="https://drive.google.com/open?id=L8eE0EzbrM1WuFOaKEek" TargetMode="External"/><Relationship Id="rId495" Type="http://schemas.openxmlformats.org/officeDocument/2006/relationships/hyperlink" Target="https://drive.google.com/open?id=2Tt9YCQnMmzFKBnne5op" TargetMode="External"/><Relationship Id="rId716" Type="http://schemas.openxmlformats.org/officeDocument/2006/relationships/hyperlink" Target="https://drive.google.com/open?id=ibnKOmUxmyIBNbgUMl03" TargetMode="External"/><Relationship Id="rId923" Type="http://schemas.openxmlformats.org/officeDocument/2006/relationships/hyperlink" Target="https://drive.google.com/open?id=9CeAkFAkKf36fYDvN1gG" TargetMode="External"/><Relationship Id="rId52" Type="http://schemas.openxmlformats.org/officeDocument/2006/relationships/hyperlink" Target="https://drive.google.com/open?id=ce0MsJLZr3L9ZPuKNK3M" TargetMode="External"/><Relationship Id="rId148" Type="http://schemas.openxmlformats.org/officeDocument/2006/relationships/hyperlink" Target="https://drive.google.com/open?id=KMIse93VI807RLgFhIbl" TargetMode="External"/><Relationship Id="rId355" Type="http://schemas.openxmlformats.org/officeDocument/2006/relationships/hyperlink" Target="https://drive.google.com/open?id=xuXSZRdr2drFvv0ndHG5" TargetMode="External"/><Relationship Id="rId562" Type="http://schemas.openxmlformats.org/officeDocument/2006/relationships/hyperlink" Target="https://drive.google.com/open?id=D4QKETsnZ0AhHewGCVJi" TargetMode="External"/><Relationship Id="rId1192" Type="http://schemas.openxmlformats.org/officeDocument/2006/relationships/hyperlink" Target="https://drive.google.com/open?id=ADZ9SFVueL0MvunVsAlY" TargetMode="External"/><Relationship Id="rId1206" Type="http://schemas.openxmlformats.org/officeDocument/2006/relationships/hyperlink" Target="https://drive.google.com/open?id=oV9IRk70NEFx4gW0VmNg" TargetMode="External"/><Relationship Id="rId1413" Type="http://schemas.openxmlformats.org/officeDocument/2006/relationships/hyperlink" Target="https://drive.google.com/open?id=0jmwtw63UAJOoizVsMgP" TargetMode="External"/><Relationship Id="rId215" Type="http://schemas.openxmlformats.org/officeDocument/2006/relationships/hyperlink" Target="https://drive.google.com/open?id=sEpxsS2EzlJWatP48gFu" TargetMode="External"/><Relationship Id="rId422" Type="http://schemas.openxmlformats.org/officeDocument/2006/relationships/hyperlink" Target="https://drive.google.com/open?id=mVhZrsMsWH1ROwkqTPOc" TargetMode="External"/><Relationship Id="rId867" Type="http://schemas.openxmlformats.org/officeDocument/2006/relationships/hyperlink" Target="https://drive.google.com/open?id=JBfn1EMpr3eGHWKsltmr" TargetMode="External"/><Relationship Id="rId1052" Type="http://schemas.openxmlformats.org/officeDocument/2006/relationships/hyperlink" Target="https://drive.google.com/open?id=zeMrI8cxz1E8iUi0UcVm" TargetMode="External"/><Relationship Id="rId1497" Type="http://schemas.openxmlformats.org/officeDocument/2006/relationships/hyperlink" Target="https://drive.google.com/open?id=kdNR0Dge0se8iluz6n7z" TargetMode="External"/><Relationship Id="rId299" Type="http://schemas.openxmlformats.org/officeDocument/2006/relationships/hyperlink" Target="https://drive.google.com/open?id=pEqKjRZmvaBTVTW1NElM" TargetMode="External"/><Relationship Id="rId727" Type="http://schemas.openxmlformats.org/officeDocument/2006/relationships/hyperlink" Target="https://drive.google.com/open?id=KJxU3Jk4PmC69BuLHlzy" TargetMode="External"/><Relationship Id="rId934" Type="http://schemas.openxmlformats.org/officeDocument/2006/relationships/hyperlink" Target="https://drive.google.com/open?id=OBreRfkF2IRoIUR2OMeB" TargetMode="External"/><Relationship Id="rId1357" Type="http://schemas.openxmlformats.org/officeDocument/2006/relationships/hyperlink" Target="https://drive.google.com/open?id=TXxc2RO10jrbGRgTK8JZ" TargetMode="External"/><Relationship Id="rId63" Type="http://schemas.openxmlformats.org/officeDocument/2006/relationships/hyperlink" Target="https://drive.google.com/open?id=iM0vuoBzpMf9TTaBDQVt" TargetMode="External"/><Relationship Id="rId159" Type="http://schemas.openxmlformats.org/officeDocument/2006/relationships/hyperlink" Target="https://drive.google.com/open?id=JOeqlPoeMh9kMKYkod8n" TargetMode="External"/><Relationship Id="rId366" Type="http://schemas.openxmlformats.org/officeDocument/2006/relationships/hyperlink" Target="https://drive.google.com/open?id=eqWNOkdeqQiDEXoLe8mB" TargetMode="External"/><Relationship Id="rId573" Type="http://schemas.openxmlformats.org/officeDocument/2006/relationships/hyperlink" Target="https://drive.google.com/open?id=eMAV9zfKQO9V8GcYRROT" TargetMode="External"/><Relationship Id="rId780" Type="http://schemas.openxmlformats.org/officeDocument/2006/relationships/hyperlink" Target="https://drive.google.com/open?id=CvqStLYts7bVZA4X8bGu" TargetMode="External"/><Relationship Id="rId1217" Type="http://schemas.openxmlformats.org/officeDocument/2006/relationships/hyperlink" Target="https://drive.google.com/open?id=YPGEPEeSyimXKIdQ1a8H" TargetMode="External"/><Relationship Id="rId1424" Type="http://schemas.openxmlformats.org/officeDocument/2006/relationships/hyperlink" Target="https://drive.google.com/open?id=gmXRlF7gdazup0nGyvZp" TargetMode="External"/><Relationship Id="rId226" Type="http://schemas.openxmlformats.org/officeDocument/2006/relationships/hyperlink" Target="https://drive.google.com/open?id=cWBD0hGfcesdBp28ntLN" TargetMode="External"/><Relationship Id="rId433" Type="http://schemas.openxmlformats.org/officeDocument/2006/relationships/hyperlink" Target="https://drive.google.com/open?id=u059SuYgNeSuHoeapCqN" TargetMode="External"/><Relationship Id="rId878" Type="http://schemas.openxmlformats.org/officeDocument/2006/relationships/hyperlink" Target="https://drive.google.com/open?id=4e26KaTPEveW6lfyPwvO" TargetMode="External"/><Relationship Id="rId1063" Type="http://schemas.openxmlformats.org/officeDocument/2006/relationships/hyperlink" Target="https://drive.google.com/open?id=UYOwBlo2mQmUluZfbKOQ" TargetMode="External"/><Relationship Id="rId1270" Type="http://schemas.openxmlformats.org/officeDocument/2006/relationships/hyperlink" Target="https://drive.google.com/open?id=yIydC47ovANeNy4Nz0xc" TargetMode="External"/><Relationship Id="rId640" Type="http://schemas.openxmlformats.org/officeDocument/2006/relationships/hyperlink" Target="https://drive.google.com/open?id=mKkKojF89uxsgErpUjQU" TargetMode="External"/><Relationship Id="rId738" Type="http://schemas.openxmlformats.org/officeDocument/2006/relationships/hyperlink" Target="https://drive.google.com/open?id=BUpvdIjqmVZqj270J7sG" TargetMode="External"/><Relationship Id="rId945" Type="http://schemas.openxmlformats.org/officeDocument/2006/relationships/hyperlink" Target="https://drive.google.com/open?id=L1VHan50HrjxvRjUMI2a" TargetMode="External"/><Relationship Id="rId1368" Type="http://schemas.openxmlformats.org/officeDocument/2006/relationships/hyperlink" Target="https://drive.google.com/open?id=efNurDq5D9YrJjSxkoJ6" TargetMode="External"/><Relationship Id="rId74" Type="http://schemas.openxmlformats.org/officeDocument/2006/relationships/hyperlink" Target="https://drive.google.com/open?id=X4jmaEHCMnzBGG4HXVZF" TargetMode="External"/><Relationship Id="rId377" Type="http://schemas.openxmlformats.org/officeDocument/2006/relationships/hyperlink" Target="https://drive.google.com/open?id=HBRFV4hTp2Ze55xJUy4f" TargetMode="External"/><Relationship Id="rId500" Type="http://schemas.openxmlformats.org/officeDocument/2006/relationships/hyperlink" Target="https://drive.google.com/open?id=ylF0azcvBXT0fnB93ci4" TargetMode="External"/><Relationship Id="rId584" Type="http://schemas.openxmlformats.org/officeDocument/2006/relationships/hyperlink" Target="https://drive.google.com/open?id=G9hAIks5DLmHAqzeRSko" TargetMode="External"/><Relationship Id="rId805" Type="http://schemas.openxmlformats.org/officeDocument/2006/relationships/hyperlink" Target="https://drive.google.com/open?id=z3XtZuT8OsxlZzFlxZ9m" TargetMode="External"/><Relationship Id="rId1130" Type="http://schemas.openxmlformats.org/officeDocument/2006/relationships/hyperlink" Target="https://drive.google.com/open?id=UvcJJU1mhftxsjy576Ou" TargetMode="External"/><Relationship Id="rId1228" Type="http://schemas.openxmlformats.org/officeDocument/2006/relationships/hyperlink" Target="https://drive.google.com/open?id=rLdRCtVPFviljNAwZUPi" TargetMode="External"/><Relationship Id="rId1435" Type="http://schemas.openxmlformats.org/officeDocument/2006/relationships/hyperlink" Target="https://drive.google.com/open?id=4J3cSFDzclCP2d7ZTUXJ" TargetMode="External"/><Relationship Id="rId5" Type="http://schemas.openxmlformats.org/officeDocument/2006/relationships/hyperlink" Target="https://drive.google.com/open?id=KF7aZzBwbU3aZiLdKwFP" TargetMode="External"/><Relationship Id="rId237" Type="http://schemas.openxmlformats.org/officeDocument/2006/relationships/hyperlink" Target="https://drive.google.com/open?id=PoB9tRcrc9AW8JyLt6GU" TargetMode="External"/><Relationship Id="rId791" Type="http://schemas.openxmlformats.org/officeDocument/2006/relationships/hyperlink" Target="https://drive.google.com/open?id=QMnezz8jiHlcgmcC3jKj" TargetMode="External"/><Relationship Id="rId889" Type="http://schemas.openxmlformats.org/officeDocument/2006/relationships/hyperlink" Target="https://drive.google.com/open?id=wz5Ymlm8BTjRFpbICeuN" TargetMode="External"/><Relationship Id="rId1074" Type="http://schemas.openxmlformats.org/officeDocument/2006/relationships/hyperlink" Target="https://drive.google.com/open?id=Z3JCQQaFS06NgehZWQ28" TargetMode="External"/><Relationship Id="rId444" Type="http://schemas.openxmlformats.org/officeDocument/2006/relationships/hyperlink" Target="https://drive.google.com/open?id=Qfnl3G61eA6xmoILhEtp" TargetMode="External"/><Relationship Id="rId651" Type="http://schemas.openxmlformats.org/officeDocument/2006/relationships/hyperlink" Target="https://drive.google.com/open?id=VnC0VHdxlHNrYcII5vpS" TargetMode="External"/><Relationship Id="rId749" Type="http://schemas.openxmlformats.org/officeDocument/2006/relationships/hyperlink" Target="https://drive.google.com/open?id=zu37xmbOfCvJJd5AeCES" TargetMode="External"/><Relationship Id="rId1281" Type="http://schemas.openxmlformats.org/officeDocument/2006/relationships/hyperlink" Target="https://drive.google.com/open?id=QNG7h9VfcfVi7BzRcHOP" TargetMode="External"/><Relationship Id="rId1379" Type="http://schemas.openxmlformats.org/officeDocument/2006/relationships/hyperlink" Target="https://drive.google.com/open?id=f7BHMYQE4BovbCJSzDXZ" TargetMode="External"/><Relationship Id="rId1502" Type="http://schemas.openxmlformats.org/officeDocument/2006/relationships/hyperlink" Target="https://drive.google.com/open?id=V9GqaikUcujDuuvngZCM" TargetMode="External"/><Relationship Id="rId290" Type="http://schemas.openxmlformats.org/officeDocument/2006/relationships/hyperlink" Target="https://drive.google.com/open?id=hrAArfvjoo9pqPbSXeJC" TargetMode="External"/><Relationship Id="rId304" Type="http://schemas.openxmlformats.org/officeDocument/2006/relationships/hyperlink" Target="https://drive.google.com/open?id=Yuz4ajXpzZPhH6smLQdh" TargetMode="External"/><Relationship Id="rId388" Type="http://schemas.openxmlformats.org/officeDocument/2006/relationships/hyperlink" Target="https://drive.google.com/open?id=ZtAolFS0IjfMyQZhHTkL" TargetMode="External"/><Relationship Id="rId511" Type="http://schemas.openxmlformats.org/officeDocument/2006/relationships/hyperlink" Target="https://drive.google.com/open?id=6Vj17f9RAj7Gil2EGOLj" TargetMode="External"/><Relationship Id="rId609" Type="http://schemas.openxmlformats.org/officeDocument/2006/relationships/hyperlink" Target="https://drive.google.com/open?id=GxO2OTkmpulTezArf211" TargetMode="External"/><Relationship Id="rId956" Type="http://schemas.openxmlformats.org/officeDocument/2006/relationships/hyperlink" Target="https://drive.google.com/open?id=VcWyRQqXiwVT3k1pqIj5" TargetMode="External"/><Relationship Id="rId1141" Type="http://schemas.openxmlformats.org/officeDocument/2006/relationships/hyperlink" Target="https://drive.google.com/open?id=BpwwNFFzEOOmpgngXO8v" TargetMode="External"/><Relationship Id="rId1239" Type="http://schemas.openxmlformats.org/officeDocument/2006/relationships/hyperlink" Target="https://drive.google.com/open?id=uN1mW9Q9yUShYkGfCT9Y" TargetMode="External"/><Relationship Id="rId85" Type="http://schemas.openxmlformats.org/officeDocument/2006/relationships/hyperlink" Target="https://drive.google.com/open?id=VNtBqNUs5xetV5Px48mZ" TargetMode="External"/><Relationship Id="rId150" Type="http://schemas.openxmlformats.org/officeDocument/2006/relationships/hyperlink" Target="https://drive.google.com/open?id=jQCZiwd5mRciLtAIo5ti" TargetMode="External"/><Relationship Id="rId595" Type="http://schemas.openxmlformats.org/officeDocument/2006/relationships/hyperlink" Target="https://drive.google.com/open?id=6EWYuE7E2mEyuuc3C3Lf" TargetMode="External"/><Relationship Id="rId816" Type="http://schemas.openxmlformats.org/officeDocument/2006/relationships/hyperlink" Target="https://drive.google.com/open?id=m9OPjv2Ppy78fhPZUm2r" TargetMode="External"/><Relationship Id="rId1001" Type="http://schemas.openxmlformats.org/officeDocument/2006/relationships/hyperlink" Target="https://drive.google.com/open?id=EOCpE8oC2v2pZ4KBwM2c" TargetMode="External"/><Relationship Id="rId1446" Type="http://schemas.openxmlformats.org/officeDocument/2006/relationships/hyperlink" Target="https://drive.google.com/open?id=1sA8lQ2Lv8pzLqUin7A4" TargetMode="External"/><Relationship Id="rId248" Type="http://schemas.openxmlformats.org/officeDocument/2006/relationships/hyperlink" Target="https://drive.google.com/open?id=Gk11jCVIRVsV74Vc1X9q" TargetMode="External"/><Relationship Id="rId455" Type="http://schemas.openxmlformats.org/officeDocument/2006/relationships/hyperlink" Target="https://drive.google.com/open?id=HbFGQcYx8005Dc7dUVY6" TargetMode="External"/><Relationship Id="rId662" Type="http://schemas.openxmlformats.org/officeDocument/2006/relationships/hyperlink" Target="https://drive.google.com/open?id=aYmSiYjAQrCwb5ObPDvd" TargetMode="External"/><Relationship Id="rId1085" Type="http://schemas.openxmlformats.org/officeDocument/2006/relationships/hyperlink" Target="https://drive.google.com/open?id=z81OIpoCySrov8NNUZnu" TargetMode="External"/><Relationship Id="rId1292" Type="http://schemas.openxmlformats.org/officeDocument/2006/relationships/hyperlink" Target="https://drive.google.com/open?id=8HbWUa4ZodIVer16OVpb" TargetMode="External"/><Relationship Id="rId1306" Type="http://schemas.openxmlformats.org/officeDocument/2006/relationships/hyperlink" Target="https://drive.google.com/open?id=GqoYiMSMG37P2zTQiGsK" TargetMode="External"/><Relationship Id="rId12" Type="http://schemas.openxmlformats.org/officeDocument/2006/relationships/hyperlink" Target="https://drive.google.com/open?id=HLdbREgeBvhr9piNQeBd" TargetMode="External"/><Relationship Id="rId108" Type="http://schemas.openxmlformats.org/officeDocument/2006/relationships/hyperlink" Target="https://drive.google.com/open?id=U6wUxO3Qe2G45i9cjz0x" TargetMode="External"/><Relationship Id="rId315" Type="http://schemas.openxmlformats.org/officeDocument/2006/relationships/hyperlink" Target="https://drive.google.com/open?id=6X1x5UAQMiZOAA7rat3j" TargetMode="External"/><Relationship Id="rId522" Type="http://schemas.openxmlformats.org/officeDocument/2006/relationships/hyperlink" Target="https://drive.google.com/open?id=ciJQaemQMhybA5fYEse2" TargetMode="External"/><Relationship Id="rId967" Type="http://schemas.openxmlformats.org/officeDocument/2006/relationships/hyperlink" Target="https://drive.google.com/open?id=0rxKbx9i71Jx5C4k9KAf" TargetMode="External"/><Relationship Id="rId1152" Type="http://schemas.openxmlformats.org/officeDocument/2006/relationships/hyperlink" Target="https://drive.google.com/open?id=kBlz3mXYMdlg0GtSE5WB" TargetMode="External"/><Relationship Id="rId96" Type="http://schemas.openxmlformats.org/officeDocument/2006/relationships/hyperlink" Target="https://drive.google.com/open?id=JbHBR1vaZZiEelvFFEBj" TargetMode="External"/><Relationship Id="rId161" Type="http://schemas.openxmlformats.org/officeDocument/2006/relationships/hyperlink" Target="https://drive.google.com/open?id=99dXksyROZ7xnlrr6pgw" TargetMode="External"/><Relationship Id="rId399" Type="http://schemas.openxmlformats.org/officeDocument/2006/relationships/hyperlink" Target="https://drive.google.com/open?id=5iP0zuXvSLUdgrXB6HuC" TargetMode="External"/><Relationship Id="rId827" Type="http://schemas.openxmlformats.org/officeDocument/2006/relationships/hyperlink" Target="https://drive.google.com/open?id=a10qPp0guZrljqiri3x2" TargetMode="External"/><Relationship Id="rId1012" Type="http://schemas.openxmlformats.org/officeDocument/2006/relationships/hyperlink" Target="https://drive.google.com/open?id=OA8hMKUx6b1TkRQXMKH2" TargetMode="External"/><Relationship Id="rId1457" Type="http://schemas.openxmlformats.org/officeDocument/2006/relationships/hyperlink" Target="https://drive.google.com/open?id=KWkgQwM7wJ7NRddW1muL" TargetMode="External"/><Relationship Id="rId259" Type="http://schemas.openxmlformats.org/officeDocument/2006/relationships/hyperlink" Target="https://drive.google.com/open?id=A85P5OqR13e3XFowS1gf" TargetMode="External"/><Relationship Id="rId466" Type="http://schemas.openxmlformats.org/officeDocument/2006/relationships/hyperlink" Target="https://drive.google.com/open?id=geTscWIWK4F2zewSpaT3" TargetMode="External"/><Relationship Id="rId673" Type="http://schemas.openxmlformats.org/officeDocument/2006/relationships/hyperlink" Target="https://drive.google.com/open?id=C1qoibgfPrCCPowZLbgc" TargetMode="External"/><Relationship Id="rId880" Type="http://schemas.openxmlformats.org/officeDocument/2006/relationships/hyperlink" Target="https://drive.google.com/open?id=e9dQeHI7fRbv1cuzrCMf" TargetMode="External"/><Relationship Id="rId1096" Type="http://schemas.openxmlformats.org/officeDocument/2006/relationships/hyperlink" Target="https://drive.google.com/open?id=NHO2X4d0g707t15gvxFb" TargetMode="External"/><Relationship Id="rId1317" Type="http://schemas.openxmlformats.org/officeDocument/2006/relationships/hyperlink" Target="https://drive.google.com/open?id=OLDQXAtFkQvEFv6JaJyx" TargetMode="External"/><Relationship Id="rId23" Type="http://schemas.openxmlformats.org/officeDocument/2006/relationships/hyperlink" Target="https://drive.google.com/open?id=XkuI19pq8w9Qv7SJoqMy" TargetMode="External"/><Relationship Id="rId119" Type="http://schemas.openxmlformats.org/officeDocument/2006/relationships/hyperlink" Target="https://drive.google.com/open?id=Pyn34WjVnk9fMOlVLEqm" TargetMode="External"/><Relationship Id="rId326" Type="http://schemas.openxmlformats.org/officeDocument/2006/relationships/hyperlink" Target="https://drive.google.com/open?id=kV8dh0Fwxmke9a9QJ8nH" TargetMode="External"/><Relationship Id="rId533" Type="http://schemas.openxmlformats.org/officeDocument/2006/relationships/hyperlink" Target="https://drive.google.com/open?id=YYKOiuZOqXA2fjuLIt9m" TargetMode="External"/><Relationship Id="rId978" Type="http://schemas.openxmlformats.org/officeDocument/2006/relationships/hyperlink" Target="https://drive.google.com/open?id=iQeVcNZ4GPuLUACl59et" TargetMode="External"/><Relationship Id="rId1163" Type="http://schemas.openxmlformats.org/officeDocument/2006/relationships/hyperlink" Target="https://drive.google.com/open?id=UF7PzcKCPdnPKx4kRM91" TargetMode="External"/><Relationship Id="rId1370" Type="http://schemas.openxmlformats.org/officeDocument/2006/relationships/hyperlink" Target="https://drive.google.com/open?id=5ogGz54Tqwky3c57fwk4" TargetMode="External"/><Relationship Id="rId740" Type="http://schemas.openxmlformats.org/officeDocument/2006/relationships/hyperlink" Target="https://drive.google.com/open?id=hb5Rdq0Q49tLceYH4o6k" TargetMode="External"/><Relationship Id="rId838" Type="http://schemas.openxmlformats.org/officeDocument/2006/relationships/hyperlink" Target="https://drive.google.com/open?id=OJfZvV7bViAdM2N925kg" TargetMode="External"/><Relationship Id="rId1023" Type="http://schemas.openxmlformats.org/officeDocument/2006/relationships/hyperlink" Target="https://drive.google.com/open?id=zDk5f7Neo1KncGGBtgxy" TargetMode="External"/><Relationship Id="rId1468" Type="http://schemas.openxmlformats.org/officeDocument/2006/relationships/hyperlink" Target="https://drive.google.com/open?id=DPjrkQk3Gc6LzwLDrckd" TargetMode="External"/><Relationship Id="rId172" Type="http://schemas.openxmlformats.org/officeDocument/2006/relationships/hyperlink" Target="https://drive.google.com/open?id=os13KTXhbEMe4GKmrMWv" TargetMode="External"/><Relationship Id="rId477" Type="http://schemas.openxmlformats.org/officeDocument/2006/relationships/hyperlink" Target="https://drive.google.com/open?id=4fsFjwEsSBpKXesWYo5t" TargetMode="External"/><Relationship Id="rId600" Type="http://schemas.openxmlformats.org/officeDocument/2006/relationships/hyperlink" Target="https://drive.google.com/open?id=VB4cVabu4tP91sVMIXyA" TargetMode="External"/><Relationship Id="rId684" Type="http://schemas.openxmlformats.org/officeDocument/2006/relationships/hyperlink" Target="https://drive.google.com/open?id=CClMsHtgyUSc4EnZtJP3" TargetMode="External"/><Relationship Id="rId1230" Type="http://schemas.openxmlformats.org/officeDocument/2006/relationships/hyperlink" Target="https://drive.google.com/open?id=xr7K1EFChRDnC2B6ceLq" TargetMode="External"/><Relationship Id="rId1328" Type="http://schemas.openxmlformats.org/officeDocument/2006/relationships/hyperlink" Target="https://drive.google.com/open?id=RmDp4bvKj1ndaB5wUn7Y" TargetMode="External"/><Relationship Id="rId337" Type="http://schemas.openxmlformats.org/officeDocument/2006/relationships/hyperlink" Target="https://drive.google.com/open?id=Ku9nexHTjtL5dXL5uYTh" TargetMode="External"/><Relationship Id="rId891" Type="http://schemas.openxmlformats.org/officeDocument/2006/relationships/hyperlink" Target="https://drive.google.com/open?id=bmJYQhLVCBAyXw41owrw" TargetMode="External"/><Relationship Id="rId905" Type="http://schemas.openxmlformats.org/officeDocument/2006/relationships/hyperlink" Target="https://drive.google.com/open?id=Nsqh2gbF7NsUrgScM9Dy" TargetMode="External"/><Relationship Id="rId989" Type="http://schemas.openxmlformats.org/officeDocument/2006/relationships/hyperlink" Target="https://drive.google.com/open?id=b8Gh4AD5CyTyRZealnuD" TargetMode="External"/><Relationship Id="rId34" Type="http://schemas.openxmlformats.org/officeDocument/2006/relationships/hyperlink" Target="https://drive.google.com/open?id=k8vZlptbAC6SZ8HDGe31" TargetMode="External"/><Relationship Id="rId544" Type="http://schemas.openxmlformats.org/officeDocument/2006/relationships/hyperlink" Target="https://drive.google.com/open?id=ym4WucicdsumjfKyv5hd" TargetMode="External"/><Relationship Id="rId751" Type="http://schemas.openxmlformats.org/officeDocument/2006/relationships/hyperlink" Target="https://drive.google.com/open?id=FM0TiBUOGpbg5MrONf4K" TargetMode="External"/><Relationship Id="rId849" Type="http://schemas.openxmlformats.org/officeDocument/2006/relationships/hyperlink" Target="https://drive.google.com/open?id=ynNOOnkbcc1A651gAymY" TargetMode="External"/><Relationship Id="rId1174" Type="http://schemas.openxmlformats.org/officeDocument/2006/relationships/hyperlink" Target="https://drive.google.com/open?id=uw3zOz7ol1vgKAlA9TjY" TargetMode="External"/><Relationship Id="rId1381" Type="http://schemas.openxmlformats.org/officeDocument/2006/relationships/hyperlink" Target="https://drive.google.com/open?id=hZxRRAOzh9cJXHDwzw5U" TargetMode="External"/><Relationship Id="rId1479" Type="http://schemas.openxmlformats.org/officeDocument/2006/relationships/hyperlink" Target="https://drive.google.com/open?id=8ldAMhkL6nPrY5fpcr0N" TargetMode="External"/><Relationship Id="rId183" Type="http://schemas.openxmlformats.org/officeDocument/2006/relationships/hyperlink" Target="https://drive.google.com/open?id=wORbYUnjtgytVuvbAF1d" TargetMode="External"/><Relationship Id="rId390" Type="http://schemas.openxmlformats.org/officeDocument/2006/relationships/hyperlink" Target="https://drive.google.com/open?id=T7Zye5cIoNcPvGpE1Mjb" TargetMode="External"/><Relationship Id="rId404" Type="http://schemas.openxmlformats.org/officeDocument/2006/relationships/hyperlink" Target="https://drive.google.com/open?id=Zsf9x5ST2W7OZocJwezy" TargetMode="External"/><Relationship Id="rId611" Type="http://schemas.openxmlformats.org/officeDocument/2006/relationships/hyperlink" Target="https://drive.google.com/open?id=rxLmFpmYXoPZ9XohIW4q" TargetMode="External"/><Relationship Id="rId1034" Type="http://schemas.openxmlformats.org/officeDocument/2006/relationships/hyperlink" Target="https://drive.google.com/open?id=8wJSCkuOPL6Av4sRaVS3" TargetMode="External"/><Relationship Id="rId1241" Type="http://schemas.openxmlformats.org/officeDocument/2006/relationships/hyperlink" Target="https://drive.google.com/open?id=ahzoZISM9xPVhJYclyBH" TargetMode="External"/><Relationship Id="rId1339" Type="http://schemas.openxmlformats.org/officeDocument/2006/relationships/hyperlink" Target="https://drive.google.com/open?id=KPIyDhS0TNuH9ysFEtfS" TargetMode="External"/><Relationship Id="rId250" Type="http://schemas.openxmlformats.org/officeDocument/2006/relationships/hyperlink" Target="https://drive.google.com/open?id=K6WfNU9Qf3zQBavWfiUc" TargetMode="External"/><Relationship Id="rId488" Type="http://schemas.openxmlformats.org/officeDocument/2006/relationships/hyperlink" Target="https://drive.google.com/open?id=ODjqjTM82x97rFlsweZi" TargetMode="External"/><Relationship Id="rId695" Type="http://schemas.openxmlformats.org/officeDocument/2006/relationships/hyperlink" Target="https://drive.google.com/open?id=0kxTbEQEilU0fNv95fH7" TargetMode="External"/><Relationship Id="rId709" Type="http://schemas.openxmlformats.org/officeDocument/2006/relationships/hyperlink" Target="https://drive.google.com/open?id=3Ge9x9muCxtP1p5sMlHg" TargetMode="External"/><Relationship Id="rId916" Type="http://schemas.openxmlformats.org/officeDocument/2006/relationships/hyperlink" Target="https://drive.google.com/open?id=B5SZ841lWwJdTEeXHkqr" TargetMode="External"/><Relationship Id="rId1101" Type="http://schemas.openxmlformats.org/officeDocument/2006/relationships/hyperlink" Target="https://drive.google.com/open?id=0kjTp7tGLz331ohEaRom" TargetMode="External"/><Relationship Id="rId45" Type="http://schemas.openxmlformats.org/officeDocument/2006/relationships/hyperlink" Target="https://drive.google.com/open?id=5PAqzgCUdIjm7ORDSZx0" TargetMode="External"/><Relationship Id="rId110" Type="http://schemas.openxmlformats.org/officeDocument/2006/relationships/hyperlink" Target="https://drive.google.com/open?id=qtoe9F2cqZqLXHE6IAzl" TargetMode="External"/><Relationship Id="rId348" Type="http://schemas.openxmlformats.org/officeDocument/2006/relationships/hyperlink" Target="https://drive.google.com/open?id=U8xu3jcovwzWtbBrMuAC" TargetMode="External"/><Relationship Id="rId555" Type="http://schemas.openxmlformats.org/officeDocument/2006/relationships/hyperlink" Target="https://drive.google.com/open?id=MVJVMPTr9qTZi5CyUsSe" TargetMode="External"/><Relationship Id="rId762" Type="http://schemas.openxmlformats.org/officeDocument/2006/relationships/hyperlink" Target="https://drive.google.com/open?id=5I3RtXJJhEIFzLZLAdJ3" TargetMode="External"/><Relationship Id="rId1185" Type="http://schemas.openxmlformats.org/officeDocument/2006/relationships/hyperlink" Target="https://drive.google.com/open?id=5GmFGvxLyHNMRwpF6fwY" TargetMode="External"/><Relationship Id="rId1392" Type="http://schemas.openxmlformats.org/officeDocument/2006/relationships/hyperlink" Target="https://drive.google.com/open?id=g7xX1KXJERnvhhALw18Q" TargetMode="External"/><Relationship Id="rId1406" Type="http://schemas.openxmlformats.org/officeDocument/2006/relationships/hyperlink" Target="https://drive.google.com/open?id=VvYlmiXBIlIXNh7ac6qk" TargetMode="External"/><Relationship Id="rId194" Type="http://schemas.openxmlformats.org/officeDocument/2006/relationships/hyperlink" Target="https://drive.google.com/open?id=GVgkwGocr9zNP8SgPdyU" TargetMode="External"/><Relationship Id="rId208" Type="http://schemas.openxmlformats.org/officeDocument/2006/relationships/hyperlink" Target="https://drive.google.com/open?id=z0GMmycdMGg5gjppsk4U" TargetMode="External"/><Relationship Id="rId415" Type="http://schemas.openxmlformats.org/officeDocument/2006/relationships/hyperlink" Target="https://drive.google.com/open?id=dAxoEr9HXQIxpZGmHepN" TargetMode="External"/><Relationship Id="rId622" Type="http://schemas.openxmlformats.org/officeDocument/2006/relationships/hyperlink" Target="https://drive.google.com/open?id=r1kcy9BZQOvfoAxuNVuk" TargetMode="External"/><Relationship Id="rId1045" Type="http://schemas.openxmlformats.org/officeDocument/2006/relationships/hyperlink" Target="https://drive.google.com/open?id=uTcmU3uK4F1zZhnxCH4o" TargetMode="External"/><Relationship Id="rId1252" Type="http://schemas.openxmlformats.org/officeDocument/2006/relationships/hyperlink" Target="https://drive.google.com/open?id=h9TX13KNPYIr4BtRW4EE" TargetMode="External"/><Relationship Id="rId261" Type="http://schemas.openxmlformats.org/officeDocument/2006/relationships/hyperlink" Target="https://drive.google.com/open?id=B3ADqVsZQIq9nEg55VCC" TargetMode="External"/><Relationship Id="rId499" Type="http://schemas.openxmlformats.org/officeDocument/2006/relationships/hyperlink" Target="https://drive.google.com/open?id=Ss39mPRPkHpqfO7WLxSZ" TargetMode="External"/><Relationship Id="rId927" Type="http://schemas.openxmlformats.org/officeDocument/2006/relationships/hyperlink" Target="https://drive.google.com/open?id=ApEEbDDkvNldxy7FrMyL" TargetMode="External"/><Relationship Id="rId1112" Type="http://schemas.openxmlformats.org/officeDocument/2006/relationships/hyperlink" Target="https://drive.google.com/open?id=xpQqRZyQrXOsPrMPSKob" TargetMode="External"/><Relationship Id="rId56" Type="http://schemas.openxmlformats.org/officeDocument/2006/relationships/hyperlink" Target="https://drive.google.com/open?id=N2QCZdMjTUW7S9hsXzj9" TargetMode="External"/><Relationship Id="rId359" Type="http://schemas.openxmlformats.org/officeDocument/2006/relationships/hyperlink" Target="https://drive.google.com/open?id=ThvRoyQOHpTIJueq0Ci4" TargetMode="External"/><Relationship Id="rId566" Type="http://schemas.openxmlformats.org/officeDocument/2006/relationships/hyperlink" Target="https://drive.google.com/open?id=ErJW6E0KKmHqEI6xUQGK" TargetMode="External"/><Relationship Id="rId773" Type="http://schemas.openxmlformats.org/officeDocument/2006/relationships/hyperlink" Target="https://drive.google.com/open?id=TiQK8BEL3ZEvOzMOxI4H" TargetMode="External"/><Relationship Id="rId1196" Type="http://schemas.openxmlformats.org/officeDocument/2006/relationships/hyperlink" Target="https://drive.google.com/open?id=M375pEXxGLCR9XkZxS9A" TargetMode="External"/><Relationship Id="rId1417" Type="http://schemas.openxmlformats.org/officeDocument/2006/relationships/hyperlink" Target="https://drive.google.com/open?id=2JvThY936BrcyM92AvKA" TargetMode="External"/><Relationship Id="rId121" Type="http://schemas.openxmlformats.org/officeDocument/2006/relationships/hyperlink" Target="https://drive.google.com/open?id=Do1CNkzmOCLpzRHSnvXz" TargetMode="External"/><Relationship Id="rId219" Type="http://schemas.openxmlformats.org/officeDocument/2006/relationships/hyperlink" Target="https://drive.google.com/open?id=lQZNnwkXtoKd4Jw3EICa" TargetMode="External"/><Relationship Id="rId426" Type="http://schemas.openxmlformats.org/officeDocument/2006/relationships/hyperlink" Target="https://drive.google.com/open?id=tXX9doWcBBf9mkfl0Omn" TargetMode="External"/><Relationship Id="rId633" Type="http://schemas.openxmlformats.org/officeDocument/2006/relationships/hyperlink" Target="https://drive.google.com/open?id=9FPvHmYGAJs7Un2zVkr4" TargetMode="External"/><Relationship Id="rId980" Type="http://schemas.openxmlformats.org/officeDocument/2006/relationships/hyperlink" Target="https://drive.google.com/open?id=n7wuDnSwfK0rkKz0RtHE" TargetMode="External"/><Relationship Id="rId1056" Type="http://schemas.openxmlformats.org/officeDocument/2006/relationships/hyperlink" Target="https://drive.google.com/open?id=oez8En3DEvpEmR7ru0aH" TargetMode="External"/><Relationship Id="rId1263" Type="http://schemas.openxmlformats.org/officeDocument/2006/relationships/hyperlink" Target="https://drive.google.com/open?id=Ne5mArUKUMN2yY7XtfU5" TargetMode="External"/><Relationship Id="rId840" Type="http://schemas.openxmlformats.org/officeDocument/2006/relationships/hyperlink" Target="https://drive.google.com/open?id=a3IJ4zUxdv38tou3K0Gu" TargetMode="External"/><Relationship Id="rId938" Type="http://schemas.openxmlformats.org/officeDocument/2006/relationships/hyperlink" Target="https://drive.google.com/open?id=g2TBVliLs12GdGGsdtu3" TargetMode="External"/><Relationship Id="rId1470" Type="http://schemas.openxmlformats.org/officeDocument/2006/relationships/hyperlink" Target="https://drive.google.com/open?id=QpzwzQfLDptmbWyF0Yhp" TargetMode="External"/><Relationship Id="rId67" Type="http://schemas.openxmlformats.org/officeDocument/2006/relationships/hyperlink" Target="https://drive.google.com/open?id=SqKsGQsyliNT8Mr84v5U" TargetMode="External"/><Relationship Id="rId272" Type="http://schemas.openxmlformats.org/officeDocument/2006/relationships/hyperlink" Target="https://drive.google.com/open?id=BLL0diCJ8cvyZhT61up4" TargetMode="External"/><Relationship Id="rId577" Type="http://schemas.openxmlformats.org/officeDocument/2006/relationships/hyperlink" Target="https://drive.google.com/open?id=w9sfWoDUBnzSNP7JdWud" TargetMode="External"/><Relationship Id="rId700" Type="http://schemas.openxmlformats.org/officeDocument/2006/relationships/hyperlink" Target="https://drive.google.com/open?id=WZ2AosQm2xxGsZhbgq7E" TargetMode="External"/><Relationship Id="rId1123" Type="http://schemas.openxmlformats.org/officeDocument/2006/relationships/hyperlink" Target="https://drive.google.com/open?id=vpJMa7HvWmMeO5f5kcTF" TargetMode="External"/><Relationship Id="rId1330" Type="http://schemas.openxmlformats.org/officeDocument/2006/relationships/hyperlink" Target="https://drive.google.com/open?id=bT4rqgXZ29N7pWEBH38b" TargetMode="External"/><Relationship Id="rId1428" Type="http://schemas.openxmlformats.org/officeDocument/2006/relationships/hyperlink" Target="https://drive.google.com/open?id=JJgonsFICe4nLn0YWi7B" TargetMode="External"/><Relationship Id="rId132" Type="http://schemas.openxmlformats.org/officeDocument/2006/relationships/hyperlink" Target="https://drive.google.com/open?id=u6YTlh4Ol2d7WKkdVClp" TargetMode="External"/><Relationship Id="rId784" Type="http://schemas.openxmlformats.org/officeDocument/2006/relationships/hyperlink" Target="https://drive.google.com/open?id=iQL8scsjX8V4q4G1n74h" TargetMode="External"/><Relationship Id="rId991" Type="http://schemas.openxmlformats.org/officeDocument/2006/relationships/hyperlink" Target="https://drive.google.com/open?id=WiuuecSlLwKArGi8lGpt" TargetMode="External"/><Relationship Id="rId1067" Type="http://schemas.openxmlformats.org/officeDocument/2006/relationships/hyperlink" Target="https://drive.google.com/open?id=14mXmeulcVMpRj7LQ58A" TargetMode="External"/><Relationship Id="rId437" Type="http://schemas.openxmlformats.org/officeDocument/2006/relationships/hyperlink" Target="https://drive.google.com/open?id=jZdiW70OrdePDxF8kIN4" TargetMode="External"/><Relationship Id="rId644" Type="http://schemas.openxmlformats.org/officeDocument/2006/relationships/hyperlink" Target="https://drive.google.com/open?id=4sWjtHX7iMn1ujuBcL94" TargetMode="External"/><Relationship Id="rId851" Type="http://schemas.openxmlformats.org/officeDocument/2006/relationships/hyperlink" Target="https://drive.google.com/open?id=eYGJsYYgxorrhgOxkTkO" TargetMode="External"/><Relationship Id="rId1274" Type="http://schemas.openxmlformats.org/officeDocument/2006/relationships/hyperlink" Target="https://drive.google.com/open?id=bpvXY7BuoQxtpenLQxTg" TargetMode="External"/><Relationship Id="rId1481" Type="http://schemas.openxmlformats.org/officeDocument/2006/relationships/hyperlink" Target="https://drive.google.com/open?id=lq3t1xeoL2DpAi8sx8Er" TargetMode="External"/><Relationship Id="rId283" Type="http://schemas.openxmlformats.org/officeDocument/2006/relationships/hyperlink" Target="https://drive.google.com/open?id=SkG3LK7W2Io6k3f8Y8SY" TargetMode="External"/><Relationship Id="rId490" Type="http://schemas.openxmlformats.org/officeDocument/2006/relationships/hyperlink" Target="https://drive.google.com/open?id=2kX6hm3MkT9geRx4OIeF" TargetMode="External"/><Relationship Id="rId504" Type="http://schemas.openxmlformats.org/officeDocument/2006/relationships/hyperlink" Target="https://drive.google.com/open?id=EKXwPJD1Uxx45wfbeHd3" TargetMode="External"/><Relationship Id="rId711" Type="http://schemas.openxmlformats.org/officeDocument/2006/relationships/hyperlink" Target="https://drive.google.com/open?id=shojjk0Hj1RYFufKPMcN" TargetMode="External"/><Relationship Id="rId949" Type="http://schemas.openxmlformats.org/officeDocument/2006/relationships/hyperlink" Target="https://drive.google.com/open?id=ImYkUM8lYYk62gX4Zd2B" TargetMode="External"/><Relationship Id="rId1134" Type="http://schemas.openxmlformats.org/officeDocument/2006/relationships/hyperlink" Target="https://drive.google.com/open?id=4nnVGDOeX2OMwjsRIcSA" TargetMode="External"/><Relationship Id="rId1341" Type="http://schemas.openxmlformats.org/officeDocument/2006/relationships/hyperlink" Target="https://drive.google.com/open?id=OnNHPHcUue2VHdhzNFt2" TargetMode="External"/><Relationship Id="rId78" Type="http://schemas.openxmlformats.org/officeDocument/2006/relationships/hyperlink" Target="https://drive.google.com/open?id=8TXP4DEOmJWwIw9uI7OR" TargetMode="External"/><Relationship Id="rId143" Type="http://schemas.openxmlformats.org/officeDocument/2006/relationships/hyperlink" Target="https://drive.google.com/open?id=5w6kjFC0nxLmt1Tk5C2w" TargetMode="External"/><Relationship Id="rId350" Type="http://schemas.openxmlformats.org/officeDocument/2006/relationships/hyperlink" Target="https://drive.google.com/open?id=a4lJgr9ou1JmmcwKA7GB" TargetMode="External"/><Relationship Id="rId588" Type="http://schemas.openxmlformats.org/officeDocument/2006/relationships/hyperlink" Target="https://drive.google.com/open?id=u53XF1e4d1C6TPvfppK7" TargetMode="External"/><Relationship Id="rId795" Type="http://schemas.openxmlformats.org/officeDocument/2006/relationships/hyperlink" Target="https://drive.google.com/open?id=6IQK67mc04GN7wTyYx59" TargetMode="External"/><Relationship Id="rId809" Type="http://schemas.openxmlformats.org/officeDocument/2006/relationships/hyperlink" Target="https://drive.google.com/open?id=C9B8oo0dsKuJ4rNnuAM9" TargetMode="External"/><Relationship Id="rId1201" Type="http://schemas.openxmlformats.org/officeDocument/2006/relationships/hyperlink" Target="https://drive.google.com/open?id=XZPkl2s0PEtCPxrcffCe" TargetMode="External"/><Relationship Id="rId1439" Type="http://schemas.openxmlformats.org/officeDocument/2006/relationships/hyperlink" Target="https://drive.google.com/open?id=RbLbx3Zd1gEpN9g335kU" TargetMode="External"/><Relationship Id="rId9" Type="http://schemas.openxmlformats.org/officeDocument/2006/relationships/hyperlink" Target="https://drive.google.com/open?id=6gtsRPXPciLQ9SskywmI" TargetMode="External"/><Relationship Id="rId210" Type="http://schemas.openxmlformats.org/officeDocument/2006/relationships/hyperlink" Target="https://drive.google.com/open?id=nAc6SiQDfvbMvRkVSQA4" TargetMode="External"/><Relationship Id="rId448" Type="http://schemas.openxmlformats.org/officeDocument/2006/relationships/hyperlink" Target="https://drive.google.com/open?id=Tt8F1FkIzxGSTcP7fqVE" TargetMode="External"/><Relationship Id="rId655" Type="http://schemas.openxmlformats.org/officeDocument/2006/relationships/hyperlink" Target="https://drive.google.com/open?id=dEysnYtIKKhDomqJLAie" TargetMode="External"/><Relationship Id="rId862" Type="http://schemas.openxmlformats.org/officeDocument/2006/relationships/hyperlink" Target="https://drive.google.com/open?id=2wooCXPiK52knVh5ADwE" TargetMode="External"/><Relationship Id="rId1078" Type="http://schemas.openxmlformats.org/officeDocument/2006/relationships/hyperlink" Target="https://drive.google.com/open?id=7GZBtiWJBjJ9WVlRplXD" TargetMode="External"/><Relationship Id="rId1285" Type="http://schemas.openxmlformats.org/officeDocument/2006/relationships/hyperlink" Target="https://drive.google.com/open?id=mwGou36a4m1fMoY0yUaE" TargetMode="External"/><Relationship Id="rId1492" Type="http://schemas.openxmlformats.org/officeDocument/2006/relationships/hyperlink" Target="https://drive.google.com/open?id=7f9gsjF99fbDFvU8xiuy" TargetMode="External"/><Relationship Id="rId1506" Type="http://schemas.openxmlformats.org/officeDocument/2006/relationships/hyperlink" Target="https://drive.google.com/open?id=1g_SMZ1AQraT-vnPrZYLekoC_UCWnHFhh" TargetMode="External"/><Relationship Id="rId294" Type="http://schemas.openxmlformats.org/officeDocument/2006/relationships/hyperlink" Target="https://drive.google.com/open?id=q8RZVQJmWcH2BBTPQi91" TargetMode="External"/><Relationship Id="rId308" Type="http://schemas.openxmlformats.org/officeDocument/2006/relationships/hyperlink" Target="https://drive.google.com/open?id=SoKz97WEtVWVPwbBHZiz" TargetMode="External"/><Relationship Id="rId515" Type="http://schemas.openxmlformats.org/officeDocument/2006/relationships/hyperlink" Target="https://drive.google.com/open?id=hNbsUcGLFpyRHeihQiQG" TargetMode="External"/><Relationship Id="rId722" Type="http://schemas.openxmlformats.org/officeDocument/2006/relationships/hyperlink" Target="https://drive.google.com/open?id=0zwZWKfD9aPUhIeaNmoC" TargetMode="External"/><Relationship Id="rId1145" Type="http://schemas.openxmlformats.org/officeDocument/2006/relationships/hyperlink" Target="https://drive.google.com/open?id=QEZMqAy4SJPt3xgZCe1g" TargetMode="External"/><Relationship Id="rId1352" Type="http://schemas.openxmlformats.org/officeDocument/2006/relationships/hyperlink" Target="https://drive.google.com/open?id=E7cA3H9qXNJvfyjNZHDf" TargetMode="External"/><Relationship Id="rId89" Type="http://schemas.openxmlformats.org/officeDocument/2006/relationships/hyperlink" Target="https://drive.google.com/open?id=tjcP53fzKntOsnQ39NnJ" TargetMode="External"/><Relationship Id="rId154" Type="http://schemas.openxmlformats.org/officeDocument/2006/relationships/hyperlink" Target="https://drive.google.com/open?id=ddrRfJrlVJs2qQYrk2Od" TargetMode="External"/><Relationship Id="rId361" Type="http://schemas.openxmlformats.org/officeDocument/2006/relationships/hyperlink" Target="https://drive.google.com/open?id=3IZSDLrh6KJ1RaPuF26t" TargetMode="External"/><Relationship Id="rId599" Type="http://schemas.openxmlformats.org/officeDocument/2006/relationships/hyperlink" Target="https://drive.google.com/open?id=7w9VoXwZtELgWYgDaeVX" TargetMode="External"/><Relationship Id="rId1005" Type="http://schemas.openxmlformats.org/officeDocument/2006/relationships/hyperlink" Target="https://drive.google.com/open?id=E4BJXsflxXDVK1ZcoHhq" TargetMode="External"/><Relationship Id="rId1212" Type="http://schemas.openxmlformats.org/officeDocument/2006/relationships/hyperlink" Target="https://drive.google.com/open?id=4v4UxAaByObYVgXWuzkY" TargetMode="External"/><Relationship Id="rId459" Type="http://schemas.openxmlformats.org/officeDocument/2006/relationships/hyperlink" Target="https://drive.google.com/open?id=NOIHHWMpnN2CS1BKShB2" TargetMode="External"/><Relationship Id="rId666" Type="http://schemas.openxmlformats.org/officeDocument/2006/relationships/hyperlink" Target="https://drive.google.com/open?id=5f68rRtXS2eV2VuhVJI4" TargetMode="External"/><Relationship Id="rId873" Type="http://schemas.openxmlformats.org/officeDocument/2006/relationships/hyperlink" Target="https://drive.google.com/open?id=SxRkG0KXxlgzY5axV6OJ" TargetMode="External"/><Relationship Id="rId1089" Type="http://schemas.openxmlformats.org/officeDocument/2006/relationships/hyperlink" Target="https://drive.google.com/open?id=buq3HdtdcvsFTprTUbfc" TargetMode="External"/><Relationship Id="rId1296" Type="http://schemas.openxmlformats.org/officeDocument/2006/relationships/hyperlink" Target="https://drive.google.com/open?id=KtjUoUsg95rAEes62bmZ" TargetMode="External"/><Relationship Id="rId16" Type="http://schemas.openxmlformats.org/officeDocument/2006/relationships/hyperlink" Target="https://drive.google.com/open?id=4iRNivBSBvpWBvK5YyjS" TargetMode="External"/><Relationship Id="rId221" Type="http://schemas.openxmlformats.org/officeDocument/2006/relationships/hyperlink" Target="https://drive.google.com/open?id=FeHVnsNWjzXnSPDYVA1N" TargetMode="External"/><Relationship Id="rId319" Type="http://schemas.openxmlformats.org/officeDocument/2006/relationships/hyperlink" Target="https://drive.google.com/open?id=IiuaYt1i7qTNxLqnRQG9" TargetMode="External"/><Relationship Id="rId526" Type="http://schemas.openxmlformats.org/officeDocument/2006/relationships/hyperlink" Target="https://drive.google.com/open?id=76HjbVx139qDkRwHHorE" TargetMode="External"/><Relationship Id="rId1156" Type="http://schemas.openxmlformats.org/officeDocument/2006/relationships/hyperlink" Target="https://drive.google.com/open?id=PIXJm5dsySPJFDlaY3or" TargetMode="External"/><Relationship Id="rId1363" Type="http://schemas.openxmlformats.org/officeDocument/2006/relationships/hyperlink" Target="https://drive.google.com/open?id=5gSuR14HC4B5FojDP8Lh" TargetMode="External"/><Relationship Id="rId733" Type="http://schemas.openxmlformats.org/officeDocument/2006/relationships/hyperlink" Target="https://drive.google.com/open?id=Uy7UzAFQfJBAeoqpL1Hn" TargetMode="External"/><Relationship Id="rId940" Type="http://schemas.openxmlformats.org/officeDocument/2006/relationships/hyperlink" Target="https://drive.google.com/open?id=klVCqGgT9Lipx1w7m2Xz" TargetMode="External"/><Relationship Id="rId1016" Type="http://schemas.openxmlformats.org/officeDocument/2006/relationships/hyperlink" Target="https://drive.google.com/open?id=9nZOFzX0ciaxMEMSrDis" TargetMode="External"/><Relationship Id="rId165" Type="http://schemas.openxmlformats.org/officeDocument/2006/relationships/hyperlink" Target="https://drive.google.com/open?id=Cc4yWY9l0zRj3GZgrHdm" TargetMode="External"/><Relationship Id="rId372" Type="http://schemas.openxmlformats.org/officeDocument/2006/relationships/hyperlink" Target="https://drive.google.com/open?id=NbBnuVhNsbb5K6f1e1na" TargetMode="External"/><Relationship Id="rId677" Type="http://schemas.openxmlformats.org/officeDocument/2006/relationships/hyperlink" Target="https://drive.google.com/open?id=tQC6g0tkc2wMxYV0aeNf" TargetMode="External"/><Relationship Id="rId800" Type="http://schemas.openxmlformats.org/officeDocument/2006/relationships/hyperlink" Target="https://drive.google.com/open?id=ib02lSdG6V4bljFBmNnZ" TargetMode="External"/><Relationship Id="rId1223" Type="http://schemas.openxmlformats.org/officeDocument/2006/relationships/hyperlink" Target="https://drive.google.com/open?id=KBS08BeK9PWetdVMd5mm" TargetMode="External"/><Relationship Id="rId1430" Type="http://schemas.openxmlformats.org/officeDocument/2006/relationships/hyperlink" Target="https://drive.google.com/open?id=FQpMtmvJ7gDWLB2EvsJV" TargetMode="External"/><Relationship Id="rId232" Type="http://schemas.openxmlformats.org/officeDocument/2006/relationships/hyperlink" Target="https://drive.google.com/open?id=ILjewjJgpj65OpWeX8Hr" TargetMode="External"/><Relationship Id="rId884" Type="http://schemas.openxmlformats.org/officeDocument/2006/relationships/hyperlink" Target="https://drive.google.com/open?id=MXkVVvxr0oN31oYqlHrq" TargetMode="External"/><Relationship Id="rId27" Type="http://schemas.openxmlformats.org/officeDocument/2006/relationships/hyperlink" Target="https://drive.google.com/open?id=BflUAe1xEF0teGiW8fRv" TargetMode="External"/><Relationship Id="rId537" Type="http://schemas.openxmlformats.org/officeDocument/2006/relationships/hyperlink" Target="https://drive.google.com/open?id=P4UAvsz2HFI3xCZiPA4o" TargetMode="External"/><Relationship Id="rId744" Type="http://schemas.openxmlformats.org/officeDocument/2006/relationships/hyperlink" Target="https://drive.google.com/open?id=5ooS6xpE4EfhX5QWs3WN" TargetMode="External"/><Relationship Id="rId951" Type="http://schemas.openxmlformats.org/officeDocument/2006/relationships/hyperlink" Target="https://drive.google.com/open?id=ScpdWRHVKvvdn649QXaJ" TargetMode="External"/><Relationship Id="rId1167" Type="http://schemas.openxmlformats.org/officeDocument/2006/relationships/hyperlink" Target="https://drive.google.com/open?id=betPZynWxJOQH6zNYOef" TargetMode="External"/><Relationship Id="rId1374" Type="http://schemas.openxmlformats.org/officeDocument/2006/relationships/hyperlink" Target="https://drive.google.com/open?id=XKtuDwd4S5AS7ptqeo1D" TargetMode="External"/><Relationship Id="rId80" Type="http://schemas.openxmlformats.org/officeDocument/2006/relationships/hyperlink" Target="https://drive.google.com/open?id=4F2q54safhe9pw7ggPGL" TargetMode="External"/><Relationship Id="rId176" Type="http://schemas.openxmlformats.org/officeDocument/2006/relationships/hyperlink" Target="https://drive.google.com/open?id=ntZFPVuk7YQ6VmB3ZGQf" TargetMode="External"/><Relationship Id="rId383" Type="http://schemas.openxmlformats.org/officeDocument/2006/relationships/hyperlink" Target="https://drive.google.com/open?id=UdAv8TenIXyZKKpgRM4a" TargetMode="External"/><Relationship Id="rId590" Type="http://schemas.openxmlformats.org/officeDocument/2006/relationships/hyperlink" Target="https://drive.google.com/open?id=US9m03f87nNS9H27htN6" TargetMode="External"/><Relationship Id="rId604" Type="http://schemas.openxmlformats.org/officeDocument/2006/relationships/hyperlink" Target="https://drive.google.com/open?id=HBze87BbDGVJlxIis3Yx" TargetMode="External"/><Relationship Id="rId811" Type="http://schemas.openxmlformats.org/officeDocument/2006/relationships/hyperlink" Target="https://drive.google.com/open?id=LByuG3BnvEYOoo8TLoG7" TargetMode="External"/><Relationship Id="rId1027" Type="http://schemas.openxmlformats.org/officeDocument/2006/relationships/hyperlink" Target="https://drive.google.com/open?id=q9NGEzcqNYSHGHg4WO8q" TargetMode="External"/><Relationship Id="rId1234" Type="http://schemas.openxmlformats.org/officeDocument/2006/relationships/hyperlink" Target="https://drive.google.com/open?id=UXUdkztu19DtWsiDbzHB" TargetMode="External"/><Relationship Id="rId1441" Type="http://schemas.openxmlformats.org/officeDocument/2006/relationships/hyperlink" Target="https://drive.google.com/open?id=QLfv94Zo3iJDGx3oij8O" TargetMode="External"/><Relationship Id="rId243" Type="http://schemas.openxmlformats.org/officeDocument/2006/relationships/hyperlink" Target="https://drive.google.com/open?id=ngGUzOGKPgLAkIoGOWI0" TargetMode="External"/><Relationship Id="rId450" Type="http://schemas.openxmlformats.org/officeDocument/2006/relationships/hyperlink" Target="https://drive.google.com/open?id=7zs1md7gBhnrgYTHDdgR" TargetMode="External"/><Relationship Id="rId688" Type="http://schemas.openxmlformats.org/officeDocument/2006/relationships/hyperlink" Target="https://drive.google.com/open?id=qEN6vt0XtOuwF8BX451X" TargetMode="External"/><Relationship Id="rId895" Type="http://schemas.openxmlformats.org/officeDocument/2006/relationships/hyperlink" Target="https://drive.google.com/open?id=wIbji6dkGTgNYlUd8D5t" TargetMode="External"/><Relationship Id="rId909" Type="http://schemas.openxmlformats.org/officeDocument/2006/relationships/hyperlink" Target="https://drive.google.com/open?id=CPIDQzyC7ktG342gwxYc" TargetMode="External"/><Relationship Id="rId1080" Type="http://schemas.openxmlformats.org/officeDocument/2006/relationships/hyperlink" Target="https://drive.google.com/open?id=baAmKUJM7qDYEcvQc1O1" TargetMode="External"/><Relationship Id="rId1301" Type="http://schemas.openxmlformats.org/officeDocument/2006/relationships/hyperlink" Target="https://drive.google.com/open?id=MJQ2547urb1Sapq8Lnei" TargetMode="External"/><Relationship Id="rId38" Type="http://schemas.openxmlformats.org/officeDocument/2006/relationships/hyperlink" Target="https://drive.google.com/open?id=HEOLWwqPdqlqT8Ri1kcT" TargetMode="External"/><Relationship Id="rId103" Type="http://schemas.openxmlformats.org/officeDocument/2006/relationships/hyperlink" Target="https://drive.google.com/open?id=xKGTSfa3DZTzx1Shf2Cj" TargetMode="External"/><Relationship Id="rId310" Type="http://schemas.openxmlformats.org/officeDocument/2006/relationships/hyperlink" Target="https://drive.google.com/open?id=7Bu2mayvpaYeHdXE1vJj" TargetMode="External"/><Relationship Id="rId548" Type="http://schemas.openxmlformats.org/officeDocument/2006/relationships/hyperlink" Target="https://drive.google.com/open?id=vQDwi6TukEOGa2T5QdeS" TargetMode="External"/><Relationship Id="rId755" Type="http://schemas.openxmlformats.org/officeDocument/2006/relationships/hyperlink" Target="https://drive.google.com/open?id=ZAqWOeYcRCbfp5uvDqlt" TargetMode="External"/><Relationship Id="rId962" Type="http://schemas.openxmlformats.org/officeDocument/2006/relationships/hyperlink" Target="https://drive.google.com/open?id=Kq6wml7ZFEqbBjyh04Tn" TargetMode="External"/><Relationship Id="rId1178" Type="http://schemas.openxmlformats.org/officeDocument/2006/relationships/hyperlink" Target="https://drive.google.com/open?id=uD5x4sybw24ZCMXSiPS5" TargetMode="External"/><Relationship Id="rId1385" Type="http://schemas.openxmlformats.org/officeDocument/2006/relationships/hyperlink" Target="https://drive.google.com/open?id=1NtLg9NybcNgEI9366QM" TargetMode="External"/><Relationship Id="rId91" Type="http://schemas.openxmlformats.org/officeDocument/2006/relationships/hyperlink" Target="https://drive.google.com/open?id=cGDRx52UPhxGqiY1KkKo" TargetMode="External"/><Relationship Id="rId187" Type="http://schemas.openxmlformats.org/officeDocument/2006/relationships/hyperlink" Target="https://drive.google.com/open?id=XB20CB9FqBBI1VgVvQn8" TargetMode="External"/><Relationship Id="rId394" Type="http://schemas.openxmlformats.org/officeDocument/2006/relationships/hyperlink" Target="https://drive.google.com/open?id=cxVmLgTLRd2s7rve5sXL" TargetMode="External"/><Relationship Id="rId408" Type="http://schemas.openxmlformats.org/officeDocument/2006/relationships/hyperlink" Target="https://drive.google.com/open?id=HE0KqNUes3GFuhp303iA" TargetMode="External"/><Relationship Id="rId615" Type="http://schemas.openxmlformats.org/officeDocument/2006/relationships/hyperlink" Target="https://drive.google.com/open?id=ntAMiBVN8zegK78ozySz" TargetMode="External"/><Relationship Id="rId822" Type="http://schemas.openxmlformats.org/officeDocument/2006/relationships/hyperlink" Target="https://drive.google.com/open?id=eIyPCWatjX3vA18DiEAz" TargetMode="External"/><Relationship Id="rId1038" Type="http://schemas.openxmlformats.org/officeDocument/2006/relationships/hyperlink" Target="https://drive.google.com/open?id=TdGNq4pP0cGBjbavnxw5" TargetMode="External"/><Relationship Id="rId1245" Type="http://schemas.openxmlformats.org/officeDocument/2006/relationships/hyperlink" Target="https://drive.google.com/open?id=rhBLq9VQE6fWtumwJ6Uc" TargetMode="External"/><Relationship Id="rId1452" Type="http://schemas.openxmlformats.org/officeDocument/2006/relationships/hyperlink" Target="https://drive.google.com/open?id=kiQ0yIBV47aNLpqr1Ewk" TargetMode="External"/><Relationship Id="rId254" Type="http://schemas.openxmlformats.org/officeDocument/2006/relationships/hyperlink" Target="https://drive.google.com/open?id=GJylD8ArP9UEvZOH5qZm" TargetMode="External"/><Relationship Id="rId699" Type="http://schemas.openxmlformats.org/officeDocument/2006/relationships/hyperlink" Target="https://drive.google.com/open?id=4WtJBTIWfVH6gL6ph5Ar" TargetMode="External"/><Relationship Id="rId1091" Type="http://schemas.openxmlformats.org/officeDocument/2006/relationships/hyperlink" Target="https://drive.google.com/open?id=SIIk7Ulo4JTVsozYvHco" TargetMode="External"/><Relationship Id="rId1105" Type="http://schemas.openxmlformats.org/officeDocument/2006/relationships/hyperlink" Target="https://drive.google.com/open?id=TZenB8Iq1a7Qu88H5zeF" TargetMode="External"/><Relationship Id="rId1312" Type="http://schemas.openxmlformats.org/officeDocument/2006/relationships/hyperlink" Target="https://drive.google.com/open?id=defZ0UBHRxqr1tWbCsWX" TargetMode="External"/><Relationship Id="rId49" Type="http://schemas.openxmlformats.org/officeDocument/2006/relationships/hyperlink" Target="https://drive.google.com/open?id=PJATJCCSp7tITscT6baP" TargetMode="External"/><Relationship Id="rId114" Type="http://schemas.openxmlformats.org/officeDocument/2006/relationships/hyperlink" Target="https://drive.google.com/open?id=uYVw0lJHEfqXPHtNChzv" TargetMode="External"/><Relationship Id="rId461" Type="http://schemas.openxmlformats.org/officeDocument/2006/relationships/hyperlink" Target="https://drive.google.com/open?id=vXkJO30w8hLLSSTERlpx" TargetMode="External"/><Relationship Id="rId559" Type="http://schemas.openxmlformats.org/officeDocument/2006/relationships/hyperlink" Target="https://drive.google.com/open?id=lvLDVGisuPrLKrTDyedf" TargetMode="External"/><Relationship Id="rId766" Type="http://schemas.openxmlformats.org/officeDocument/2006/relationships/hyperlink" Target="https://drive.google.com/open?id=1MvX4H6zaAqnQchXRlXs" TargetMode="External"/><Relationship Id="rId1189" Type="http://schemas.openxmlformats.org/officeDocument/2006/relationships/hyperlink" Target="https://drive.google.com/open?id=NwsaIDzTCDiwR8FyMJo2" TargetMode="External"/><Relationship Id="rId1396" Type="http://schemas.openxmlformats.org/officeDocument/2006/relationships/hyperlink" Target="https://drive.google.com/open?id=qQv39MYJQAjmwVtjAT3V" TargetMode="External"/><Relationship Id="rId198" Type="http://schemas.openxmlformats.org/officeDocument/2006/relationships/hyperlink" Target="https://drive.google.com/open?id=Y52A3bsJieJWbnzHvJke" TargetMode="External"/><Relationship Id="rId321" Type="http://schemas.openxmlformats.org/officeDocument/2006/relationships/hyperlink" Target="https://drive.google.com/open?id=tTYjpVcBXHY0gjwxMQcD" TargetMode="External"/><Relationship Id="rId419" Type="http://schemas.openxmlformats.org/officeDocument/2006/relationships/hyperlink" Target="https://drive.google.com/open?id=H2xxYQmXckzuRBRkEl1q" TargetMode="External"/><Relationship Id="rId626" Type="http://schemas.openxmlformats.org/officeDocument/2006/relationships/hyperlink" Target="https://drive.google.com/open?id=wo4nqU1Yen02dZgrtd5n" TargetMode="External"/><Relationship Id="rId973" Type="http://schemas.openxmlformats.org/officeDocument/2006/relationships/hyperlink" Target="https://drive.google.com/open?id=vFUEyBqv12NpFapeipR7" TargetMode="External"/><Relationship Id="rId1049" Type="http://schemas.openxmlformats.org/officeDocument/2006/relationships/hyperlink" Target="https://drive.google.com/open?id=SeB49Ep1Zh2VzKmEFuWU" TargetMode="External"/><Relationship Id="rId1256" Type="http://schemas.openxmlformats.org/officeDocument/2006/relationships/hyperlink" Target="https://drive.google.com/open?id=tWfO8XBOzI3RzymABDhE" TargetMode="External"/><Relationship Id="rId833" Type="http://schemas.openxmlformats.org/officeDocument/2006/relationships/hyperlink" Target="https://drive.google.com/open?id=9OyXwBtega1we1ESwBOD" TargetMode="External"/><Relationship Id="rId1116" Type="http://schemas.openxmlformats.org/officeDocument/2006/relationships/hyperlink" Target="https://drive.google.com/open?id=3ffmpxh3fqPHWeHsPwTd" TargetMode="External"/><Relationship Id="rId1463" Type="http://schemas.openxmlformats.org/officeDocument/2006/relationships/hyperlink" Target="https://drive.google.com/open?id=TboGYOztUcMOkEC8t254" TargetMode="External"/><Relationship Id="rId265" Type="http://schemas.openxmlformats.org/officeDocument/2006/relationships/hyperlink" Target="https://drive.google.com/open?id=YMczAb4AedCyOWwUF0Wh" TargetMode="External"/><Relationship Id="rId472" Type="http://schemas.openxmlformats.org/officeDocument/2006/relationships/hyperlink" Target="https://drive.google.com/open?id=yH01uiKD7L3jL6ja3k4E" TargetMode="External"/><Relationship Id="rId900" Type="http://schemas.openxmlformats.org/officeDocument/2006/relationships/hyperlink" Target="https://drive.google.com/open?id=TKII9tiDnl9xVfB1gZ8a" TargetMode="External"/><Relationship Id="rId1323" Type="http://schemas.openxmlformats.org/officeDocument/2006/relationships/hyperlink" Target="https://drive.google.com/open?id=hSFId7yBRqlEaxlLXNHg" TargetMode="External"/><Relationship Id="rId125" Type="http://schemas.openxmlformats.org/officeDocument/2006/relationships/hyperlink" Target="https://drive.google.com/open?id=RSqO8smHgKpTFO3oLmrD" TargetMode="External"/><Relationship Id="rId332" Type="http://schemas.openxmlformats.org/officeDocument/2006/relationships/hyperlink" Target="https://drive.google.com/open?id=XszniS9LJULSiBxMiXjx" TargetMode="External"/><Relationship Id="rId777" Type="http://schemas.openxmlformats.org/officeDocument/2006/relationships/hyperlink" Target="https://drive.google.com/open?id=dSjkms1EyK966e0pRWqN" TargetMode="External"/><Relationship Id="rId984" Type="http://schemas.openxmlformats.org/officeDocument/2006/relationships/hyperlink" Target="https://drive.google.com/open?id=gD49mbTROqCxSnt4exJM" TargetMode="External"/><Relationship Id="rId637" Type="http://schemas.openxmlformats.org/officeDocument/2006/relationships/hyperlink" Target="https://drive.google.com/open?id=63g0OKwHHZNhMqrEttD7" TargetMode="External"/><Relationship Id="rId844" Type="http://schemas.openxmlformats.org/officeDocument/2006/relationships/hyperlink" Target="https://drive.google.com/open?id=nDKQSZxPifx073AaQDBz" TargetMode="External"/><Relationship Id="rId1267" Type="http://schemas.openxmlformats.org/officeDocument/2006/relationships/hyperlink" Target="https://drive.google.com/open?id=OZqxvMGYJhIDOAS2ctYG" TargetMode="External"/><Relationship Id="rId1474" Type="http://schemas.openxmlformats.org/officeDocument/2006/relationships/hyperlink" Target="https://drive.google.com/open?id=pgaXVthU0gzCGSgTt1y8" TargetMode="External"/><Relationship Id="rId276" Type="http://schemas.openxmlformats.org/officeDocument/2006/relationships/hyperlink" Target="https://drive.google.com/open?id=wUo0YSMYTtxEpFxqIINM" TargetMode="External"/><Relationship Id="rId483" Type="http://schemas.openxmlformats.org/officeDocument/2006/relationships/hyperlink" Target="https://drive.google.com/open?id=WWtCLCsEc19YjSeFEbjU" TargetMode="External"/><Relationship Id="rId690" Type="http://schemas.openxmlformats.org/officeDocument/2006/relationships/hyperlink" Target="https://drive.google.com/open?id=fUEQYl03HarnyYI96XvU" TargetMode="External"/><Relationship Id="rId704" Type="http://schemas.openxmlformats.org/officeDocument/2006/relationships/hyperlink" Target="https://drive.google.com/open?id=I1cSfmiD8hNa5tuwmFxh" TargetMode="External"/><Relationship Id="rId911" Type="http://schemas.openxmlformats.org/officeDocument/2006/relationships/hyperlink" Target="https://drive.google.com/open?id=By0H9QwxW5LS8KPHVMeI" TargetMode="External"/><Relationship Id="rId1127" Type="http://schemas.openxmlformats.org/officeDocument/2006/relationships/hyperlink" Target="https://drive.google.com/open?id=Q1opNkNBNnGnqNsUgWrf" TargetMode="External"/><Relationship Id="rId1334" Type="http://schemas.openxmlformats.org/officeDocument/2006/relationships/hyperlink" Target="https://drive.google.com/open?id=HBtCRb43PXnD6hACbXZn" TargetMode="External"/><Relationship Id="rId40" Type="http://schemas.openxmlformats.org/officeDocument/2006/relationships/hyperlink" Target="https://drive.google.com/open?id=Hlu7JqFyzxuZ2Kq55bZo" TargetMode="External"/><Relationship Id="rId136" Type="http://schemas.openxmlformats.org/officeDocument/2006/relationships/hyperlink" Target="https://drive.google.com/open?id=C5sREZwSlT3kChFomNiH" TargetMode="External"/><Relationship Id="rId343" Type="http://schemas.openxmlformats.org/officeDocument/2006/relationships/hyperlink" Target="https://drive.google.com/open?id=dVZ6lopt0vMh805eHpRu" TargetMode="External"/><Relationship Id="rId550" Type="http://schemas.openxmlformats.org/officeDocument/2006/relationships/hyperlink" Target="https://drive.google.com/open?id=NByRJYZD2YMIKb7FJEvs" TargetMode="External"/><Relationship Id="rId788" Type="http://schemas.openxmlformats.org/officeDocument/2006/relationships/hyperlink" Target="https://drive.google.com/open?id=sIuNOh8RpmqM6ji7ViZF" TargetMode="External"/><Relationship Id="rId995" Type="http://schemas.openxmlformats.org/officeDocument/2006/relationships/hyperlink" Target="https://drive.google.com/open?id=ZXpK3TjxMEDXL6gxROG7" TargetMode="External"/><Relationship Id="rId1180" Type="http://schemas.openxmlformats.org/officeDocument/2006/relationships/hyperlink" Target="https://drive.google.com/open?id=7gmsjV86Pk7zXeAQMlWw" TargetMode="External"/><Relationship Id="rId1401" Type="http://schemas.openxmlformats.org/officeDocument/2006/relationships/hyperlink" Target="https://drive.google.com/open?id=jxuKjVT7TjVz9RyOy5Gv" TargetMode="External"/><Relationship Id="rId203" Type="http://schemas.openxmlformats.org/officeDocument/2006/relationships/hyperlink" Target="https://drive.google.com/open?id=9hIP60EaSsBh6QqWfQXh" TargetMode="External"/><Relationship Id="rId648" Type="http://schemas.openxmlformats.org/officeDocument/2006/relationships/hyperlink" Target="https://drive.google.com/open?id=uFR1MGMXtwBBAc1EUAkU" TargetMode="External"/><Relationship Id="rId855" Type="http://schemas.openxmlformats.org/officeDocument/2006/relationships/hyperlink" Target="https://drive.google.com/open?id=m6tJBbqlzkHT2DK4cUPb" TargetMode="External"/><Relationship Id="rId1040" Type="http://schemas.openxmlformats.org/officeDocument/2006/relationships/hyperlink" Target="https://drive.google.com/open?id=hhRVnszoXxwq0EKUzfbM" TargetMode="External"/><Relationship Id="rId1278" Type="http://schemas.openxmlformats.org/officeDocument/2006/relationships/hyperlink" Target="https://drive.google.com/open?id=QtzIWEfIMZPzfNoA7B00" TargetMode="External"/><Relationship Id="rId1485" Type="http://schemas.openxmlformats.org/officeDocument/2006/relationships/hyperlink" Target="https://drive.google.com/open?id=NRtmk9ZCwXN1rFIi45wt" TargetMode="External"/><Relationship Id="rId287" Type="http://schemas.openxmlformats.org/officeDocument/2006/relationships/hyperlink" Target="https://drive.google.com/open?id=PkQbGIcFfOC13NA1Rv6m" TargetMode="External"/><Relationship Id="rId410" Type="http://schemas.openxmlformats.org/officeDocument/2006/relationships/hyperlink" Target="https://drive.google.com/open?id=LA1bV75JmpBmye1mlefN" TargetMode="External"/><Relationship Id="rId494" Type="http://schemas.openxmlformats.org/officeDocument/2006/relationships/hyperlink" Target="https://drive.google.com/open?id=Fd2isp6c9tCQUOoYS2jJ" TargetMode="External"/><Relationship Id="rId508" Type="http://schemas.openxmlformats.org/officeDocument/2006/relationships/hyperlink" Target="https://drive.google.com/open?id=YknwSFNjWILIuUwcCaOM" TargetMode="External"/><Relationship Id="rId715" Type="http://schemas.openxmlformats.org/officeDocument/2006/relationships/hyperlink" Target="https://drive.google.com/open?id=Ozk3DncnybTygkVBhYwX" TargetMode="External"/><Relationship Id="rId922" Type="http://schemas.openxmlformats.org/officeDocument/2006/relationships/hyperlink" Target="https://drive.google.com/open?id=mOM7Gv6IBpGYFYEKKKWe" TargetMode="External"/><Relationship Id="rId1138" Type="http://schemas.openxmlformats.org/officeDocument/2006/relationships/hyperlink" Target="https://drive.google.com/open?id=PnmqPAYZK64j9nucfyDq" TargetMode="External"/><Relationship Id="rId1345" Type="http://schemas.openxmlformats.org/officeDocument/2006/relationships/hyperlink" Target="https://drive.google.com/open?id=iajJTaagNKyX1nJG0Ixn" TargetMode="External"/><Relationship Id="rId147" Type="http://schemas.openxmlformats.org/officeDocument/2006/relationships/hyperlink" Target="https://drive.google.com/open?id=bJIe7WeDLRYrd71CZfry" TargetMode="External"/><Relationship Id="rId354" Type="http://schemas.openxmlformats.org/officeDocument/2006/relationships/hyperlink" Target="https://drive.google.com/open?id=RUpTCT0SxBFwMDzemthd" TargetMode="External"/><Relationship Id="rId799" Type="http://schemas.openxmlformats.org/officeDocument/2006/relationships/hyperlink" Target="https://drive.google.com/open?id=qpUzRsqm5KpQwYueWLau" TargetMode="External"/><Relationship Id="rId1191" Type="http://schemas.openxmlformats.org/officeDocument/2006/relationships/hyperlink" Target="https://drive.google.com/open?id=cGWlvTgptIsIshV10yLg" TargetMode="External"/><Relationship Id="rId1205" Type="http://schemas.openxmlformats.org/officeDocument/2006/relationships/hyperlink" Target="https://drive.google.com/open?id=BSkNFEV7OzSzKEUXP1D5" TargetMode="External"/><Relationship Id="rId51" Type="http://schemas.openxmlformats.org/officeDocument/2006/relationships/hyperlink" Target="https://drive.google.com/open?id=hP6aK76dYFzG0zFukuES" TargetMode="External"/><Relationship Id="rId561" Type="http://schemas.openxmlformats.org/officeDocument/2006/relationships/hyperlink" Target="https://drive.google.com/open?id=GnXUlqk3S1tNVhwCGzTA" TargetMode="External"/><Relationship Id="rId659" Type="http://schemas.openxmlformats.org/officeDocument/2006/relationships/hyperlink" Target="https://drive.google.com/open?id=P7goVumpvFeniYnyP0JX" TargetMode="External"/><Relationship Id="rId866" Type="http://schemas.openxmlformats.org/officeDocument/2006/relationships/hyperlink" Target="https://drive.google.com/open?id=Wm2i2GH2emKzCI8egtuP" TargetMode="External"/><Relationship Id="rId1289" Type="http://schemas.openxmlformats.org/officeDocument/2006/relationships/hyperlink" Target="https://drive.google.com/open?id=MiLsZFi8U6ZWRsCXn3gU" TargetMode="External"/><Relationship Id="rId1412" Type="http://schemas.openxmlformats.org/officeDocument/2006/relationships/hyperlink" Target="https://drive.google.com/open?id=BjtKpYtPfavDaR4gITCa" TargetMode="External"/><Relationship Id="rId1496" Type="http://schemas.openxmlformats.org/officeDocument/2006/relationships/hyperlink" Target="https://drive.google.com/open?id=AtqqOV1KhxJVdGPapG4H" TargetMode="External"/><Relationship Id="rId214" Type="http://schemas.openxmlformats.org/officeDocument/2006/relationships/hyperlink" Target="https://drive.google.com/open?id=sp8TPeolt1qh3ALzUsF3" TargetMode="External"/><Relationship Id="rId298" Type="http://schemas.openxmlformats.org/officeDocument/2006/relationships/hyperlink" Target="https://drive.google.com/open?id=a5awX2HR5R0WSv2TJ8Ng" TargetMode="External"/><Relationship Id="rId421" Type="http://schemas.openxmlformats.org/officeDocument/2006/relationships/hyperlink" Target="https://drive.google.com/open?id=ykj85UUkrWrwD16tCwbP" TargetMode="External"/><Relationship Id="rId519" Type="http://schemas.openxmlformats.org/officeDocument/2006/relationships/hyperlink" Target="https://drive.google.com/open?id=fj8qreFlYaYPHNT0FM9D" TargetMode="External"/><Relationship Id="rId1051" Type="http://schemas.openxmlformats.org/officeDocument/2006/relationships/hyperlink" Target="https://drive.google.com/open?id=1Ydhzdd6WNgcEAesmgjY" TargetMode="External"/><Relationship Id="rId1149" Type="http://schemas.openxmlformats.org/officeDocument/2006/relationships/hyperlink" Target="https://drive.google.com/open?id=kejhP1zZdhHts4mEClnT" TargetMode="External"/><Relationship Id="rId1356" Type="http://schemas.openxmlformats.org/officeDocument/2006/relationships/hyperlink" Target="https://drive.google.com/open?id=puN3Ole43Z4sNmNw7j7r" TargetMode="External"/><Relationship Id="rId158" Type="http://schemas.openxmlformats.org/officeDocument/2006/relationships/hyperlink" Target="https://drive.google.com/open?id=RQqzYtpC3gqZJODW3rM6" TargetMode="External"/><Relationship Id="rId726" Type="http://schemas.openxmlformats.org/officeDocument/2006/relationships/hyperlink" Target="https://drive.google.com/open?id=N8MPgvWJdQfhkCrtJNa9" TargetMode="External"/><Relationship Id="rId933" Type="http://schemas.openxmlformats.org/officeDocument/2006/relationships/hyperlink" Target="https://drive.google.com/open?id=hOpezrYFN8xqxOhMm0ho" TargetMode="External"/><Relationship Id="rId1009" Type="http://schemas.openxmlformats.org/officeDocument/2006/relationships/hyperlink" Target="https://drive.google.com/open?id=FJ26GZRd8ZHKFhxY7RLO" TargetMode="External"/><Relationship Id="rId62" Type="http://schemas.openxmlformats.org/officeDocument/2006/relationships/hyperlink" Target="https://drive.google.com/open?id=O8j10khDcDUEzInSLM3c" TargetMode="External"/><Relationship Id="rId365" Type="http://schemas.openxmlformats.org/officeDocument/2006/relationships/hyperlink" Target="https://drive.google.com/open?id=2MJCwkDXvvEng7tN3wIg" TargetMode="External"/><Relationship Id="rId572" Type="http://schemas.openxmlformats.org/officeDocument/2006/relationships/hyperlink" Target="https://drive.google.com/open?id=EOPqYKDPNrybuDSxPKmE" TargetMode="External"/><Relationship Id="rId1216" Type="http://schemas.openxmlformats.org/officeDocument/2006/relationships/hyperlink" Target="https://drive.google.com/open?id=nf9dS7NtyTEDcqHNVnzG" TargetMode="External"/><Relationship Id="rId1423" Type="http://schemas.openxmlformats.org/officeDocument/2006/relationships/hyperlink" Target="https://drive.google.com/open?id=VrwNsdNcJskK0vSXtU0a" TargetMode="External"/><Relationship Id="rId225" Type="http://schemas.openxmlformats.org/officeDocument/2006/relationships/hyperlink" Target="https://drive.google.com/open?id=alJvNRhyK920shJaQn5g" TargetMode="External"/><Relationship Id="rId432" Type="http://schemas.openxmlformats.org/officeDocument/2006/relationships/hyperlink" Target="https://drive.google.com/open?id=AF8e97vCKNgp0ujHxzQN" TargetMode="External"/><Relationship Id="rId877" Type="http://schemas.openxmlformats.org/officeDocument/2006/relationships/hyperlink" Target="https://drive.google.com/open?id=Ib4xEouUzECxK10IV1tc" TargetMode="External"/><Relationship Id="rId1062" Type="http://schemas.openxmlformats.org/officeDocument/2006/relationships/hyperlink" Target="https://drive.google.com/open?id=3pWZY0cBg5DTpOKXhAFk" TargetMode="External"/><Relationship Id="rId737" Type="http://schemas.openxmlformats.org/officeDocument/2006/relationships/hyperlink" Target="https://drive.google.com/open?id=3T9qKh9K5M50gyRGqdNz" TargetMode="External"/><Relationship Id="rId944" Type="http://schemas.openxmlformats.org/officeDocument/2006/relationships/hyperlink" Target="https://drive.google.com/open?id=0ObqI1DSYgtFolVBCxFK" TargetMode="External"/><Relationship Id="rId1367" Type="http://schemas.openxmlformats.org/officeDocument/2006/relationships/hyperlink" Target="https://drive.google.com/open?id=f4EcGbkxgTC4lCNmIed3" TargetMode="External"/><Relationship Id="rId73" Type="http://schemas.openxmlformats.org/officeDocument/2006/relationships/hyperlink" Target="https://drive.google.com/open?id=MdiwzAIxU1MIFYgEmGip" TargetMode="External"/><Relationship Id="rId169" Type="http://schemas.openxmlformats.org/officeDocument/2006/relationships/hyperlink" Target="https://drive.google.com/open?id=CfTeskphd8qWpUkUfH0s" TargetMode="External"/><Relationship Id="rId376" Type="http://schemas.openxmlformats.org/officeDocument/2006/relationships/hyperlink" Target="https://drive.google.com/open?id=GAsqB8hJP1XZkTUROANK" TargetMode="External"/><Relationship Id="rId583" Type="http://schemas.openxmlformats.org/officeDocument/2006/relationships/hyperlink" Target="https://drive.google.com/open?id=2ZKDHKckPxCENJpcwLTa" TargetMode="External"/><Relationship Id="rId790" Type="http://schemas.openxmlformats.org/officeDocument/2006/relationships/hyperlink" Target="https://drive.google.com/open?id=CyO3zSWr4R5SxiM7qmwV" TargetMode="External"/><Relationship Id="rId804" Type="http://schemas.openxmlformats.org/officeDocument/2006/relationships/hyperlink" Target="https://drive.google.com/open?id=gAWvDXMuV3ffUjfcH6hA" TargetMode="External"/><Relationship Id="rId1227" Type="http://schemas.openxmlformats.org/officeDocument/2006/relationships/hyperlink" Target="https://drive.google.com/open?id=sYAwUCQxi7g4EgXUJyDV" TargetMode="External"/><Relationship Id="rId1434" Type="http://schemas.openxmlformats.org/officeDocument/2006/relationships/hyperlink" Target="https://drive.google.com/open?id=2VjK7rwat6wGRAQ7I2wd" TargetMode="External"/><Relationship Id="rId4" Type="http://schemas.openxmlformats.org/officeDocument/2006/relationships/hyperlink" Target="https://drive.google.com/open?id=mlbDYZWxk2gsG77uZADq" TargetMode="External"/><Relationship Id="rId236" Type="http://schemas.openxmlformats.org/officeDocument/2006/relationships/hyperlink" Target="https://drive.google.com/open?id=ARc94eWNYmczzPfy0dVE" TargetMode="External"/><Relationship Id="rId443" Type="http://schemas.openxmlformats.org/officeDocument/2006/relationships/hyperlink" Target="https://drive.google.com/open?id=lJtq2tRgcfplriomkssI" TargetMode="External"/><Relationship Id="rId650" Type="http://schemas.openxmlformats.org/officeDocument/2006/relationships/hyperlink" Target="https://drive.google.com/open?id=ZtmJLH8l6hBaNNwDVQXQ" TargetMode="External"/><Relationship Id="rId888" Type="http://schemas.openxmlformats.org/officeDocument/2006/relationships/hyperlink" Target="https://drive.google.com/open?id=FaqmDSBSsAnU9hWwW7Au" TargetMode="External"/><Relationship Id="rId1073" Type="http://schemas.openxmlformats.org/officeDocument/2006/relationships/hyperlink" Target="https://drive.google.com/open?id=031hwyNBENwBAvM0NIk1" TargetMode="External"/><Relationship Id="rId1280" Type="http://schemas.openxmlformats.org/officeDocument/2006/relationships/hyperlink" Target="https://drive.google.com/open?id=YeUTB9VatxRSFotu0kGy" TargetMode="External"/><Relationship Id="rId1501" Type="http://schemas.openxmlformats.org/officeDocument/2006/relationships/hyperlink" Target="https://drive.google.com/open?id=C2ssDeyg3hTc6GXrj6Uj" TargetMode="External"/><Relationship Id="rId303" Type="http://schemas.openxmlformats.org/officeDocument/2006/relationships/hyperlink" Target="https://drive.google.com/open?id=DmZuhnO93ZJRKX5mmv5b" TargetMode="External"/><Relationship Id="rId748" Type="http://schemas.openxmlformats.org/officeDocument/2006/relationships/hyperlink" Target="https://drive.google.com/open?id=fmbVlQmICZIp8fpuKesF" TargetMode="External"/><Relationship Id="rId955" Type="http://schemas.openxmlformats.org/officeDocument/2006/relationships/hyperlink" Target="https://drive.google.com/open?id=rhge1ZJW7bmMwz4CaJ18" TargetMode="External"/><Relationship Id="rId1140" Type="http://schemas.openxmlformats.org/officeDocument/2006/relationships/hyperlink" Target="https://drive.google.com/open?id=9eydbfaOj3cl39rQcpeR" TargetMode="External"/><Relationship Id="rId1378" Type="http://schemas.openxmlformats.org/officeDocument/2006/relationships/hyperlink" Target="https://drive.google.com/open?id=8rpO9754H8LGaAYXSr92" TargetMode="External"/><Relationship Id="rId84" Type="http://schemas.openxmlformats.org/officeDocument/2006/relationships/hyperlink" Target="https://drive.google.com/open?id=bCWdnhDWTg5ueK6MmE5c" TargetMode="External"/><Relationship Id="rId387" Type="http://schemas.openxmlformats.org/officeDocument/2006/relationships/hyperlink" Target="https://drive.google.com/open?id=hjgjdG13VXFXyAjZPv12" TargetMode="External"/><Relationship Id="rId510" Type="http://schemas.openxmlformats.org/officeDocument/2006/relationships/hyperlink" Target="https://drive.google.com/open?id=3t2N3rNVix3xKaE9bhrA" TargetMode="External"/><Relationship Id="rId594" Type="http://schemas.openxmlformats.org/officeDocument/2006/relationships/hyperlink" Target="https://drive.google.com/open?id=ZNUYBXL74TfqGZvkxqSa" TargetMode="External"/><Relationship Id="rId608" Type="http://schemas.openxmlformats.org/officeDocument/2006/relationships/hyperlink" Target="https://drive.google.com/open?id=WBmkasV2sDvdet7r9vZ3" TargetMode="External"/><Relationship Id="rId815" Type="http://schemas.openxmlformats.org/officeDocument/2006/relationships/hyperlink" Target="https://drive.google.com/open?id=vqU83gnD7HJWSgnJGHPN" TargetMode="External"/><Relationship Id="rId1238" Type="http://schemas.openxmlformats.org/officeDocument/2006/relationships/hyperlink" Target="https://drive.google.com/open?id=D6ajb3CDsII0wCcDZHTu" TargetMode="External"/><Relationship Id="rId1445" Type="http://schemas.openxmlformats.org/officeDocument/2006/relationships/hyperlink" Target="https://drive.google.com/open?id=MjZ7sQfsK2pla27PUhFd" TargetMode="External"/><Relationship Id="rId247" Type="http://schemas.openxmlformats.org/officeDocument/2006/relationships/hyperlink" Target="https://drive.google.com/open?id=BCVf5gyC9XLlveAABiGR" TargetMode="External"/><Relationship Id="rId899" Type="http://schemas.openxmlformats.org/officeDocument/2006/relationships/hyperlink" Target="https://drive.google.com/open?id=ODPVzMjjYQ9dSWsQy3JB" TargetMode="External"/><Relationship Id="rId1000" Type="http://schemas.openxmlformats.org/officeDocument/2006/relationships/hyperlink" Target="https://drive.google.com/open?id=yDGA6R08V1SapgbGoQNx" TargetMode="External"/><Relationship Id="rId1084" Type="http://schemas.openxmlformats.org/officeDocument/2006/relationships/hyperlink" Target="https://drive.google.com/open?id=F1SzBAfWZQeLpg8C8NeG" TargetMode="External"/><Relationship Id="rId1305" Type="http://schemas.openxmlformats.org/officeDocument/2006/relationships/hyperlink" Target="https://drive.google.com/open?id=ajNo350wl7rRYlz3i7bn" TargetMode="External"/><Relationship Id="rId107" Type="http://schemas.openxmlformats.org/officeDocument/2006/relationships/hyperlink" Target="https://drive.google.com/open?id=shOfM5Jkz5JaItmer6na" TargetMode="External"/><Relationship Id="rId454" Type="http://schemas.openxmlformats.org/officeDocument/2006/relationships/hyperlink" Target="https://drive.google.com/open?id=BEvLRGxFrFFZYLcm54Em" TargetMode="External"/><Relationship Id="rId661" Type="http://schemas.openxmlformats.org/officeDocument/2006/relationships/hyperlink" Target="https://drive.google.com/open?id=2JjpClS4LhfLHZqhwiiw" TargetMode="External"/><Relationship Id="rId759" Type="http://schemas.openxmlformats.org/officeDocument/2006/relationships/hyperlink" Target="https://drive.google.com/open?id=6T62DzbKv6pLwmKur1xI" TargetMode="External"/><Relationship Id="rId966" Type="http://schemas.openxmlformats.org/officeDocument/2006/relationships/hyperlink" Target="https://drive.google.com/open?id=lxTKLBMiiZzgkNUPlTbm" TargetMode="External"/><Relationship Id="rId1291" Type="http://schemas.openxmlformats.org/officeDocument/2006/relationships/hyperlink" Target="https://drive.google.com/open?id=u5ft2dZisSsjIy0eIf1t" TargetMode="External"/><Relationship Id="rId1389" Type="http://schemas.openxmlformats.org/officeDocument/2006/relationships/hyperlink" Target="https://drive.google.com/open?id=PVEvYO7gHzGpAT52Vlfb" TargetMode="External"/><Relationship Id="rId11" Type="http://schemas.openxmlformats.org/officeDocument/2006/relationships/hyperlink" Target="https://drive.google.com/open?id=QTnJ221TzrOABNnZtigj" TargetMode="External"/><Relationship Id="rId314" Type="http://schemas.openxmlformats.org/officeDocument/2006/relationships/hyperlink" Target="https://drive.google.com/open?id=hbJoC2CSlVbpatwQ9ELD" TargetMode="External"/><Relationship Id="rId398" Type="http://schemas.openxmlformats.org/officeDocument/2006/relationships/hyperlink" Target="https://drive.google.com/open?id=FzDd1B7yNvjhusdIh8pR" TargetMode="External"/><Relationship Id="rId521" Type="http://schemas.openxmlformats.org/officeDocument/2006/relationships/hyperlink" Target="https://drive.google.com/open?id=RyC8vIPJwsXEn8eyl67y" TargetMode="External"/><Relationship Id="rId619" Type="http://schemas.openxmlformats.org/officeDocument/2006/relationships/hyperlink" Target="https://drive.google.com/open?id=uaJPpLfPIQm9UUCQjtvr" TargetMode="External"/><Relationship Id="rId1151" Type="http://schemas.openxmlformats.org/officeDocument/2006/relationships/hyperlink" Target="https://drive.google.com/open?id=Mt1P5cgLxrzZrCnJd65W" TargetMode="External"/><Relationship Id="rId1249" Type="http://schemas.openxmlformats.org/officeDocument/2006/relationships/hyperlink" Target="https://drive.google.com/open?id=2Hx1h3MSSrqYjrpsbwMa" TargetMode="External"/><Relationship Id="rId95" Type="http://schemas.openxmlformats.org/officeDocument/2006/relationships/hyperlink" Target="https://drive.google.com/open?id=QdxufzmgJZHvh6kR0dT6" TargetMode="External"/><Relationship Id="rId160" Type="http://schemas.openxmlformats.org/officeDocument/2006/relationships/hyperlink" Target="https://drive.google.com/open?id=33tcm2gGFxRWWSLaLJ7F" TargetMode="External"/><Relationship Id="rId826" Type="http://schemas.openxmlformats.org/officeDocument/2006/relationships/hyperlink" Target="https://drive.google.com/open?id=COYiPYA7eX1DSfbFC3wT" TargetMode="External"/><Relationship Id="rId1011" Type="http://schemas.openxmlformats.org/officeDocument/2006/relationships/hyperlink" Target="https://drive.google.com/open?id=3hsxOqJ7HXOIrEFfuwJ2" TargetMode="External"/><Relationship Id="rId1109" Type="http://schemas.openxmlformats.org/officeDocument/2006/relationships/hyperlink" Target="https://drive.google.com/open?id=vy29aKH5a0OC720xWpWB" TargetMode="External"/><Relationship Id="rId1456" Type="http://schemas.openxmlformats.org/officeDocument/2006/relationships/hyperlink" Target="https://drive.google.com/open?id=MdoyjcG8ZDINiiUpjbpk" TargetMode="External"/><Relationship Id="rId258" Type="http://schemas.openxmlformats.org/officeDocument/2006/relationships/hyperlink" Target="https://drive.google.com/open?id=fWAcXD8KvsbVjVMuvrov" TargetMode="External"/><Relationship Id="rId465" Type="http://schemas.openxmlformats.org/officeDocument/2006/relationships/hyperlink" Target="https://drive.google.com/open?id=31DT7NFsKM5HaWSx8ise" TargetMode="External"/><Relationship Id="rId672" Type="http://schemas.openxmlformats.org/officeDocument/2006/relationships/hyperlink" Target="https://drive.google.com/open?id=Cbehti43lU4C8npzeuOA" TargetMode="External"/><Relationship Id="rId1095" Type="http://schemas.openxmlformats.org/officeDocument/2006/relationships/hyperlink" Target="https://drive.google.com/open?id=YrmNKPKSmQza0abLYAXm" TargetMode="External"/><Relationship Id="rId1316" Type="http://schemas.openxmlformats.org/officeDocument/2006/relationships/hyperlink" Target="https://drive.google.com/open?id=LMapIna2h5jLS0jhweFF" TargetMode="External"/><Relationship Id="rId22" Type="http://schemas.openxmlformats.org/officeDocument/2006/relationships/hyperlink" Target="https://drive.google.com/open?id=FhW7SCwcNXdDHTUtnRjN" TargetMode="External"/><Relationship Id="rId118" Type="http://schemas.openxmlformats.org/officeDocument/2006/relationships/hyperlink" Target="https://drive.google.com/open?id=eYBdlhtKWkClAp6Y0TGT" TargetMode="External"/><Relationship Id="rId325" Type="http://schemas.openxmlformats.org/officeDocument/2006/relationships/hyperlink" Target="https://drive.google.com/open?id=zGWGgH1XUf2cCKO65MD6" TargetMode="External"/><Relationship Id="rId532" Type="http://schemas.openxmlformats.org/officeDocument/2006/relationships/hyperlink" Target="https://drive.google.com/open?id=cWMVPKwhYu1exHlJBcXa" TargetMode="External"/><Relationship Id="rId977" Type="http://schemas.openxmlformats.org/officeDocument/2006/relationships/hyperlink" Target="https://drive.google.com/open?id=1gyxKoBsUwjR67Px4RiD" TargetMode="External"/><Relationship Id="rId1162" Type="http://schemas.openxmlformats.org/officeDocument/2006/relationships/hyperlink" Target="https://drive.google.com/open?id=sEvvAuyMEFJ3kO7fC5Qp" TargetMode="External"/><Relationship Id="rId171" Type="http://schemas.openxmlformats.org/officeDocument/2006/relationships/hyperlink" Target="https://drive.google.com/open?id=O9v9mz7d2J4IXfmogOwt" TargetMode="External"/><Relationship Id="rId837" Type="http://schemas.openxmlformats.org/officeDocument/2006/relationships/hyperlink" Target="https://drive.google.com/open?id=jmRwzu0iMlG9mHipVHRq" TargetMode="External"/><Relationship Id="rId1022" Type="http://schemas.openxmlformats.org/officeDocument/2006/relationships/hyperlink" Target="https://drive.google.com/open?id=0dYGJlzoxdtTI208tBw6" TargetMode="External"/><Relationship Id="rId1467" Type="http://schemas.openxmlformats.org/officeDocument/2006/relationships/hyperlink" Target="https://drive.google.com/open?id=m0WN4UAKdcm0TeXIjska" TargetMode="External"/><Relationship Id="rId269" Type="http://schemas.openxmlformats.org/officeDocument/2006/relationships/hyperlink" Target="https://drive.google.com/open?id=NPUFfPasr2fWmdol1XjS" TargetMode="External"/><Relationship Id="rId476" Type="http://schemas.openxmlformats.org/officeDocument/2006/relationships/hyperlink" Target="https://drive.google.com/open?id=nKAaYQCWslgrdF5AjFcp" TargetMode="External"/><Relationship Id="rId683" Type="http://schemas.openxmlformats.org/officeDocument/2006/relationships/hyperlink" Target="https://drive.google.com/open?id=c0kG0gfNbMmHnXCo3S0d" TargetMode="External"/><Relationship Id="rId890" Type="http://schemas.openxmlformats.org/officeDocument/2006/relationships/hyperlink" Target="https://drive.google.com/open?id=ygdaL7M1BpiV9P1nYRz2" TargetMode="External"/><Relationship Id="rId904" Type="http://schemas.openxmlformats.org/officeDocument/2006/relationships/hyperlink" Target="https://drive.google.com/open?id=bGH8zhBvDrp6QpDtMS17" TargetMode="External"/><Relationship Id="rId1327" Type="http://schemas.openxmlformats.org/officeDocument/2006/relationships/hyperlink" Target="https://drive.google.com/open?id=iu0YC8kRnIZ2LGRiQNI2" TargetMode="External"/><Relationship Id="rId33" Type="http://schemas.openxmlformats.org/officeDocument/2006/relationships/hyperlink" Target="https://drive.google.com/open?id=IgBzHPnTY5kosCNlWUg4" TargetMode="External"/><Relationship Id="rId129" Type="http://schemas.openxmlformats.org/officeDocument/2006/relationships/hyperlink" Target="https://drive.google.com/open?id=5Ab1NMycUYuc1OFeM4ma" TargetMode="External"/><Relationship Id="rId336" Type="http://schemas.openxmlformats.org/officeDocument/2006/relationships/hyperlink" Target="https://drive.google.com/open?id=6W0njBC4X5Hw5ohRKYeY" TargetMode="External"/><Relationship Id="rId543" Type="http://schemas.openxmlformats.org/officeDocument/2006/relationships/hyperlink" Target="https://drive.google.com/open?id=lB9sSB0Op0rmDXSQLdi4" TargetMode="External"/><Relationship Id="rId988" Type="http://schemas.openxmlformats.org/officeDocument/2006/relationships/hyperlink" Target="https://drive.google.com/open?id=vPPezOhAk5vi4XkMcmC2" TargetMode="External"/><Relationship Id="rId1173" Type="http://schemas.openxmlformats.org/officeDocument/2006/relationships/hyperlink" Target="https://drive.google.com/open?id=sUqrUhUmrviTKKFq4AvJ" TargetMode="External"/><Relationship Id="rId1380" Type="http://schemas.openxmlformats.org/officeDocument/2006/relationships/hyperlink" Target="https://drive.google.com/open?id=O7kn0jcCEjBSCkyfGnBQ" TargetMode="External"/><Relationship Id="rId182" Type="http://schemas.openxmlformats.org/officeDocument/2006/relationships/hyperlink" Target="https://drive.google.com/open?id=bM56365QeYitj6TO2YRI" TargetMode="External"/><Relationship Id="rId403" Type="http://schemas.openxmlformats.org/officeDocument/2006/relationships/hyperlink" Target="https://drive.google.com/open?id=EMh2pOYaxRUqcCYfhlvH" TargetMode="External"/><Relationship Id="rId750" Type="http://schemas.openxmlformats.org/officeDocument/2006/relationships/hyperlink" Target="https://drive.google.com/open?id=n4QWJEVEdZZBnoBSH5He" TargetMode="External"/><Relationship Id="rId848" Type="http://schemas.openxmlformats.org/officeDocument/2006/relationships/hyperlink" Target="https://drive.google.com/open?id=oRce2we1izhzDMyi6OTH" TargetMode="External"/><Relationship Id="rId1033" Type="http://schemas.openxmlformats.org/officeDocument/2006/relationships/hyperlink" Target="https://drive.google.com/open?id=uCs39aZSbUtiSAKtYhSu" TargetMode="External"/><Relationship Id="rId1478" Type="http://schemas.openxmlformats.org/officeDocument/2006/relationships/hyperlink" Target="https://drive.google.com/open?id=ldIsXbHZgcxbacAOwlqN" TargetMode="External"/><Relationship Id="rId487" Type="http://schemas.openxmlformats.org/officeDocument/2006/relationships/hyperlink" Target="https://drive.google.com/open?id=9ssqWOKgyM0tcDvHLxWE" TargetMode="External"/><Relationship Id="rId610" Type="http://schemas.openxmlformats.org/officeDocument/2006/relationships/hyperlink" Target="https://drive.google.com/open?id=jmELbXtXcP2nGy8mgMGB" TargetMode="External"/><Relationship Id="rId694" Type="http://schemas.openxmlformats.org/officeDocument/2006/relationships/hyperlink" Target="https://drive.google.com/open?id=HW8xA09PbyYq2pKQdTWe" TargetMode="External"/><Relationship Id="rId708" Type="http://schemas.openxmlformats.org/officeDocument/2006/relationships/hyperlink" Target="https://drive.google.com/open?id=jsDCUkWegt72JhfwMw7r" TargetMode="External"/><Relationship Id="rId915" Type="http://schemas.openxmlformats.org/officeDocument/2006/relationships/hyperlink" Target="https://drive.google.com/open?id=73gwnJGUyyTvMr8iCm8y" TargetMode="External"/><Relationship Id="rId1240" Type="http://schemas.openxmlformats.org/officeDocument/2006/relationships/hyperlink" Target="https://drive.google.com/open?id=qhcsFuSz1jGgUyfKDMpO" TargetMode="External"/><Relationship Id="rId1338" Type="http://schemas.openxmlformats.org/officeDocument/2006/relationships/hyperlink" Target="https://drive.google.com/open?id=5PcQIkcZiZd07OKiY2mn" TargetMode="External"/><Relationship Id="rId347" Type="http://schemas.openxmlformats.org/officeDocument/2006/relationships/hyperlink" Target="https://drive.google.com/open?id=GI0QtLRVb9dwI1WQdswq" TargetMode="External"/><Relationship Id="rId999" Type="http://schemas.openxmlformats.org/officeDocument/2006/relationships/hyperlink" Target="https://drive.google.com/open?id=JpdCdIXKWbRBkSWfPeOy" TargetMode="External"/><Relationship Id="rId1100" Type="http://schemas.openxmlformats.org/officeDocument/2006/relationships/hyperlink" Target="https://drive.google.com/open?id=18rTAt6xTLaYsEiT3Ey3" TargetMode="External"/><Relationship Id="rId1184" Type="http://schemas.openxmlformats.org/officeDocument/2006/relationships/hyperlink" Target="https://drive.google.com/open?id=mXvRyiG5f4jhOfrfnjze" TargetMode="External"/><Relationship Id="rId1405" Type="http://schemas.openxmlformats.org/officeDocument/2006/relationships/hyperlink" Target="https://drive.google.com/open?id=JNuItjK8AjEhhu1SIV8u" TargetMode="External"/><Relationship Id="rId44" Type="http://schemas.openxmlformats.org/officeDocument/2006/relationships/hyperlink" Target="https://drive.google.com/open?id=mCRYc8wC96oAnVaOvCu0" TargetMode="External"/><Relationship Id="rId554" Type="http://schemas.openxmlformats.org/officeDocument/2006/relationships/hyperlink" Target="https://drive.google.com/open?id=fRgImtdvR6HOk95fhisX" TargetMode="External"/><Relationship Id="rId761" Type="http://schemas.openxmlformats.org/officeDocument/2006/relationships/hyperlink" Target="https://drive.google.com/open?id=LTjN3iXVDCO7MokFz4HX" TargetMode="External"/><Relationship Id="rId859" Type="http://schemas.openxmlformats.org/officeDocument/2006/relationships/hyperlink" Target="https://drive.google.com/open?id=eOBeGVig9AMDNA22xgiF" TargetMode="External"/><Relationship Id="rId1391" Type="http://schemas.openxmlformats.org/officeDocument/2006/relationships/hyperlink" Target="https://drive.google.com/open?id=ezsycGNvoMkkNwH9u5R7" TargetMode="External"/><Relationship Id="rId1489" Type="http://schemas.openxmlformats.org/officeDocument/2006/relationships/hyperlink" Target="https://drive.google.com/open?id=0JpDMm51MeUX6EB1Jw0N" TargetMode="External"/><Relationship Id="rId193" Type="http://schemas.openxmlformats.org/officeDocument/2006/relationships/hyperlink" Target="https://drive.google.com/open?id=1I9OLvLYuMSbq9I09d7U" TargetMode="External"/><Relationship Id="rId207" Type="http://schemas.openxmlformats.org/officeDocument/2006/relationships/hyperlink" Target="https://drive.google.com/open?id=EiYtR2l9BGaf1WJBwrlP" TargetMode="External"/><Relationship Id="rId414" Type="http://schemas.openxmlformats.org/officeDocument/2006/relationships/hyperlink" Target="https://drive.google.com/open?id=iIhALSC0AvaXyGGX4SnY" TargetMode="External"/><Relationship Id="rId498" Type="http://schemas.openxmlformats.org/officeDocument/2006/relationships/hyperlink" Target="https://drive.google.com/open?id=I9KTZoJG5uGbMvNxDMYF" TargetMode="External"/><Relationship Id="rId621" Type="http://schemas.openxmlformats.org/officeDocument/2006/relationships/hyperlink" Target="https://drive.google.com/open?id=ujks7W7XbtNEo9uVAcVF" TargetMode="External"/><Relationship Id="rId1044" Type="http://schemas.openxmlformats.org/officeDocument/2006/relationships/hyperlink" Target="https://drive.google.com/open?id=BLBXvgJUJpK5GTqNjAS4" TargetMode="External"/><Relationship Id="rId1251" Type="http://schemas.openxmlformats.org/officeDocument/2006/relationships/hyperlink" Target="https://drive.google.com/open?id=s1rkitE2davSnfDiEbiI" TargetMode="External"/><Relationship Id="rId1349" Type="http://schemas.openxmlformats.org/officeDocument/2006/relationships/hyperlink" Target="https://drive.google.com/open?id=d56ZsuHxQmnPgwPopyu4" TargetMode="External"/><Relationship Id="rId260" Type="http://schemas.openxmlformats.org/officeDocument/2006/relationships/hyperlink" Target="https://drive.google.com/open?id=vwLgkDgg19DJMPOFBexG" TargetMode="External"/><Relationship Id="rId719" Type="http://schemas.openxmlformats.org/officeDocument/2006/relationships/hyperlink" Target="https://drive.google.com/open?id=IoU6pLYp1xaGGP76ouFw" TargetMode="External"/><Relationship Id="rId926" Type="http://schemas.openxmlformats.org/officeDocument/2006/relationships/hyperlink" Target="https://drive.google.com/open?id=6wnJtba9cQat6ZoeRUKD" TargetMode="External"/><Relationship Id="rId1111" Type="http://schemas.openxmlformats.org/officeDocument/2006/relationships/hyperlink" Target="https://drive.google.com/open?id=LHwRhEgntETw07bEpz5B" TargetMode="External"/><Relationship Id="rId55" Type="http://schemas.openxmlformats.org/officeDocument/2006/relationships/hyperlink" Target="https://drive.google.com/open?id=ZviWMYaflzW3S26Lomx3" TargetMode="External"/><Relationship Id="rId120" Type="http://schemas.openxmlformats.org/officeDocument/2006/relationships/hyperlink" Target="https://drive.google.com/open?id=MHnlQs34DlOTqfWEBfqj" TargetMode="External"/><Relationship Id="rId358" Type="http://schemas.openxmlformats.org/officeDocument/2006/relationships/hyperlink" Target="https://drive.google.com/open?id=VSP5afWoExEWkrRcw2AI" TargetMode="External"/><Relationship Id="rId565" Type="http://schemas.openxmlformats.org/officeDocument/2006/relationships/hyperlink" Target="https://drive.google.com/open?id=PvyTTG3Bs1qzLY6bcmUW" TargetMode="External"/><Relationship Id="rId772" Type="http://schemas.openxmlformats.org/officeDocument/2006/relationships/hyperlink" Target="https://drive.google.com/open?id=rtkZNQUPkMxMK8YaLWhE" TargetMode="External"/><Relationship Id="rId1195" Type="http://schemas.openxmlformats.org/officeDocument/2006/relationships/hyperlink" Target="https://drive.google.com/open?id=FNK1HGs0nIYdhvuCwHli" TargetMode="External"/><Relationship Id="rId1209" Type="http://schemas.openxmlformats.org/officeDocument/2006/relationships/hyperlink" Target="https://drive.google.com/open?id=Bd2O2d99yOItUj8ZnfxT" TargetMode="External"/><Relationship Id="rId1416" Type="http://schemas.openxmlformats.org/officeDocument/2006/relationships/hyperlink" Target="https://drive.google.com/open?id=dWRIZvZHa23goYtV2sxA" TargetMode="External"/><Relationship Id="rId218" Type="http://schemas.openxmlformats.org/officeDocument/2006/relationships/hyperlink" Target="https://drive.google.com/open?id=dvle6yol0j3LFhJYNSw6" TargetMode="External"/><Relationship Id="rId425" Type="http://schemas.openxmlformats.org/officeDocument/2006/relationships/hyperlink" Target="https://drive.google.com/open?id=EjI8X9ROe1oyJ5pm8lQH" TargetMode="External"/><Relationship Id="rId632" Type="http://schemas.openxmlformats.org/officeDocument/2006/relationships/hyperlink" Target="https://drive.google.com/open?id=5NpMqlvDfhqcs7E5CY7E" TargetMode="External"/><Relationship Id="rId1055" Type="http://schemas.openxmlformats.org/officeDocument/2006/relationships/hyperlink" Target="https://drive.google.com/open?id=geXMSI2wR1Wex1KJv8Wx" TargetMode="External"/><Relationship Id="rId1262" Type="http://schemas.openxmlformats.org/officeDocument/2006/relationships/hyperlink" Target="https://drive.google.com/open?id=AAsq9awKfbRSgSYRBM9Y" TargetMode="External"/><Relationship Id="rId271" Type="http://schemas.openxmlformats.org/officeDocument/2006/relationships/hyperlink" Target="https://drive.google.com/open?id=3bquXngTj6ZscTHDMlRV" TargetMode="External"/><Relationship Id="rId937" Type="http://schemas.openxmlformats.org/officeDocument/2006/relationships/hyperlink" Target="https://drive.google.com/open?id=XTcHBX5vdjTZHIDPVIQi" TargetMode="External"/><Relationship Id="rId1122" Type="http://schemas.openxmlformats.org/officeDocument/2006/relationships/hyperlink" Target="https://drive.google.com/open?id=t6UwZX5pkCYxdZZKbLes" TargetMode="External"/><Relationship Id="rId66" Type="http://schemas.openxmlformats.org/officeDocument/2006/relationships/hyperlink" Target="https://drive.google.com/open?id=sIzdsk7Zm7ovs78hAWtw" TargetMode="External"/><Relationship Id="rId131" Type="http://schemas.openxmlformats.org/officeDocument/2006/relationships/hyperlink" Target="https://drive.google.com/open?id=Vw2edot8IAVn5IEDq7qU" TargetMode="External"/><Relationship Id="rId369" Type="http://schemas.openxmlformats.org/officeDocument/2006/relationships/hyperlink" Target="https://drive.google.com/open?id=jL8knrMoyCHBOTuA8aXs" TargetMode="External"/><Relationship Id="rId576" Type="http://schemas.openxmlformats.org/officeDocument/2006/relationships/hyperlink" Target="https://drive.google.com/open?id=9eqVMkxSzjvkSk5Kd4Qp" TargetMode="External"/><Relationship Id="rId783" Type="http://schemas.openxmlformats.org/officeDocument/2006/relationships/hyperlink" Target="https://drive.google.com/open?id=D4jwHTWJjeFhlJcT8peB" TargetMode="External"/><Relationship Id="rId990" Type="http://schemas.openxmlformats.org/officeDocument/2006/relationships/hyperlink" Target="https://drive.google.com/open?id=aPohLgTuCgwSEd7gkyYH" TargetMode="External"/><Relationship Id="rId1427" Type="http://schemas.openxmlformats.org/officeDocument/2006/relationships/hyperlink" Target="https://drive.google.com/open?id=HD8p4vtixgdZw9BVfJjt" TargetMode="External"/><Relationship Id="rId229" Type="http://schemas.openxmlformats.org/officeDocument/2006/relationships/hyperlink" Target="https://drive.google.com/open?id=9eLrmQoNXvF06MNdD3Dh" TargetMode="External"/><Relationship Id="rId436" Type="http://schemas.openxmlformats.org/officeDocument/2006/relationships/hyperlink" Target="https://drive.google.com/open?id=T4zzDI7nY56NAIM3r6mv" TargetMode="External"/><Relationship Id="rId643" Type="http://schemas.openxmlformats.org/officeDocument/2006/relationships/hyperlink" Target="https://drive.google.com/open?id=gxEOVZmtEDxPNed0P1qV" TargetMode="External"/><Relationship Id="rId1066" Type="http://schemas.openxmlformats.org/officeDocument/2006/relationships/hyperlink" Target="https://drive.google.com/open?id=zBINfSXlGSXpS5Cg57Br" TargetMode="External"/><Relationship Id="rId1273" Type="http://schemas.openxmlformats.org/officeDocument/2006/relationships/hyperlink" Target="https://drive.google.com/open?id=gPOmmydZjT41WaSUwNJw" TargetMode="External"/><Relationship Id="rId1480" Type="http://schemas.openxmlformats.org/officeDocument/2006/relationships/hyperlink" Target="https://drive.google.com/open?id=RFw7IzOlBjNdYEN4n1PF" TargetMode="External"/><Relationship Id="rId850" Type="http://schemas.openxmlformats.org/officeDocument/2006/relationships/hyperlink" Target="https://drive.google.com/open?id=nhhr4144feXx3nsdyTSN" TargetMode="External"/><Relationship Id="rId948" Type="http://schemas.openxmlformats.org/officeDocument/2006/relationships/hyperlink" Target="https://drive.google.com/open?id=NJzfwKxmk8CCvka7yopL" TargetMode="External"/><Relationship Id="rId1133" Type="http://schemas.openxmlformats.org/officeDocument/2006/relationships/hyperlink" Target="https://drive.google.com/open?id=AcTcrZ9f014nlrM03KQD" TargetMode="External"/><Relationship Id="rId77" Type="http://schemas.openxmlformats.org/officeDocument/2006/relationships/hyperlink" Target="https://drive.google.com/open?id=i2fUPJB0EH8WVq9UMrtn" TargetMode="External"/><Relationship Id="rId282" Type="http://schemas.openxmlformats.org/officeDocument/2006/relationships/hyperlink" Target="https://drive.google.com/open?id=H7OuuMgPwiJOQTrcD9y9" TargetMode="External"/><Relationship Id="rId503" Type="http://schemas.openxmlformats.org/officeDocument/2006/relationships/hyperlink" Target="https://drive.google.com/open?id=pvTR7hCokj8N1bLW5BF1" TargetMode="External"/><Relationship Id="rId587" Type="http://schemas.openxmlformats.org/officeDocument/2006/relationships/hyperlink" Target="https://drive.google.com/open?id=a3N0pZcUbXmR9Y7qhom6" TargetMode="External"/><Relationship Id="rId710" Type="http://schemas.openxmlformats.org/officeDocument/2006/relationships/hyperlink" Target="https://drive.google.com/open?id=3n4j1hUMN1pjiaeZggYS" TargetMode="External"/><Relationship Id="rId808" Type="http://schemas.openxmlformats.org/officeDocument/2006/relationships/hyperlink" Target="https://drive.google.com/open?id=Ei6LCXcdUXSzWBeiaxJV" TargetMode="External"/><Relationship Id="rId1340" Type="http://schemas.openxmlformats.org/officeDocument/2006/relationships/hyperlink" Target="https://drive.google.com/open?id=R3or9CbaTjhlatv2e4WI" TargetMode="External"/><Relationship Id="rId1438" Type="http://schemas.openxmlformats.org/officeDocument/2006/relationships/hyperlink" Target="https://drive.google.com/open?id=jID4Jd9b3PpzdeTMHSPs" TargetMode="External"/><Relationship Id="rId8" Type="http://schemas.openxmlformats.org/officeDocument/2006/relationships/hyperlink" Target="https://drive.google.com/open?id=XDRQl7csC6gxgsMVDDyH" TargetMode="External"/><Relationship Id="rId142" Type="http://schemas.openxmlformats.org/officeDocument/2006/relationships/hyperlink" Target="https://drive.google.com/open?id=tVUYtdklSWF6Sq8Iqrw1" TargetMode="External"/><Relationship Id="rId447" Type="http://schemas.openxmlformats.org/officeDocument/2006/relationships/hyperlink" Target="https://drive.google.com/open?id=WcE0kHhlOxkXZklrC2k4" TargetMode="External"/><Relationship Id="rId794" Type="http://schemas.openxmlformats.org/officeDocument/2006/relationships/hyperlink" Target="https://drive.google.com/open?id=yHRkkGgXMkpbGbQBfnMU" TargetMode="External"/><Relationship Id="rId1077" Type="http://schemas.openxmlformats.org/officeDocument/2006/relationships/hyperlink" Target="https://drive.google.com/open?id=yYzXlOdlbQcYAbQyYsw2" TargetMode="External"/><Relationship Id="rId1200" Type="http://schemas.openxmlformats.org/officeDocument/2006/relationships/hyperlink" Target="https://drive.google.com/open?id=WPekDL92AEDAdvKpyak0" TargetMode="External"/><Relationship Id="rId654" Type="http://schemas.openxmlformats.org/officeDocument/2006/relationships/hyperlink" Target="https://drive.google.com/open?id=pigr6yFLNnveLy4yFeAn" TargetMode="External"/><Relationship Id="rId861" Type="http://schemas.openxmlformats.org/officeDocument/2006/relationships/hyperlink" Target="https://drive.google.com/open?id=H42hDNidGXJYLU8mvC1o" TargetMode="External"/><Relationship Id="rId959" Type="http://schemas.openxmlformats.org/officeDocument/2006/relationships/hyperlink" Target="https://drive.google.com/open?id=hN64n5wNBvw8EvDlWmk6" TargetMode="External"/><Relationship Id="rId1284" Type="http://schemas.openxmlformats.org/officeDocument/2006/relationships/hyperlink" Target="https://drive.google.com/open?id=eQsi9wpQyzhGdCHIptEl" TargetMode="External"/><Relationship Id="rId1491" Type="http://schemas.openxmlformats.org/officeDocument/2006/relationships/hyperlink" Target="https://drive.google.com/open?id=IHn7SzGzME3YCqeNDFcx" TargetMode="External"/><Relationship Id="rId1505" Type="http://schemas.openxmlformats.org/officeDocument/2006/relationships/hyperlink" Target="https://drive.google.com/open?id=1jcyUwbb-qTQ7QEqSv47X1MKr2RPnpz0v" TargetMode="External"/><Relationship Id="rId293" Type="http://schemas.openxmlformats.org/officeDocument/2006/relationships/hyperlink" Target="https://drive.google.com/open?id=TDKdHgZ2Lp40sxGjbh5i" TargetMode="External"/><Relationship Id="rId307" Type="http://schemas.openxmlformats.org/officeDocument/2006/relationships/hyperlink" Target="https://drive.google.com/open?id=zFJxuuYTR7t9lcbnqeAI" TargetMode="External"/><Relationship Id="rId514" Type="http://schemas.openxmlformats.org/officeDocument/2006/relationships/hyperlink" Target="https://drive.google.com/open?id=hE9TNrsS7RtiEcrHm3B3" TargetMode="External"/><Relationship Id="rId721" Type="http://schemas.openxmlformats.org/officeDocument/2006/relationships/hyperlink" Target="https://drive.google.com/open?id=NVZMd9eC9J5DdZsX9mMd" TargetMode="External"/><Relationship Id="rId1144" Type="http://schemas.openxmlformats.org/officeDocument/2006/relationships/hyperlink" Target="https://drive.google.com/open?id=pSzVtgeaBdIDwm8aA1Hh" TargetMode="External"/><Relationship Id="rId1351" Type="http://schemas.openxmlformats.org/officeDocument/2006/relationships/hyperlink" Target="https://drive.google.com/open?id=XvifjVWSKhumMvLMpsuA" TargetMode="External"/><Relationship Id="rId1449" Type="http://schemas.openxmlformats.org/officeDocument/2006/relationships/hyperlink" Target="https://drive.google.com/open?id=kd2bZRHUqjOlECvm8rd0" TargetMode="External"/><Relationship Id="rId88" Type="http://schemas.openxmlformats.org/officeDocument/2006/relationships/hyperlink" Target="https://drive.google.com/open?id=PEti0EplX5hi7y4zktpR" TargetMode="External"/><Relationship Id="rId153" Type="http://schemas.openxmlformats.org/officeDocument/2006/relationships/hyperlink" Target="https://drive.google.com/open?id=k1NHCXHy8suzVpHYjah8" TargetMode="External"/><Relationship Id="rId360" Type="http://schemas.openxmlformats.org/officeDocument/2006/relationships/hyperlink" Target="https://drive.google.com/open?id=3bC8nuCV0f4OgmUlRZhz" TargetMode="External"/><Relationship Id="rId598" Type="http://schemas.openxmlformats.org/officeDocument/2006/relationships/hyperlink" Target="https://drive.google.com/open?id=WAl99qVMvHwBPzx9iUzu" TargetMode="External"/><Relationship Id="rId819" Type="http://schemas.openxmlformats.org/officeDocument/2006/relationships/hyperlink" Target="https://drive.google.com/open?id=xw9ZyPtMPYj2KD3UJFCr" TargetMode="External"/><Relationship Id="rId1004" Type="http://schemas.openxmlformats.org/officeDocument/2006/relationships/hyperlink" Target="https://drive.google.com/open?id=snxDCDhx0zeIZqLBHaOY" TargetMode="External"/><Relationship Id="rId1211" Type="http://schemas.openxmlformats.org/officeDocument/2006/relationships/hyperlink" Target="https://drive.google.com/open?id=LTTySYiX1B2hTBTkLRoy" TargetMode="External"/><Relationship Id="rId220" Type="http://schemas.openxmlformats.org/officeDocument/2006/relationships/hyperlink" Target="https://drive.google.com/open?id=0dCkt1kUfPMdclFCsDcL" TargetMode="External"/><Relationship Id="rId458" Type="http://schemas.openxmlformats.org/officeDocument/2006/relationships/hyperlink" Target="https://drive.google.com/open?id=gFSYjGq7rLZLZJQdWQxO" TargetMode="External"/><Relationship Id="rId665" Type="http://schemas.openxmlformats.org/officeDocument/2006/relationships/hyperlink" Target="https://drive.google.com/open?id=e0waM6zzfWbw8fUNNW74" TargetMode="External"/><Relationship Id="rId872" Type="http://schemas.openxmlformats.org/officeDocument/2006/relationships/hyperlink" Target="https://drive.google.com/open?id=Np5owYp8tQIErq06hFme" TargetMode="External"/><Relationship Id="rId1088" Type="http://schemas.openxmlformats.org/officeDocument/2006/relationships/hyperlink" Target="https://drive.google.com/open?id=fgsCyfaXUmuk7zUhVxiW" TargetMode="External"/><Relationship Id="rId1295" Type="http://schemas.openxmlformats.org/officeDocument/2006/relationships/hyperlink" Target="https://drive.google.com/open?id=TcZWUqsOc2Gv38Sqrytn" TargetMode="External"/><Relationship Id="rId1309" Type="http://schemas.openxmlformats.org/officeDocument/2006/relationships/hyperlink" Target="https://drive.google.com/open?id=ajleYMCiix55pHNka4Pt" TargetMode="External"/><Relationship Id="rId15" Type="http://schemas.openxmlformats.org/officeDocument/2006/relationships/hyperlink" Target="https://drive.google.com/open?id=r4WsyzIZCIl7ac6Aw8Wm" TargetMode="External"/><Relationship Id="rId318" Type="http://schemas.openxmlformats.org/officeDocument/2006/relationships/hyperlink" Target="https://drive.google.com/open?id=GYSnyouUBKj3808WQ9Wd" TargetMode="External"/><Relationship Id="rId525" Type="http://schemas.openxmlformats.org/officeDocument/2006/relationships/hyperlink" Target="https://drive.google.com/open?id=ywxWK0O8Qbvyw6ys42MB" TargetMode="External"/><Relationship Id="rId732" Type="http://schemas.openxmlformats.org/officeDocument/2006/relationships/hyperlink" Target="https://drive.google.com/open?id=2CYpWSsR3eow2wKk9Se8" TargetMode="External"/><Relationship Id="rId1155" Type="http://schemas.openxmlformats.org/officeDocument/2006/relationships/hyperlink" Target="https://drive.google.com/open?id=kyCdi6uKVVjUylMBiglT" TargetMode="External"/><Relationship Id="rId1362" Type="http://schemas.openxmlformats.org/officeDocument/2006/relationships/hyperlink" Target="https://drive.google.com/open?id=xGjKmpxfHr7KbujbklHl" TargetMode="External"/><Relationship Id="rId99" Type="http://schemas.openxmlformats.org/officeDocument/2006/relationships/hyperlink" Target="https://drive.google.com/open?id=DR9Ujj9iHj9uUkmZwlPT" TargetMode="External"/><Relationship Id="rId164" Type="http://schemas.openxmlformats.org/officeDocument/2006/relationships/hyperlink" Target="https://drive.google.com/open?id=RxsvFkWHG33OrFcXhQ59" TargetMode="External"/><Relationship Id="rId371" Type="http://schemas.openxmlformats.org/officeDocument/2006/relationships/hyperlink" Target="https://drive.google.com/open?id=he6FJX8pmwFTH1D5iDWN" TargetMode="External"/><Relationship Id="rId1015" Type="http://schemas.openxmlformats.org/officeDocument/2006/relationships/hyperlink" Target="https://drive.google.com/open?id=tOWZhIR7TOlHo2ByfcUx" TargetMode="External"/><Relationship Id="rId1222" Type="http://schemas.openxmlformats.org/officeDocument/2006/relationships/hyperlink" Target="https://drive.google.com/open?id=72YTE0ykxNixtpUvEmd5" TargetMode="External"/><Relationship Id="rId469" Type="http://schemas.openxmlformats.org/officeDocument/2006/relationships/hyperlink" Target="https://drive.google.com/open?id=939zkymUTQhvYlR8WiLI" TargetMode="External"/><Relationship Id="rId676" Type="http://schemas.openxmlformats.org/officeDocument/2006/relationships/hyperlink" Target="https://drive.google.com/open?id=enElEzmrQ6ltCMNOkzpB" TargetMode="External"/><Relationship Id="rId883" Type="http://schemas.openxmlformats.org/officeDocument/2006/relationships/hyperlink" Target="https://drive.google.com/open?id=h7KpQkONgOz9fTpjk2nM" TargetMode="External"/><Relationship Id="rId1099" Type="http://schemas.openxmlformats.org/officeDocument/2006/relationships/hyperlink" Target="https://drive.google.com/open?id=xXYnlhrHmeu88gcpKPhM" TargetMode="External"/><Relationship Id="rId26" Type="http://schemas.openxmlformats.org/officeDocument/2006/relationships/hyperlink" Target="https://drive.google.com/open?id=DcH1g5B27TXcY5KwgwVl" TargetMode="External"/><Relationship Id="rId231" Type="http://schemas.openxmlformats.org/officeDocument/2006/relationships/hyperlink" Target="https://drive.google.com/open?id=ZHv3hQefDK72FnJ8zc1R" TargetMode="External"/><Relationship Id="rId329" Type="http://schemas.openxmlformats.org/officeDocument/2006/relationships/hyperlink" Target="https://drive.google.com/open?id=wZioW1Q8e1VPY1v97XfX" TargetMode="External"/><Relationship Id="rId536" Type="http://schemas.openxmlformats.org/officeDocument/2006/relationships/hyperlink" Target="https://drive.google.com/open?id=1TVCI9ZtiAOzDjDMYxT4" TargetMode="External"/><Relationship Id="rId1166" Type="http://schemas.openxmlformats.org/officeDocument/2006/relationships/hyperlink" Target="https://drive.google.com/open?id=B2XebqXMeYuQ1cJFBpim" TargetMode="External"/><Relationship Id="rId1373" Type="http://schemas.openxmlformats.org/officeDocument/2006/relationships/hyperlink" Target="https://drive.google.com/open?id=LO8J16PAUf8bloTkFAu5" TargetMode="External"/><Relationship Id="rId175" Type="http://schemas.openxmlformats.org/officeDocument/2006/relationships/hyperlink" Target="https://drive.google.com/open?id=n5OnDRKwOImT83w4wIxp" TargetMode="External"/><Relationship Id="rId743" Type="http://schemas.openxmlformats.org/officeDocument/2006/relationships/hyperlink" Target="https://drive.google.com/open?id=65jdYipuNHKT9Wmrwcrb" TargetMode="External"/><Relationship Id="rId950" Type="http://schemas.openxmlformats.org/officeDocument/2006/relationships/hyperlink" Target="https://drive.google.com/open?id=7nVd4aN6LLefDsWAhUzO" TargetMode="External"/><Relationship Id="rId1026" Type="http://schemas.openxmlformats.org/officeDocument/2006/relationships/hyperlink" Target="https://drive.google.com/open?id=jxf3Fmr9wwzUdEWTwauJ" TargetMode="External"/><Relationship Id="rId382" Type="http://schemas.openxmlformats.org/officeDocument/2006/relationships/hyperlink" Target="https://drive.google.com/open?id=KVf1yjgG7excrNDURoHS" TargetMode="External"/><Relationship Id="rId603" Type="http://schemas.openxmlformats.org/officeDocument/2006/relationships/hyperlink" Target="https://drive.google.com/open?id=nNSPgVCM44zjPSfAZRWK" TargetMode="External"/><Relationship Id="rId687" Type="http://schemas.openxmlformats.org/officeDocument/2006/relationships/hyperlink" Target="https://drive.google.com/open?id=Mhh7heX36m35idpJH1VZ" TargetMode="External"/><Relationship Id="rId810" Type="http://schemas.openxmlformats.org/officeDocument/2006/relationships/hyperlink" Target="https://drive.google.com/open?id=H9h9M4b9V9JYP1eHdH1G" TargetMode="External"/><Relationship Id="rId908" Type="http://schemas.openxmlformats.org/officeDocument/2006/relationships/hyperlink" Target="https://drive.google.com/open?id=IhDcJW3KzHpXwDQziybk" TargetMode="External"/><Relationship Id="rId1233" Type="http://schemas.openxmlformats.org/officeDocument/2006/relationships/hyperlink" Target="https://drive.google.com/open?id=JCKPu26I9VmNxF8C6ZsP" TargetMode="External"/><Relationship Id="rId1440" Type="http://schemas.openxmlformats.org/officeDocument/2006/relationships/hyperlink" Target="https://drive.google.com/open?id=7WEhsYFSLThRvpNtx5De" TargetMode="External"/><Relationship Id="rId242" Type="http://schemas.openxmlformats.org/officeDocument/2006/relationships/hyperlink" Target="https://drive.google.com/open?id=pihjrZItxrfF1l5sfuyd" TargetMode="External"/><Relationship Id="rId894" Type="http://schemas.openxmlformats.org/officeDocument/2006/relationships/hyperlink" Target="https://drive.google.com/open?id=v3h0dPfARXUjQUTib0XV" TargetMode="External"/><Relationship Id="rId1177" Type="http://schemas.openxmlformats.org/officeDocument/2006/relationships/hyperlink" Target="https://drive.google.com/open?id=H4xuh8FgRnOGmWqykB0Z" TargetMode="External"/><Relationship Id="rId1300" Type="http://schemas.openxmlformats.org/officeDocument/2006/relationships/hyperlink" Target="https://drive.google.com/open?id=AyqCTTdLQ7QVGPNH33mJ" TargetMode="External"/><Relationship Id="rId37" Type="http://schemas.openxmlformats.org/officeDocument/2006/relationships/hyperlink" Target="https://drive.google.com/open?id=OFbbmlWGRmIPVFH8DNmm" TargetMode="External"/><Relationship Id="rId102" Type="http://schemas.openxmlformats.org/officeDocument/2006/relationships/hyperlink" Target="https://drive.google.com/open?id=qWrnV5ABdPeohTSHUmgz" TargetMode="External"/><Relationship Id="rId547" Type="http://schemas.openxmlformats.org/officeDocument/2006/relationships/hyperlink" Target="https://drive.google.com/open?id=2UZCZJMumnio29hK3lGI" TargetMode="External"/><Relationship Id="rId754" Type="http://schemas.openxmlformats.org/officeDocument/2006/relationships/hyperlink" Target="https://drive.google.com/open?id=srmhQbMH55WL3LEC19Jz" TargetMode="External"/><Relationship Id="rId961" Type="http://schemas.openxmlformats.org/officeDocument/2006/relationships/hyperlink" Target="https://drive.google.com/open?id=lhI6tt3kdRTIrnw6Q7Pz" TargetMode="External"/><Relationship Id="rId1384" Type="http://schemas.openxmlformats.org/officeDocument/2006/relationships/hyperlink" Target="https://drive.google.com/open?id=4HaBRL59jjQ1MHbobJOz" TargetMode="External"/><Relationship Id="rId90" Type="http://schemas.openxmlformats.org/officeDocument/2006/relationships/hyperlink" Target="https://drive.google.com/open?id=nDGWYU5Djep63IfHcv5X" TargetMode="External"/><Relationship Id="rId186" Type="http://schemas.openxmlformats.org/officeDocument/2006/relationships/hyperlink" Target="https://drive.google.com/open?id=M78aIMSTH9Lo1Z0yfT6I" TargetMode="External"/><Relationship Id="rId393" Type="http://schemas.openxmlformats.org/officeDocument/2006/relationships/hyperlink" Target="https://drive.google.com/open?id=GWcvMNBCHWtuc1yhSykV" TargetMode="External"/><Relationship Id="rId407" Type="http://schemas.openxmlformats.org/officeDocument/2006/relationships/hyperlink" Target="https://drive.google.com/open?id=G8AQfSIE64qMQ47lD3TH" TargetMode="External"/><Relationship Id="rId614" Type="http://schemas.openxmlformats.org/officeDocument/2006/relationships/hyperlink" Target="https://drive.google.com/open?id=geVZbqPNfgoXZap8miUa" TargetMode="External"/><Relationship Id="rId821" Type="http://schemas.openxmlformats.org/officeDocument/2006/relationships/hyperlink" Target="https://drive.google.com/open?id=pl14ivK8I78T2j6qHUo5" TargetMode="External"/><Relationship Id="rId1037" Type="http://schemas.openxmlformats.org/officeDocument/2006/relationships/hyperlink" Target="https://drive.google.com/open?id=hC4bdHGB7w4SFAjzPDge" TargetMode="External"/><Relationship Id="rId1244" Type="http://schemas.openxmlformats.org/officeDocument/2006/relationships/hyperlink" Target="https://drive.google.com/open?id=sxhzOSw4j516NMzZtiDx" TargetMode="External"/><Relationship Id="rId1451" Type="http://schemas.openxmlformats.org/officeDocument/2006/relationships/hyperlink" Target="https://drive.google.com/open?id=RVKaYfMoQmxQ18nFLv35" TargetMode="External"/><Relationship Id="rId253" Type="http://schemas.openxmlformats.org/officeDocument/2006/relationships/hyperlink" Target="https://drive.google.com/open?id=DXRO0wfRfxw0AIAR5ZtT" TargetMode="External"/><Relationship Id="rId460" Type="http://schemas.openxmlformats.org/officeDocument/2006/relationships/hyperlink" Target="https://drive.google.com/open?id=Jij6iWYGiyWQGXsKgt0j" TargetMode="External"/><Relationship Id="rId698" Type="http://schemas.openxmlformats.org/officeDocument/2006/relationships/hyperlink" Target="https://drive.google.com/open?id=Zhx7fNX7xNRizBSUa4LF" TargetMode="External"/><Relationship Id="rId919" Type="http://schemas.openxmlformats.org/officeDocument/2006/relationships/hyperlink" Target="https://drive.google.com/open?id=C2EzLr0eGP8T1fdFbyvE" TargetMode="External"/><Relationship Id="rId1090" Type="http://schemas.openxmlformats.org/officeDocument/2006/relationships/hyperlink" Target="https://drive.google.com/open?id=rHhU5Elco4kKBowQT9Q3" TargetMode="External"/><Relationship Id="rId1104" Type="http://schemas.openxmlformats.org/officeDocument/2006/relationships/hyperlink" Target="https://drive.google.com/open?id=KF9uUVeCCbJX2iZc6pA2" TargetMode="External"/><Relationship Id="rId1311" Type="http://schemas.openxmlformats.org/officeDocument/2006/relationships/hyperlink" Target="https://drive.google.com/open?id=piBFgZTlXrCT7sdu4xax" TargetMode="External"/><Relationship Id="rId48" Type="http://schemas.openxmlformats.org/officeDocument/2006/relationships/hyperlink" Target="https://drive.google.com/open?id=FsON31XT1tUoMQ6D6FmP" TargetMode="External"/><Relationship Id="rId113" Type="http://schemas.openxmlformats.org/officeDocument/2006/relationships/hyperlink" Target="https://drive.google.com/open?id=h9UfoBHgGh8bglm3qU8y" TargetMode="External"/><Relationship Id="rId320" Type="http://schemas.openxmlformats.org/officeDocument/2006/relationships/hyperlink" Target="https://drive.google.com/open?id=SXgd397GAL4A89M4GvZb" TargetMode="External"/><Relationship Id="rId558" Type="http://schemas.openxmlformats.org/officeDocument/2006/relationships/hyperlink" Target="https://drive.google.com/open?id=ekeR7MlbQswlfzzmNyAd" TargetMode="External"/><Relationship Id="rId765" Type="http://schemas.openxmlformats.org/officeDocument/2006/relationships/hyperlink" Target="https://drive.google.com/open?id=GX7VgHePWUFBYBvUg4aW" TargetMode="External"/><Relationship Id="rId972" Type="http://schemas.openxmlformats.org/officeDocument/2006/relationships/hyperlink" Target="https://drive.google.com/open?id=Ul9sWWPPTXf4hOSuZHVu" TargetMode="External"/><Relationship Id="rId1188" Type="http://schemas.openxmlformats.org/officeDocument/2006/relationships/hyperlink" Target="https://drive.google.com/open?id=ix2hdLU12vzEmMwcDEdg" TargetMode="External"/><Relationship Id="rId1395" Type="http://schemas.openxmlformats.org/officeDocument/2006/relationships/hyperlink" Target="https://drive.google.com/open?id=S8PMI8MGSz9e1Xmg45iw" TargetMode="External"/><Relationship Id="rId1409" Type="http://schemas.openxmlformats.org/officeDocument/2006/relationships/hyperlink" Target="https://drive.google.com/open?id=xRtLZgJ1syhPhV1AVKMe" TargetMode="External"/><Relationship Id="rId197" Type="http://schemas.openxmlformats.org/officeDocument/2006/relationships/hyperlink" Target="https://drive.google.com/open?id=LxcGkAW2MjFeFM1hTlYA" TargetMode="External"/><Relationship Id="rId418" Type="http://schemas.openxmlformats.org/officeDocument/2006/relationships/hyperlink" Target="https://drive.google.com/open?id=lk1ovK8CbnrnBy27m69A" TargetMode="External"/><Relationship Id="rId625" Type="http://schemas.openxmlformats.org/officeDocument/2006/relationships/hyperlink" Target="https://drive.google.com/open?id=0NqRwxXKy1lP37MYsohd" TargetMode="External"/><Relationship Id="rId832" Type="http://schemas.openxmlformats.org/officeDocument/2006/relationships/hyperlink" Target="https://drive.google.com/open?id=javtmzOGhxf1BBScXpf5" TargetMode="External"/><Relationship Id="rId1048" Type="http://schemas.openxmlformats.org/officeDocument/2006/relationships/hyperlink" Target="https://drive.google.com/open?id=92EKazwVBroHpbgf8Pto" TargetMode="External"/><Relationship Id="rId1255" Type="http://schemas.openxmlformats.org/officeDocument/2006/relationships/hyperlink" Target="https://drive.google.com/open?id=uLpKGU1ucjkjzTCmHfs8" TargetMode="External"/><Relationship Id="rId1462" Type="http://schemas.openxmlformats.org/officeDocument/2006/relationships/hyperlink" Target="https://drive.google.com/open?id=GIt2OfKQJUMtuPsIXi5x" TargetMode="External"/><Relationship Id="rId264" Type="http://schemas.openxmlformats.org/officeDocument/2006/relationships/hyperlink" Target="https://drive.google.com/open?id=1sEO7Yo2tTLi94W6LKsv" TargetMode="External"/><Relationship Id="rId471" Type="http://schemas.openxmlformats.org/officeDocument/2006/relationships/hyperlink" Target="https://drive.google.com/open?id=Te5flZ4Eq4i9ishiGmXn" TargetMode="External"/><Relationship Id="rId1115" Type="http://schemas.openxmlformats.org/officeDocument/2006/relationships/hyperlink" Target="https://drive.google.com/open?id=sshexuJzlEjsuC7JsdgP" TargetMode="External"/><Relationship Id="rId1322" Type="http://schemas.openxmlformats.org/officeDocument/2006/relationships/hyperlink" Target="https://drive.google.com/open?id=BrjvhHoz6VKcq4bTRPGs" TargetMode="External"/><Relationship Id="rId59" Type="http://schemas.openxmlformats.org/officeDocument/2006/relationships/hyperlink" Target="https://drive.google.com/open?id=fXnLCc4arSqexVEjC6gR" TargetMode="External"/><Relationship Id="rId124" Type="http://schemas.openxmlformats.org/officeDocument/2006/relationships/hyperlink" Target="https://drive.google.com/open?id=FvyuPOU2OEtGBeekA4VO" TargetMode="External"/><Relationship Id="rId569" Type="http://schemas.openxmlformats.org/officeDocument/2006/relationships/hyperlink" Target="https://drive.google.com/open?id=7WPS3XMYd9Z1HPJ5JL4l" TargetMode="External"/><Relationship Id="rId776" Type="http://schemas.openxmlformats.org/officeDocument/2006/relationships/hyperlink" Target="https://drive.google.com/open?id=vw08KQFfiZT7rBPVsUMi" TargetMode="External"/><Relationship Id="rId983" Type="http://schemas.openxmlformats.org/officeDocument/2006/relationships/hyperlink" Target="https://drive.google.com/open?id=oPErvCMU5aJk1dPUrxnE" TargetMode="External"/><Relationship Id="rId1199" Type="http://schemas.openxmlformats.org/officeDocument/2006/relationships/hyperlink" Target="https://drive.google.com/open?id=aCK4TBS6o7Vcfr8G4Pae" TargetMode="External"/><Relationship Id="rId331" Type="http://schemas.openxmlformats.org/officeDocument/2006/relationships/hyperlink" Target="https://drive.google.com/open?id=Xf2CnuWF7lJzylCMD6MT" TargetMode="External"/><Relationship Id="rId429" Type="http://schemas.openxmlformats.org/officeDocument/2006/relationships/hyperlink" Target="https://drive.google.com/open?id=ro3K35Srzly5BrtaGDgF" TargetMode="External"/><Relationship Id="rId636" Type="http://schemas.openxmlformats.org/officeDocument/2006/relationships/hyperlink" Target="https://drive.google.com/open?id=nRqzrAoEjXtuclvg5mK0" TargetMode="External"/><Relationship Id="rId1059" Type="http://schemas.openxmlformats.org/officeDocument/2006/relationships/hyperlink" Target="https://drive.google.com/open?id=Fe6OkXCdHRqE2C2riNY2" TargetMode="External"/><Relationship Id="rId1266" Type="http://schemas.openxmlformats.org/officeDocument/2006/relationships/hyperlink" Target="https://drive.google.com/open?id=jljzPxvouAGjKK0J9BLO" TargetMode="External"/><Relationship Id="rId1473" Type="http://schemas.openxmlformats.org/officeDocument/2006/relationships/hyperlink" Target="https://drive.google.com/open?id=VuPNcMA3UyBcG4PXgUJ9" TargetMode="External"/><Relationship Id="rId843" Type="http://schemas.openxmlformats.org/officeDocument/2006/relationships/hyperlink" Target="https://drive.google.com/open?id=myTdK8elZ5UNi7biFWSG" TargetMode="External"/><Relationship Id="rId1126" Type="http://schemas.openxmlformats.org/officeDocument/2006/relationships/hyperlink" Target="https://drive.google.com/open?id=cdWRsNosPW7n81tw9j62" TargetMode="External"/><Relationship Id="rId275" Type="http://schemas.openxmlformats.org/officeDocument/2006/relationships/hyperlink" Target="https://drive.google.com/open?id=LfsGGbktVMX5Y8c4Qw2l" TargetMode="External"/><Relationship Id="rId482" Type="http://schemas.openxmlformats.org/officeDocument/2006/relationships/hyperlink" Target="https://drive.google.com/open?id=5fwXcOnxbbLDFkEyj0VU" TargetMode="External"/><Relationship Id="rId703" Type="http://schemas.openxmlformats.org/officeDocument/2006/relationships/hyperlink" Target="https://drive.google.com/open?id=KinQWFTVTGnd1xggL159" TargetMode="External"/><Relationship Id="rId910" Type="http://schemas.openxmlformats.org/officeDocument/2006/relationships/hyperlink" Target="https://drive.google.com/open?id=hLCzjKRGVxFvxXPh8q8x" TargetMode="External"/><Relationship Id="rId1333" Type="http://schemas.openxmlformats.org/officeDocument/2006/relationships/hyperlink" Target="https://drive.google.com/open?id=4pabJhSLkd7oA6FeYYGL" TargetMode="External"/><Relationship Id="rId135" Type="http://schemas.openxmlformats.org/officeDocument/2006/relationships/hyperlink" Target="https://drive.google.com/open?id=9rdnMMlXVFrgmbm1CyBv" TargetMode="External"/><Relationship Id="rId342" Type="http://schemas.openxmlformats.org/officeDocument/2006/relationships/hyperlink" Target="https://drive.google.com/open?id=9XIDxsY6nLViwAqO90sW" TargetMode="External"/><Relationship Id="rId787" Type="http://schemas.openxmlformats.org/officeDocument/2006/relationships/hyperlink" Target="https://drive.google.com/open?id=ANEpAXCdu302KEGBfDYd" TargetMode="External"/><Relationship Id="rId994" Type="http://schemas.openxmlformats.org/officeDocument/2006/relationships/hyperlink" Target="https://drive.google.com/open?id=ZA2W0e7k4qlAPlYAM4nU" TargetMode="External"/><Relationship Id="rId1400" Type="http://schemas.openxmlformats.org/officeDocument/2006/relationships/hyperlink" Target="https://drive.google.com/open?id=HtSkAGyZr5gn1uCfPOfJ" TargetMode="External"/><Relationship Id="rId202" Type="http://schemas.openxmlformats.org/officeDocument/2006/relationships/hyperlink" Target="https://drive.google.com/open?id=LH3eENBeuc7A4gzALmV8" TargetMode="External"/><Relationship Id="rId647" Type="http://schemas.openxmlformats.org/officeDocument/2006/relationships/hyperlink" Target="https://drive.google.com/open?id=BcFXHa2pHcrrwhYwzLXj" TargetMode="External"/><Relationship Id="rId854" Type="http://schemas.openxmlformats.org/officeDocument/2006/relationships/hyperlink" Target="https://drive.google.com/open?id=11h6BXnmS284UMqDSCIe" TargetMode="External"/><Relationship Id="rId1277" Type="http://schemas.openxmlformats.org/officeDocument/2006/relationships/hyperlink" Target="https://drive.google.com/open?id=Ji1gT1WrevRNmj7h1KUT" TargetMode="External"/><Relationship Id="rId1484" Type="http://schemas.openxmlformats.org/officeDocument/2006/relationships/hyperlink" Target="https://drive.google.com/open?id=WSw3DuDGZxah4hb4GEea" TargetMode="External"/><Relationship Id="rId286" Type="http://schemas.openxmlformats.org/officeDocument/2006/relationships/hyperlink" Target="https://drive.google.com/open?id=dUuvOlfUUkk3zUWjRCzS" TargetMode="External"/><Relationship Id="rId493" Type="http://schemas.openxmlformats.org/officeDocument/2006/relationships/hyperlink" Target="https://drive.google.com/open?id=q6WajbqYHOc3KK2SAPng" TargetMode="External"/><Relationship Id="rId507" Type="http://schemas.openxmlformats.org/officeDocument/2006/relationships/hyperlink" Target="https://drive.google.com/open?id=dI27fCwak8bcRdEMrOB9" TargetMode="External"/><Relationship Id="rId714" Type="http://schemas.openxmlformats.org/officeDocument/2006/relationships/hyperlink" Target="https://drive.google.com/open?id=ZjPkxU95qgslQMeonVWK" TargetMode="External"/><Relationship Id="rId921" Type="http://schemas.openxmlformats.org/officeDocument/2006/relationships/hyperlink" Target="https://drive.google.com/open?id=bPFxYos5gpz9tBFEPuyC" TargetMode="External"/><Relationship Id="rId1137" Type="http://schemas.openxmlformats.org/officeDocument/2006/relationships/hyperlink" Target="https://drive.google.com/open?id=w1YtWkErodhuHkKbrjdS" TargetMode="External"/><Relationship Id="rId1344" Type="http://schemas.openxmlformats.org/officeDocument/2006/relationships/hyperlink" Target="https://drive.google.com/open?id=UgzRJHjfbZM9dMrtqYi5" TargetMode="External"/><Relationship Id="rId50" Type="http://schemas.openxmlformats.org/officeDocument/2006/relationships/hyperlink" Target="https://drive.google.com/open?id=Knp5E6Vi1JzVnJ59y1yH" TargetMode="External"/><Relationship Id="rId146" Type="http://schemas.openxmlformats.org/officeDocument/2006/relationships/hyperlink" Target="https://drive.google.com/open?id=7l3TjSUPCMFOF57nIXl5" TargetMode="External"/><Relationship Id="rId353" Type="http://schemas.openxmlformats.org/officeDocument/2006/relationships/hyperlink" Target="https://drive.google.com/open?id=QTa4WNv5TEWjXYxrZDUJ" TargetMode="External"/><Relationship Id="rId560" Type="http://schemas.openxmlformats.org/officeDocument/2006/relationships/hyperlink" Target="https://drive.google.com/open?id=zIOa8LpDhiBcJFNCajsS" TargetMode="External"/><Relationship Id="rId798" Type="http://schemas.openxmlformats.org/officeDocument/2006/relationships/hyperlink" Target="https://drive.google.com/open?id=IPS72iGiFkJxw591jeB9" TargetMode="External"/><Relationship Id="rId1190" Type="http://schemas.openxmlformats.org/officeDocument/2006/relationships/hyperlink" Target="https://drive.google.com/open?id=WYRQCizLVx4xryeIxg0i" TargetMode="External"/><Relationship Id="rId1204" Type="http://schemas.openxmlformats.org/officeDocument/2006/relationships/hyperlink" Target="https://drive.google.com/open?id=3B1R0K42PT0NTSlLPCFZ" TargetMode="External"/><Relationship Id="rId1411" Type="http://schemas.openxmlformats.org/officeDocument/2006/relationships/hyperlink" Target="https://drive.google.com/open?id=2N7BKkYWUs4Oye9sxwnf" TargetMode="External"/><Relationship Id="rId213" Type="http://schemas.openxmlformats.org/officeDocument/2006/relationships/hyperlink" Target="https://drive.google.com/open?id=I88WqZJzfe8Kp0Z56L0n" TargetMode="External"/><Relationship Id="rId420" Type="http://schemas.openxmlformats.org/officeDocument/2006/relationships/hyperlink" Target="https://drive.google.com/open?id=5jvNf8oV6pZiFaLIqJoX" TargetMode="External"/><Relationship Id="rId658" Type="http://schemas.openxmlformats.org/officeDocument/2006/relationships/hyperlink" Target="https://drive.google.com/open?id=1Wj99CvWW6OAlDUvdUzQ" TargetMode="External"/><Relationship Id="rId865" Type="http://schemas.openxmlformats.org/officeDocument/2006/relationships/hyperlink" Target="https://drive.google.com/open?id=8emxDnDMznYc3xIQasI8" TargetMode="External"/><Relationship Id="rId1050" Type="http://schemas.openxmlformats.org/officeDocument/2006/relationships/hyperlink" Target="https://drive.google.com/open?id=iKmuVlGPE76JR1yjiziv" TargetMode="External"/><Relationship Id="rId1288" Type="http://schemas.openxmlformats.org/officeDocument/2006/relationships/hyperlink" Target="https://drive.google.com/open?id=QqFLeN2Nb6mvfeuA8oE1" TargetMode="External"/><Relationship Id="rId1495" Type="http://schemas.openxmlformats.org/officeDocument/2006/relationships/hyperlink" Target="https://drive.google.com/open?id=P0wMomCv489el893vVYS" TargetMode="External"/><Relationship Id="rId297" Type="http://schemas.openxmlformats.org/officeDocument/2006/relationships/hyperlink" Target="https://drive.google.com/open?id=E5yd2ZrCFaYdIfKeIAFT" TargetMode="External"/><Relationship Id="rId518" Type="http://schemas.openxmlformats.org/officeDocument/2006/relationships/hyperlink" Target="https://drive.google.com/open?id=nL6C5bjgsdH1kJHWr9GM" TargetMode="External"/><Relationship Id="rId725" Type="http://schemas.openxmlformats.org/officeDocument/2006/relationships/hyperlink" Target="https://drive.google.com/open?id=OEDZqgdbItYHN1XybwEY" TargetMode="External"/><Relationship Id="rId932" Type="http://schemas.openxmlformats.org/officeDocument/2006/relationships/hyperlink" Target="https://drive.google.com/open?id=qhbpTfuWRA273YDjvlyF" TargetMode="External"/><Relationship Id="rId1148" Type="http://schemas.openxmlformats.org/officeDocument/2006/relationships/hyperlink" Target="https://drive.google.com/open?id=CKreShbtCc7lPwzQWKKF" TargetMode="External"/><Relationship Id="rId1355" Type="http://schemas.openxmlformats.org/officeDocument/2006/relationships/hyperlink" Target="https://drive.google.com/open?id=JboEP4xB5RohHM7bKsQW" TargetMode="External"/><Relationship Id="rId157" Type="http://schemas.openxmlformats.org/officeDocument/2006/relationships/hyperlink" Target="https://drive.google.com/open?id=coKXFtSRAlPNFm8bda1c" TargetMode="External"/><Relationship Id="rId364" Type="http://schemas.openxmlformats.org/officeDocument/2006/relationships/hyperlink" Target="https://drive.google.com/open?id=HfhdIJgf52JbDmeJOsog" TargetMode="External"/><Relationship Id="rId1008" Type="http://schemas.openxmlformats.org/officeDocument/2006/relationships/hyperlink" Target="https://drive.google.com/open?id=qY0lTu7nbYUadNrOFZJh" TargetMode="External"/><Relationship Id="rId1215" Type="http://schemas.openxmlformats.org/officeDocument/2006/relationships/hyperlink" Target="https://drive.google.com/open?id=lw3wuo7LDJnEzkppjnLP" TargetMode="External"/><Relationship Id="rId1422" Type="http://schemas.openxmlformats.org/officeDocument/2006/relationships/hyperlink" Target="https://drive.google.com/open?id=QGVvJrfeLBuTYBWgNFZf" TargetMode="External"/><Relationship Id="rId61" Type="http://schemas.openxmlformats.org/officeDocument/2006/relationships/hyperlink" Target="https://drive.google.com/open?id=dNJFiucFISZoAzlzXEGk" TargetMode="External"/><Relationship Id="rId571" Type="http://schemas.openxmlformats.org/officeDocument/2006/relationships/hyperlink" Target="https://drive.google.com/open?id=drPjbw5SW38pk9szFiXS" TargetMode="External"/><Relationship Id="rId669" Type="http://schemas.openxmlformats.org/officeDocument/2006/relationships/hyperlink" Target="https://drive.google.com/open?id=bMAmzFAzdwoEhN33UIUw" TargetMode="External"/><Relationship Id="rId876" Type="http://schemas.openxmlformats.org/officeDocument/2006/relationships/hyperlink" Target="https://drive.google.com/open?id=dG4XxswFXA22yCzTzBVD" TargetMode="External"/><Relationship Id="rId1299" Type="http://schemas.openxmlformats.org/officeDocument/2006/relationships/hyperlink" Target="https://drive.google.com/open?id=s7RhWKhd7GQOVVTrLpwv" TargetMode="External"/><Relationship Id="rId19" Type="http://schemas.openxmlformats.org/officeDocument/2006/relationships/hyperlink" Target="https://drive.google.com/open?id=EQwtTysxLszUXyOsoqkW" TargetMode="External"/><Relationship Id="rId224" Type="http://schemas.openxmlformats.org/officeDocument/2006/relationships/hyperlink" Target="https://drive.google.com/open?id=XEt91Np4ufQfTnm6Kn9o" TargetMode="External"/><Relationship Id="rId431" Type="http://schemas.openxmlformats.org/officeDocument/2006/relationships/hyperlink" Target="https://drive.google.com/open?id=Rtw1BFNPgOQyx9cyxaap" TargetMode="External"/><Relationship Id="rId529" Type="http://schemas.openxmlformats.org/officeDocument/2006/relationships/hyperlink" Target="https://drive.google.com/open?id=yjFKcxyVQ2uIcywvraG2" TargetMode="External"/><Relationship Id="rId736" Type="http://schemas.openxmlformats.org/officeDocument/2006/relationships/hyperlink" Target="https://drive.google.com/open?id=X2CaRGLU00IoY7WdssCb" TargetMode="External"/><Relationship Id="rId1061" Type="http://schemas.openxmlformats.org/officeDocument/2006/relationships/hyperlink" Target="https://drive.google.com/open?id=ZCLHWl804obbmDsKaNRf" TargetMode="External"/><Relationship Id="rId1159" Type="http://schemas.openxmlformats.org/officeDocument/2006/relationships/hyperlink" Target="https://drive.google.com/open?id=TeRkblaoiMIfEQ3JK483" TargetMode="External"/><Relationship Id="rId1366" Type="http://schemas.openxmlformats.org/officeDocument/2006/relationships/hyperlink" Target="https://drive.google.com/open?id=TaWSb2I4qx6Rsmj3jzXo" TargetMode="External"/><Relationship Id="rId168" Type="http://schemas.openxmlformats.org/officeDocument/2006/relationships/hyperlink" Target="https://drive.google.com/open?id=PAtN7HyLKYqtsUVafCCO" TargetMode="External"/><Relationship Id="rId943" Type="http://schemas.openxmlformats.org/officeDocument/2006/relationships/hyperlink" Target="https://drive.google.com/open?id=eKPsc3IqVdvg6bEDvH6j" TargetMode="External"/><Relationship Id="rId1019" Type="http://schemas.openxmlformats.org/officeDocument/2006/relationships/hyperlink" Target="https://drive.google.com/open?id=Tuh1eonUe5gcpwL6QXO0" TargetMode="External"/><Relationship Id="rId72" Type="http://schemas.openxmlformats.org/officeDocument/2006/relationships/hyperlink" Target="https://drive.google.com/open?id=SQiMRLmNebLr4WbvVD8N" TargetMode="External"/><Relationship Id="rId375" Type="http://schemas.openxmlformats.org/officeDocument/2006/relationships/hyperlink" Target="https://drive.google.com/open?id=E538M69oSJSjeXGgwPRM" TargetMode="External"/><Relationship Id="rId582" Type="http://schemas.openxmlformats.org/officeDocument/2006/relationships/hyperlink" Target="https://drive.google.com/open?id=5x3z8CHOY7N5oBq4yuUT" TargetMode="External"/><Relationship Id="rId803" Type="http://schemas.openxmlformats.org/officeDocument/2006/relationships/hyperlink" Target="https://drive.google.com/open?id=O8O7CC2xqQRIZr8aSow0" TargetMode="External"/><Relationship Id="rId1226" Type="http://schemas.openxmlformats.org/officeDocument/2006/relationships/hyperlink" Target="https://drive.google.com/open?id=OUJbcgTeXdmAKaKbvXO7" TargetMode="External"/><Relationship Id="rId1433" Type="http://schemas.openxmlformats.org/officeDocument/2006/relationships/hyperlink" Target="https://drive.google.com/open?id=Qt0rSPxxLrJIa3u7QVgx" TargetMode="External"/><Relationship Id="rId3" Type="http://schemas.openxmlformats.org/officeDocument/2006/relationships/hyperlink" Target="https://drive.google.com/open?id=1fR7iaO3FftBP67ShxEpoRXM4U7eB0OSA" TargetMode="External"/><Relationship Id="rId235" Type="http://schemas.openxmlformats.org/officeDocument/2006/relationships/hyperlink" Target="https://drive.google.com/open?id=31ZMlGI4m5hUBuh0MVrJ" TargetMode="External"/><Relationship Id="rId442" Type="http://schemas.openxmlformats.org/officeDocument/2006/relationships/hyperlink" Target="https://drive.google.com/open?id=2z4bd02L3oAxZxjWxeJj" TargetMode="External"/><Relationship Id="rId887" Type="http://schemas.openxmlformats.org/officeDocument/2006/relationships/hyperlink" Target="https://drive.google.com/open?id=osUfEigWkd0YRZxDGJhY" TargetMode="External"/><Relationship Id="rId1072" Type="http://schemas.openxmlformats.org/officeDocument/2006/relationships/hyperlink" Target="https://drive.google.com/open?id=gxYb25ZpcmIIagR5Ukvo" TargetMode="External"/><Relationship Id="rId1500" Type="http://schemas.openxmlformats.org/officeDocument/2006/relationships/hyperlink" Target="https://drive.google.com/open?id=a0RLhJm1X9KXpYaqoDlg" TargetMode="External"/><Relationship Id="rId302" Type="http://schemas.openxmlformats.org/officeDocument/2006/relationships/hyperlink" Target="https://drive.google.com/open?id=RjOL9GQvsvZRJdnnjRwo" TargetMode="External"/><Relationship Id="rId747" Type="http://schemas.openxmlformats.org/officeDocument/2006/relationships/hyperlink" Target="https://drive.google.com/open?id=jk98npoJR4RXx3TKpDDT" TargetMode="External"/><Relationship Id="rId954" Type="http://schemas.openxmlformats.org/officeDocument/2006/relationships/hyperlink" Target="https://drive.google.com/open?id=q7gdrjFr71sau5ZOY49S" TargetMode="External"/><Relationship Id="rId1377" Type="http://schemas.openxmlformats.org/officeDocument/2006/relationships/hyperlink" Target="https://drive.google.com/open?id=qqYzSE7pmnr6rFcZDFIa" TargetMode="External"/><Relationship Id="rId83" Type="http://schemas.openxmlformats.org/officeDocument/2006/relationships/hyperlink" Target="https://drive.google.com/open?id=vilvygn3WDXb79HOlMNE" TargetMode="External"/><Relationship Id="rId179" Type="http://schemas.openxmlformats.org/officeDocument/2006/relationships/hyperlink" Target="https://drive.google.com/open?id=LTskSqunAzh9kTagUOYM" TargetMode="External"/><Relationship Id="rId386" Type="http://schemas.openxmlformats.org/officeDocument/2006/relationships/hyperlink" Target="https://drive.google.com/open?id=kaNa7mG1Ug2kvcPEzOAS" TargetMode="External"/><Relationship Id="rId593" Type="http://schemas.openxmlformats.org/officeDocument/2006/relationships/hyperlink" Target="https://drive.google.com/open?id=hDPIWJmRNz22V4P6gapn" TargetMode="External"/><Relationship Id="rId607" Type="http://schemas.openxmlformats.org/officeDocument/2006/relationships/hyperlink" Target="https://drive.google.com/open?id=9KUr4wbeh716XE4tT6YZ" TargetMode="External"/><Relationship Id="rId814" Type="http://schemas.openxmlformats.org/officeDocument/2006/relationships/hyperlink" Target="https://drive.google.com/open?id=MUvFjhHBTQiG9Z23kMWp" TargetMode="External"/><Relationship Id="rId1237" Type="http://schemas.openxmlformats.org/officeDocument/2006/relationships/hyperlink" Target="https://drive.google.com/open?id=VHz2TgYGnZRdLFAebI0y" TargetMode="External"/><Relationship Id="rId1444" Type="http://schemas.openxmlformats.org/officeDocument/2006/relationships/hyperlink" Target="https://drive.google.com/open?id=a6U6BZnZt7fEC9bjdrbS" TargetMode="External"/><Relationship Id="rId246" Type="http://schemas.openxmlformats.org/officeDocument/2006/relationships/hyperlink" Target="https://drive.google.com/open?id=3MEjb4JpEM3WFxm2v1l8" TargetMode="External"/><Relationship Id="rId453" Type="http://schemas.openxmlformats.org/officeDocument/2006/relationships/hyperlink" Target="https://drive.google.com/open?id=HCfqPsdYlpigOI4BTqWU" TargetMode="External"/><Relationship Id="rId660" Type="http://schemas.openxmlformats.org/officeDocument/2006/relationships/hyperlink" Target="https://drive.google.com/open?id=9Kp6gbepRmmNfbJ4gi3m" TargetMode="External"/><Relationship Id="rId898" Type="http://schemas.openxmlformats.org/officeDocument/2006/relationships/hyperlink" Target="https://drive.google.com/open?id=U8FTxGROQJVboI1vrVfT" TargetMode="External"/><Relationship Id="rId1083" Type="http://schemas.openxmlformats.org/officeDocument/2006/relationships/hyperlink" Target="https://drive.google.com/open?id=rnsKTYaUhC3Gvhn4yg6m" TargetMode="External"/><Relationship Id="rId1290" Type="http://schemas.openxmlformats.org/officeDocument/2006/relationships/hyperlink" Target="https://drive.google.com/open?id=xJxP3qPLVbEY91gZFJmD" TargetMode="External"/><Relationship Id="rId1304" Type="http://schemas.openxmlformats.org/officeDocument/2006/relationships/hyperlink" Target="https://drive.google.com/open?id=vvGpvQaIHRKqhpb5Te8w" TargetMode="External"/><Relationship Id="rId106" Type="http://schemas.openxmlformats.org/officeDocument/2006/relationships/hyperlink" Target="https://drive.google.com/open?id=9dVzUPmxmd4ZWcCw2AKj" TargetMode="External"/><Relationship Id="rId313" Type="http://schemas.openxmlformats.org/officeDocument/2006/relationships/hyperlink" Target="https://drive.google.com/open?id=RyfUu6XxLXUV6JwirLX4" TargetMode="External"/><Relationship Id="rId758" Type="http://schemas.openxmlformats.org/officeDocument/2006/relationships/hyperlink" Target="https://drive.google.com/open?id=yKO6Mds2oiGEgRuYFpSK" TargetMode="External"/><Relationship Id="rId965" Type="http://schemas.openxmlformats.org/officeDocument/2006/relationships/hyperlink" Target="https://drive.google.com/open?id=WQlTCAdsrZcpvCVt5DQx" TargetMode="External"/><Relationship Id="rId1150" Type="http://schemas.openxmlformats.org/officeDocument/2006/relationships/hyperlink" Target="https://drive.google.com/open?id=dgSzACHmwBlXqbb2616m" TargetMode="External"/><Relationship Id="rId1388" Type="http://schemas.openxmlformats.org/officeDocument/2006/relationships/hyperlink" Target="https://drive.google.com/open?id=bUHl8KAzqzHBSiT6DJ0n" TargetMode="External"/><Relationship Id="rId10" Type="http://schemas.openxmlformats.org/officeDocument/2006/relationships/hyperlink" Target="https://drive.google.com/open?id=ijrkFx9tkeqaP3VcpBjb" TargetMode="External"/><Relationship Id="rId94" Type="http://schemas.openxmlformats.org/officeDocument/2006/relationships/hyperlink" Target="https://drive.google.com/open?id=G6vKVE7VtQhJTXJVjeZE" TargetMode="External"/><Relationship Id="rId397" Type="http://schemas.openxmlformats.org/officeDocument/2006/relationships/hyperlink" Target="https://drive.google.com/open?id=nsHTqAksUW2YHJBgxLw5" TargetMode="External"/><Relationship Id="rId520" Type="http://schemas.openxmlformats.org/officeDocument/2006/relationships/hyperlink" Target="https://drive.google.com/open?id=rJMGOpjH1aIySPbMXq8K" TargetMode="External"/><Relationship Id="rId618" Type="http://schemas.openxmlformats.org/officeDocument/2006/relationships/hyperlink" Target="https://drive.google.com/open?id=Af9sBqoVhsLzaZrmfU9w" TargetMode="External"/><Relationship Id="rId825" Type="http://schemas.openxmlformats.org/officeDocument/2006/relationships/hyperlink" Target="https://drive.google.com/open?id=Yibt0dhbJRjPsnMAiK0n" TargetMode="External"/><Relationship Id="rId1248" Type="http://schemas.openxmlformats.org/officeDocument/2006/relationships/hyperlink" Target="https://drive.google.com/open?id=Qk9Iwz5srfQwyswgXpr6" TargetMode="External"/><Relationship Id="rId1455" Type="http://schemas.openxmlformats.org/officeDocument/2006/relationships/hyperlink" Target="https://drive.google.com/open?id=y44O2FTNmLc3NMhEK4fz" TargetMode="External"/><Relationship Id="rId257" Type="http://schemas.openxmlformats.org/officeDocument/2006/relationships/hyperlink" Target="https://drive.google.com/open?id=fw6BJepnWr75jMgohMFy" TargetMode="External"/><Relationship Id="rId464" Type="http://schemas.openxmlformats.org/officeDocument/2006/relationships/hyperlink" Target="https://drive.google.com/open?id=t3wfgMU8PZUahnIie54y" TargetMode="External"/><Relationship Id="rId1010" Type="http://schemas.openxmlformats.org/officeDocument/2006/relationships/hyperlink" Target="https://drive.google.com/open?id=hu81pEfkDCu1NntTGxcG" TargetMode="External"/><Relationship Id="rId1094" Type="http://schemas.openxmlformats.org/officeDocument/2006/relationships/hyperlink" Target="https://drive.google.com/open?id=XTfij5wxrb0uPdQc4Vv6" TargetMode="External"/><Relationship Id="rId1108" Type="http://schemas.openxmlformats.org/officeDocument/2006/relationships/hyperlink" Target="https://drive.google.com/open?id=6bcCJAR1lMBBhcMgZqXw" TargetMode="External"/><Relationship Id="rId1315" Type="http://schemas.openxmlformats.org/officeDocument/2006/relationships/hyperlink" Target="https://drive.google.com/open?id=I56sjpZgM1glD1kCgRhu" TargetMode="External"/><Relationship Id="rId117" Type="http://schemas.openxmlformats.org/officeDocument/2006/relationships/hyperlink" Target="https://drive.google.com/open?id=68zMREgQc94gsaw8h365" TargetMode="External"/><Relationship Id="rId671" Type="http://schemas.openxmlformats.org/officeDocument/2006/relationships/hyperlink" Target="https://drive.google.com/open?id=QTZCFQ4ZUeYVjZQj85Lw" TargetMode="External"/><Relationship Id="rId769" Type="http://schemas.openxmlformats.org/officeDocument/2006/relationships/hyperlink" Target="https://drive.google.com/open?id=t9MbXWqwBCI2pbRGdjJe" TargetMode="External"/><Relationship Id="rId976" Type="http://schemas.openxmlformats.org/officeDocument/2006/relationships/hyperlink" Target="https://drive.google.com/open?id=GnVXMeR0y0CTt52p28St" TargetMode="External"/><Relationship Id="rId1399" Type="http://schemas.openxmlformats.org/officeDocument/2006/relationships/hyperlink" Target="https://drive.google.com/open?id=5jm2rRSzqXmFy7RtHOIw" TargetMode="External"/><Relationship Id="rId324" Type="http://schemas.openxmlformats.org/officeDocument/2006/relationships/hyperlink" Target="https://drive.google.com/open?id=EE6nprDoTow7rzYsEM4i" TargetMode="External"/><Relationship Id="rId531" Type="http://schemas.openxmlformats.org/officeDocument/2006/relationships/hyperlink" Target="https://drive.google.com/open?id=CJJQJQx1tO0qL2yWSlhj" TargetMode="External"/><Relationship Id="rId629" Type="http://schemas.openxmlformats.org/officeDocument/2006/relationships/hyperlink" Target="https://drive.google.com/open?id=Wf57pF68afP2Tz2PTHwp" TargetMode="External"/><Relationship Id="rId1161" Type="http://schemas.openxmlformats.org/officeDocument/2006/relationships/hyperlink" Target="https://drive.google.com/open?id=tuNR9F0WZNlThUSwrayv" TargetMode="External"/><Relationship Id="rId1259" Type="http://schemas.openxmlformats.org/officeDocument/2006/relationships/hyperlink" Target="https://drive.google.com/open?id=K8AyMQiNVGu3Jl0oUzEI" TargetMode="External"/><Relationship Id="rId1466" Type="http://schemas.openxmlformats.org/officeDocument/2006/relationships/hyperlink" Target="https://drive.google.com/open?id=lWsZBVDLTfYnc9S4plN5" TargetMode="External"/><Relationship Id="rId836" Type="http://schemas.openxmlformats.org/officeDocument/2006/relationships/hyperlink" Target="https://drive.google.com/open?id=Pdb2lvRn0mFnkIE9KxrJ" TargetMode="External"/><Relationship Id="rId1021" Type="http://schemas.openxmlformats.org/officeDocument/2006/relationships/hyperlink" Target="https://drive.google.com/open?id=0Xps2LtR09w9v6xv8KE9" TargetMode="External"/><Relationship Id="rId1119" Type="http://schemas.openxmlformats.org/officeDocument/2006/relationships/hyperlink" Target="https://drive.google.com/open?id=kHgf6BC5hm3gzdpzwJ0P" TargetMode="External"/><Relationship Id="rId903" Type="http://schemas.openxmlformats.org/officeDocument/2006/relationships/hyperlink" Target="https://drive.google.com/open?id=NQynupCFzOYOy9A75UHq" TargetMode="External"/><Relationship Id="rId1326" Type="http://schemas.openxmlformats.org/officeDocument/2006/relationships/hyperlink" Target="https://drive.google.com/open?id=0JILFRveq6pigtAX78S2" TargetMode="External"/><Relationship Id="rId32" Type="http://schemas.openxmlformats.org/officeDocument/2006/relationships/hyperlink" Target="https://drive.google.com/open?id=BC8rAGNrHYFxonA36Dkw" TargetMode="External"/><Relationship Id="rId181" Type="http://schemas.openxmlformats.org/officeDocument/2006/relationships/hyperlink" Target="https://drive.google.com/open?id=ANHOUxvjmDZmypCtxk8i" TargetMode="External"/><Relationship Id="rId279" Type="http://schemas.openxmlformats.org/officeDocument/2006/relationships/hyperlink" Target="https://drive.google.com/open?id=zaW54x8qkj3dvY8kEPsO" TargetMode="External"/><Relationship Id="rId486" Type="http://schemas.openxmlformats.org/officeDocument/2006/relationships/hyperlink" Target="https://drive.google.com/open?id=CKbGivmjo5fjnu3sEx3Y" TargetMode="External"/><Relationship Id="rId693" Type="http://schemas.openxmlformats.org/officeDocument/2006/relationships/hyperlink" Target="https://drive.google.com/open?id=WFt28AHp7ttFXXZneT6r" TargetMode="External"/><Relationship Id="rId139" Type="http://schemas.openxmlformats.org/officeDocument/2006/relationships/hyperlink" Target="https://drive.google.com/open?id=RFoHnUIPzw8MY8HaeKzE" TargetMode="External"/><Relationship Id="rId346" Type="http://schemas.openxmlformats.org/officeDocument/2006/relationships/hyperlink" Target="https://drive.google.com/open?id=RrHDOrxUnBE6lg92jPxo" TargetMode="External"/><Relationship Id="rId553" Type="http://schemas.openxmlformats.org/officeDocument/2006/relationships/hyperlink" Target="https://drive.google.com/open?id=YNFdEe9Xq3X9QYkinCn5" TargetMode="External"/><Relationship Id="rId760" Type="http://schemas.openxmlformats.org/officeDocument/2006/relationships/hyperlink" Target="https://drive.google.com/open?id=90IXpCSBAg9NYmsLVd7E" TargetMode="External"/><Relationship Id="rId998" Type="http://schemas.openxmlformats.org/officeDocument/2006/relationships/hyperlink" Target="https://drive.google.com/open?id=EQR4LhBmwcyKW8SsITj1" TargetMode="External"/><Relationship Id="rId1183" Type="http://schemas.openxmlformats.org/officeDocument/2006/relationships/hyperlink" Target="https://drive.google.com/open?id=2XwKJh8BFZABWjAxfRTk" TargetMode="External"/><Relationship Id="rId1390" Type="http://schemas.openxmlformats.org/officeDocument/2006/relationships/hyperlink" Target="https://drive.google.com/open?id=zc5Z0W90lNwQGe374U5T" TargetMode="External"/><Relationship Id="rId206" Type="http://schemas.openxmlformats.org/officeDocument/2006/relationships/hyperlink" Target="https://drive.google.com/open?id=2feMTgZzBqiRqF3DLmJS" TargetMode="External"/><Relationship Id="rId413" Type="http://schemas.openxmlformats.org/officeDocument/2006/relationships/hyperlink" Target="https://drive.google.com/open?id=5lel3IWWJVvsOYPWBWLO" TargetMode="External"/><Relationship Id="rId858" Type="http://schemas.openxmlformats.org/officeDocument/2006/relationships/hyperlink" Target="https://drive.google.com/open?id=TsDpJChVRTQwrFZ88Unx" TargetMode="External"/><Relationship Id="rId1043" Type="http://schemas.openxmlformats.org/officeDocument/2006/relationships/hyperlink" Target="https://drive.google.com/open?id=vDd7T5VZvjdTm9zAmlpt" TargetMode="External"/><Relationship Id="rId1488" Type="http://schemas.openxmlformats.org/officeDocument/2006/relationships/hyperlink" Target="https://drive.google.com/open?id=UfK2sPh7ijPRp5MoCFiY" TargetMode="External"/><Relationship Id="rId620" Type="http://schemas.openxmlformats.org/officeDocument/2006/relationships/hyperlink" Target="https://drive.google.com/open?id=7pWUFBbrt17rc89dv7II" TargetMode="External"/><Relationship Id="rId718" Type="http://schemas.openxmlformats.org/officeDocument/2006/relationships/hyperlink" Target="https://drive.google.com/open?id=WVPDs4JhBOgyxVGNHVEx" TargetMode="External"/><Relationship Id="rId925" Type="http://schemas.openxmlformats.org/officeDocument/2006/relationships/hyperlink" Target="https://drive.google.com/open?id=sSsSr8mtdtbC4BHRSwsM" TargetMode="External"/><Relationship Id="rId1250" Type="http://schemas.openxmlformats.org/officeDocument/2006/relationships/hyperlink" Target="https://drive.google.com/open?id=Ve0ASGbxT8kREVzteb9A" TargetMode="External"/><Relationship Id="rId1348" Type="http://schemas.openxmlformats.org/officeDocument/2006/relationships/hyperlink" Target="https://drive.google.com/open?id=FPwI5EQPde78lF7tpkUM" TargetMode="External"/><Relationship Id="rId1110" Type="http://schemas.openxmlformats.org/officeDocument/2006/relationships/hyperlink" Target="https://drive.google.com/open?id=p4Gbrz6klhXiWS8FztFi" TargetMode="External"/><Relationship Id="rId1208" Type="http://schemas.openxmlformats.org/officeDocument/2006/relationships/hyperlink" Target="https://drive.google.com/open?id=3e0oCPpsgiZA412H3ED9" TargetMode="External"/><Relationship Id="rId1415" Type="http://schemas.openxmlformats.org/officeDocument/2006/relationships/hyperlink" Target="https://drive.google.com/open?id=eIsE62v2gx0TI2FQWMlR" TargetMode="External"/><Relationship Id="rId54" Type="http://schemas.openxmlformats.org/officeDocument/2006/relationships/hyperlink" Target="https://drive.google.com/open?id=pSb8THBAVBLD2tr5RNKk" TargetMode="External"/><Relationship Id="rId270" Type="http://schemas.openxmlformats.org/officeDocument/2006/relationships/hyperlink" Target="https://drive.google.com/open?id=wyWhjn7v5kQlyRwszI8g" TargetMode="External"/><Relationship Id="rId130" Type="http://schemas.openxmlformats.org/officeDocument/2006/relationships/hyperlink" Target="https://drive.google.com/open?id=3znaPgfpHiX6z45inZIV" TargetMode="External"/><Relationship Id="rId368" Type="http://schemas.openxmlformats.org/officeDocument/2006/relationships/hyperlink" Target="https://drive.google.com/open?id=Tpy0iI19n4r8OnoUFR8v" TargetMode="External"/><Relationship Id="rId575" Type="http://schemas.openxmlformats.org/officeDocument/2006/relationships/hyperlink" Target="https://drive.google.com/open?id=K3HRfxLoegtOuImZ9bWD" TargetMode="External"/><Relationship Id="rId782" Type="http://schemas.openxmlformats.org/officeDocument/2006/relationships/hyperlink" Target="https://drive.google.com/open?id=kFYlWBZTYI99jyaH3jMd" TargetMode="External"/><Relationship Id="rId228" Type="http://schemas.openxmlformats.org/officeDocument/2006/relationships/hyperlink" Target="https://drive.google.com/open?id=3ygeBpbm3h1XvmDTdtDo" TargetMode="External"/><Relationship Id="rId435" Type="http://schemas.openxmlformats.org/officeDocument/2006/relationships/hyperlink" Target="https://drive.google.com/open?id=ZpVxNodxImpiQVkAUZff" TargetMode="External"/><Relationship Id="rId642" Type="http://schemas.openxmlformats.org/officeDocument/2006/relationships/hyperlink" Target="https://drive.google.com/open?id=sEham0jj82j1EauXxSFX" TargetMode="External"/><Relationship Id="rId1065" Type="http://schemas.openxmlformats.org/officeDocument/2006/relationships/hyperlink" Target="https://drive.google.com/open?id=8y8NMSXlx1jlbJWxPPCE" TargetMode="External"/><Relationship Id="rId1272" Type="http://schemas.openxmlformats.org/officeDocument/2006/relationships/hyperlink" Target="https://drive.google.com/open?id=2Yo3T8MJgbH0XT4UUcmF" TargetMode="External"/><Relationship Id="rId502" Type="http://schemas.openxmlformats.org/officeDocument/2006/relationships/hyperlink" Target="https://drive.google.com/open?id=0vqcSSnoy7tX2RFMu40b" TargetMode="External"/><Relationship Id="rId947" Type="http://schemas.openxmlformats.org/officeDocument/2006/relationships/hyperlink" Target="https://drive.google.com/open?id=MjgXLyVWpKhLZdgxcMFv" TargetMode="External"/><Relationship Id="rId1132" Type="http://schemas.openxmlformats.org/officeDocument/2006/relationships/hyperlink" Target="https://drive.google.com/open?id=HyClDIEOMMYo3xxYvm0d" TargetMode="External"/><Relationship Id="rId76" Type="http://schemas.openxmlformats.org/officeDocument/2006/relationships/hyperlink" Target="https://drive.google.com/open?id=ClKbnj4zZFHm7iXnOwOq" TargetMode="External"/><Relationship Id="rId807" Type="http://schemas.openxmlformats.org/officeDocument/2006/relationships/hyperlink" Target="https://drive.google.com/open?id=ePNbEP3ZuL4LN9Cb0deB" TargetMode="External"/><Relationship Id="rId1437" Type="http://schemas.openxmlformats.org/officeDocument/2006/relationships/hyperlink" Target="https://drive.google.com/open?id=SZqNyrcGzMZecB6oUzVy" TargetMode="External"/><Relationship Id="rId1504" Type="http://schemas.openxmlformats.org/officeDocument/2006/relationships/hyperlink" Target="https://drive.google.com/open?id=1MDzIo0FPuiQld4Nqkuo3JTJmgVFgyLxw" TargetMode="External"/><Relationship Id="rId292" Type="http://schemas.openxmlformats.org/officeDocument/2006/relationships/hyperlink" Target="https://drive.google.com/open?id=NU9ffSETpphzGvh3OSyt" TargetMode="External"/><Relationship Id="rId597" Type="http://schemas.openxmlformats.org/officeDocument/2006/relationships/hyperlink" Target="https://drive.google.com/open?id=JHXvf2uK7h81PRRzHuUn" TargetMode="External"/><Relationship Id="rId152" Type="http://schemas.openxmlformats.org/officeDocument/2006/relationships/hyperlink" Target="https://drive.google.com/open?id=PsiXBLZfu80fjsYLZ14m" TargetMode="External"/><Relationship Id="rId457" Type="http://schemas.openxmlformats.org/officeDocument/2006/relationships/hyperlink" Target="https://drive.google.com/open?id=OIkaLQfHB6Lbs9NnlnEO" TargetMode="External"/><Relationship Id="rId1087" Type="http://schemas.openxmlformats.org/officeDocument/2006/relationships/hyperlink" Target="https://drive.google.com/open?id=tRHwooXjZuBrGubGQe51" TargetMode="External"/><Relationship Id="rId1294" Type="http://schemas.openxmlformats.org/officeDocument/2006/relationships/hyperlink" Target="https://drive.google.com/open?id=aZn9V70FHYm5I3HGOQLF" TargetMode="External"/><Relationship Id="rId664" Type="http://schemas.openxmlformats.org/officeDocument/2006/relationships/hyperlink" Target="https://drive.google.com/open?id=Wtcynfihd1epYS7Mxz6r" TargetMode="External"/><Relationship Id="rId871" Type="http://schemas.openxmlformats.org/officeDocument/2006/relationships/hyperlink" Target="https://drive.google.com/open?id=dRGmfZyrEp9WCQLC4pDA" TargetMode="External"/><Relationship Id="rId969" Type="http://schemas.openxmlformats.org/officeDocument/2006/relationships/hyperlink" Target="https://drive.google.com/open?id=qXKam9EVcDgfzjIPqcaH" TargetMode="External"/><Relationship Id="rId317" Type="http://schemas.openxmlformats.org/officeDocument/2006/relationships/hyperlink" Target="https://drive.google.com/open?id=iOvg4nRrjgBY36bAn3Hs" TargetMode="External"/><Relationship Id="rId524" Type="http://schemas.openxmlformats.org/officeDocument/2006/relationships/hyperlink" Target="https://drive.google.com/open?id=9X8bMKtdktylra8GtWoQ" TargetMode="External"/><Relationship Id="rId731" Type="http://schemas.openxmlformats.org/officeDocument/2006/relationships/hyperlink" Target="https://drive.google.com/open?id=f3AqCqxgflgAn1lYscss" TargetMode="External"/><Relationship Id="rId1154" Type="http://schemas.openxmlformats.org/officeDocument/2006/relationships/hyperlink" Target="https://drive.google.com/open?id=ptIj3QIFUABoR8Y09S9I" TargetMode="External"/><Relationship Id="rId1361" Type="http://schemas.openxmlformats.org/officeDocument/2006/relationships/hyperlink" Target="https://drive.google.com/open?id=xdrZQvz6BZZlDGYdoBiJ" TargetMode="External"/><Relationship Id="rId1459" Type="http://schemas.openxmlformats.org/officeDocument/2006/relationships/hyperlink" Target="https://drive.google.com/open?id=JgzS3HSqNJ6eBiBoN1Ez" TargetMode="External"/><Relationship Id="rId98" Type="http://schemas.openxmlformats.org/officeDocument/2006/relationships/hyperlink" Target="https://drive.google.com/open?id=CGsPzaJWmWMOj53gDyyG" TargetMode="External"/><Relationship Id="rId829" Type="http://schemas.openxmlformats.org/officeDocument/2006/relationships/hyperlink" Target="https://drive.google.com/open?id=m8PL3HFAAsczs4QnZydq" TargetMode="External"/><Relationship Id="rId1014" Type="http://schemas.openxmlformats.org/officeDocument/2006/relationships/hyperlink" Target="https://drive.google.com/open?id=MVz3Jou8tY7YhaxOKTHj" TargetMode="External"/><Relationship Id="rId1221" Type="http://schemas.openxmlformats.org/officeDocument/2006/relationships/hyperlink" Target="https://drive.google.com/open?id=CPxePAGNhEn7AvxsRN6v" TargetMode="External"/><Relationship Id="rId1319" Type="http://schemas.openxmlformats.org/officeDocument/2006/relationships/hyperlink" Target="https://drive.google.com/open?id=sulk4H8AbPgW5NdfAot6" TargetMode="External"/><Relationship Id="rId25" Type="http://schemas.openxmlformats.org/officeDocument/2006/relationships/hyperlink" Target="https://drive.google.com/open?id=buDQT7WEScEhzKf0Sdrm" TargetMode="External"/><Relationship Id="rId174" Type="http://schemas.openxmlformats.org/officeDocument/2006/relationships/hyperlink" Target="https://drive.google.com/open?id=n5pNBZgSMZHc2MJtR2QF" TargetMode="External"/><Relationship Id="rId381" Type="http://schemas.openxmlformats.org/officeDocument/2006/relationships/hyperlink" Target="https://drive.google.com/open?id=Hds23OpU33drmqi5KBsx" TargetMode="External"/><Relationship Id="rId241" Type="http://schemas.openxmlformats.org/officeDocument/2006/relationships/hyperlink" Target="https://drive.google.com/open?id=bgNJz2ql1pLumOUeAXkX" TargetMode="External"/><Relationship Id="rId479" Type="http://schemas.openxmlformats.org/officeDocument/2006/relationships/hyperlink" Target="https://drive.google.com/open?id=aTdyX1BVcg6UcinngTiY" TargetMode="External"/><Relationship Id="rId686" Type="http://schemas.openxmlformats.org/officeDocument/2006/relationships/hyperlink" Target="https://drive.google.com/open?id=62ovaeZJEMpQgh0k2Sub" TargetMode="External"/><Relationship Id="rId893" Type="http://schemas.openxmlformats.org/officeDocument/2006/relationships/hyperlink" Target="https://drive.google.com/open?id=BmgNUaA7gkODZ5GcoWux" TargetMode="External"/><Relationship Id="rId339" Type="http://schemas.openxmlformats.org/officeDocument/2006/relationships/hyperlink" Target="https://drive.google.com/open?id=TZ52TlvuS2onBrEmg5hm" TargetMode="External"/><Relationship Id="rId546" Type="http://schemas.openxmlformats.org/officeDocument/2006/relationships/hyperlink" Target="https://drive.google.com/open?id=UairRVQN23ULrxKSocj7" TargetMode="External"/><Relationship Id="rId753" Type="http://schemas.openxmlformats.org/officeDocument/2006/relationships/hyperlink" Target="https://drive.google.com/open?id=zhGO6hk9sTkEF03syiAV" TargetMode="External"/><Relationship Id="rId1176" Type="http://schemas.openxmlformats.org/officeDocument/2006/relationships/hyperlink" Target="https://drive.google.com/open?id=rspjRWaTnGPvuH5nT8OV" TargetMode="External"/><Relationship Id="rId1383" Type="http://schemas.openxmlformats.org/officeDocument/2006/relationships/hyperlink" Target="https://drive.google.com/open?id=AZQJlWjZ917l3vVAcTVR" TargetMode="External"/><Relationship Id="rId101" Type="http://schemas.openxmlformats.org/officeDocument/2006/relationships/hyperlink" Target="https://drive.google.com/open?id=KrFdv97cxamOWwLeKVPW" TargetMode="External"/><Relationship Id="rId406" Type="http://schemas.openxmlformats.org/officeDocument/2006/relationships/hyperlink" Target="https://drive.google.com/open?id=IjKGU9FnyYe9sWeD5x6i" TargetMode="External"/><Relationship Id="rId960" Type="http://schemas.openxmlformats.org/officeDocument/2006/relationships/hyperlink" Target="https://drive.google.com/open?id=T8RdIWkrA0bhKdLUCmXo" TargetMode="External"/><Relationship Id="rId1036" Type="http://schemas.openxmlformats.org/officeDocument/2006/relationships/hyperlink" Target="https://drive.google.com/open?id=uno3lPsksK07Y8dC4fHe" TargetMode="External"/><Relationship Id="rId1243" Type="http://schemas.openxmlformats.org/officeDocument/2006/relationships/hyperlink" Target="https://drive.google.com/open?id=adHDE3NKCcaF48W5mbjg" TargetMode="External"/><Relationship Id="rId613" Type="http://schemas.openxmlformats.org/officeDocument/2006/relationships/hyperlink" Target="https://drive.google.com/open?id=IAl1Jl9p2ygeCGPictp3" TargetMode="External"/><Relationship Id="rId820" Type="http://schemas.openxmlformats.org/officeDocument/2006/relationships/hyperlink" Target="https://drive.google.com/open?id=Sylrmt91D5tLKpf11h0X" TargetMode="External"/><Relationship Id="rId918" Type="http://schemas.openxmlformats.org/officeDocument/2006/relationships/hyperlink" Target="https://drive.google.com/open?id=EMPgJ1h1jrWFlXMCyA64" TargetMode="External"/><Relationship Id="rId1450" Type="http://schemas.openxmlformats.org/officeDocument/2006/relationships/hyperlink" Target="https://drive.google.com/open?id=WJ8t1RzHYDNzwYCxUnKb" TargetMode="External"/><Relationship Id="rId1103" Type="http://schemas.openxmlformats.org/officeDocument/2006/relationships/hyperlink" Target="https://drive.google.com/open?id=ezdSLvLdlNJzEnujgxfS" TargetMode="External"/><Relationship Id="rId1310" Type="http://schemas.openxmlformats.org/officeDocument/2006/relationships/hyperlink" Target="https://drive.google.com/open?id=nTzhSnfEmusgGyPZYcvq" TargetMode="External"/><Relationship Id="rId1408" Type="http://schemas.openxmlformats.org/officeDocument/2006/relationships/hyperlink" Target="https://drive.google.com/open?id=pllm0zbrdDKLfsZX5kFm" TargetMode="External"/><Relationship Id="rId47" Type="http://schemas.openxmlformats.org/officeDocument/2006/relationships/hyperlink" Target="https://drive.google.com/open?id=8mKuAV4cwUCNIHr1M2g5" TargetMode="External"/><Relationship Id="rId196" Type="http://schemas.openxmlformats.org/officeDocument/2006/relationships/hyperlink" Target="https://drive.google.com/open?id=9C8XbeIZnwcAGqzswXhd" TargetMode="External"/><Relationship Id="rId263" Type="http://schemas.openxmlformats.org/officeDocument/2006/relationships/hyperlink" Target="https://drive.google.com/open?id=VtccvxMeqIsLxRBvOMpv" TargetMode="External"/><Relationship Id="rId470" Type="http://schemas.openxmlformats.org/officeDocument/2006/relationships/hyperlink" Target="https://drive.google.com/open?id=UEGazcngjTeGnnzbswRE" TargetMode="External"/><Relationship Id="rId123" Type="http://schemas.openxmlformats.org/officeDocument/2006/relationships/hyperlink" Target="https://drive.google.com/open?id=kIc3pfuDl6CtpKi54UCC" TargetMode="External"/><Relationship Id="rId330" Type="http://schemas.openxmlformats.org/officeDocument/2006/relationships/hyperlink" Target="https://drive.google.com/open?id=sN8xPgr93daKvJmxFk6o" TargetMode="External"/><Relationship Id="rId568" Type="http://schemas.openxmlformats.org/officeDocument/2006/relationships/hyperlink" Target="https://drive.google.com/open?id=JV3Tg99NyQ6BcR1PXZic" TargetMode="External"/><Relationship Id="rId775" Type="http://schemas.openxmlformats.org/officeDocument/2006/relationships/hyperlink" Target="https://drive.google.com/open?id=6BmR5NGb6L0A5K80feUX" TargetMode="External"/><Relationship Id="rId982" Type="http://schemas.openxmlformats.org/officeDocument/2006/relationships/hyperlink" Target="https://drive.google.com/open?id=lagM3Kvgejiuec999t9T" TargetMode="External"/><Relationship Id="rId1198" Type="http://schemas.openxmlformats.org/officeDocument/2006/relationships/hyperlink" Target="https://drive.google.com/open?id=t1FOtiIcF2qKJ3TlyF9r" TargetMode="External"/><Relationship Id="rId428" Type="http://schemas.openxmlformats.org/officeDocument/2006/relationships/hyperlink" Target="https://drive.google.com/open?id=46FhNC9EPMnnG5b432pe" TargetMode="External"/><Relationship Id="rId635" Type="http://schemas.openxmlformats.org/officeDocument/2006/relationships/hyperlink" Target="https://drive.google.com/open?id=Bj8nxoQmuf51rto8klMr" TargetMode="External"/><Relationship Id="rId842" Type="http://schemas.openxmlformats.org/officeDocument/2006/relationships/hyperlink" Target="https://drive.google.com/open?id=YoIqtJqEILo1zUeF0VgK" TargetMode="External"/><Relationship Id="rId1058" Type="http://schemas.openxmlformats.org/officeDocument/2006/relationships/hyperlink" Target="https://drive.google.com/open?id=jyTklnvwMIp79LgJ3054" TargetMode="External"/><Relationship Id="rId1265" Type="http://schemas.openxmlformats.org/officeDocument/2006/relationships/hyperlink" Target="https://drive.google.com/open?id=9Q9pSCr8cXCZrtnhsp83" TargetMode="External"/><Relationship Id="rId1472" Type="http://schemas.openxmlformats.org/officeDocument/2006/relationships/hyperlink" Target="https://drive.google.com/open?id=TeIk1je8RYzd07H3KBov" TargetMode="External"/><Relationship Id="rId702" Type="http://schemas.openxmlformats.org/officeDocument/2006/relationships/hyperlink" Target="https://drive.google.com/open?id=kwGhIjV6QLrzlcGnLaX6" TargetMode="External"/><Relationship Id="rId1125" Type="http://schemas.openxmlformats.org/officeDocument/2006/relationships/hyperlink" Target="https://drive.google.com/open?id=5VSCgtboqktrOxx8WwMc" TargetMode="External"/><Relationship Id="rId1332" Type="http://schemas.openxmlformats.org/officeDocument/2006/relationships/hyperlink" Target="https://drive.google.com/open?id=VnuqFQH5eUgwbchO6Plq" TargetMode="External"/><Relationship Id="rId69" Type="http://schemas.openxmlformats.org/officeDocument/2006/relationships/hyperlink" Target="https://drive.google.com/open?id=i2WyanvGOHNy54xBHwxy" TargetMode="External"/><Relationship Id="rId285" Type="http://schemas.openxmlformats.org/officeDocument/2006/relationships/hyperlink" Target="https://drive.google.com/open?id=rLxguIsUrt2OdqsoGNGO" TargetMode="External"/><Relationship Id="rId492" Type="http://schemas.openxmlformats.org/officeDocument/2006/relationships/hyperlink" Target="https://drive.google.com/open?id=nnNu2cOC41McbsPW3o1B" TargetMode="External"/><Relationship Id="rId797" Type="http://schemas.openxmlformats.org/officeDocument/2006/relationships/hyperlink" Target="https://drive.google.com/open?id=KrORd0RvLpt5m3N4hrE3" TargetMode="External"/><Relationship Id="rId145" Type="http://schemas.openxmlformats.org/officeDocument/2006/relationships/hyperlink" Target="https://drive.google.com/open?id=vV2KBOGCVlX7kFGK8NgN" TargetMode="External"/><Relationship Id="rId352" Type="http://schemas.openxmlformats.org/officeDocument/2006/relationships/hyperlink" Target="https://drive.google.com/open?id=QioOLCOojHuHHsVtLkrl" TargetMode="External"/><Relationship Id="rId1287" Type="http://schemas.openxmlformats.org/officeDocument/2006/relationships/hyperlink" Target="https://drive.google.com/open?id=0bNQXKd63C8jFhLsfdoh" TargetMode="External"/><Relationship Id="rId212" Type="http://schemas.openxmlformats.org/officeDocument/2006/relationships/hyperlink" Target="https://drive.google.com/open?id=IeNEhJXExZbgCC0yFfLO" TargetMode="External"/><Relationship Id="rId657" Type="http://schemas.openxmlformats.org/officeDocument/2006/relationships/hyperlink" Target="https://drive.google.com/open?id=m5GVVcrgOqlUHeDts4qN" TargetMode="External"/><Relationship Id="rId864" Type="http://schemas.openxmlformats.org/officeDocument/2006/relationships/hyperlink" Target="https://drive.google.com/open?id=wCy4zCYWw5sRJ9v5SVxM" TargetMode="External"/><Relationship Id="rId1494" Type="http://schemas.openxmlformats.org/officeDocument/2006/relationships/hyperlink" Target="https://drive.google.com/open?id=iO1KeNRrpdX8BcBagoyz" TargetMode="External"/><Relationship Id="rId517" Type="http://schemas.openxmlformats.org/officeDocument/2006/relationships/hyperlink" Target="https://drive.google.com/open?id=Ql7879Bfh8FGyuw8f12H" TargetMode="External"/><Relationship Id="rId724" Type="http://schemas.openxmlformats.org/officeDocument/2006/relationships/hyperlink" Target="https://drive.google.com/open?id=PmOwIUhZ0PAWsSzwv9vS" TargetMode="External"/><Relationship Id="rId931" Type="http://schemas.openxmlformats.org/officeDocument/2006/relationships/hyperlink" Target="https://drive.google.com/open?id=yqSOHKmSB5y6UkBB13dC" TargetMode="External"/><Relationship Id="rId1147" Type="http://schemas.openxmlformats.org/officeDocument/2006/relationships/hyperlink" Target="https://drive.google.com/open?id=LbtD1unF7XpsGTHjJonA" TargetMode="External"/><Relationship Id="rId1354" Type="http://schemas.openxmlformats.org/officeDocument/2006/relationships/hyperlink" Target="https://drive.google.com/open?id=9kDC3QOc8NYMpLb5ppMp" TargetMode="External"/><Relationship Id="rId60" Type="http://schemas.openxmlformats.org/officeDocument/2006/relationships/hyperlink" Target="https://drive.google.com/open?id=nLrB7tlPjhresDQJJ6EY" TargetMode="External"/><Relationship Id="rId1007" Type="http://schemas.openxmlformats.org/officeDocument/2006/relationships/hyperlink" Target="https://drive.google.com/open?id=ulUzSJiEEWsn9ouYmPKb" TargetMode="External"/><Relationship Id="rId1214" Type="http://schemas.openxmlformats.org/officeDocument/2006/relationships/hyperlink" Target="https://drive.google.com/open?id=U8geOkK5GNlTp9fuJbka" TargetMode="External"/><Relationship Id="rId1421" Type="http://schemas.openxmlformats.org/officeDocument/2006/relationships/hyperlink" Target="https://drive.google.com/open?id=q8kIIE2YTGo3MUJlZubE" TargetMode="External"/><Relationship Id="rId18" Type="http://schemas.openxmlformats.org/officeDocument/2006/relationships/hyperlink" Target="https://drive.google.com/open?id=8hlkOveiCC3tC1iFWW2S" TargetMode="External"/><Relationship Id="rId167" Type="http://schemas.openxmlformats.org/officeDocument/2006/relationships/hyperlink" Target="https://drive.google.com/open?id=gqpIEZaeJwUtoSCrsBg7" TargetMode="External"/><Relationship Id="rId374" Type="http://schemas.openxmlformats.org/officeDocument/2006/relationships/hyperlink" Target="https://drive.google.com/open?id=G5wLpQsrcV8dJGS8YhWY" TargetMode="External"/><Relationship Id="rId581" Type="http://schemas.openxmlformats.org/officeDocument/2006/relationships/hyperlink" Target="https://drive.google.com/open?id=DqiFRj7vsmruFLYS2d7E" TargetMode="External"/><Relationship Id="rId234" Type="http://schemas.openxmlformats.org/officeDocument/2006/relationships/hyperlink" Target="https://drive.google.com/open?id=Polh81IerHgvkUb62GcY" TargetMode="External"/><Relationship Id="rId679" Type="http://schemas.openxmlformats.org/officeDocument/2006/relationships/hyperlink" Target="https://drive.google.com/open?id=zkPZH2zLdubnQIebi5SO" TargetMode="External"/><Relationship Id="rId886" Type="http://schemas.openxmlformats.org/officeDocument/2006/relationships/hyperlink" Target="https://drive.google.com/open?id=k3e9tHbdtdJmHe3Haagk" TargetMode="External"/><Relationship Id="rId2" Type="http://schemas.openxmlformats.org/officeDocument/2006/relationships/hyperlink" Target="https://drive.google.com/open?id=1KIKIO62Z6BPtKfYUnE6t-l4BxPqe1izG" TargetMode="External"/><Relationship Id="rId441" Type="http://schemas.openxmlformats.org/officeDocument/2006/relationships/hyperlink" Target="https://drive.google.com/open?id=6Jq923zIgC6EuQxiXko7" TargetMode="External"/><Relationship Id="rId539" Type="http://schemas.openxmlformats.org/officeDocument/2006/relationships/hyperlink" Target="https://drive.google.com/open?id=dhL6CAeuKvOcymvZZJep" TargetMode="External"/><Relationship Id="rId746" Type="http://schemas.openxmlformats.org/officeDocument/2006/relationships/hyperlink" Target="https://drive.google.com/open?id=p6IfsKbsu9G24LFcRGna" TargetMode="External"/><Relationship Id="rId1071" Type="http://schemas.openxmlformats.org/officeDocument/2006/relationships/hyperlink" Target="https://drive.google.com/open?id=zQcK2Wh6SLiBdwV8kHx5" TargetMode="External"/><Relationship Id="rId1169" Type="http://schemas.openxmlformats.org/officeDocument/2006/relationships/hyperlink" Target="https://drive.google.com/open?id=yR0p3uE88oEcfL9MNqgq" TargetMode="External"/><Relationship Id="rId1376" Type="http://schemas.openxmlformats.org/officeDocument/2006/relationships/hyperlink" Target="https://drive.google.com/open?id=OpuP9JbaZVr4LyreimFM" TargetMode="External"/><Relationship Id="rId301" Type="http://schemas.openxmlformats.org/officeDocument/2006/relationships/hyperlink" Target="https://drive.google.com/open?id=S1BBHPHh3EsQ6kfoM1Jo" TargetMode="External"/><Relationship Id="rId953" Type="http://schemas.openxmlformats.org/officeDocument/2006/relationships/hyperlink" Target="https://drive.google.com/open?id=jrHqQz4ebpR8lFOWZHwS" TargetMode="External"/><Relationship Id="rId1029" Type="http://schemas.openxmlformats.org/officeDocument/2006/relationships/hyperlink" Target="https://drive.google.com/open?id=kdhyhQOue3CEw8evRa8s" TargetMode="External"/><Relationship Id="rId1236" Type="http://schemas.openxmlformats.org/officeDocument/2006/relationships/hyperlink" Target="https://drive.google.com/open?id=eQKWtIgsaUm9jaMXyLaE" TargetMode="External"/><Relationship Id="rId82" Type="http://schemas.openxmlformats.org/officeDocument/2006/relationships/hyperlink" Target="https://drive.google.com/open?id=dPpFn5ZVAEaWdbrPkowP" TargetMode="External"/><Relationship Id="rId606" Type="http://schemas.openxmlformats.org/officeDocument/2006/relationships/hyperlink" Target="https://drive.google.com/open?id=7Te8R9ZyuPMIojs6gSvi" TargetMode="External"/><Relationship Id="rId813" Type="http://schemas.openxmlformats.org/officeDocument/2006/relationships/hyperlink" Target="https://drive.google.com/open?id=yrMmOrJRPbcJHtNPiAUw" TargetMode="External"/><Relationship Id="rId1443" Type="http://schemas.openxmlformats.org/officeDocument/2006/relationships/hyperlink" Target="https://drive.google.com/open?id=4tvtJWpCakRuNQVWyVFY" TargetMode="External"/><Relationship Id="rId1303" Type="http://schemas.openxmlformats.org/officeDocument/2006/relationships/hyperlink" Target="https://drive.google.com/open?id=O1hqsmczdLIWuVu6zVZ5" TargetMode="External"/><Relationship Id="rId189" Type="http://schemas.openxmlformats.org/officeDocument/2006/relationships/hyperlink" Target="https://drive.google.com/open?id=s9lyglX6CQvx1zPt0w17" TargetMode="External"/><Relationship Id="rId396" Type="http://schemas.openxmlformats.org/officeDocument/2006/relationships/hyperlink" Target="https://drive.google.com/open?id=LdYTqOvhN1MfiNLpn1nU" TargetMode="External"/><Relationship Id="rId256" Type="http://schemas.openxmlformats.org/officeDocument/2006/relationships/hyperlink" Target="https://drive.google.com/open?id=wWcYHFd1jUrzqmhpSMFI" TargetMode="External"/><Relationship Id="rId463" Type="http://schemas.openxmlformats.org/officeDocument/2006/relationships/hyperlink" Target="https://drive.google.com/open?id=rV5sVSyBeafsNDTA5Ntf" TargetMode="External"/><Relationship Id="rId670" Type="http://schemas.openxmlformats.org/officeDocument/2006/relationships/hyperlink" Target="https://drive.google.com/open?id=SdjfencBtLt3Xv5WFX96" TargetMode="External"/><Relationship Id="rId1093" Type="http://schemas.openxmlformats.org/officeDocument/2006/relationships/hyperlink" Target="https://drive.google.com/open?id=LzvZmRDpEwGyz2FK0yOt" TargetMode="External"/><Relationship Id="rId116" Type="http://schemas.openxmlformats.org/officeDocument/2006/relationships/hyperlink" Target="https://drive.google.com/open?id=vhClRzzoAcQysLjyuYwq" TargetMode="External"/><Relationship Id="rId323" Type="http://schemas.openxmlformats.org/officeDocument/2006/relationships/hyperlink" Target="https://drive.google.com/open?id=K6MuHh5382YRP3EA2aX7" TargetMode="External"/><Relationship Id="rId530" Type="http://schemas.openxmlformats.org/officeDocument/2006/relationships/hyperlink" Target="https://drive.google.com/open?id=f4gI4WWOQYBTC1MuAOPv" TargetMode="External"/><Relationship Id="rId768" Type="http://schemas.openxmlformats.org/officeDocument/2006/relationships/hyperlink" Target="https://drive.google.com/open?id=7lyhOBao8t0wM5mewdCF" TargetMode="External"/><Relationship Id="rId975" Type="http://schemas.openxmlformats.org/officeDocument/2006/relationships/hyperlink" Target="https://drive.google.com/open?id=Jyvh8g685ijXmbpH6Dr1" TargetMode="External"/><Relationship Id="rId1160" Type="http://schemas.openxmlformats.org/officeDocument/2006/relationships/hyperlink" Target="https://drive.google.com/open?id=06I2WMPDdUtPcoktlHPS" TargetMode="External"/><Relationship Id="rId1398" Type="http://schemas.openxmlformats.org/officeDocument/2006/relationships/hyperlink" Target="https://drive.google.com/open?id=l0sDgubbLVc8Rfq2Ajyb" TargetMode="External"/><Relationship Id="rId628" Type="http://schemas.openxmlformats.org/officeDocument/2006/relationships/hyperlink" Target="https://drive.google.com/open?id=aoVJEQTBZfO3dnJztOUb" TargetMode="External"/><Relationship Id="rId835" Type="http://schemas.openxmlformats.org/officeDocument/2006/relationships/hyperlink" Target="https://drive.google.com/open?id=qzopqW4FIKunwtzuUic5" TargetMode="External"/><Relationship Id="rId1258" Type="http://schemas.openxmlformats.org/officeDocument/2006/relationships/hyperlink" Target="https://drive.google.com/open?id=DR7ggVeazLXlgcGfV2Ev" TargetMode="External"/><Relationship Id="rId1465" Type="http://schemas.openxmlformats.org/officeDocument/2006/relationships/hyperlink" Target="https://drive.google.com/open?id=Rw7u9f0HnEDmfxrIUl03" TargetMode="External"/><Relationship Id="rId1020" Type="http://schemas.openxmlformats.org/officeDocument/2006/relationships/hyperlink" Target="https://drive.google.com/open?id=ohVjHQscxWdOBOQPRdRY" TargetMode="External"/><Relationship Id="rId1118" Type="http://schemas.openxmlformats.org/officeDocument/2006/relationships/hyperlink" Target="https://drive.google.com/open?id=AcCSU4TdF2bzBCrZtXYb" TargetMode="External"/><Relationship Id="rId1325" Type="http://schemas.openxmlformats.org/officeDocument/2006/relationships/hyperlink" Target="https://drive.google.com/open?id=WsQiJOQUPLVCZZBVKYq5" TargetMode="External"/><Relationship Id="rId902" Type="http://schemas.openxmlformats.org/officeDocument/2006/relationships/hyperlink" Target="https://drive.google.com/open?id=UdpNJy6smsF12uHE7xJb" TargetMode="External"/><Relationship Id="rId31" Type="http://schemas.openxmlformats.org/officeDocument/2006/relationships/hyperlink" Target="https://drive.google.com/open?id=FRx0JMHEwduUU3tSeqXc" TargetMode="External"/><Relationship Id="rId180" Type="http://schemas.openxmlformats.org/officeDocument/2006/relationships/hyperlink" Target="https://drive.google.com/open?id=ffkQuhL5EptZT1QnDxR0" TargetMode="External"/><Relationship Id="rId278" Type="http://schemas.openxmlformats.org/officeDocument/2006/relationships/hyperlink" Target="https://drive.google.com/open?id=GhsMzfGWtRVT767prL64" TargetMode="External"/><Relationship Id="rId485" Type="http://schemas.openxmlformats.org/officeDocument/2006/relationships/hyperlink" Target="https://drive.google.com/open?id=1dtc2giYhWtH6bFsNTb6" TargetMode="External"/><Relationship Id="rId692" Type="http://schemas.openxmlformats.org/officeDocument/2006/relationships/hyperlink" Target="https://drive.google.com/open?id=pczV6zY21OiN12lLSNjK" TargetMode="External"/><Relationship Id="rId138" Type="http://schemas.openxmlformats.org/officeDocument/2006/relationships/hyperlink" Target="https://drive.google.com/open?id=MHamZTvkWsaISQDdPvap" TargetMode="External"/><Relationship Id="rId345" Type="http://schemas.openxmlformats.org/officeDocument/2006/relationships/hyperlink" Target="https://drive.google.com/open?id=joUtDYGOgXFJyygJeG88" TargetMode="External"/><Relationship Id="rId552" Type="http://schemas.openxmlformats.org/officeDocument/2006/relationships/hyperlink" Target="https://drive.google.com/open?id=VAv1SoA11lzdMRMueZFf" TargetMode="External"/><Relationship Id="rId997" Type="http://schemas.openxmlformats.org/officeDocument/2006/relationships/hyperlink" Target="https://drive.google.com/open?id=eAwac5fFDDF2DEHpnJgW" TargetMode="External"/><Relationship Id="rId1182" Type="http://schemas.openxmlformats.org/officeDocument/2006/relationships/hyperlink" Target="https://drive.google.com/open?id=N23tUmoohpvNMyK0iBZq" TargetMode="External"/><Relationship Id="rId205" Type="http://schemas.openxmlformats.org/officeDocument/2006/relationships/hyperlink" Target="https://drive.google.com/open?id=bMuinmrdcHIql3qey1wM" TargetMode="External"/><Relationship Id="rId412" Type="http://schemas.openxmlformats.org/officeDocument/2006/relationships/hyperlink" Target="https://drive.google.com/open?id=ciizIKy0SU4uRobATSce" TargetMode="External"/><Relationship Id="rId857" Type="http://schemas.openxmlformats.org/officeDocument/2006/relationships/hyperlink" Target="https://drive.google.com/open?id=cwq8ci0xIie9IVxGQk5n" TargetMode="External"/><Relationship Id="rId1042" Type="http://schemas.openxmlformats.org/officeDocument/2006/relationships/hyperlink" Target="https://drive.google.com/open?id=bGOq5BKUx3sk6CltLEF9" TargetMode="External"/><Relationship Id="rId1487" Type="http://schemas.openxmlformats.org/officeDocument/2006/relationships/hyperlink" Target="https://drive.google.com/open?id=jtTSiBS8cOgKYdCMtmq0" TargetMode="External"/><Relationship Id="rId717" Type="http://schemas.openxmlformats.org/officeDocument/2006/relationships/hyperlink" Target="https://drive.google.com/open?id=xQvAxPven1ZGAFzNxAMY" TargetMode="External"/><Relationship Id="rId924" Type="http://schemas.openxmlformats.org/officeDocument/2006/relationships/hyperlink" Target="https://drive.google.com/open?id=0gZzFSQmNPRRzV7pn34k" TargetMode="External"/><Relationship Id="rId1347" Type="http://schemas.openxmlformats.org/officeDocument/2006/relationships/hyperlink" Target="https://drive.google.com/open?id=3B5PQ2XRu2TsXqwSz9aZ" TargetMode="External"/><Relationship Id="rId53" Type="http://schemas.openxmlformats.org/officeDocument/2006/relationships/hyperlink" Target="https://drive.google.com/open?id=EeboEThErfJYTVeisZwR" TargetMode="External"/><Relationship Id="rId1207" Type="http://schemas.openxmlformats.org/officeDocument/2006/relationships/hyperlink" Target="https://drive.google.com/open?id=FL7KXfhPsmFUOxIt7JmA" TargetMode="External"/><Relationship Id="rId1414" Type="http://schemas.openxmlformats.org/officeDocument/2006/relationships/hyperlink" Target="https://drive.google.com/open?id=KnQV2ktE7d8pqS7KJse9" TargetMode="External"/><Relationship Id="rId367" Type="http://schemas.openxmlformats.org/officeDocument/2006/relationships/hyperlink" Target="https://drive.google.com/open?id=3QEN1BU8HmHPrZi4giTQ" TargetMode="External"/><Relationship Id="rId574" Type="http://schemas.openxmlformats.org/officeDocument/2006/relationships/hyperlink" Target="https://drive.google.com/open?id=yUp4rMhH0E05Y1H59tPP" TargetMode="External"/><Relationship Id="rId227" Type="http://schemas.openxmlformats.org/officeDocument/2006/relationships/hyperlink" Target="https://drive.google.com/open?id=aDhBRV6278uk9J5OowSK" TargetMode="External"/><Relationship Id="rId781" Type="http://schemas.openxmlformats.org/officeDocument/2006/relationships/hyperlink" Target="https://drive.google.com/open?id=RRN0E8HatI9MECqCLZm6" TargetMode="External"/><Relationship Id="rId879" Type="http://schemas.openxmlformats.org/officeDocument/2006/relationships/hyperlink" Target="https://drive.google.com/open?id=8Y5B2UkRDibiBnIiIMIH" TargetMode="External"/><Relationship Id="rId434" Type="http://schemas.openxmlformats.org/officeDocument/2006/relationships/hyperlink" Target="https://drive.google.com/open?id=AXAcRpsC3vJIoNByXz7m" TargetMode="External"/><Relationship Id="rId641" Type="http://schemas.openxmlformats.org/officeDocument/2006/relationships/hyperlink" Target="https://drive.google.com/open?id=f7CygVX3IuThbIh29NAD" TargetMode="External"/><Relationship Id="rId739" Type="http://schemas.openxmlformats.org/officeDocument/2006/relationships/hyperlink" Target="https://drive.google.com/open?id=YHxAexax3CU2hK7GZJQL" TargetMode="External"/><Relationship Id="rId1064" Type="http://schemas.openxmlformats.org/officeDocument/2006/relationships/hyperlink" Target="https://drive.google.com/open?id=aU6f3mt2o5SNd8aJFF4O" TargetMode="External"/><Relationship Id="rId1271" Type="http://schemas.openxmlformats.org/officeDocument/2006/relationships/hyperlink" Target="https://drive.google.com/open?id=QGnspZNiQNnrcBF0KkR0" TargetMode="External"/><Relationship Id="rId1369" Type="http://schemas.openxmlformats.org/officeDocument/2006/relationships/hyperlink" Target="https://drive.google.com/open?id=QKZi1A510PcQopQN2Xg1" TargetMode="External"/><Relationship Id="rId501" Type="http://schemas.openxmlformats.org/officeDocument/2006/relationships/hyperlink" Target="https://drive.google.com/open?id=G0YEu05H0V3sSJt4ZHMH" TargetMode="External"/><Relationship Id="rId946" Type="http://schemas.openxmlformats.org/officeDocument/2006/relationships/hyperlink" Target="https://drive.google.com/open?id=e6EBdNSakyOI2onojn4A" TargetMode="External"/><Relationship Id="rId1131" Type="http://schemas.openxmlformats.org/officeDocument/2006/relationships/hyperlink" Target="https://drive.google.com/open?id=7Gc4DudmUiYdEJh87VbJ" TargetMode="External"/><Relationship Id="rId1229" Type="http://schemas.openxmlformats.org/officeDocument/2006/relationships/hyperlink" Target="https://drive.google.com/open?id=oqE98zNuyCUDcoprv2uX" TargetMode="External"/><Relationship Id="rId75" Type="http://schemas.openxmlformats.org/officeDocument/2006/relationships/hyperlink" Target="https://drive.google.com/open?id=ixUzzr1WrJZ4y1N3N3vL" TargetMode="External"/><Relationship Id="rId806" Type="http://schemas.openxmlformats.org/officeDocument/2006/relationships/hyperlink" Target="https://drive.google.com/open?id=Rr9U6TrQ3JH3LjBew6lZ" TargetMode="External"/><Relationship Id="rId1436" Type="http://schemas.openxmlformats.org/officeDocument/2006/relationships/hyperlink" Target="https://drive.google.com/open?id=wD4M0ud53HaJWbS7YquQ" TargetMode="External"/><Relationship Id="rId1503" Type="http://schemas.openxmlformats.org/officeDocument/2006/relationships/hyperlink" Target="https://drive.google.com/open?id=g1gmv9gxQ7HI2Vhj4NBi" TargetMode="External"/><Relationship Id="rId291" Type="http://schemas.openxmlformats.org/officeDocument/2006/relationships/hyperlink" Target="https://drive.google.com/open?id=QVqMBtXVKXOWm9T5YLec" TargetMode="External"/><Relationship Id="rId151" Type="http://schemas.openxmlformats.org/officeDocument/2006/relationships/hyperlink" Target="https://drive.google.com/open?id=aqBCnt7oWVn699OBrdxc" TargetMode="External"/><Relationship Id="rId389" Type="http://schemas.openxmlformats.org/officeDocument/2006/relationships/hyperlink" Target="https://drive.google.com/open?id=VPEwy218BVzOpPWKXIlP" TargetMode="External"/><Relationship Id="rId596" Type="http://schemas.openxmlformats.org/officeDocument/2006/relationships/hyperlink" Target="https://drive.google.com/open?id=fx8lM7KPYQDowSwYZHxO" TargetMode="External"/><Relationship Id="rId249" Type="http://schemas.openxmlformats.org/officeDocument/2006/relationships/hyperlink" Target="https://drive.google.com/open?id=cDJkR4dSAJBOAdo6SvXk" TargetMode="External"/><Relationship Id="rId456" Type="http://schemas.openxmlformats.org/officeDocument/2006/relationships/hyperlink" Target="https://drive.google.com/open?id=xFOfmjOHExuZTImmPYuf" TargetMode="External"/><Relationship Id="rId663" Type="http://schemas.openxmlformats.org/officeDocument/2006/relationships/hyperlink" Target="https://drive.google.com/open?id=HhOy1yD2WzsAJjekGQ63" TargetMode="External"/><Relationship Id="rId870" Type="http://schemas.openxmlformats.org/officeDocument/2006/relationships/hyperlink" Target="https://drive.google.com/open?id=RmBIWuBbgziuXdeboRCR" TargetMode="External"/><Relationship Id="rId1086" Type="http://schemas.openxmlformats.org/officeDocument/2006/relationships/hyperlink" Target="https://drive.google.com/open?id=6TrlXa8JJirfLYqU5OP3" TargetMode="External"/><Relationship Id="rId1293" Type="http://schemas.openxmlformats.org/officeDocument/2006/relationships/hyperlink" Target="https://drive.google.com/open?id=wFnY3ehjwPKAnIHWd7rw" TargetMode="External"/><Relationship Id="rId109" Type="http://schemas.openxmlformats.org/officeDocument/2006/relationships/hyperlink" Target="https://drive.google.com/open?id=cITKzViifOr9FvcNkUGi" TargetMode="External"/><Relationship Id="rId316" Type="http://schemas.openxmlformats.org/officeDocument/2006/relationships/hyperlink" Target="https://drive.google.com/open?id=1xwfW39i789p8UNwsiCg" TargetMode="External"/><Relationship Id="rId523" Type="http://schemas.openxmlformats.org/officeDocument/2006/relationships/hyperlink" Target="https://drive.google.com/open?id=O8KnIHHWGESXUGKE6dkq" TargetMode="External"/><Relationship Id="rId968" Type="http://schemas.openxmlformats.org/officeDocument/2006/relationships/hyperlink" Target="https://drive.google.com/open?id=7t4JNYRNmfYzLvv6bY9c" TargetMode="External"/><Relationship Id="rId1153" Type="http://schemas.openxmlformats.org/officeDocument/2006/relationships/hyperlink" Target="https://drive.google.com/open?id=G9mmcrMZSijj2WwXIcBV" TargetMode="External"/><Relationship Id="rId97" Type="http://schemas.openxmlformats.org/officeDocument/2006/relationships/hyperlink" Target="https://drive.google.com/open?id=gLJG0UbHhrqJd39AqfeG" TargetMode="External"/><Relationship Id="rId730" Type="http://schemas.openxmlformats.org/officeDocument/2006/relationships/hyperlink" Target="https://drive.google.com/open?id=taVWy3m8BoiZYgluBlMi" TargetMode="External"/><Relationship Id="rId828" Type="http://schemas.openxmlformats.org/officeDocument/2006/relationships/hyperlink" Target="https://drive.google.com/open?id=CC3FuG5ra9BiRtbeH4Te" TargetMode="External"/><Relationship Id="rId1013" Type="http://schemas.openxmlformats.org/officeDocument/2006/relationships/hyperlink" Target="https://drive.google.com/open?id=mJ1Y7dn9apRLZMvpFMUY" TargetMode="External"/><Relationship Id="rId1360" Type="http://schemas.openxmlformats.org/officeDocument/2006/relationships/hyperlink" Target="https://drive.google.com/open?id=G2r9jvKiuW9hGpmBniyS" TargetMode="External"/><Relationship Id="rId1458" Type="http://schemas.openxmlformats.org/officeDocument/2006/relationships/hyperlink" Target="https://drive.google.com/open?id=y9lJBsXbhdZmfU5bjqW4" TargetMode="External"/><Relationship Id="rId1220" Type="http://schemas.openxmlformats.org/officeDocument/2006/relationships/hyperlink" Target="https://drive.google.com/open?id=SrDetkijjSMpfp18eZE2" TargetMode="External"/><Relationship Id="rId1318" Type="http://schemas.openxmlformats.org/officeDocument/2006/relationships/hyperlink" Target="https://drive.google.com/open?id=CKv4K7dDUA2yTiu0y1Wv" TargetMode="External"/><Relationship Id="rId24" Type="http://schemas.openxmlformats.org/officeDocument/2006/relationships/hyperlink" Target="https://drive.google.com/open?id=55VZYCMwA9oSacwDY24O" TargetMode="External"/><Relationship Id="rId173" Type="http://schemas.openxmlformats.org/officeDocument/2006/relationships/hyperlink" Target="https://drive.google.com/open?id=4lHr6Pj6HxZEYgpt1uvu" TargetMode="External"/><Relationship Id="rId380" Type="http://schemas.openxmlformats.org/officeDocument/2006/relationships/hyperlink" Target="https://drive.google.com/open?id=s2GQXzDRfpMyIAlHnixU" TargetMode="External"/><Relationship Id="rId240" Type="http://schemas.openxmlformats.org/officeDocument/2006/relationships/hyperlink" Target="https://drive.google.com/open?id=vlZVqiKVQaMerOtI3MR9" TargetMode="External"/><Relationship Id="rId478" Type="http://schemas.openxmlformats.org/officeDocument/2006/relationships/hyperlink" Target="https://drive.google.com/open?id=4x49NdbXiiLZiTYX0XTY" TargetMode="External"/><Relationship Id="rId685" Type="http://schemas.openxmlformats.org/officeDocument/2006/relationships/hyperlink" Target="https://drive.google.com/open?id=uYwaBXTuSX4UcrcqEOlh" TargetMode="External"/><Relationship Id="rId892" Type="http://schemas.openxmlformats.org/officeDocument/2006/relationships/hyperlink" Target="https://drive.google.com/open?id=V3Lu8biDio2tZbpLfPtW" TargetMode="External"/><Relationship Id="rId100" Type="http://schemas.openxmlformats.org/officeDocument/2006/relationships/hyperlink" Target="https://drive.google.com/open?id=HnpBPmrLYz2J7a6XFvGL" TargetMode="External"/><Relationship Id="rId338" Type="http://schemas.openxmlformats.org/officeDocument/2006/relationships/hyperlink" Target="https://drive.google.com/open?id=zlVyVdKiGmZtMXfpKUhu" TargetMode="External"/><Relationship Id="rId545" Type="http://schemas.openxmlformats.org/officeDocument/2006/relationships/hyperlink" Target="https://drive.google.com/open?id=DGB2LGT5t6ubbQZwXZDc" TargetMode="External"/><Relationship Id="rId752" Type="http://schemas.openxmlformats.org/officeDocument/2006/relationships/hyperlink" Target="https://drive.google.com/open?id=SRP85mvTVvhjaLTFp9Xq" TargetMode="External"/><Relationship Id="rId1175" Type="http://schemas.openxmlformats.org/officeDocument/2006/relationships/hyperlink" Target="https://drive.google.com/open?id=jDQ5muR3cl13M4ij40iH" TargetMode="External"/><Relationship Id="rId1382" Type="http://schemas.openxmlformats.org/officeDocument/2006/relationships/hyperlink" Target="https://drive.google.com/open?id=oaBPMic0KvkEYyUhfTmT" TargetMode="External"/><Relationship Id="rId405" Type="http://schemas.openxmlformats.org/officeDocument/2006/relationships/hyperlink" Target="https://drive.google.com/open?id=GGkUYP4PWnH5S27vtNNl" TargetMode="External"/><Relationship Id="rId612" Type="http://schemas.openxmlformats.org/officeDocument/2006/relationships/hyperlink" Target="https://drive.google.com/open?id=m7a4u2WfdKh6R8pkJhAE" TargetMode="External"/><Relationship Id="rId1035" Type="http://schemas.openxmlformats.org/officeDocument/2006/relationships/hyperlink" Target="https://drive.google.com/open?id=gEsXcBv3TZPXQX2UNcT6" TargetMode="External"/><Relationship Id="rId1242" Type="http://schemas.openxmlformats.org/officeDocument/2006/relationships/hyperlink" Target="https://drive.google.com/open?id=Ewi6g228j17rllNXbLtg" TargetMode="External"/><Relationship Id="rId917" Type="http://schemas.openxmlformats.org/officeDocument/2006/relationships/hyperlink" Target="https://drive.google.com/open?id=GyCseV8HlCXhhXPQRGgp" TargetMode="External"/><Relationship Id="rId1102" Type="http://schemas.openxmlformats.org/officeDocument/2006/relationships/hyperlink" Target="https://drive.google.com/open?id=0Ezur2SVvT59i5jRhieq" TargetMode="External"/><Relationship Id="rId46" Type="http://schemas.openxmlformats.org/officeDocument/2006/relationships/hyperlink" Target="https://drive.google.com/open?id=vKFXrG6ILr3751SxcrA6" TargetMode="External"/><Relationship Id="rId1407" Type="http://schemas.openxmlformats.org/officeDocument/2006/relationships/hyperlink" Target="https://drive.google.com/open?id=Tjwt0arRTM0QfeqCyFHr" TargetMode="External"/><Relationship Id="rId195" Type="http://schemas.openxmlformats.org/officeDocument/2006/relationships/hyperlink" Target="https://drive.google.com/open?id=5hK9i6Cg01EcBTX0lb59" TargetMode="External"/><Relationship Id="rId262" Type="http://schemas.openxmlformats.org/officeDocument/2006/relationships/hyperlink" Target="https://drive.google.com/open?id=PMx6afHAUMqPTg4inMay" TargetMode="External"/><Relationship Id="rId567" Type="http://schemas.openxmlformats.org/officeDocument/2006/relationships/hyperlink" Target="https://drive.google.com/open?id=AGg7rTyeY4QI0jJyqDbm" TargetMode="External"/><Relationship Id="rId1197" Type="http://schemas.openxmlformats.org/officeDocument/2006/relationships/hyperlink" Target="https://drive.google.com/open?id=Hysfpxt0oUuEyczWFVwe" TargetMode="External"/><Relationship Id="rId122" Type="http://schemas.openxmlformats.org/officeDocument/2006/relationships/hyperlink" Target="https://drive.google.com/open?id=sG5H7BO9cR0dVpXfz1rO" TargetMode="External"/><Relationship Id="rId774" Type="http://schemas.openxmlformats.org/officeDocument/2006/relationships/hyperlink" Target="https://drive.google.com/open?id=BGIr5aCINc2hTAoNYgzr" TargetMode="External"/><Relationship Id="rId981" Type="http://schemas.openxmlformats.org/officeDocument/2006/relationships/hyperlink" Target="https://drive.google.com/open?id=0KBU3dKq1BjgulzyyXg3" TargetMode="External"/><Relationship Id="rId1057" Type="http://schemas.openxmlformats.org/officeDocument/2006/relationships/hyperlink" Target="https://drive.google.com/open?id=3SVKLke1ORy9Tt0sCK7w" TargetMode="External"/><Relationship Id="rId427" Type="http://schemas.openxmlformats.org/officeDocument/2006/relationships/hyperlink" Target="https://drive.google.com/open?id=MUgrrF2F0Dk1kS8fd23h" TargetMode="External"/><Relationship Id="rId634" Type="http://schemas.openxmlformats.org/officeDocument/2006/relationships/hyperlink" Target="https://drive.google.com/open?id=PcwJFjQstsIc9eIuRCh3" TargetMode="External"/><Relationship Id="rId841" Type="http://schemas.openxmlformats.org/officeDocument/2006/relationships/hyperlink" Target="https://drive.google.com/open?id=mr5z2VrCGIA9qsQbYH09" TargetMode="External"/><Relationship Id="rId1264" Type="http://schemas.openxmlformats.org/officeDocument/2006/relationships/hyperlink" Target="https://drive.google.com/open?id=OeWo3BMkmji8ubtuARls" TargetMode="External"/><Relationship Id="rId1471" Type="http://schemas.openxmlformats.org/officeDocument/2006/relationships/hyperlink" Target="https://drive.google.com/open?id=Xj6FVznyp1hAQ8fG1ypA" TargetMode="External"/><Relationship Id="rId701" Type="http://schemas.openxmlformats.org/officeDocument/2006/relationships/hyperlink" Target="https://drive.google.com/open?id=CoVej0O18VEtd15vo5UF" TargetMode="External"/><Relationship Id="rId939" Type="http://schemas.openxmlformats.org/officeDocument/2006/relationships/hyperlink" Target="https://drive.google.com/open?id=pGCWvPrCnxs8ah6nv2Kz" TargetMode="External"/><Relationship Id="rId1124" Type="http://schemas.openxmlformats.org/officeDocument/2006/relationships/hyperlink" Target="https://drive.google.com/open?id=XYT8TyhY4BxmdnrTXDSK" TargetMode="External"/><Relationship Id="rId1331" Type="http://schemas.openxmlformats.org/officeDocument/2006/relationships/hyperlink" Target="https://drive.google.com/open?id=wr2POiyxVMtGNmt2L6TH" TargetMode="External"/><Relationship Id="rId68" Type="http://schemas.openxmlformats.org/officeDocument/2006/relationships/hyperlink" Target="https://drive.google.com/open?id=IBHAu7uqejU5WaxtpRSQ" TargetMode="External"/><Relationship Id="rId1429" Type="http://schemas.openxmlformats.org/officeDocument/2006/relationships/hyperlink" Target="https://drive.google.com/open?id=FfnWomIrRcMdyTIVsaCW" TargetMode="External"/><Relationship Id="rId284" Type="http://schemas.openxmlformats.org/officeDocument/2006/relationships/hyperlink" Target="https://drive.google.com/open?id=K1WwmbIGrBbC0o4SLYhu" TargetMode="External"/><Relationship Id="rId491" Type="http://schemas.openxmlformats.org/officeDocument/2006/relationships/hyperlink" Target="https://drive.google.com/open?id=LTZGzrk4orqHRa9Xf0s4" TargetMode="External"/><Relationship Id="rId144" Type="http://schemas.openxmlformats.org/officeDocument/2006/relationships/hyperlink" Target="https://drive.google.com/open?id=zirJA8qMp5yCPde1mgUe" TargetMode="External"/><Relationship Id="rId589" Type="http://schemas.openxmlformats.org/officeDocument/2006/relationships/hyperlink" Target="https://drive.google.com/open?id=0g47NrcCqtskx04tYtSB" TargetMode="External"/><Relationship Id="rId796" Type="http://schemas.openxmlformats.org/officeDocument/2006/relationships/hyperlink" Target="https://drive.google.com/open?id=Am7dgFXBWhAkc4frS7Xg" TargetMode="External"/><Relationship Id="rId351" Type="http://schemas.openxmlformats.org/officeDocument/2006/relationships/hyperlink" Target="https://drive.google.com/open?id=wCS5UtEGfwOzzPZxHCjd" TargetMode="External"/><Relationship Id="rId449" Type="http://schemas.openxmlformats.org/officeDocument/2006/relationships/hyperlink" Target="https://drive.google.com/open?id=qxtd6WjzJQQexUtKXkMy" TargetMode="External"/><Relationship Id="rId656" Type="http://schemas.openxmlformats.org/officeDocument/2006/relationships/hyperlink" Target="https://drive.google.com/open?id=sT1WmW8LGJ0sc4nVz5PD" TargetMode="External"/><Relationship Id="rId863" Type="http://schemas.openxmlformats.org/officeDocument/2006/relationships/hyperlink" Target="https://drive.google.com/open?id=LxtZyakBlD1mVmRY2Gfy" TargetMode="External"/><Relationship Id="rId1079" Type="http://schemas.openxmlformats.org/officeDocument/2006/relationships/hyperlink" Target="https://drive.google.com/open?id=HAov8cHGV76X779ixmTg" TargetMode="External"/><Relationship Id="rId1286" Type="http://schemas.openxmlformats.org/officeDocument/2006/relationships/hyperlink" Target="https://drive.google.com/open?id=QUw1Rg4MCfIGnx4d7lcX" TargetMode="External"/><Relationship Id="rId1493" Type="http://schemas.openxmlformats.org/officeDocument/2006/relationships/hyperlink" Target="https://drive.google.com/open?id=uuOWZKHywWJ00Vb32yBm" TargetMode="External"/><Relationship Id="rId211" Type="http://schemas.openxmlformats.org/officeDocument/2006/relationships/hyperlink" Target="https://drive.google.com/open?id=Z8wYCWGhlQBXRIU5tZmL" TargetMode="External"/><Relationship Id="rId309" Type="http://schemas.openxmlformats.org/officeDocument/2006/relationships/hyperlink" Target="https://drive.google.com/open?id=NBNrRLWfZa7DadiF39g8" TargetMode="External"/><Relationship Id="rId516" Type="http://schemas.openxmlformats.org/officeDocument/2006/relationships/hyperlink" Target="https://drive.google.com/open?id=s9gL6frsAugNLslRpUmM" TargetMode="External"/><Relationship Id="rId1146" Type="http://schemas.openxmlformats.org/officeDocument/2006/relationships/hyperlink" Target="https://drive.google.com/open?id=HHRCBf2EhjtqpRH1Yd6L" TargetMode="External"/><Relationship Id="rId723" Type="http://schemas.openxmlformats.org/officeDocument/2006/relationships/hyperlink" Target="https://drive.google.com/open?id=uzxGUhYZ4bA4tQLGtpJk" TargetMode="External"/><Relationship Id="rId930" Type="http://schemas.openxmlformats.org/officeDocument/2006/relationships/hyperlink" Target="https://drive.google.com/open?id=K6IS0g9XpGgkEJARJ6sb" TargetMode="External"/><Relationship Id="rId1006" Type="http://schemas.openxmlformats.org/officeDocument/2006/relationships/hyperlink" Target="https://drive.google.com/open?id=1tHauFOUycdWOVYFNbMC" TargetMode="External"/><Relationship Id="rId1353" Type="http://schemas.openxmlformats.org/officeDocument/2006/relationships/hyperlink" Target="https://drive.google.com/open?id=ZoIjxBQEDgoCYKIvW2tj" TargetMode="External"/><Relationship Id="rId1213" Type="http://schemas.openxmlformats.org/officeDocument/2006/relationships/hyperlink" Target="https://drive.google.com/open?id=QXtd9jvGUCNYk3l5Ekft" TargetMode="External"/><Relationship Id="rId1420" Type="http://schemas.openxmlformats.org/officeDocument/2006/relationships/hyperlink" Target="https://drive.google.com/open?id=NcH3IxVEaTeKFSvJ09xH" TargetMode="External"/><Relationship Id="rId17" Type="http://schemas.openxmlformats.org/officeDocument/2006/relationships/hyperlink" Target="https://drive.google.com/open?id=YTJygBWwrMH5iCIDI3ij" TargetMode="External"/><Relationship Id="rId166" Type="http://schemas.openxmlformats.org/officeDocument/2006/relationships/hyperlink" Target="https://drive.google.com/open?id=MWloo6ZUynr96pluRQiW" TargetMode="External"/><Relationship Id="rId373" Type="http://schemas.openxmlformats.org/officeDocument/2006/relationships/hyperlink" Target="https://drive.google.com/open?id=583gZ4Ipcs87gMiTXUf5" TargetMode="External"/><Relationship Id="rId580" Type="http://schemas.openxmlformats.org/officeDocument/2006/relationships/hyperlink" Target="https://drive.google.com/open?id=owxwfEEGZRK5EP6Efi5E" TargetMode="External"/><Relationship Id="rId1" Type="http://schemas.openxmlformats.org/officeDocument/2006/relationships/hyperlink" Target="https://drive.google.com/open?id=10Cd5BajwrxAGhjl4ZFaAlrj8MBO9qtzR" TargetMode="External"/><Relationship Id="rId233" Type="http://schemas.openxmlformats.org/officeDocument/2006/relationships/hyperlink" Target="https://drive.google.com/open?id=0yfgRcT2GcyYkBBFAqLr" TargetMode="External"/><Relationship Id="rId440" Type="http://schemas.openxmlformats.org/officeDocument/2006/relationships/hyperlink" Target="https://drive.google.com/open?id=o0OaUSz6lMMOloUi4oyR" TargetMode="External"/><Relationship Id="rId678" Type="http://schemas.openxmlformats.org/officeDocument/2006/relationships/hyperlink" Target="https://drive.google.com/open?id=QrITsKCNKBlXeRcNWf0r" TargetMode="External"/><Relationship Id="rId885" Type="http://schemas.openxmlformats.org/officeDocument/2006/relationships/hyperlink" Target="https://drive.google.com/open?id=4mgL8C7h8miCt7jG9INJ" TargetMode="External"/><Relationship Id="rId1070" Type="http://schemas.openxmlformats.org/officeDocument/2006/relationships/hyperlink" Target="https://drive.google.com/open?id=ny99xDXk1JH6rPPtbIgz" TargetMode="External"/><Relationship Id="rId300" Type="http://schemas.openxmlformats.org/officeDocument/2006/relationships/hyperlink" Target="https://drive.google.com/open?id=s3205TUl9wxcpcxTtbsV" TargetMode="External"/><Relationship Id="rId538" Type="http://schemas.openxmlformats.org/officeDocument/2006/relationships/hyperlink" Target="https://drive.google.com/open?id=JXh9w1EjnM21SgqYg4y0" TargetMode="External"/><Relationship Id="rId745" Type="http://schemas.openxmlformats.org/officeDocument/2006/relationships/hyperlink" Target="https://drive.google.com/open?id=1yXpttTLpKe0nKHcpGbZ" TargetMode="External"/><Relationship Id="rId952" Type="http://schemas.openxmlformats.org/officeDocument/2006/relationships/hyperlink" Target="https://drive.google.com/open?id=ZzVvqPYrzVcF8eLtw4wF" TargetMode="External"/><Relationship Id="rId1168" Type="http://schemas.openxmlformats.org/officeDocument/2006/relationships/hyperlink" Target="https://drive.google.com/open?id=vkkhntrl4cYLpuTstfMW" TargetMode="External"/><Relationship Id="rId1375" Type="http://schemas.openxmlformats.org/officeDocument/2006/relationships/hyperlink" Target="https://drive.google.com/open?id=U1vny0XKUTMbusxgp0Aw" TargetMode="External"/><Relationship Id="rId81" Type="http://schemas.openxmlformats.org/officeDocument/2006/relationships/hyperlink" Target="https://drive.google.com/open?id=CKiljVoIGrttFQnuPMKx" TargetMode="External"/><Relationship Id="rId605" Type="http://schemas.openxmlformats.org/officeDocument/2006/relationships/hyperlink" Target="https://drive.google.com/open?id=NdJi30de2ISu1EK5lMi0" TargetMode="External"/><Relationship Id="rId812" Type="http://schemas.openxmlformats.org/officeDocument/2006/relationships/hyperlink" Target="https://drive.google.com/open?id=mGcRh4ZYmGeZMytSL3cN" TargetMode="External"/><Relationship Id="rId1028" Type="http://schemas.openxmlformats.org/officeDocument/2006/relationships/hyperlink" Target="https://drive.google.com/open?id=NP7gk62W4gKX2FXibA34" TargetMode="External"/><Relationship Id="rId1235" Type="http://schemas.openxmlformats.org/officeDocument/2006/relationships/hyperlink" Target="https://drive.google.com/open?id=VXdOttzPUiBD7RaEf7uN" TargetMode="External"/><Relationship Id="rId1442" Type="http://schemas.openxmlformats.org/officeDocument/2006/relationships/hyperlink" Target="https://drive.google.com/open?id=7S7ILGgkllEBHIg2DrFH" TargetMode="External"/><Relationship Id="rId1302" Type="http://schemas.openxmlformats.org/officeDocument/2006/relationships/hyperlink" Target="https://drive.google.com/open?id=0w1G0XMj3vJUmbl74qs1" TargetMode="External"/><Relationship Id="rId39" Type="http://schemas.openxmlformats.org/officeDocument/2006/relationships/hyperlink" Target="https://drive.google.com/open?id=U12iyMFgL1X5xMLA3JJ1" TargetMode="External"/><Relationship Id="rId188" Type="http://schemas.openxmlformats.org/officeDocument/2006/relationships/hyperlink" Target="https://drive.google.com/open?id=1ekTupdEjJJmuSXV4Opu" TargetMode="External"/><Relationship Id="rId395" Type="http://schemas.openxmlformats.org/officeDocument/2006/relationships/hyperlink" Target="https://drive.google.com/open?id=IgXrVaKieLYiC2mzHq5I" TargetMode="External"/><Relationship Id="rId255" Type="http://schemas.openxmlformats.org/officeDocument/2006/relationships/hyperlink" Target="https://drive.google.com/open?id=pin3RbvfIV1kM8UAAwyg" TargetMode="External"/><Relationship Id="rId462" Type="http://schemas.openxmlformats.org/officeDocument/2006/relationships/hyperlink" Target="https://drive.google.com/open?id=5kFHMWQaqlYeLwwDPgny" TargetMode="External"/><Relationship Id="rId1092" Type="http://schemas.openxmlformats.org/officeDocument/2006/relationships/hyperlink" Target="https://drive.google.com/open?id=hgat4R2WyvZPGvx4YXRP" TargetMode="External"/><Relationship Id="rId1397" Type="http://schemas.openxmlformats.org/officeDocument/2006/relationships/hyperlink" Target="https://drive.google.com/open?id=uagTEsWUoXXHLDg0HkEi" TargetMode="External"/><Relationship Id="rId115" Type="http://schemas.openxmlformats.org/officeDocument/2006/relationships/hyperlink" Target="https://drive.google.com/open?id=A25IYcI7kUI3i7j6Twvf" TargetMode="External"/><Relationship Id="rId322" Type="http://schemas.openxmlformats.org/officeDocument/2006/relationships/hyperlink" Target="https://drive.google.com/open?id=MYBPrcdAkGDcocAXCCgO" TargetMode="External"/><Relationship Id="rId767" Type="http://schemas.openxmlformats.org/officeDocument/2006/relationships/hyperlink" Target="https://drive.google.com/open?id=5HWmVyXt5cS2XPJDU8H8" TargetMode="External"/><Relationship Id="rId974" Type="http://schemas.openxmlformats.org/officeDocument/2006/relationships/hyperlink" Target="https://drive.google.com/open?id=uv8CNWWmSLauGEJTNpzg" TargetMode="External"/><Relationship Id="rId627" Type="http://schemas.openxmlformats.org/officeDocument/2006/relationships/hyperlink" Target="https://drive.google.com/open?id=Gx7Wp4x7Nsfp6czNK39K" TargetMode="External"/><Relationship Id="rId834" Type="http://schemas.openxmlformats.org/officeDocument/2006/relationships/hyperlink" Target="https://drive.google.com/open?id=LQJ4lkbKGWFmm1m5UKc3" TargetMode="External"/><Relationship Id="rId1257" Type="http://schemas.openxmlformats.org/officeDocument/2006/relationships/hyperlink" Target="https://drive.google.com/open?id=vsGEwBI7DKz4h4hhEMj9" TargetMode="External"/><Relationship Id="rId1464" Type="http://schemas.openxmlformats.org/officeDocument/2006/relationships/hyperlink" Target="https://drive.google.com/open?id=mfh3hp591YN19IlKoNMW" TargetMode="External"/><Relationship Id="rId901" Type="http://schemas.openxmlformats.org/officeDocument/2006/relationships/hyperlink" Target="https://drive.google.com/open?id=XAQbfVutF9k7hKbkUxh0" TargetMode="External"/><Relationship Id="rId1117" Type="http://schemas.openxmlformats.org/officeDocument/2006/relationships/hyperlink" Target="https://drive.google.com/open?id=voJyVBO4t6qJPgzlW7dm" TargetMode="External"/><Relationship Id="rId1324" Type="http://schemas.openxmlformats.org/officeDocument/2006/relationships/hyperlink" Target="https://drive.google.com/open?id=ZCXrSv0vKtPSFIzcaNle" TargetMode="External"/><Relationship Id="rId30" Type="http://schemas.openxmlformats.org/officeDocument/2006/relationships/hyperlink" Target="https://drive.google.com/open?id=VTnGhHjVEI2vVqk6oHf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V2"/>
  <sheetViews>
    <sheetView tabSelected="1" workbookViewId="0">
      <selection activeCell="H8" sqref="H8"/>
    </sheetView>
  </sheetViews>
  <sheetFormatPr defaultColWidth="12.6640625" defaultRowHeight="15.75" customHeight="1" x14ac:dyDescent="0.25"/>
  <cols>
    <col min="1" max="1" width="14.88671875" bestFit="1" customWidth="1"/>
    <col min="2" max="2" width="20.21875" customWidth="1"/>
    <col min="13" max="13" width="12.6640625" customWidth="1"/>
  </cols>
  <sheetData>
    <row r="1" spans="1:22" ht="13.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2" ht="15.75" customHeight="1" x14ac:dyDescent="0.25">
      <c r="A2" t="s">
        <v>21</v>
      </c>
      <c r="B2" s="4">
        <v>45858.976400462961</v>
      </c>
      <c r="C2" s="1" t="s">
        <v>22</v>
      </c>
      <c r="D2" s="1" t="s">
        <v>23</v>
      </c>
      <c r="E2" s="1" t="s">
        <v>24</v>
      </c>
      <c r="F2" s="1" t="s">
        <v>25</v>
      </c>
      <c r="G2" s="1" t="s">
        <v>26</v>
      </c>
      <c r="H2" s="1" t="s">
        <v>27</v>
      </c>
      <c r="I2" s="1" t="s">
        <v>28</v>
      </c>
      <c r="J2" s="1">
        <v>33301007320</v>
      </c>
      <c r="K2" s="3" t="s">
        <v>29</v>
      </c>
      <c r="L2" s="3" t="s">
        <v>30</v>
      </c>
      <c r="M2" s="1"/>
      <c r="N2" s="1"/>
      <c r="O2" s="1"/>
      <c r="P2" s="1" t="s">
        <v>31</v>
      </c>
      <c r="Q2" s="1">
        <v>8000000</v>
      </c>
      <c r="R2" s="3" t="s">
        <v>32</v>
      </c>
      <c r="S2" s="1">
        <v>20000000</v>
      </c>
      <c r="T2" s="1" t="s">
        <v>33</v>
      </c>
      <c r="U2" s="1" t="s">
        <v>34</v>
      </c>
      <c r="V2" s="1"/>
    </row>
  </sheetData>
  <hyperlinks>
    <hyperlink ref="K2" r:id="rId1" xr:uid="{4A15FF80-A009-496F-A63F-AC27936E67AC}"/>
    <hyperlink ref="L2" r:id="rId2" xr:uid="{95126892-B542-4C9C-8B78-1C1CEC671054}"/>
    <hyperlink ref="R2" r:id="rId3" xr:uid="{842A4C29-0116-47FF-A917-5D6F4E5F1EB8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F2B99-3E38-4043-A2D5-041FC64E183B}">
  <dimension ref="A1:U503"/>
  <sheetViews>
    <sheetView workbookViewId="0"/>
  </sheetViews>
  <sheetFormatPr defaultRowHeight="13.2" x14ac:dyDescent="0.25"/>
  <cols>
    <col min="1" max="1" width="12.109375" bestFit="1" customWidth="1"/>
  </cols>
  <sheetData>
    <row r="1" spans="1:2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25">
      <c r="A2" s="2" t="str">
        <f ca="1">IFERROR(__xludf.DUMMYFUNCTION("IMPORTRANGE(""https://docs.google.com/spreadsheets/d/17zW6mdkXy-arWcEeTgktK_NBl7xPOgFBq-OmWtC6iTA/edit?resourcekey=&amp;gid=1929426594#gid=1929426594"", ""'Form_Responses'!A2:Z"")"),"APP0001")</f>
        <v>APP0001</v>
      </c>
      <c r="B2" s="2">
        <f ca="1">IFERROR(__xludf.DUMMYFUNCTION("""COMPUTED_VALUE"""),45858.9764004629)</f>
        <v>45858.976400462903</v>
      </c>
      <c r="C2" s="1" t="str">
        <f ca="1">IFERROR(__xludf.DUMMYFUNCTION("""COMPUTED_VALUE"""),"Đặng Ngọc Mai")</f>
        <v>Đặng Ngọc Mai</v>
      </c>
      <c r="D2" s="1" t="str">
        <f ca="1">IFERROR(__xludf.DUMMYFUNCTION("""COMPUTED_VALUE"""),"23/01/2001")</f>
        <v>23/01/2001</v>
      </c>
      <c r="E2" s="1" t="str">
        <f ca="1">IFERROR(__xludf.DUMMYFUNCTION("""COMPUTED_VALUE"""),"Female")</f>
        <v>Female</v>
      </c>
      <c r="F2" s="1" t="str">
        <f ca="1">IFERROR(__xludf.DUMMYFUNCTION("""COMPUTED_VALUE"""),"Vietnam")</f>
        <v>Vietnam</v>
      </c>
      <c r="G2" s="1" t="str">
        <f ca="1">IFERROR(__xludf.DUMMYFUNCTION("""COMPUTED_VALUE"""),"0985632617")</f>
        <v>0985632617</v>
      </c>
      <c r="H2" s="1" t="str">
        <f ca="1">IFERROR(__xludf.DUMMYFUNCTION("""COMPUTED_VALUE"""),"dangngocmai@gmail.com")</f>
        <v>dangngocmai@gmail.com</v>
      </c>
      <c r="I2" s="1" t="str">
        <f ca="1">IFERROR(__xludf.DUMMYFUNCTION("""COMPUTED_VALUE"""),"113/1 Lý Thường Kiệt, Quận 2, Việt Nam")</f>
        <v>113/1 Lý Thường Kiệt, Quận 2, Việt Nam</v>
      </c>
      <c r="J2" s="1" t="str">
        <f ca="1">IFERROR(__xludf.DUMMYFUNCTION("""COMPUTED_VALUE"""),"033301007320")</f>
        <v>033301007320</v>
      </c>
      <c r="K2" s="3" t="str">
        <f ca="1">IFERROR(__xludf.DUMMYFUNCTION("""COMPUTED_VALUE"""),"https://drive.google.com/open?id=10Cd5BajwrxAGhjl4ZFaAlrj8MBO9qtzR")</f>
        <v>https://drive.google.com/open?id=10Cd5BajwrxAGhjl4ZFaAlrj8MBO9qtzR</v>
      </c>
      <c r="L2" s="3" t="str">
        <f ca="1">IFERROR(__xludf.DUMMYFUNCTION("""COMPUTED_VALUE"""),"https://drive.google.com/open?id=1KIKIO62Z6BPtKfYUnE6t-l4BxPqe1izG")</f>
        <v>https://drive.google.com/open?id=1KIKIO62Z6BPtKfYUnE6t-l4BxPqe1izG</v>
      </c>
      <c r="M2" s="1"/>
      <c r="N2" s="1"/>
      <c r="O2" s="1"/>
      <c r="P2" s="1" t="str">
        <f ca="1">IFERROR(__xludf.DUMMYFUNCTION("""COMPUTED_VALUE"""),"Full-time")</f>
        <v>Full-time</v>
      </c>
      <c r="Q2" s="1">
        <f ca="1">IFERROR(__xludf.DUMMYFUNCTION("""COMPUTED_VALUE"""),8000000)</f>
        <v>8000000</v>
      </c>
      <c r="R2" s="3" t="str">
        <f ca="1">IFERROR(__xludf.DUMMYFUNCTION("""COMPUTED_VALUE"""),"https://drive.google.com/open?id=1fR7iaO3FftBP67ShxEpoRXM4U7eB0OSA")</f>
        <v>https://drive.google.com/open?id=1fR7iaO3FftBP67ShxEpoRXM4U7eB0OSA</v>
      </c>
      <c r="S2" s="1">
        <f ca="1">IFERROR(__xludf.DUMMYFUNCTION("""COMPUTED_VALUE"""),20000000)</f>
        <v>20000000</v>
      </c>
      <c r="T2" s="1" t="str">
        <f ca="1">IFERROR(__xludf.DUMMYFUNCTION("""COMPUTED_VALUE"""),"Classic")</f>
        <v>Classic</v>
      </c>
      <c r="U2" s="1" t="str">
        <f ca="1">IFERROR(__xludf.DUMMYFUNCTION("""COMPUTED_VALUE"""),"Online")</f>
        <v>Online</v>
      </c>
    </row>
    <row r="3" spans="1:21" x14ac:dyDescent="0.25">
      <c r="A3" s="2" t="str">
        <f ca="1">IFERROR(__xludf.DUMMYFUNCTION("""COMPUTED_VALUE"""),"APP0002")</f>
        <v>APP0002</v>
      </c>
      <c r="B3" s="2">
        <f ca="1">IFERROR(__xludf.DUMMYFUNCTION("""COMPUTED_VALUE"""),45863.9875694444)</f>
        <v>45863.987569444398</v>
      </c>
      <c r="C3" s="1" t="str">
        <f ca="1">IFERROR(__xludf.DUMMYFUNCTION("""COMPUTED_VALUE"""),"RAMADUGULA")</f>
        <v>RAMADUGULA</v>
      </c>
      <c r="D3" s="1" t="str">
        <f ca="1">IFERROR(__xludf.DUMMYFUNCTION("""COMPUTED_VALUE"""),"23/09/1959")</f>
        <v>23/09/1959</v>
      </c>
      <c r="E3" s="1" t="str">
        <f ca="1">IFERROR(__xludf.DUMMYFUNCTION("""COMPUTED_VALUE"""),"Female")</f>
        <v>Female</v>
      </c>
      <c r="F3" s="1" t="str">
        <f ca="1">IFERROR(__xludf.DUMMYFUNCTION("""COMPUTED_VALUE"""),"Other")</f>
        <v>Other</v>
      </c>
      <c r="G3" s="1" t="str">
        <f ca="1">IFERROR(__xludf.DUMMYFUNCTION("""COMPUTED_VALUE"""),"+91 9876543210")</f>
        <v>+91 9876543210</v>
      </c>
      <c r="H3" s="1" t="str">
        <f ca="1">IFERROR(__xludf.DUMMYFUNCTION("""COMPUTED_VALUE"""),"Dugula@gmail.com")</f>
        <v>Dugula@gmail.com</v>
      </c>
      <c r="I3" s="1" t="str">
        <f ca="1">IFERROR(__xludf.DUMMYFUNCTION("""COMPUTED_VALUE"""),"India")</f>
        <v>India</v>
      </c>
      <c r="J3" s="1"/>
      <c r="K3" s="1"/>
      <c r="L3" s="1"/>
      <c r="M3" s="1" t="str">
        <f ca="1">IFERROR(__xludf.DUMMYFUNCTION("""COMPUTED_VALUE"""),"J8369854")</f>
        <v>J8369854</v>
      </c>
      <c r="N3" s="3" t="str">
        <f ca="1">IFERROR(__xludf.DUMMYFUNCTION("""COMPUTED_VALUE"""),"https://drive.google.com/open?id=1g_SMZ1AQraT-vnPrZYLekoC_UCWnHFhh")</f>
        <v>https://drive.google.com/open?id=1g_SMZ1AQraT-vnPrZYLekoC_UCWnHFhh</v>
      </c>
      <c r="O3" s="3" t="str">
        <f ca="1">IFERROR(__xludf.DUMMYFUNCTION("""COMPUTED_VALUE"""),"https://drive.google.com/open?id=1jcyUwbb-qTQ7QEqSv47X1MKr2RPnpz0v")</f>
        <v>https://drive.google.com/open?id=1jcyUwbb-qTQ7QEqSv47X1MKr2RPnpz0v</v>
      </c>
      <c r="P3" s="1" t="str">
        <f ca="1">IFERROR(__xludf.DUMMYFUNCTION("""COMPUTED_VALUE"""),"Full-time")</f>
        <v>Full-time</v>
      </c>
      <c r="Q3" s="1">
        <f ca="1">IFERROR(__xludf.DUMMYFUNCTION("""COMPUTED_VALUE"""),12000000)</f>
        <v>12000000</v>
      </c>
      <c r="R3" s="3" t="str">
        <f ca="1">IFERROR(__xludf.DUMMYFUNCTION("""COMPUTED_VALUE"""),"https://drive.google.com/open?id=1MDzIo0FPuiQld4Nqkuo3JTJmgVFgyLxw")</f>
        <v>https://drive.google.com/open?id=1MDzIo0FPuiQld4Nqkuo3JTJmgVFgyLxw</v>
      </c>
      <c r="S3" s="1">
        <f ca="1">IFERROR(__xludf.DUMMYFUNCTION("""COMPUTED_VALUE"""),30000000)</f>
        <v>30000000</v>
      </c>
      <c r="T3" s="1" t="str">
        <f ca="1">IFERROR(__xludf.DUMMYFUNCTION("""COMPUTED_VALUE"""),"Gold")</f>
        <v>Gold</v>
      </c>
      <c r="U3" s="1" t="str">
        <f ca="1">IFERROR(__xludf.DUMMYFUNCTION("""COMPUTED_VALUE"""),"Branch")</f>
        <v>Branch</v>
      </c>
    </row>
    <row r="4" spans="1:21" x14ac:dyDescent="0.25">
      <c r="A4" s="2" t="str">
        <f ca="1">IFERROR(__xludf.DUMMYFUNCTION("""COMPUTED_VALUE"""),"APP0003")</f>
        <v>APP0003</v>
      </c>
      <c r="B4" s="2">
        <f ca="1">IFERROR(__xludf.DUMMYFUNCTION("""COMPUTED_VALUE"""),45895.756574074)</f>
        <v>45895.756574074003</v>
      </c>
      <c r="C4" s="1" t="str">
        <f ca="1">IFERROR(__xludf.DUMMYFUNCTION("""COMPUTED_VALUE"""),"Hoàng Thanh Hiếu")</f>
        <v>Hoàng Thanh Hiếu</v>
      </c>
      <c r="D4" s="1" t="str">
        <f ca="1">IFERROR(__xludf.DUMMYFUNCTION("""COMPUTED_VALUE"""),"07/05/1983")</f>
        <v>07/05/1983</v>
      </c>
      <c r="E4" s="1" t="str">
        <f ca="1">IFERROR(__xludf.DUMMYFUNCTION("""COMPUTED_VALUE"""),"Male")</f>
        <v>Male</v>
      </c>
      <c r="F4" s="1" t="str">
        <f ca="1">IFERROR(__xludf.DUMMYFUNCTION("""COMPUTED_VALUE"""),"Vietnam")</f>
        <v>Vietnam</v>
      </c>
      <c r="G4" s="1" t="str">
        <f ca="1">IFERROR(__xludf.DUMMYFUNCTION("""COMPUTED_VALUE"""),"0836426617")</f>
        <v>0836426617</v>
      </c>
      <c r="H4" s="1" t="str">
        <f ca="1">IFERROR(__xludf.DUMMYFUNCTION("""COMPUTED_VALUE"""),"hoangthanhhieu@gmail.com")</f>
        <v>hoangthanhhieu@gmail.com</v>
      </c>
      <c r="I4" s="1" t="str">
        <f ca="1">IFERROR(__xludf.DUMMYFUNCTION("""COMPUTED_VALUE"""),"138 Tran Hung Dao, Hoan Kiem, Da Nang, Viet Nam")</f>
        <v>138 Tran Hung Dao, Hoan Kiem, Da Nang, Viet Nam</v>
      </c>
      <c r="J4" s="1" t="str">
        <f ca="1">IFERROR(__xludf.DUMMYFUNCTION("""COMPUTED_VALUE"""),"089854219200")</f>
        <v>089854219200</v>
      </c>
      <c r="K4" s="3" t="str">
        <f ca="1">IFERROR(__xludf.DUMMYFUNCTION("""COMPUTED_VALUE"""),"https://drive.google.com/open?id=g1gmv9gxQ7HI2Vhj4NBi")</f>
        <v>https://drive.google.com/open?id=g1gmv9gxQ7HI2Vhj4NBi</v>
      </c>
      <c r="L4" s="3" t="str">
        <f ca="1">IFERROR(__xludf.DUMMYFUNCTION("""COMPUTED_VALUE"""),"https://drive.google.com/open?id=V9GqaikUcujDuuvngZCM")</f>
        <v>https://drive.google.com/open?id=V9GqaikUcujDuuvngZCM</v>
      </c>
      <c r="M4" s="1"/>
      <c r="N4" s="1"/>
      <c r="O4" s="1"/>
      <c r="P4" s="1" t="str">
        <f ca="1">IFERROR(__xludf.DUMMYFUNCTION("""COMPUTED_VALUE"""),"Freelancer")</f>
        <v>Freelancer</v>
      </c>
      <c r="Q4" s="1">
        <f ca="1">IFERROR(__xludf.DUMMYFUNCTION("""COMPUTED_VALUE"""),5000000)</f>
        <v>5000000</v>
      </c>
      <c r="R4" s="3" t="str">
        <f ca="1">IFERROR(__xludf.DUMMYFUNCTION("""COMPUTED_VALUE"""),"https://drive.google.com/open?id=C2ssDeyg3hTc6GXrj6Uj")</f>
        <v>https://drive.google.com/open?id=C2ssDeyg3hTc6GXrj6Uj</v>
      </c>
      <c r="S4" s="1">
        <f ca="1">IFERROR(__xludf.DUMMYFUNCTION("""COMPUTED_VALUE"""),15000000)</f>
        <v>15000000</v>
      </c>
      <c r="T4" s="1" t="str">
        <f ca="1">IFERROR(__xludf.DUMMYFUNCTION("""COMPUTED_VALUE"""),"Platinum")</f>
        <v>Platinum</v>
      </c>
      <c r="U4" s="1" t="str">
        <f ca="1">IFERROR(__xludf.DUMMYFUNCTION("""COMPUTED_VALUE"""),"Branch")</f>
        <v>Branch</v>
      </c>
    </row>
    <row r="5" spans="1:21" x14ac:dyDescent="0.25">
      <c r="A5" s="2" t="str">
        <f ca="1">IFERROR(__xludf.DUMMYFUNCTION("""COMPUTED_VALUE"""),"APP0004")</f>
        <v>APP0004</v>
      </c>
      <c r="B5" s="2">
        <f ca="1">IFERROR(__xludf.DUMMYFUNCTION("""COMPUTED_VALUE"""),45895.7709375)</f>
        <v>45895.770937499998</v>
      </c>
      <c r="C5" s="1" t="str">
        <f ca="1">IFERROR(__xludf.DUMMYFUNCTION("""COMPUTED_VALUE"""),"Bùi Quang Trang")</f>
        <v>Bùi Quang Trang</v>
      </c>
      <c r="D5" s="1" t="str">
        <f ca="1">IFERROR(__xludf.DUMMYFUNCTION("""COMPUTED_VALUE"""),"11/11/1976")</f>
        <v>11/11/1976</v>
      </c>
      <c r="E5" s="1" t="str">
        <f ca="1">IFERROR(__xludf.DUMMYFUNCTION("""COMPUTED_VALUE"""),"Male")</f>
        <v>Male</v>
      </c>
      <c r="F5" s="1" t="str">
        <f ca="1">IFERROR(__xludf.DUMMYFUNCTION("""COMPUTED_VALUE"""),"Vietnam")</f>
        <v>Vietnam</v>
      </c>
      <c r="G5" s="1" t="str">
        <f ca="1">IFERROR(__xludf.DUMMYFUNCTION("""COMPUTED_VALUE"""),"0878061855")</f>
        <v>0878061855</v>
      </c>
      <c r="H5" s="1" t="str">
        <f ca="1">IFERROR(__xludf.DUMMYFUNCTION("""COMPUTED_VALUE"""),"buiquangtrang@gmail.com")</f>
        <v>buiquangtrang@gmail.com</v>
      </c>
      <c r="I5" s="1" t="str">
        <f ca="1">IFERROR(__xludf.DUMMYFUNCTION("""COMPUTED_VALUE"""),"105 Nguyen Hue, Quan 3, Hai Phong, Viet Nam")</f>
        <v>105 Nguyen Hue, Quan 3, Hai Phong, Viet Nam</v>
      </c>
      <c r="J5" s="1" t="str">
        <f ca="1">IFERROR(__xludf.DUMMYFUNCTION("""COMPUTED_VALUE"""),"039667525772")</f>
        <v>039667525772</v>
      </c>
      <c r="K5" s="3" t="str">
        <f ca="1">IFERROR(__xludf.DUMMYFUNCTION("""COMPUTED_VALUE"""),"https://drive.google.com/open?id=a0RLhJm1X9KXpYaqoDlg")</f>
        <v>https://drive.google.com/open?id=a0RLhJm1X9KXpYaqoDlg</v>
      </c>
      <c r="L5" s="3" t="str">
        <f ca="1">IFERROR(__xludf.DUMMYFUNCTION("""COMPUTED_VALUE"""),"https://drive.google.com/open?id=wK7oHYeZSsaquPvwMfVu")</f>
        <v>https://drive.google.com/open?id=wK7oHYeZSsaquPvwMfVu</v>
      </c>
      <c r="M5" s="1"/>
      <c r="N5" s="1"/>
      <c r="O5" s="1"/>
      <c r="P5" s="1" t="str">
        <f ca="1">IFERROR(__xludf.DUMMYFUNCTION("""COMPUTED_VALUE"""),"Self-employed")</f>
        <v>Self-employed</v>
      </c>
      <c r="Q5" s="1">
        <f ca="1">IFERROR(__xludf.DUMMYFUNCTION("""COMPUTED_VALUE"""),20000000)</f>
        <v>20000000</v>
      </c>
      <c r="R5" s="3" t="str">
        <f ca="1">IFERROR(__xludf.DUMMYFUNCTION("""COMPUTED_VALUE"""),"https://drive.google.com/open?id=4EpfGxaD5OkFAK4jGnZM")</f>
        <v>https://drive.google.com/open?id=4EpfGxaD5OkFAK4jGnZM</v>
      </c>
      <c r="S5" s="1">
        <f ca="1">IFERROR(__xludf.DUMMYFUNCTION("""COMPUTED_VALUE"""),40000000)</f>
        <v>40000000</v>
      </c>
      <c r="T5" s="1" t="str">
        <f ca="1">IFERROR(__xludf.DUMMYFUNCTION("""COMPUTED_VALUE"""),"Platinum")</f>
        <v>Platinum</v>
      </c>
      <c r="U5" s="1" t="str">
        <f ca="1">IFERROR(__xludf.DUMMYFUNCTION("""COMPUTED_VALUE"""),"Branch")</f>
        <v>Branch</v>
      </c>
    </row>
    <row r="6" spans="1:21" x14ac:dyDescent="0.25">
      <c r="A6" s="2" t="str">
        <f ca="1">IFERROR(__xludf.DUMMYFUNCTION("""COMPUTED_VALUE"""),"APP0005")</f>
        <v>APP0005</v>
      </c>
      <c r="B6" s="2">
        <f ca="1">IFERROR(__xludf.DUMMYFUNCTION("""COMPUTED_VALUE"""),45895.8170949074)</f>
        <v>45895.817094907397</v>
      </c>
      <c r="C6" s="1" t="str">
        <f ca="1">IFERROR(__xludf.DUMMYFUNCTION("""COMPUTED_VALUE"""),"Ngô Quang Thịnh")</f>
        <v>Ngô Quang Thịnh</v>
      </c>
      <c r="D6" s="1" t="str">
        <f ca="1">IFERROR(__xludf.DUMMYFUNCTION("""COMPUTED_VALUE"""),"18/10/1996")</f>
        <v>18/10/1996</v>
      </c>
      <c r="E6" s="1" t="str">
        <f ca="1">IFERROR(__xludf.DUMMYFUNCTION("""COMPUTED_VALUE"""),"Male")</f>
        <v>Male</v>
      </c>
      <c r="F6" s="1" t="str">
        <f ca="1">IFERROR(__xludf.DUMMYFUNCTION("""COMPUTED_VALUE"""),"Vietnam")</f>
        <v>Vietnam</v>
      </c>
      <c r="G6" s="1" t="str">
        <f ca="1">IFERROR(__xludf.DUMMYFUNCTION("""COMPUTED_VALUE"""),"0761209301")</f>
        <v>0761209301</v>
      </c>
      <c r="H6" s="1" t="str">
        <f ca="1">IFERROR(__xludf.DUMMYFUNCTION("""COMPUTED_VALUE"""),"ngoquangthinh@gmail.com")</f>
        <v>ngoquangthinh@gmail.com</v>
      </c>
      <c r="I6" s="1" t="str">
        <f ca="1">IFERROR(__xludf.DUMMYFUNCTION("""COMPUTED_VALUE"""),"124 Nguyen Hue, Quan 7, Can Tho, Viet Nam")</f>
        <v>124 Nguyen Hue, Quan 7, Can Tho, Viet Nam</v>
      </c>
      <c r="J6" s="1" t="str">
        <f ca="1">IFERROR(__xludf.DUMMYFUNCTION("""COMPUTED_VALUE"""),"034153706524")</f>
        <v>034153706524</v>
      </c>
      <c r="K6" s="3" t="str">
        <f ca="1">IFERROR(__xludf.DUMMYFUNCTION("""COMPUTED_VALUE"""),"https://drive.google.com/open?id=kdNR0Dge0se8iluz6n7z")</f>
        <v>https://drive.google.com/open?id=kdNR0Dge0se8iluz6n7z</v>
      </c>
      <c r="L6" s="3" t="str">
        <f ca="1">IFERROR(__xludf.DUMMYFUNCTION("""COMPUTED_VALUE"""),"https://drive.google.com/open?id=AtqqOV1KhxJVdGPapG4H")</f>
        <v>https://drive.google.com/open?id=AtqqOV1KhxJVdGPapG4H</v>
      </c>
      <c r="M6" s="1"/>
      <c r="N6" s="1"/>
      <c r="O6" s="1"/>
      <c r="P6" s="1" t="str">
        <f ca="1">IFERROR(__xludf.DUMMYFUNCTION("""COMPUTED_VALUE"""),"Self-employed")</f>
        <v>Self-employed</v>
      </c>
      <c r="Q6" s="1">
        <f ca="1">IFERROR(__xludf.DUMMYFUNCTION("""COMPUTED_VALUE"""),5000000)</f>
        <v>5000000</v>
      </c>
      <c r="R6" s="3" t="str">
        <f ca="1">IFERROR(__xludf.DUMMYFUNCTION("""COMPUTED_VALUE"""),"https://drive.google.com/open?id=P0wMomCv489el893vVYS")</f>
        <v>https://drive.google.com/open?id=P0wMomCv489el893vVYS</v>
      </c>
      <c r="S6" s="1">
        <f ca="1">IFERROR(__xludf.DUMMYFUNCTION("""COMPUTED_VALUE"""),25000000)</f>
        <v>25000000</v>
      </c>
      <c r="T6" s="1" t="str">
        <f ca="1">IFERROR(__xludf.DUMMYFUNCTION("""COMPUTED_VALUE"""),"Classic")</f>
        <v>Classic</v>
      </c>
      <c r="U6" s="1" t="str">
        <f ca="1">IFERROR(__xludf.DUMMYFUNCTION("""COMPUTED_VALUE"""),"Online")</f>
        <v>Online</v>
      </c>
    </row>
    <row r="7" spans="1:21" x14ac:dyDescent="0.25">
      <c r="A7" s="2" t="str">
        <f ca="1">IFERROR(__xludf.DUMMYFUNCTION("""COMPUTED_VALUE"""),"APP0006")</f>
        <v>APP0006</v>
      </c>
      <c r="B7" s="2">
        <f ca="1">IFERROR(__xludf.DUMMYFUNCTION("""COMPUTED_VALUE"""),45895.8463773148)</f>
        <v>45895.846377314803</v>
      </c>
      <c r="C7" s="1" t="str">
        <f ca="1">IFERROR(__xludf.DUMMYFUNCTION("""COMPUTED_VALUE"""),"Lý Anh Lan")</f>
        <v>Lý Anh Lan</v>
      </c>
      <c r="D7" s="1" t="str">
        <f ca="1">IFERROR(__xludf.DUMMYFUNCTION("""COMPUTED_VALUE"""),"29/12/1996")</f>
        <v>29/12/1996</v>
      </c>
      <c r="E7" s="1" t="str">
        <f ca="1">IFERROR(__xludf.DUMMYFUNCTION("""COMPUTED_VALUE"""),"Male")</f>
        <v>Male</v>
      </c>
      <c r="F7" s="1" t="str">
        <f ca="1">IFERROR(__xludf.DUMMYFUNCTION("""COMPUTED_VALUE"""),"Vietnam")</f>
        <v>Vietnam</v>
      </c>
      <c r="G7" s="1" t="str">
        <f ca="1">IFERROR(__xludf.DUMMYFUNCTION("""COMPUTED_VALUE"""),"0929771395")</f>
        <v>0929771395</v>
      </c>
      <c r="H7" s="1" t="str">
        <f ca="1">IFERROR(__xludf.DUMMYFUNCTION("""COMPUTED_VALUE"""),"lyanhlan@gmail.com")</f>
        <v>lyanhlan@gmail.com</v>
      </c>
      <c r="I7" s="1" t="str">
        <f ca="1">IFERROR(__xludf.DUMMYFUNCTION("""COMPUTED_VALUE"""),"160 Nguyen Trai, Hai Chau, Da Nang, Viet Nam")</f>
        <v>160 Nguyen Trai, Hai Chau, Da Nang, Viet Nam</v>
      </c>
      <c r="J7" s="1" t="str">
        <f ca="1">IFERROR(__xludf.DUMMYFUNCTION("""COMPUTED_VALUE"""),"015446733779")</f>
        <v>015446733779</v>
      </c>
      <c r="K7" s="3" t="str">
        <f ca="1">IFERROR(__xludf.DUMMYFUNCTION("""COMPUTED_VALUE"""),"https://drive.google.com/open?id=iO1KeNRrpdX8BcBagoyz")</f>
        <v>https://drive.google.com/open?id=iO1KeNRrpdX8BcBagoyz</v>
      </c>
      <c r="L7" s="3" t="str">
        <f ca="1">IFERROR(__xludf.DUMMYFUNCTION("""COMPUTED_VALUE"""),"https://drive.google.com/open?id=uuOWZKHywWJ00Vb32yBm")</f>
        <v>https://drive.google.com/open?id=uuOWZKHywWJ00Vb32yBm</v>
      </c>
      <c r="M7" s="1"/>
      <c r="N7" s="1"/>
      <c r="O7" s="1"/>
      <c r="P7" s="1" t="str">
        <f ca="1">IFERROR(__xludf.DUMMYFUNCTION("""COMPUTED_VALUE"""),"Full-time")</f>
        <v>Full-time</v>
      </c>
      <c r="Q7" s="1">
        <f ca="1">IFERROR(__xludf.DUMMYFUNCTION("""COMPUTED_VALUE"""),20000000)</f>
        <v>20000000</v>
      </c>
      <c r="R7" s="3" t="str">
        <f ca="1">IFERROR(__xludf.DUMMYFUNCTION("""COMPUTED_VALUE"""),"https://drive.google.com/open?id=7f9gsjF99fbDFvU8xiuy")</f>
        <v>https://drive.google.com/open?id=7f9gsjF99fbDFvU8xiuy</v>
      </c>
      <c r="S7" s="1">
        <f ca="1">IFERROR(__xludf.DUMMYFUNCTION("""COMPUTED_VALUE"""),100000000)</f>
        <v>100000000</v>
      </c>
      <c r="T7" s="1" t="str">
        <f ca="1">IFERROR(__xludf.DUMMYFUNCTION("""COMPUTED_VALUE"""),"Platinum")</f>
        <v>Platinum</v>
      </c>
      <c r="U7" s="1" t="str">
        <f ca="1">IFERROR(__xludf.DUMMYFUNCTION("""COMPUTED_VALUE"""),"Online")</f>
        <v>Online</v>
      </c>
    </row>
    <row r="8" spans="1:21" x14ac:dyDescent="0.25">
      <c r="A8" s="2" t="str">
        <f ca="1">IFERROR(__xludf.DUMMYFUNCTION("""COMPUTED_VALUE"""),"APP0007")</f>
        <v>APP0007</v>
      </c>
      <c r="B8" s="2">
        <f ca="1">IFERROR(__xludf.DUMMYFUNCTION("""COMPUTED_VALUE"""),45895.9365509259)</f>
        <v>45895.936550925901</v>
      </c>
      <c r="C8" s="1" t="str">
        <f ca="1">IFERROR(__xludf.DUMMYFUNCTION("""COMPUTED_VALUE"""),"Lý Đức An")</f>
        <v>Lý Đức An</v>
      </c>
      <c r="D8" s="1" t="str">
        <f ca="1">IFERROR(__xludf.DUMMYFUNCTION("""COMPUTED_VALUE"""),"06/08/1992")</f>
        <v>06/08/1992</v>
      </c>
      <c r="E8" s="1" t="str">
        <f ca="1">IFERROR(__xludf.DUMMYFUNCTION("""COMPUTED_VALUE"""),"Male")</f>
        <v>Male</v>
      </c>
      <c r="F8" s="1" t="str">
        <f ca="1">IFERROR(__xludf.DUMMYFUNCTION("""COMPUTED_VALUE"""),"Vietnam")</f>
        <v>Vietnam</v>
      </c>
      <c r="G8" s="1" t="str">
        <f ca="1">IFERROR(__xludf.DUMMYFUNCTION("""COMPUTED_VALUE"""),"0787466707")</f>
        <v>0787466707</v>
      </c>
      <c r="H8" s="1" t="str">
        <f ca="1">IFERROR(__xludf.DUMMYFUNCTION("""COMPUTED_VALUE"""),"lyducan@gmail.com")</f>
        <v>lyducan@gmail.com</v>
      </c>
      <c r="I8" s="1" t="str">
        <f ca="1">IFERROR(__xludf.DUMMYFUNCTION("""COMPUTED_VALUE"""),"160 Ly Thuong Kiet, Dong Da, TP Ho Chi Minh, Viet Nam")</f>
        <v>160 Ly Thuong Kiet, Dong Da, TP Ho Chi Minh, Viet Nam</v>
      </c>
      <c r="J8" s="1" t="str">
        <f ca="1">IFERROR(__xludf.DUMMYFUNCTION("""COMPUTED_VALUE"""),"040261367986")</f>
        <v>040261367986</v>
      </c>
      <c r="K8" s="3" t="str">
        <f ca="1">IFERROR(__xludf.DUMMYFUNCTION("""COMPUTED_VALUE"""),"https://drive.google.com/open?id=IHn7SzGzME3YCqeNDFcx")</f>
        <v>https://drive.google.com/open?id=IHn7SzGzME3YCqeNDFcx</v>
      </c>
      <c r="L8" s="3" t="str">
        <f ca="1">IFERROR(__xludf.DUMMYFUNCTION("""COMPUTED_VALUE"""),"https://drive.google.com/open?id=m9HMJRCf4HbmjGpjnP7R")</f>
        <v>https://drive.google.com/open?id=m9HMJRCf4HbmjGpjnP7R</v>
      </c>
      <c r="M8" s="1"/>
      <c r="N8" s="1"/>
      <c r="O8" s="1"/>
      <c r="P8" s="1" t="str">
        <f ca="1">IFERROR(__xludf.DUMMYFUNCTION("""COMPUTED_VALUE"""),"Contract")</f>
        <v>Contract</v>
      </c>
      <c r="Q8" s="1">
        <f ca="1">IFERROR(__xludf.DUMMYFUNCTION("""COMPUTED_VALUE"""),8000000)</f>
        <v>8000000</v>
      </c>
      <c r="R8" s="3" t="str">
        <f ca="1">IFERROR(__xludf.DUMMYFUNCTION("""COMPUTED_VALUE"""),"https://drive.google.com/open?id=0JpDMm51MeUX6EB1Jw0N")</f>
        <v>https://drive.google.com/open?id=0JpDMm51MeUX6EB1Jw0N</v>
      </c>
      <c r="S8" s="1">
        <f ca="1">IFERROR(__xludf.DUMMYFUNCTION("""COMPUTED_VALUE"""),24000000)</f>
        <v>24000000</v>
      </c>
      <c r="T8" s="1" t="str">
        <f ca="1">IFERROR(__xludf.DUMMYFUNCTION("""COMPUTED_VALUE"""),"Classic")</f>
        <v>Classic</v>
      </c>
      <c r="U8" s="1" t="str">
        <f ca="1">IFERROR(__xludf.DUMMYFUNCTION("""COMPUTED_VALUE"""),"Branch")</f>
        <v>Branch</v>
      </c>
    </row>
    <row r="9" spans="1:21" x14ac:dyDescent="0.25">
      <c r="A9" s="2" t="str">
        <f ca="1">IFERROR(__xludf.DUMMYFUNCTION("""COMPUTED_VALUE"""),"APP0008")</f>
        <v>APP0008</v>
      </c>
      <c r="B9" s="2">
        <f ca="1">IFERROR(__xludf.DUMMYFUNCTION("""COMPUTED_VALUE"""),45896.050011574)</f>
        <v>45896.050011574</v>
      </c>
      <c r="C9" s="1" t="str">
        <f ca="1">IFERROR(__xludf.DUMMYFUNCTION("""COMPUTED_VALUE"""),"Dana Mann")</f>
        <v>Dana Mann</v>
      </c>
      <c r="D9" s="1" t="str">
        <f ca="1">IFERROR(__xludf.DUMMYFUNCTION("""COMPUTED_VALUE"""),"14/10/1966")</f>
        <v>14/10/1966</v>
      </c>
      <c r="E9" s="1" t="str">
        <f ca="1">IFERROR(__xludf.DUMMYFUNCTION("""COMPUTED_VALUE"""),"Female")</f>
        <v>Female</v>
      </c>
      <c r="F9" s="1" t="str">
        <f ca="1">IFERROR(__xludf.DUMMYFUNCTION("""COMPUTED_VALUE"""),"Other")</f>
        <v>Other</v>
      </c>
      <c r="G9" s="1" t="str">
        <f ca="1">IFERROR(__xludf.DUMMYFUNCTION("""COMPUTED_VALUE"""),"+91 5686348183")</f>
        <v>+91 5686348183</v>
      </c>
      <c r="H9" s="1" t="str">
        <f ca="1">IFERROR(__xludf.DUMMYFUNCTION("""COMPUTED_VALUE"""),"danamann@gmail.com")</f>
        <v>danamann@gmail.com</v>
      </c>
      <c r="I9" s="1" t="str">
        <f ca="1">IFERROR(__xludf.DUMMYFUNCTION("""COMPUTED_VALUE"""),"4324 Jim Trace Apt. 582, Port Jonathon, WA 84373")</f>
        <v>4324 Jim Trace Apt. 582, Port Jonathon, WA 84373</v>
      </c>
      <c r="J9" s="1"/>
      <c r="K9" s="1"/>
      <c r="L9" s="1"/>
      <c r="M9" s="1" t="str">
        <f ca="1">IFERROR(__xludf.DUMMYFUNCTION("""COMPUTED_VALUE"""),"ll680077")</f>
        <v>ll680077</v>
      </c>
      <c r="N9" s="3" t="str">
        <f ca="1">IFERROR(__xludf.DUMMYFUNCTION("""COMPUTED_VALUE"""),"https://drive.google.com/open?id=UfK2sPh7ijPRp5MoCFiY")</f>
        <v>https://drive.google.com/open?id=UfK2sPh7ijPRp5MoCFiY</v>
      </c>
      <c r="O9" s="3" t="str">
        <f ca="1">IFERROR(__xludf.DUMMYFUNCTION("""COMPUTED_VALUE"""),"https://drive.google.com/open?id=jtTSiBS8cOgKYdCMtmq0")</f>
        <v>https://drive.google.com/open?id=jtTSiBS8cOgKYdCMtmq0</v>
      </c>
      <c r="P9" s="1" t="str">
        <f ca="1">IFERROR(__xludf.DUMMYFUNCTION("""COMPUTED_VALUE"""),"Self-employed")</f>
        <v>Self-employed</v>
      </c>
      <c r="Q9" s="1">
        <f ca="1">IFERROR(__xludf.DUMMYFUNCTION("""COMPUTED_VALUE"""),12000000)</f>
        <v>12000000</v>
      </c>
      <c r="R9" s="3" t="str">
        <f ca="1">IFERROR(__xludf.DUMMYFUNCTION("""COMPUTED_VALUE"""),"https://drive.google.com/open?id=KAT2HkAySkOuNeT3N7b9")</f>
        <v>https://drive.google.com/open?id=KAT2HkAySkOuNeT3N7b9</v>
      </c>
      <c r="S9" s="1">
        <f ca="1">IFERROR(__xludf.DUMMYFUNCTION("""COMPUTED_VALUE"""),24000000)</f>
        <v>24000000</v>
      </c>
      <c r="T9" s="1" t="str">
        <f ca="1">IFERROR(__xludf.DUMMYFUNCTION("""COMPUTED_VALUE"""),"Classic")</f>
        <v>Classic</v>
      </c>
      <c r="U9" s="1" t="str">
        <f ca="1">IFERROR(__xludf.DUMMYFUNCTION("""COMPUTED_VALUE"""),"Partner")</f>
        <v>Partner</v>
      </c>
    </row>
    <row r="10" spans="1:21" x14ac:dyDescent="0.25">
      <c r="A10" s="2" t="str">
        <f ca="1">IFERROR(__xludf.DUMMYFUNCTION("""COMPUTED_VALUE"""),"APP0009")</f>
        <v>APP0009</v>
      </c>
      <c r="B10" s="2">
        <f ca="1">IFERROR(__xludf.DUMMYFUNCTION("""COMPUTED_VALUE"""),45896.1206134259)</f>
        <v>45896.120613425897</v>
      </c>
      <c r="C10" s="1" t="str">
        <f ca="1">IFERROR(__xludf.DUMMYFUNCTION("""COMPUTED_VALUE"""),"Hoàng Anh Yến")</f>
        <v>Hoàng Anh Yến</v>
      </c>
      <c r="D10" s="1" t="str">
        <f ca="1">IFERROR(__xludf.DUMMYFUNCTION("""COMPUTED_VALUE"""),"15/11/1999")</f>
        <v>15/11/1999</v>
      </c>
      <c r="E10" s="1" t="str">
        <f ca="1">IFERROR(__xludf.DUMMYFUNCTION("""COMPUTED_VALUE"""),"Male")</f>
        <v>Male</v>
      </c>
      <c r="F10" s="1" t="str">
        <f ca="1">IFERROR(__xludf.DUMMYFUNCTION("""COMPUTED_VALUE"""),"Vietnam")</f>
        <v>Vietnam</v>
      </c>
      <c r="G10" s="1" t="str">
        <f ca="1">IFERROR(__xludf.DUMMYFUNCTION("""COMPUTED_VALUE"""),"0847834130")</f>
        <v>0847834130</v>
      </c>
      <c r="H10" s="1" t="str">
        <f ca="1">IFERROR(__xludf.DUMMYFUNCTION("""COMPUTED_VALUE"""),"hoanganhyen@gmail.com")</f>
        <v>hoanganhyen@gmail.com</v>
      </c>
      <c r="I10" s="1" t="str">
        <f ca="1">IFERROR(__xludf.DUMMYFUNCTION("""COMPUTED_VALUE"""),"192 Le Loi, Quan 7, Ha Noi, Viet Nam")</f>
        <v>192 Le Loi, Quan 7, Ha Noi, Viet Nam</v>
      </c>
      <c r="J10" s="1" t="str">
        <f ca="1">IFERROR(__xludf.DUMMYFUNCTION("""COMPUTED_VALUE"""),"012646406653")</f>
        <v>012646406653</v>
      </c>
      <c r="K10" s="3" t="str">
        <f ca="1">IFERROR(__xludf.DUMMYFUNCTION("""COMPUTED_VALUE"""),"https://drive.google.com/open?id=NRtmk9ZCwXN1rFIi45wt")</f>
        <v>https://drive.google.com/open?id=NRtmk9ZCwXN1rFIi45wt</v>
      </c>
      <c r="L10" s="3" t="str">
        <f ca="1">IFERROR(__xludf.DUMMYFUNCTION("""COMPUTED_VALUE"""),"https://drive.google.com/open?id=WSw3DuDGZxah4hb4GEea")</f>
        <v>https://drive.google.com/open?id=WSw3DuDGZxah4hb4GEea</v>
      </c>
      <c r="M10" s="1"/>
      <c r="N10" s="1"/>
      <c r="O10" s="1"/>
      <c r="P10" s="1" t="str">
        <f ca="1">IFERROR(__xludf.DUMMYFUNCTION("""COMPUTED_VALUE"""),"Self-employed")</f>
        <v>Self-employed</v>
      </c>
      <c r="Q10" s="1">
        <f ca="1">IFERROR(__xludf.DUMMYFUNCTION("""COMPUTED_VALUE"""),50000000)</f>
        <v>50000000</v>
      </c>
      <c r="R10" s="3" t="str">
        <f ca="1">IFERROR(__xludf.DUMMYFUNCTION("""COMPUTED_VALUE"""),"https://drive.google.com/open?id=P2lxC7X3ZzeZOZvuw8ry")</f>
        <v>https://drive.google.com/open?id=P2lxC7X3ZzeZOZvuw8ry</v>
      </c>
      <c r="S10" s="1">
        <f ca="1">IFERROR(__xludf.DUMMYFUNCTION("""COMPUTED_VALUE"""),150000000)</f>
        <v>150000000</v>
      </c>
      <c r="T10" s="1" t="str">
        <f ca="1">IFERROR(__xludf.DUMMYFUNCTION("""COMPUTED_VALUE"""),"Gold")</f>
        <v>Gold</v>
      </c>
      <c r="U10" s="1" t="str">
        <f ca="1">IFERROR(__xludf.DUMMYFUNCTION("""COMPUTED_VALUE"""),"Branch")</f>
        <v>Branch</v>
      </c>
    </row>
    <row r="11" spans="1:21" x14ac:dyDescent="0.25">
      <c r="A11" s="2" t="str">
        <f ca="1">IFERROR(__xludf.DUMMYFUNCTION("""COMPUTED_VALUE"""),"APP0010")</f>
        <v>APP0010</v>
      </c>
      <c r="B11" s="2">
        <f ca="1">IFERROR(__xludf.DUMMYFUNCTION("""COMPUTED_VALUE"""),45896.2030324074)</f>
        <v>45896.2030324074</v>
      </c>
      <c r="C11" s="1" t="str">
        <f ca="1">IFERROR(__xludf.DUMMYFUNCTION("""COMPUTED_VALUE"""),"Lê Thị Vy")</f>
        <v>Lê Thị Vy</v>
      </c>
      <c r="D11" s="1" t="str">
        <f ca="1">IFERROR(__xludf.DUMMYFUNCTION("""COMPUTED_VALUE"""),"28/03/1999")</f>
        <v>28/03/1999</v>
      </c>
      <c r="E11" s="1" t="str">
        <f ca="1">IFERROR(__xludf.DUMMYFUNCTION("""COMPUTED_VALUE"""),"Male")</f>
        <v>Male</v>
      </c>
      <c r="F11" s="1" t="str">
        <f ca="1">IFERROR(__xludf.DUMMYFUNCTION("""COMPUTED_VALUE"""),"Vietnam")</f>
        <v>Vietnam</v>
      </c>
      <c r="G11" s="1" t="str">
        <f ca="1">IFERROR(__xludf.DUMMYFUNCTION("""COMPUTED_VALUE"""),"0779971788")</f>
        <v>0779971788</v>
      </c>
      <c r="H11" s="1" t="str">
        <f ca="1">IFERROR(__xludf.DUMMYFUNCTION("""COMPUTED_VALUE"""),"lethivy@gmail.com")</f>
        <v>lethivy@gmail.com</v>
      </c>
      <c r="I11" s="1" t="str">
        <f ca="1">IFERROR(__xludf.DUMMYFUNCTION("""COMPUTED_VALUE"""),"191 Nguyen Hue, Quan 7, Ha Noi, Viet Nam")</f>
        <v>191 Nguyen Hue, Quan 7, Ha Noi, Viet Nam</v>
      </c>
      <c r="J11" s="1" t="str">
        <f ca="1">IFERROR(__xludf.DUMMYFUNCTION("""COMPUTED_VALUE"""),"064845344238")</f>
        <v>064845344238</v>
      </c>
      <c r="K11" s="3" t="str">
        <f ca="1">IFERROR(__xludf.DUMMYFUNCTION("""COMPUTED_VALUE"""),"https://drive.google.com/open?id=3VmpEJQnthsvrIzRgaEd")</f>
        <v>https://drive.google.com/open?id=3VmpEJQnthsvrIzRgaEd</v>
      </c>
      <c r="L11" s="3" t="str">
        <f ca="1">IFERROR(__xludf.DUMMYFUNCTION("""COMPUTED_VALUE"""),"https://drive.google.com/open?id=lq3t1xeoL2DpAi8sx8Er")</f>
        <v>https://drive.google.com/open?id=lq3t1xeoL2DpAi8sx8Er</v>
      </c>
      <c r="M11" s="1"/>
      <c r="N11" s="1"/>
      <c r="O11" s="1"/>
      <c r="P11" s="1" t="str">
        <f ca="1">IFERROR(__xludf.DUMMYFUNCTION("""COMPUTED_VALUE"""),"Part-time")</f>
        <v>Part-time</v>
      </c>
      <c r="Q11" s="1">
        <f ca="1">IFERROR(__xludf.DUMMYFUNCTION("""COMPUTED_VALUE"""),50000000)</f>
        <v>50000000</v>
      </c>
      <c r="R11" s="3" t="str">
        <f ca="1">IFERROR(__xludf.DUMMYFUNCTION("""COMPUTED_VALUE"""),"https://drive.google.com/open?id=RFw7IzOlBjNdYEN4n1PF")</f>
        <v>https://drive.google.com/open?id=RFw7IzOlBjNdYEN4n1PF</v>
      </c>
      <c r="S11" s="1">
        <f ca="1">IFERROR(__xludf.DUMMYFUNCTION("""COMPUTED_VALUE"""),150000000)</f>
        <v>150000000</v>
      </c>
      <c r="T11" s="1" t="str">
        <f ca="1">IFERROR(__xludf.DUMMYFUNCTION("""COMPUTED_VALUE"""),"Platinum")</f>
        <v>Platinum</v>
      </c>
      <c r="U11" s="1" t="str">
        <f ca="1">IFERROR(__xludf.DUMMYFUNCTION("""COMPUTED_VALUE"""),"Branch")</f>
        <v>Branch</v>
      </c>
    </row>
    <row r="12" spans="1:21" x14ac:dyDescent="0.25">
      <c r="A12" s="2" t="str">
        <f ca="1">IFERROR(__xludf.DUMMYFUNCTION("""COMPUTED_VALUE"""),"APP0011")</f>
        <v>APP0011</v>
      </c>
      <c r="B12" s="2">
        <f ca="1">IFERROR(__xludf.DUMMYFUNCTION("""COMPUTED_VALUE"""),45896.3719560185)</f>
        <v>45896.371956018498</v>
      </c>
      <c r="C12" s="1" t="str">
        <f ca="1">IFERROR(__xludf.DUMMYFUNCTION("""COMPUTED_VALUE"""),"Trần Hữu Linh")</f>
        <v>Trần Hữu Linh</v>
      </c>
      <c r="D12" s="1" t="str">
        <f ca="1">IFERROR(__xludf.DUMMYFUNCTION("""COMPUTED_VALUE"""),"20/03/1974")</f>
        <v>20/03/1974</v>
      </c>
      <c r="E12" s="1" t="str">
        <f ca="1">IFERROR(__xludf.DUMMYFUNCTION("""COMPUTED_VALUE"""),"Male")</f>
        <v>Male</v>
      </c>
      <c r="F12" s="1" t="str">
        <f ca="1">IFERROR(__xludf.DUMMYFUNCTION("""COMPUTED_VALUE"""),"Vietnam")</f>
        <v>Vietnam</v>
      </c>
      <c r="G12" s="1" t="str">
        <f ca="1">IFERROR(__xludf.DUMMYFUNCTION("""COMPUTED_VALUE"""),"0790676752")</f>
        <v>0790676752</v>
      </c>
      <c r="H12" s="1" t="str">
        <f ca="1">IFERROR(__xludf.DUMMYFUNCTION("""COMPUTED_VALUE"""),"tranhuulinh@gmail.com")</f>
        <v>tranhuulinh@gmail.com</v>
      </c>
      <c r="I12" s="1" t="str">
        <f ca="1">IFERROR(__xludf.DUMMYFUNCTION("""COMPUTED_VALUE"""),"55 Nguyen Trai, Dong Da, Hai Phong, Viet Nam")</f>
        <v>55 Nguyen Trai, Dong Da, Hai Phong, Viet Nam</v>
      </c>
      <c r="J12" s="1" t="str">
        <f ca="1">IFERROR(__xludf.DUMMYFUNCTION("""COMPUTED_VALUE"""),"051345661305")</f>
        <v>051345661305</v>
      </c>
      <c r="K12" s="3" t="str">
        <f ca="1">IFERROR(__xludf.DUMMYFUNCTION("""COMPUTED_VALUE"""),"https://drive.google.com/open?id=8ldAMhkL6nPrY5fpcr0N")</f>
        <v>https://drive.google.com/open?id=8ldAMhkL6nPrY5fpcr0N</v>
      </c>
      <c r="L12" s="3" t="str">
        <f ca="1">IFERROR(__xludf.DUMMYFUNCTION("""COMPUTED_VALUE"""),"https://drive.google.com/open?id=ldIsXbHZgcxbacAOwlqN")</f>
        <v>https://drive.google.com/open?id=ldIsXbHZgcxbacAOwlqN</v>
      </c>
      <c r="M12" s="1"/>
      <c r="N12" s="1"/>
      <c r="O12" s="1"/>
      <c r="P12" s="1" t="str">
        <f ca="1">IFERROR(__xludf.DUMMYFUNCTION("""COMPUTED_VALUE"""),"Self-employed")</f>
        <v>Self-employed</v>
      </c>
      <c r="Q12" s="1">
        <f ca="1">IFERROR(__xludf.DUMMYFUNCTION("""COMPUTED_VALUE"""),8000000)</f>
        <v>8000000</v>
      </c>
      <c r="R12" s="3" t="str">
        <f ca="1">IFERROR(__xludf.DUMMYFUNCTION("""COMPUTED_VALUE"""),"https://drive.google.com/open?id=Up9wAjxk4c40SGCrMnDB")</f>
        <v>https://drive.google.com/open?id=Up9wAjxk4c40SGCrMnDB</v>
      </c>
      <c r="S12" s="1">
        <f ca="1">IFERROR(__xludf.DUMMYFUNCTION("""COMPUTED_VALUE"""),24000000)</f>
        <v>24000000</v>
      </c>
      <c r="T12" s="1" t="str">
        <f ca="1">IFERROR(__xludf.DUMMYFUNCTION("""COMPUTED_VALUE"""),"Gold")</f>
        <v>Gold</v>
      </c>
      <c r="U12" s="1" t="str">
        <f ca="1">IFERROR(__xludf.DUMMYFUNCTION("""COMPUTED_VALUE"""),"Partner")</f>
        <v>Partner</v>
      </c>
    </row>
    <row r="13" spans="1:21" x14ac:dyDescent="0.25">
      <c r="A13" s="2" t="str">
        <f ca="1">IFERROR(__xludf.DUMMYFUNCTION("""COMPUTED_VALUE"""),"APP0012")</f>
        <v>APP0012</v>
      </c>
      <c r="B13" s="2">
        <f ca="1">IFERROR(__xludf.DUMMYFUNCTION("""COMPUTED_VALUE"""),45896.4588657407)</f>
        <v>45896.4588657407</v>
      </c>
      <c r="C13" s="1" t="str">
        <f ca="1">IFERROR(__xludf.DUMMYFUNCTION("""COMPUTED_VALUE"""),"Đặng Quang Quân")</f>
        <v>Đặng Quang Quân</v>
      </c>
      <c r="D13" s="1" t="str">
        <f ca="1">IFERROR(__xludf.DUMMYFUNCTION("""COMPUTED_VALUE"""),"12/08/1999")</f>
        <v>12/08/1999</v>
      </c>
      <c r="E13" s="1" t="str">
        <f ca="1">IFERROR(__xludf.DUMMYFUNCTION("""COMPUTED_VALUE"""),"Female")</f>
        <v>Female</v>
      </c>
      <c r="F13" s="1" t="str">
        <f ca="1">IFERROR(__xludf.DUMMYFUNCTION("""COMPUTED_VALUE"""),"Vietnam")</f>
        <v>Vietnam</v>
      </c>
      <c r="G13" s="1" t="str">
        <f ca="1">IFERROR(__xludf.DUMMYFUNCTION("""COMPUTED_VALUE"""),"0986380163")</f>
        <v>0986380163</v>
      </c>
      <c r="H13" s="1" t="str">
        <f ca="1">IFERROR(__xludf.DUMMYFUNCTION("""COMPUTED_VALUE"""),"dangquangquan@gmail.com")</f>
        <v>dangquangquan@gmail.com</v>
      </c>
      <c r="I13" s="1" t="str">
        <f ca="1">IFERROR(__xludf.DUMMYFUNCTION("""COMPUTED_VALUE"""),"107 Nguyen Trai, Quan 7, Ha Noi, Viet Nam")</f>
        <v>107 Nguyen Trai, Quan 7, Ha Noi, Viet Nam</v>
      </c>
      <c r="J13" s="1" t="str">
        <f ca="1">IFERROR(__xludf.DUMMYFUNCTION("""COMPUTED_VALUE"""),"037066501525")</f>
        <v>037066501525</v>
      </c>
      <c r="K13" s="3" t="str">
        <f ca="1">IFERROR(__xludf.DUMMYFUNCTION("""COMPUTED_VALUE"""),"https://drive.google.com/open?id=8lpZV1BsRAmaGbzTE5BH")</f>
        <v>https://drive.google.com/open?id=8lpZV1BsRAmaGbzTE5BH</v>
      </c>
      <c r="L13" s="3" t="str">
        <f ca="1">IFERROR(__xludf.DUMMYFUNCTION("""COMPUTED_VALUE"""),"https://drive.google.com/open?id=MlPj6k6AN5tpTFePqDj8")</f>
        <v>https://drive.google.com/open?id=MlPj6k6AN5tpTFePqDj8</v>
      </c>
      <c r="M13" s="1"/>
      <c r="N13" s="1"/>
      <c r="O13" s="1"/>
      <c r="P13" s="1" t="str">
        <f ca="1">IFERROR(__xludf.DUMMYFUNCTION("""COMPUTED_VALUE"""),"Self-employed")</f>
        <v>Self-employed</v>
      </c>
      <c r="Q13" s="1">
        <f ca="1">IFERROR(__xludf.DUMMYFUNCTION("""COMPUTED_VALUE"""),5000000)</f>
        <v>5000000</v>
      </c>
      <c r="R13" s="3" t="str">
        <f ca="1">IFERROR(__xludf.DUMMYFUNCTION("""COMPUTED_VALUE"""),"https://drive.google.com/open?id=pgaXVthU0gzCGSgTt1y8")</f>
        <v>https://drive.google.com/open?id=pgaXVthU0gzCGSgTt1y8</v>
      </c>
      <c r="S13" s="1">
        <f ca="1">IFERROR(__xludf.DUMMYFUNCTION("""COMPUTED_VALUE"""),10000000)</f>
        <v>10000000</v>
      </c>
      <c r="T13" s="1" t="str">
        <f ca="1">IFERROR(__xludf.DUMMYFUNCTION("""COMPUTED_VALUE"""),"Platinum")</f>
        <v>Platinum</v>
      </c>
      <c r="U13" s="1" t="str">
        <f ca="1">IFERROR(__xludf.DUMMYFUNCTION("""COMPUTED_VALUE"""),"Partner")</f>
        <v>Partner</v>
      </c>
    </row>
    <row r="14" spans="1:21" x14ac:dyDescent="0.25">
      <c r="A14" s="2" t="str">
        <f ca="1">IFERROR(__xludf.DUMMYFUNCTION("""COMPUTED_VALUE"""),"APP0013")</f>
        <v>APP0013</v>
      </c>
      <c r="B14" s="2">
        <f ca="1">IFERROR(__xludf.DUMMYFUNCTION("""COMPUTED_VALUE"""),45896.5029282407)</f>
        <v>45896.502928240698</v>
      </c>
      <c r="C14" s="1" t="str">
        <f ca="1">IFERROR(__xludf.DUMMYFUNCTION("""COMPUTED_VALUE"""),"Lý Thị Dũng")</f>
        <v>Lý Thị Dũng</v>
      </c>
      <c r="D14" s="1" t="str">
        <f ca="1">IFERROR(__xludf.DUMMYFUNCTION("""COMPUTED_VALUE"""),"19/03/2000")</f>
        <v>19/03/2000</v>
      </c>
      <c r="E14" s="1" t="str">
        <f ca="1">IFERROR(__xludf.DUMMYFUNCTION("""COMPUTED_VALUE"""),"Female")</f>
        <v>Female</v>
      </c>
      <c r="F14" s="1" t="str">
        <f ca="1">IFERROR(__xludf.DUMMYFUNCTION("""COMPUTED_VALUE"""),"Vietnam")</f>
        <v>Vietnam</v>
      </c>
      <c r="G14" s="1" t="str">
        <f ca="1">IFERROR(__xludf.DUMMYFUNCTION("""COMPUTED_VALUE"""),"0890571743")</f>
        <v>0890571743</v>
      </c>
      <c r="H14" s="1" t="str">
        <f ca="1">IFERROR(__xludf.DUMMYFUNCTION("""COMPUTED_VALUE"""),"lythidung@gmail.com")</f>
        <v>lythidung@gmail.com</v>
      </c>
      <c r="I14" s="1" t="str">
        <f ca="1">IFERROR(__xludf.DUMMYFUNCTION("""COMPUTED_VALUE"""),"2 Tran Hung Dao, Hoan Kiem, TP Ho Chi Minh, Viet Nam")</f>
        <v>2 Tran Hung Dao, Hoan Kiem, TP Ho Chi Minh, Viet Nam</v>
      </c>
      <c r="J14" s="1" t="str">
        <f ca="1">IFERROR(__xludf.DUMMYFUNCTION("""COMPUTED_VALUE"""),"027892219410")</f>
        <v>027892219410</v>
      </c>
      <c r="K14" s="3" t="str">
        <f ca="1">IFERROR(__xludf.DUMMYFUNCTION("""COMPUTED_VALUE"""),"https://drive.google.com/open?id=VuPNcMA3UyBcG4PXgUJ9")</f>
        <v>https://drive.google.com/open?id=VuPNcMA3UyBcG4PXgUJ9</v>
      </c>
      <c r="L14" s="3" t="str">
        <f ca="1">IFERROR(__xludf.DUMMYFUNCTION("""COMPUTED_VALUE"""),"https://drive.google.com/open?id=TeIk1je8RYzd07H3KBov")</f>
        <v>https://drive.google.com/open?id=TeIk1je8RYzd07H3KBov</v>
      </c>
      <c r="M14" s="1"/>
      <c r="N14" s="1"/>
      <c r="O14" s="1"/>
      <c r="P14" s="1" t="str">
        <f ca="1">IFERROR(__xludf.DUMMYFUNCTION("""COMPUTED_VALUE"""),"Full-time")</f>
        <v>Full-time</v>
      </c>
      <c r="Q14" s="1">
        <f ca="1">IFERROR(__xludf.DUMMYFUNCTION("""COMPUTED_VALUE"""),5000000)</f>
        <v>5000000</v>
      </c>
      <c r="R14" s="3" t="str">
        <f ca="1">IFERROR(__xludf.DUMMYFUNCTION("""COMPUTED_VALUE"""),"https://drive.google.com/open?id=Xj6FVznyp1hAQ8fG1ypA")</f>
        <v>https://drive.google.com/open?id=Xj6FVznyp1hAQ8fG1ypA</v>
      </c>
      <c r="S14" s="1">
        <f ca="1">IFERROR(__xludf.DUMMYFUNCTION("""COMPUTED_VALUE"""),15000000)</f>
        <v>15000000</v>
      </c>
      <c r="T14" s="1" t="str">
        <f ca="1">IFERROR(__xludf.DUMMYFUNCTION("""COMPUTED_VALUE"""),"Platinum")</f>
        <v>Platinum</v>
      </c>
      <c r="U14" s="1" t="str">
        <f ca="1">IFERROR(__xludf.DUMMYFUNCTION("""COMPUTED_VALUE"""),"Partner")</f>
        <v>Partner</v>
      </c>
    </row>
    <row r="15" spans="1:21" x14ac:dyDescent="0.25">
      <c r="A15" s="2" t="str">
        <f ca="1">IFERROR(__xludf.DUMMYFUNCTION("""COMPUTED_VALUE"""),"APP0014")</f>
        <v>APP0014</v>
      </c>
      <c r="B15" s="2">
        <f ca="1">IFERROR(__xludf.DUMMYFUNCTION("""COMPUTED_VALUE"""),45896.7743402777)</f>
        <v>45896.774340277698</v>
      </c>
      <c r="C15" s="1" t="str">
        <f ca="1">IFERROR(__xludf.DUMMYFUNCTION("""COMPUTED_VALUE"""),"Lý Đức Mai")</f>
        <v>Lý Đức Mai</v>
      </c>
      <c r="D15" s="1" t="str">
        <f ca="1">IFERROR(__xludf.DUMMYFUNCTION("""COMPUTED_VALUE"""),"27/03/1999")</f>
        <v>27/03/1999</v>
      </c>
      <c r="E15" s="1" t="str">
        <f ca="1">IFERROR(__xludf.DUMMYFUNCTION("""COMPUTED_VALUE"""),"Male")</f>
        <v>Male</v>
      </c>
      <c r="F15" s="1" t="str">
        <f ca="1">IFERROR(__xludf.DUMMYFUNCTION("""COMPUTED_VALUE"""),"Vietnam")</f>
        <v>Vietnam</v>
      </c>
      <c r="G15" s="1" t="str">
        <f ca="1">IFERROR(__xludf.DUMMYFUNCTION("""COMPUTED_VALUE"""),"0862070786")</f>
        <v>0862070786</v>
      </c>
      <c r="H15" s="1" t="str">
        <f ca="1">IFERROR(__xludf.DUMMYFUNCTION("""COMPUTED_VALUE"""),"lyducmai@gmail.com")</f>
        <v>lyducmai@gmail.com</v>
      </c>
      <c r="I15" s="1" t="str">
        <f ca="1">IFERROR(__xludf.DUMMYFUNCTION("""COMPUTED_VALUE"""),"91 Pham Van Dong, Hai Chau, TP Ho Chi Minh, Viet Nam")</f>
        <v>91 Pham Van Dong, Hai Chau, TP Ho Chi Minh, Viet Nam</v>
      </c>
      <c r="J15" s="1" t="str">
        <f ca="1">IFERROR(__xludf.DUMMYFUNCTION("""COMPUTED_VALUE"""),"084738508014")</f>
        <v>084738508014</v>
      </c>
      <c r="K15" s="3" t="str">
        <f ca="1">IFERROR(__xludf.DUMMYFUNCTION("""COMPUTED_VALUE"""),"https://drive.google.com/open?id=QpzwzQfLDptmbWyF0Yhp")</f>
        <v>https://drive.google.com/open?id=QpzwzQfLDptmbWyF0Yhp</v>
      </c>
      <c r="L15" s="3" t="str">
        <f ca="1">IFERROR(__xludf.DUMMYFUNCTION("""COMPUTED_VALUE"""),"https://drive.google.com/open?id=zQRODPSxTf5pkUp7OhrB")</f>
        <v>https://drive.google.com/open?id=zQRODPSxTf5pkUp7OhrB</v>
      </c>
      <c r="M15" s="1"/>
      <c r="N15" s="1"/>
      <c r="O15" s="1"/>
      <c r="P15" s="1" t="str">
        <f ca="1">IFERROR(__xludf.DUMMYFUNCTION("""COMPUTED_VALUE"""),"Contract")</f>
        <v>Contract</v>
      </c>
      <c r="Q15" s="1">
        <f ca="1">IFERROR(__xludf.DUMMYFUNCTION("""COMPUTED_VALUE"""),12000000)</f>
        <v>12000000</v>
      </c>
      <c r="R15" s="3" t="str">
        <f ca="1">IFERROR(__xludf.DUMMYFUNCTION("""COMPUTED_VALUE"""),"https://drive.google.com/open?id=DPjrkQk3Gc6LzwLDrckd")</f>
        <v>https://drive.google.com/open?id=DPjrkQk3Gc6LzwLDrckd</v>
      </c>
      <c r="S15" s="1">
        <f ca="1">IFERROR(__xludf.DUMMYFUNCTION("""COMPUTED_VALUE"""),36000000)</f>
        <v>36000000</v>
      </c>
      <c r="T15" s="1" t="str">
        <f ca="1">IFERROR(__xludf.DUMMYFUNCTION("""COMPUTED_VALUE"""),"Platinum")</f>
        <v>Platinum</v>
      </c>
      <c r="U15" s="1" t="str">
        <f ca="1">IFERROR(__xludf.DUMMYFUNCTION("""COMPUTED_VALUE"""),"Branch")</f>
        <v>Branch</v>
      </c>
    </row>
    <row r="16" spans="1:21" x14ac:dyDescent="0.25">
      <c r="A16" s="2" t="str">
        <f ca="1">IFERROR(__xludf.DUMMYFUNCTION("""COMPUTED_VALUE"""),"APP0015")</f>
        <v>APP0015</v>
      </c>
      <c r="B16" s="2">
        <f ca="1">IFERROR(__xludf.DUMMYFUNCTION("""COMPUTED_VALUE"""),45896.8742361111)</f>
        <v>45896.8742361111</v>
      </c>
      <c r="C16" s="1" t="str">
        <f ca="1">IFERROR(__xludf.DUMMYFUNCTION("""COMPUTED_VALUE"""),"Ngô Thị Châu")</f>
        <v>Ngô Thị Châu</v>
      </c>
      <c r="D16" s="1" t="str">
        <f ca="1">IFERROR(__xludf.DUMMYFUNCTION("""COMPUTED_VALUE"""),"06/09/1997")</f>
        <v>06/09/1997</v>
      </c>
      <c r="E16" s="1" t="str">
        <f ca="1">IFERROR(__xludf.DUMMYFUNCTION("""COMPUTED_VALUE"""),"Female")</f>
        <v>Female</v>
      </c>
      <c r="F16" s="1" t="str">
        <f ca="1">IFERROR(__xludf.DUMMYFUNCTION("""COMPUTED_VALUE"""),"Vietnam")</f>
        <v>Vietnam</v>
      </c>
      <c r="G16" s="1" t="str">
        <f ca="1">IFERROR(__xludf.DUMMYFUNCTION("""COMPUTED_VALUE"""),"0828800934")</f>
        <v>0828800934</v>
      </c>
      <c r="H16" s="1" t="str">
        <f ca="1">IFERROR(__xludf.DUMMYFUNCTION("""COMPUTED_VALUE"""),"ngothichau@gmail.com")</f>
        <v>ngothichau@gmail.com</v>
      </c>
      <c r="I16" s="1" t="str">
        <f ca="1">IFERROR(__xludf.DUMMYFUNCTION("""COMPUTED_VALUE"""),"184 Tran Hung Dao, Dong Da, Da Nang, Viet Nam")</f>
        <v>184 Tran Hung Dao, Dong Da, Da Nang, Viet Nam</v>
      </c>
      <c r="J16" s="1" t="str">
        <f ca="1">IFERROR(__xludf.DUMMYFUNCTION("""COMPUTED_VALUE"""),"08782117608")</f>
        <v>08782117608</v>
      </c>
      <c r="K16" s="3" t="str">
        <f ca="1">IFERROR(__xludf.DUMMYFUNCTION("""COMPUTED_VALUE"""),"https://drive.google.com/open?id=m0WN4UAKdcm0TeXIjska")</f>
        <v>https://drive.google.com/open?id=m0WN4UAKdcm0TeXIjska</v>
      </c>
      <c r="L16" s="3" t="str">
        <f ca="1">IFERROR(__xludf.DUMMYFUNCTION("""COMPUTED_VALUE"""),"https://drive.google.com/open?id=lWsZBVDLTfYnc9S4plN5")</f>
        <v>https://drive.google.com/open?id=lWsZBVDLTfYnc9S4plN5</v>
      </c>
      <c r="M16" s="1"/>
      <c r="N16" s="1"/>
      <c r="O16" s="1"/>
      <c r="P16" s="1" t="str">
        <f ca="1">IFERROR(__xludf.DUMMYFUNCTION("""COMPUTED_VALUE"""),"Part-time")</f>
        <v>Part-time</v>
      </c>
      <c r="Q16" s="1">
        <f ca="1">IFERROR(__xludf.DUMMYFUNCTION("""COMPUTED_VALUE"""),50000000)</f>
        <v>50000000</v>
      </c>
      <c r="R16" s="3" t="str">
        <f ca="1">IFERROR(__xludf.DUMMYFUNCTION("""COMPUTED_VALUE"""),"https://drive.google.com/open?id=Rw7u9f0HnEDmfxrIUl03")</f>
        <v>https://drive.google.com/open?id=Rw7u9f0HnEDmfxrIUl03</v>
      </c>
      <c r="S16" s="1">
        <f ca="1">IFERROR(__xludf.DUMMYFUNCTION("""COMPUTED_VALUE"""),150000000)</f>
        <v>150000000</v>
      </c>
      <c r="T16" s="1" t="str">
        <f ca="1">IFERROR(__xludf.DUMMYFUNCTION("""COMPUTED_VALUE"""),"Gold")</f>
        <v>Gold</v>
      </c>
      <c r="U16" s="1" t="str">
        <f ca="1">IFERROR(__xludf.DUMMYFUNCTION("""COMPUTED_VALUE"""),"Partner")</f>
        <v>Partner</v>
      </c>
    </row>
    <row r="17" spans="1:21" x14ac:dyDescent="0.25">
      <c r="A17" s="2" t="str">
        <f ca="1">IFERROR(__xludf.DUMMYFUNCTION("""COMPUTED_VALUE"""),"APP0016")</f>
        <v>APP0016</v>
      </c>
      <c r="B17" s="2">
        <f ca="1">IFERROR(__xludf.DUMMYFUNCTION("""COMPUTED_VALUE"""),45896.9428703703)</f>
        <v>45896.942870370302</v>
      </c>
      <c r="C17" s="1" t="str">
        <f ca="1">IFERROR(__xludf.DUMMYFUNCTION("""COMPUTED_VALUE"""),"Ngô Hữu Khánh")</f>
        <v>Ngô Hữu Khánh</v>
      </c>
      <c r="D17" s="1" t="str">
        <f ca="1">IFERROR(__xludf.DUMMYFUNCTION("""COMPUTED_VALUE"""),"16/06/2004")</f>
        <v>16/06/2004</v>
      </c>
      <c r="E17" s="1" t="str">
        <f ca="1">IFERROR(__xludf.DUMMYFUNCTION("""COMPUTED_VALUE"""),"Female")</f>
        <v>Female</v>
      </c>
      <c r="F17" s="1" t="str">
        <f ca="1">IFERROR(__xludf.DUMMYFUNCTION("""COMPUTED_VALUE"""),"Vietnam")</f>
        <v>Vietnam</v>
      </c>
      <c r="G17" s="1" t="str">
        <f ca="1">IFERROR(__xludf.DUMMYFUNCTION("""COMPUTED_VALUE"""),"0870434715")</f>
        <v>0870434715</v>
      </c>
      <c r="H17" s="1" t="str">
        <f ca="1">IFERROR(__xludf.DUMMYFUNCTION("""COMPUTED_VALUE"""),"ngohuukhanh@gmail.com")</f>
        <v>ngohuukhanh@gmail.com</v>
      </c>
      <c r="I17" s="1" t="str">
        <f ca="1">IFERROR(__xludf.DUMMYFUNCTION("""COMPUTED_VALUE"""),"2 Nguyen Trai, Quan 7, TP Ho Chi Minh, Viet Nam")</f>
        <v>2 Nguyen Trai, Quan 7, TP Ho Chi Minh, Viet Nam</v>
      </c>
      <c r="J17" s="1" t="str">
        <f ca="1">IFERROR(__xludf.DUMMYFUNCTION("""COMPUTED_VALUE"""),"048355679594")</f>
        <v>048355679594</v>
      </c>
      <c r="K17" s="3" t="str">
        <f ca="1">IFERROR(__xludf.DUMMYFUNCTION("""COMPUTED_VALUE"""),"https://drive.google.com/open?id=mfh3hp591YN19IlKoNMW")</f>
        <v>https://drive.google.com/open?id=mfh3hp591YN19IlKoNMW</v>
      </c>
      <c r="L17" s="3" t="str">
        <f ca="1">IFERROR(__xludf.DUMMYFUNCTION("""COMPUTED_VALUE"""),"https://drive.google.com/open?id=TboGYOztUcMOkEC8t254")</f>
        <v>https://drive.google.com/open?id=TboGYOztUcMOkEC8t254</v>
      </c>
      <c r="M17" s="1"/>
      <c r="N17" s="1"/>
      <c r="O17" s="1"/>
      <c r="P17" s="1" t="str">
        <f ca="1">IFERROR(__xludf.DUMMYFUNCTION("""COMPUTED_VALUE"""),"Self-employed")</f>
        <v>Self-employed</v>
      </c>
      <c r="Q17" s="1">
        <f ca="1">IFERROR(__xludf.DUMMYFUNCTION("""COMPUTED_VALUE"""),5000000)</f>
        <v>5000000</v>
      </c>
      <c r="R17" s="3" t="str">
        <f ca="1">IFERROR(__xludf.DUMMYFUNCTION("""COMPUTED_VALUE"""),"https://drive.google.com/open?id=GIt2OfKQJUMtuPsIXi5x")</f>
        <v>https://drive.google.com/open?id=GIt2OfKQJUMtuPsIXi5x</v>
      </c>
      <c r="S17" s="1">
        <f ca="1">IFERROR(__xludf.DUMMYFUNCTION("""COMPUTED_VALUE"""),15000000)</f>
        <v>15000000</v>
      </c>
      <c r="T17" s="1" t="str">
        <f ca="1">IFERROR(__xludf.DUMMYFUNCTION("""COMPUTED_VALUE"""),"Classic")</f>
        <v>Classic</v>
      </c>
      <c r="U17" s="1" t="str">
        <f ca="1">IFERROR(__xludf.DUMMYFUNCTION("""COMPUTED_VALUE"""),"Branch")</f>
        <v>Branch</v>
      </c>
    </row>
    <row r="18" spans="1:21" x14ac:dyDescent="0.25">
      <c r="A18" s="2" t="str">
        <f ca="1">IFERROR(__xludf.DUMMYFUNCTION("""COMPUTED_VALUE"""),"APP0017")</f>
        <v>APP0017</v>
      </c>
      <c r="B18" s="2">
        <f ca="1">IFERROR(__xludf.DUMMYFUNCTION("""COMPUTED_VALUE"""),45897.0555439814)</f>
        <v>45897.055543981398</v>
      </c>
      <c r="C18" s="1" t="str">
        <f ca="1">IFERROR(__xludf.DUMMYFUNCTION("""COMPUTED_VALUE"""),"Phạm Văn Dũng")</f>
        <v>Phạm Văn Dũng</v>
      </c>
      <c r="D18" s="1" t="str">
        <f ca="1">IFERROR(__xludf.DUMMYFUNCTION("""COMPUTED_VALUE"""),"01/06/1989")</f>
        <v>01/06/1989</v>
      </c>
      <c r="E18" s="1" t="str">
        <f ca="1">IFERROR(__xludf.DUMMYFUNCTION("""COMPUTED_VALUE"""),"Female")</f>
        <v>Female</v>
      </c>
      <c r="F18" s="1" t="str">
        <f ca="1">IFERROR(__xludf.DUMMYFUNCTION("""COMPUTED_VALUE"""),"Vietnam")</f>
        <v>Vietnam</v>
      </c>
      <c r="G18" s="1" t="str">
        <f ca="1">IFERROR(__xludf.DUMMYFUNCTION("""COMPUTED_VALUE"""),"0897644697")</f>
        <v>0897644697</v>
      </c>
      <c r="H18" s="1" t="str">
        <f ca="1">IFERROR(__xludf.DUMMYFUNCTION("""COMPUTED_VALUE"""),"phamvandung@gmail.com")</f>
        <v>phamvandung@gmail.com</v>
      </c>
      <c r="I18" s="1" t="str">
        <f ca="1">IFERROR(__xludf.DUMMYFUNCTION("""COMPUTED_VALUE"""),"92 Pham Van Dong, Hai Chau, TP Ho Chi Minh, Viet Nam")</f>
        <v>92 Pham Van Dong, Hai Chau, TP Ho Chi Minh, Viet Nam</v>
      </c>
      <c r="J18" s="1" t="str">
        <f ca="1">IFERROR(__xludf.DUMMYFUNCTION("""COMPUTED_VALUE"""),"082932002556")</f>
        <v>082932002556</v>
      </c>
      <c r="K18" s="3" t="str">
        <f ca="1">IFERROR(__xludf.DUMMYFUNCTION("""COMPUTED_VALUE"""),"https://drive.google.com/open?id=AjbH75pewGD7X1x2qgWv")</f>
        <v>https://drive.google.com/open?id=AjbH75pewGD7X1x2qgWv</v>
      </c>
      <c r="L18" s="3" t="str">
        <f ca="1">IFERROR(__xludf.DUMMYFUNCTION("""COMPUTED_VALUE"""),"https://drive.google.com/open?id=rF3j7ws8f1KdKcViELyK")</f>
        <v>https://drive.google.com/open?id=rF3j7ws8f1KdKcViELyK</v>
      </c>
      <c r="M18" s="1"/>
      <c r="N18" s="1"/>
      <c r="O18" s="1"/>
      <c r="P18" s="1" t="str">
        <f ca="1">IFERROR(__xludf.DUMMYFUNCTION("""COMPUTED_VALUE"""),"Contract")</f>
        <v>Contract</v>
      </c>
      <c r="Q18" s="1">
        <f ca="1">IFERROR(__xludf.DUMMYFUNCTION("""COMPUTED_VALUE"""),12000000)</f>
        <v>12000000</v>
      </c>
      <c r="R18" s="3" t="str">
        <f ca="1">IFERROR(__xludf.DUMMYFUNCTION("""COMPUTED_VALUE"""),"https://drive.google.com/open?id=JgzS3HSqNJ6eBiBoN1Ez")</f>
        <v>https://drive.google.com/open?id=JgzS3HSqNJ6eBiBoN1Ez</v>
      </c>
      <c r="S18" s="1">
        <f ca="1">IFERROR(__xludf.DUMMYFUNCTION("""COMPUTED_VALUE"""),36000000)</f>
        <v>36000000</v>
      </c>
      <c r="T18" s="1" t="str">
        <f ca="1">IFERROR(__xludf.DUMMYFUNCTION("""COMPUTED_VALUE"""),"Gold")</f>
        <v>Gold</v>
      </c>
      <c r="U18" s="1" t="str">
        <f ca="1">IFERROR(__xludf.DUMMYFUNCTION("""COMPUTED_VALUE"""),"Partner")</f>
        <v>Partner</v>
      </c>
    </row>
    <row r="19" spans="1:21" x14ac:dyDescent="0.25">
      <c r="A19" s="2" t="str">
        <f ca="1">IFERROR(__xludf.DUMMYFUNCTION("""COMPUTED_VALUE"""),"APP0018")</f>
        <v>APP0018</v>
      </c>
      <c r="B19" s="2">
        <f ca="1">IFERROR(__xludf.DUMMYFUNCTION("""COMPUTED_VALUE"""),45897.0556597222)</f>
        <v>45897.055659722202</v>
      </c>
      <c r="C19" s="1" t="str">
        <f ca="1">IFERROR(__xludf.DUMMYFUNCTION("""COMPUTED_VALUE"""),"Hồ Hữu Mai")</f>
        <v>Hồ Hữu Mai</v>
      </c>
      <c r="D19" s="1" t="str">
        <f ca="1">IFERROR(__xludf.DUMMYFUNCTION("""COMPUTED_VALUE"""),"09/10/1989")</f>
        <v>09/10/1989</v>
      </c>
      <c r="E19" s="1" t="str">
        <f ca="1">IFERROR(__xludf.DUMMYFUNCTION("""COMPUTED_VALUE"""),"Female")</f>
        <v>Female</v>
      </c>
      <c r="F19" s="1" t="str">
        <f ca="1">IFERROR(__xludf.DUMMYFUNCTION("""COMPUTED_VALUE"""),"Vietnam")</f>
        <v>Vietnam</v>
      </c>
      <c r="G19" s="1" t="str">
        <f ca="1">IFERROR(__xludf.DUMMYFUNCTION("""COMPUTED_VALUE"""),"0764127079")</f>
        <v>0764127079</v>
      </c>
      <c r="H19" s="1" t="str">
        <f ca="1">IFERROR(__xludf.DUMMYFUNCTION("""COMPUTED_VALUE"""),"hohuumai@gmail.com")</f>
        <v>hohuumai@gmail.com</v>
      </c>
      <c r="I19" s="1" t="str">
        <f ca="1">IFERROR(__xludf.DUMMYFUNCTION("""COMPUTED_VALUE"""),"36 Nguyen Trai, Dong Da, Da Nang, Viet Nam")</f>
        <v>36 Nguyen Trai, Dong Da, Da Nang, Viet Nam</v>
      </c>
      <c r="J19" s="1" t="str">
        <f ca="1">IFERROR(__xludf.DUMMYFUNCTION("""COMPUTED_VALUE"""),"047037347674")</f>
        <v>047037347674</v>
      </c>
      <c r="K19" s="3" t="str">
        <f ca="1">IFERROR(__xludf.DUMMYFUNCTION("""COMPUTED_VALUE"""),"https://drive.google.com/open?id=y9lJBsXbhdZmfU5bjqW4")</f>
        <v>https://drive.google.com/open?id=y9lJBsXbhdZmfU5bjqW4</v>
      </c>
      <c r="L19" s="3" t="str">
        <f ca="1">IFERROR(__xludf.DUMMYFUNCTION("""COMPUTED_VALUE"""),"https://drive.google.com/open?id=KWkgQwM7wJ7NRddW1muL")</f>
        <v>https://drive.google.com/open?id=KWkgQwM7wJ7NRddW1muL</v>
      </c>
      <c r="M19" s="1"/>
      <c r="N19" s="1"/>
      <c r="O19" s="1"/>
      <c r="P19" s="1" t="str">
        <f ca="1">IFERROR(__xludf.DUMMYFUNCTION("""COMPUTED_VALUE"""),"Freelancer")</f>
        <v>Freelancer</v>
      </c>
      <c r="Q19" s="1">
        <f ca="1">IFERROR(__xludf.DUMMYFUNCTION("""COMPUTED_VALUE"""),8000000)</f>
        <v>8000000</v>
      </c>
      <c r="R19" s="3" t="str">
        <f ca="1">IFERROR(__xludf.DUMMYFUNCTION("""COMPUTED_VALUE"""),"https://drive.google.com/open?id=MdoyjcG8ZDINiiUpjbpk")</f>
        <v>https://drive.google.com/open?id=MdoyjcG8ZDINiiUpjbpk</v>
      </c>
      <c r="S19" s="1">
        <f ca="1">IFERROR(__xludf.DUMMYFUNCTION("""COMPUTED_VALUE"""),16000000)</f>
        <v>16000000</v>
      </c>
      <c r="T19" s="1" t="str">
        <f ca="1">IFERROR(__xludf.DUMMYFUNCTION("""COMPUTED_VALUE"""),"Classic")</f>
        <v>Classic</v>
      </c>
      <c r="U19" s="1" t="str">
        <f ca="1">IFERROR(__xludf.DUMMYFUNCTION("""COMPUTED_VALUE"""),"Partner")</f>
        <v>Partner</v>
      </c>
    </row>
    <row r="20" spans="1:21" x14ac:dyDescent="0.25">
      <c r="A20" s="2" t="str">
        <f ca="1">IFERROR(__xludf.DUMMYFUNCTION("""COMPUTED_VALUE"""),"APP0019")</f>
        <v>APP0019</v>
      </c>
      <c r="B20" s="2">
        <f ca="1">IFERROR(__xludf.DUMMYFUNCTION("""COMPUTED_VALUE"""),45897.0641898148)</f>
        <v>45897.064189814802</v>
      </c>
      <c r="C20" s="1" t="str">
        <f ca="1">IFERROR(__xludf.DUMMYFUNCTION("""COMPUTED_VALUE"""),"Phan Đức Mai")</f>
        <v>Phan Đức Mai</v>
      </c>
      <c r="D20" s="1" t="str">
        <f ca="1">IFERROR(__xludf.DUMMYFUNCTION("""COMPUTED_VALUE"""),"25/02/1975")</f>
        <v>25/02/1975</v>
      </c>
      <c r="E20" s="1" t="str">
        <f ca="1">IFERROR(__xludf.DUMMYFUNCTION("""COMPUTED_VALUE"""),"Male")</f>
        <v>Male</v>
      </c>
      <c r="F20" s="1" t="str">
        <f ca="1">IFERROR(__xludf.DUMMYFUNCTION("""COMPUTED_VALUE"""),"Vietnam")</f>
        <v>Vietnam</v>
      </c>
      <c r="G20" s="1" t="str">
        <f ca="1">IFERROR(__xludf.DUMMYFUNCTION("""COMPUTED_VALUE"""),"0839733321")</f>
        <v>0839733321</v>
      </c>
      <c r="H20" s="1" t="str">
        <f ca="1">IFERROR(__xludf.DUMMYFUNCTION("""COMPUTED_VALUE"""),"phanducmai@gmail.com")</f>
        <v>phanducmai@gmail.com</v>
      </c>
      <c r="I20" s="1" t="str">
        <f ca="1">IFERROR(__xludf.DUMMYFUNCTION("""COMPUTED_VALUE"""),"61 Pham Van Dong, Hoan Kiem, Can Tho, Viet Nam")</f>
        <v>61 Pham Van Dong, Hoan Kiem, Can Tho, Viet Nam</v>
      </c>
      <c r="J20" s="1" t="str">
        <f ca="1">IFERROR(__xludf.DUMMYFUNCTION("""COMPUTED_VALUE"""),"096893291228")</f>
        <v>096893291228</v>
      </c>
      <c r="K20" s="3" t="str">
        <f ca="1">IFERROR(__xludf.DUMMYFUNCTION("""COMPUTED_VALUE"""),"https://drive.google.com/open?id=y44O2FTNmLc3NMhEK4fz")</f>
        <v>https://drive.google.com/open?id=y44O2FTNmLc3NMhEK4fz</v>
      </c>
      <c r="L20" s="3" t="str">
        <f ca="1">IFERROR(__xludf.DUMMYFUNCTION("""COMPUTED_VALUE"""),"https://drive.google.com/open?id=3mubuJmXRpmgnVbd2kDG")</f>
        <v>https://drive.google.com/open?id=3mubuJmXRpmgnVbd2kDG</v>
      </c>
      <c r="M20" s="1"/>
      <c r="N20" s="1"/>
      <c r="O20" s="1"/>
      <c r="P20" s="1" t="str">
        <f ca="1">IFERROR(__xludf.DUMMYFUNCTION("""COMPUTED_VALUE"""),"Part-time")</f>
        <v>Part-time</v>
      </c>
      <c r="Q20" s="1">
        <f ca="1">IFERROR(__xludf.DUMMYFUNCTION("""COMPUTED_VALUE"""),20000000)</f>
        <v>20000000</v>
      </c>
      <c r="R20" s="3" t="str">
        <f ca="1">IFERROR(__xludf.DUMMYFUNCTION("""COMPUTED_VALUE"""),"https://drive.google.com/open?id=nrG7ouDkNU4oqTji3h7h")</f>
        <v>https://drive.google.com/open?id=nrG7ouDkNU4oqTji3h7h</v>
      </c>
      <c r="S20" s="1">
        <f ca="1">IFERROR(__xludf.DUMMYFUNCTION("""COMPUTED_VALUE"""),100000000)</f>
        <v>100000000</v>
      </c>
      <c r="T20" s="1" t="str">
        <f ca="1">IFERROR(__xludf.DUMMYFUNCTION("""COMPUTED_VALUE"""),"Platinum")</f>
        <v>Platinum</v>
      </c>
      <c r="U20" s="1" t="str">
        <f ca="1">IFERROR(__xludf.DUMMYFUNCTION("""COMPUTED_VALUE"""),"Branch")</f>
        <v>Branch</v>
      </c>
    </row>
    <row r="21" spans="1:21" x14ac:dyDescent="0.25">
      <c r="A21" s="2" t="str">
        <f ca="1">IFERROR(__xludf.DUMMYFUNCTION("""COMPUTED_VALUE"""),"APP0020")</f>
        <v>APP0020</v>
      </c>
      <c r="B21" s="2">
        <f ca="1">IFERROR(__xludf.DUMMYFUNCTION("""COMPUTED_VALUE"""),45897.2072800925)</f>
        <v>45897.207280092502</v>
      </c>
      <c r="C21" s="1" t="str">
        <f ca="1">IFERROR(__xludf.DUMMYFUNCTION("""COMPUTED_VALUE"""),"Franklin Winters")</f>
        <v>Franklin Winters</v>
      </c>
      <c r="D21" s="1" t="str">
        <f ca="1">IFERROR(__xludf.DUMMYFUNCTION("""COMPUTED_VALUE"""),"12/03/1994")</f>
        <v>12/03/1994</v>
      </c>
      <c r="E21" s="1" t="str">
        <f ca="1">IFERROR(__xludf.DUMMYFUNCTION("""COMPUTED_VALUE"""),"Male")</f>
        <v>Male</v>
      </c>
      <c r="F21" s="1" t="str">
        <f ca="1">IFERROR(__xludf.DUMMYFUNCTION("""COMPUTED_VALUE"""),"Other")</f>
        <v>Other</v>
      </c>
      <c r="G21" s="1" t="str">
        <f ca="1">IFERROR(__xludf.DUMMYFUNCTION("""COMPUTED_VALUE"""),"+81 4054916912")</f>
        <v>+81 4054916912</v>
      </c>
      <c r="H21" s="1" t="str">
        <f ca="1">IFERROR(__xludf.DUMMYFUNCTION("""COMPUTED_VALUE"""),"franklinwinters@gmail.com")</f>
        <v>franklinwinters@gmail.com</v>
      </c>
      <c r="I21" s="1" t="str">
        <f ca="1">IFERROR(__xludf.DUMMYFUNCTION("""COMPUTED_VALUE"""),"23038 Jones Parkways Suite 348, North Lauraville, MP 07746")</f>
        <v>23038 Jones Parkways Suite 348, North Lauraville, MP 07746</v>
      </c>
      <c r="J21" s="1"/>
      <c r="K21" s="1"/>
      <c r="L21" s="1"/>
      <c r="M21" s="1" t="str">
        <f ca="1">IFERROR(__xludf.DUMMYFUNCTION("""COMPUTED_VALUE"""),"lY554237")</f>
        <v>lY554237</v>
      </c>
      <c r="N21" s="3" t="str">
        <f ca="1">IFERROR(__xludf.DUMMYFUNCTION("""COMPUTED_VALUE"""),"https://drive.google.com/open?id=kiQ0yIBV47aNLpqr1Ewk")</f>
        <v>https://drive.google.com/open?id=kiQ0yIBV47aNLpqr1Ewk</v>
      </c>
      <c r="O21" s="3" t="str">
        <f ca="1">IFERROR(__xludf.DUMMYFUNCTION("""COMPUTED_VALUE"""),"https://drive.google.com/open?id=RVKaYfMoQmxQ18nFLv35")</f>
        <v>https://drive.google.com/open?id=RVKaYfMoQmxQ18nFLv35</v>
      </c>
      <c r="P21" s="1" t="str">
        <f ca="1">IFERROR(__xludf.DUMMYFUNCTION("""COMPUTED_VALUE"""),"Self-employed")</f>
        <v>Self-employed</v>
      </c>
      <c r="Q21" s="1">
        <f ca="1">IFERROR(__xludf.DUMMYFUNCTION("""COMPUTED_VALUE"""),8000000)</f>
        <v>8000000</v>
      </c>
      <c r="R21" s="3" t="str">
        <f ca="1">IFERROR(__xludf.DUMMYFUNCTION("""COMPUTED_VALUE"""),"https://drive.google.com/open?id=WJ8t1RzHYDNzwYCxUnKb")</f>
        <v>https://drive.google.com/open?id=WJ8t1RzHYDNzwYCxUnKb</v>
      </c>
      <c r="S21" s="1">
        <f ca="1">IFERROR(__xludf.DUMMYFUNCTION("""COMPUTED_VALUE"""),16000000)</f>
        <v>16000000</v>
      </c>
      <c r="T21" s="1" t="str">
        <f ca="1">IFERROR(__xludf.DUMMYFUNCTION("""COMPUTED_VALUE"""),"Gold")</f>
        <v>Gold</v>
      </c>
      <c r="U21" s="1" t="str">
        <f ca="1">IFERROR(__xludf.DUMMYFUNCTION("""COMPUTED_VALUE"""),"Partner")</f>
        <v>Partner</v>
      </c>
    </row>
    <row r="22" spans="1:21" x14ac:dyDescent="0.25">
      <c r="A22" s="2" t="str">
        <f ca="1">IFERROR(__xludf.DUMMYFUNCTION("""COMPUTED_VALUE"""),"APP0021")</f>
        <v>APP0021</v>
      </c>
      <c r="B22" s="2">
        <f ca="1">IFERROR(__xludf.DUMMYFUNCTION("""COMPUTED_VALUE"""),45897.2805902777)</f>
        <v>45897.280590277704</v>
      </c>
      <c r="C22" s="1" t="str">
        <f ca="1">IFERROR(__xludf.DUMMYFUNCTION("""COMPUTED_VALUE"""),"Christopher Reynolds")</f>
        <v>Christopher Reynolds</v>
      </c>
      <c r="D22" s="1" t="str">
        <f ca="1">IFERROR(__xludf.DUMMYFUNCTION("""COMPUTED_VALUE"""),"23/12/1971")</f>
        <v>23/12/1971</v>
      </c>
      <c r="E22" s="1" t="str">
        <f ca="1">IFERROR(__xludf.DUMMYFUNCTION("""COMPUTED_VALUE"""),"Male")</f>
        <v>Male</v>
      </c>
      <c r="F22" s="1" t="str">
        <f ca="1">IFERROR(__xludf.DUMMYFUNCTION("""COMPUTED_VALUE"""),"Other")</f>
        <v>Other</v>
      </c>
      <c r="G22" s="1" t="str">
        <f ca="1">IFERROR(__xludf.DUMMYFUNCTION("""COMPUTED_VALUE"""),"+91 5245116481")</f>
        <v>+91 5245116481</v>
      </c>
      <c r="H22" s="1" t="str">
        <f ca="1">IFERROR(__xludf.DUMMYFUNCTION("""COMPUTED_VALUE"""),"christopherreynolds@gmail.com")</f>
        <v>christopherreynolds@gmail.com</v>
      </c>
      <c r="I22" s="1" t="str">
        <f ca="1">IFERROR(__xludf.DUMMYFUNCTION("""COMPUTED_VALUE"""),"Unit 7594 Box 9549, DPO AE 05684")</f>
        <v>Unit 7594 Box 9549, DPO AE 05684</v>
      </c>
      <c r="J22" s="1"/>
      <c r="K22" s="1"/>
      <c r="L22" s="1"/>
      <c r="M22" s="1" t="str">
        <f ca="1">IFERROR(__xludf.DUMMYFUNCTION("""COMPUTED_VALUE"""),"ax962288")</f>
        <v>ax962288</v>
      </c>
      <c r="N22" s="3" t="str">
        <f ca="1">IFERROR(__xludf.DUMMYFUNCTION("""COMPUTED_VALUE"""),"https://drive.google.com/open?id=kd2bZRHUqjOlECvm8rd0")</f>
        <v>https://drive.google.com/open?id=kd2bZRHUqjOlECvm8rd0</v>
      </c>
      <c r="O22" s="3" t="str">
        <f ca="1">IFERROR(__xludf.DUMMYFUNCTION("""COMPUTED_VALUE"""),"https://drive.google.com/open?id=KslWT2eG7cqPECx0nDSp")</f>
        <v>https://drive.google.com/open?id=KslWT2eG7cqPECx0nDSp</v>
      </c>
      <c r="P22" s="1" t="str">
        <f ca="1">IFERROR(__xludf.DUMMYFUNCTION("""COMPUTED_VALUE"""),"Full-time")</f>
        <v>Full-time</v>
      </c>
      <c r="Q22" s="1">
        <f ca="1">IFERROR(__xludf.DUMMYFUNCTION("""COMPUTED_VALUE"""),20000000)</f>
        <v>20000000</v>
      </c>
      <c r="R22" s="3" t="str">
        <f ca="1">IFERROR(__xludf.DUMMYFUNCTION("""COMPUTED_VALUE"""),"https://drive.google.com/open?id=IgJWdSa7qykjzMxnMdDJ")</f>
        <v>https://drive.google.com/open?id=IgJWdSa7qykjzMxnMdDJ</v>
      </c>
      <c r="S22" s="1">
        <f ca="1">IFERROR(__xludf.DUMMYFUNCTION("""COMPUTED_VALUE"""),60000000)</f>
        <v>60000000</v>
      </c>
      <c r="T22" s="1" t="str">
        <f ca="1">IFERROR(__xludf.DUMMYFUNCTION("""COMPUTED_VALUE"""),"Classic")</f>
        <v>Classic</v>
      </c>
      <c r="U22" s="1" t="str">
        <f ca="1">IFERROR(__xludf.DUMMYFUNCTION("""COMPUTED_VALUE"""),"Branch")</f>
        <v>Branch</v>
      </c>
    </row>
    <row r="23" spans="1:21" x14ac:dyDescent="0.25">
      <c r="A23" s="2" t="str">
        <f ca="1">IFERROR(__xludf.DUMMYFUNCTION("""COMPUTED_VALUE"""),"APP0022")</f>
        <v>APP0022</v>
      </c>
      <c r="B23" s="2">
        <f ca="1">IFERROR(__xludf.DUMMYFUNCTION("""COMPUTED_VALUE"""),45897.3677777777)</f>
        <v>45897.367777777697</v>
      </c>
      <c r="C23" s="1" t="str">
        <f ca="1">IFERROR(__xludf.DUMMYFUNCTION("""COMPUTED_VALUE"""),"Hoàng Anh Giang")</f>
        <v>Hoàng Anh Giang</v>
      </c>
      <c r="D23" s="1" t="str">
        <f ca="1">IFERROR(__xludf.DUMMYFUNCTION("""COMPUTED_VALUE"""),"18/09/2004")</f>
        <v>18/09/2004</v>
      </c>
      <c r="E23" s="1" t="str">
        <f ca="1">IFERROR(__xludf.DUMMYFUNCTION("""COMPUTED_VALUE"""),"Male")</f>
        <v>Male</v>
      </c>
      <c r="F23" s="1" t="str">
        <f ca="1">IFERROR(__xludf.DUMMYFUNCTION("""COMPUTED_VALUE"""),"Vietnam")</f>
        <v>Vietnam</v>
      </c>
      <c r="G23" s="1" t="str">
        <f ca="1">IFERROR(__xludf.DUMMYFUNCTION("""COMPUTED_VALUE"""),"0952167725")</f>
        <v>0952167725</v>
      </c>
      <c r="H23" s="1" t="str">
        <f ca="1">IFERROR(__xludf.DUMMYFUNCTION("""COMPUTED_VALUE"""),"hoanganhgiang@gmail.com")</f>
        <v>hoanganhgiang@gmail.com</v>
      </c>
      <c r="I23" s="1" t="str">
        <f ca="1">IFERROR(__xludf.DUMMYFUNCTION("""COMPUTED_VALUE"""),"82 Nguyen Hue, Quan 1, Hai Phong, Viet Nam")</f>
        <v>82 Nguyen Hue, Quan 1, Hai Phong, Viet Nam</v>
      </c>
      <c r="J23" s="1" t="str">
        <f ca="1">IFERROR(__xludf.DUMMYFUNCTION("""COMPUTED_VALUE"""),"037083944036")</f>
        <v>037083944036</v>
      </c>
      <c r="K23" s="3" t="str">
        <f ca="1">IFERROR(__xludf.DUMMYFUNCTION("""COMPUTED_VALUE"""),"https://drive.google.com/open?id=1sA8lQ2Lv8pzLqUin7A4")</f>
        <v>https://drive.google.com/open?id=1sA8lQ2Lv8pzLqUin7A4</v>
      </c>
      <c r="L23" s="3" t="str">
        <f ca="1">IFERROR(__xludf.DUMMYFUNCTION("""COMPUTED_VALUE"""),"https://drive.google.com/open?id=MjZ7sQfsK2pla27PUhFd")</f>
        <v>https://drive.google.com/open?id=MjZ7sQfsK2pla27PUhFd</v>
      </c>
      <c r="M23" s="1"/>
      <c r="N23" s="1"/>
      <c r="O23" s="1"/>
      <c r="P23" s="1" t="str">
        <f ca="1">IFERROR(__xludf.DUMMYFUNCTION("""COMPUTED_VALUE"""),"Full-time")</f>
        <v>Full-time</v>
      </c>
      <c r="Q23" s="1">
        <f ca="1">IFERROR(__xludf.DUMMYFUNCTION("""COMPUTED_VALUE"""),50000000)</f>
        <v>50000000</v>
      </c>
      <c r="R23" s="3" t="str">
        <f ca="1">IFERROR(__xludf.DUMMYFUNCTION("""COMPUTED_VALUE"""),"https://drive.google.com/open?id=a6U6BZnZt7fEC9bjdrbS")</f>
        <v>https://drive.google.com/open?id=a6U6BZnZt7fEC9bjdrbS</v>
      </c>
      <c r="S23" s="1">
        <f ca="1">IFERROR(__xludf.DUMMYFUNCTION("""COMPUTED_VALUE"""),100000000)</f>
        <v>100000000</v>
      </c>
      <c r="T23" s="1" t="str">
        <f ca="1">IFERROR(__xludf.DUMMYFUNCTION("""COMPUTED_VALUE"""),"Platinum")</f>
        <v>Platinum</v>
      </c>
      <c r="U23" s="1" t="str">
        <f ca="1">IFERROR(__xludf.DUMMYFUNCTION("""COMPUTED_VALUE"""),"Branch")</f>
        <v>Branch</v>
      </c>
    </row>
    <row r="24" spans="1:21" x14ac:dyDescent="0.25">
      <c r="A24" s="2" t="str">
        <f ca="1">IFERROR(__xludf.DUMMYFUNCTION("""COMPUTED_VALUE"""),"APP0023")</f>
        <v>APP0023</v>
      </c>
      <c r="B24" s="2">
        <f ca="1">IFERROR(__xludf.DUMMYFUNCTION("""COMPUTED_VALUE"""),45897.5902662037)</f>
        <v>45897.590266203697</v>
      </c>
      <c r="C24" s="1" t="str">
        <f ca="1">IFERROR(__xludf.DUMMYFUNCTION("""COMPUTED_VALUE"""),"Derrick Johnson")</f>
        <v>Derrick Johnson</v>
      </c>
      <c r="D24" s="1" t="str">
        <f ca="1">IFERROR(__xludf.DUMMYFUNCTION("""COMPUTED_VALUE"""),"17/10/1986")</f>
        <v>17/10/1986</v>
      </c>
      <c r="E24" s="1" t="str">
        <f ca="1">IFERROR(__xludf.DUMMYFUNCTION("""COMPUTED_VALUE"""),"Male")</f>
        <v>Male</v>
      </c>
      <c r="F24" s="1" t="str">
        <f ca="1">IFERROR(__xludf.DUMMYFUNCTION("""COMPUTED_VALUE"""),"Other")</f>
        <v>Other</v>
      </c>
      <c r="G24" s="1" t="str">
        <f ca="1">IFERROR(__xludf.DUMMYFUNCTION("""COMPUTED_VALUE"""),"+33 8732123746")</f>
        <v>+33 8732123746</v>
      </c>
      <c r="H24" s="1" t="str">
        <f ca="1">IFERROR(__xludf.DUMMYFUNCTION("""COMPUTED_VALUE"""),"derrickjohnson@gmail.com")</f>
        <v>derrickjohnson@gmail.com</v>
      </c>
      <c r="I24" s="1" t="str">
        <f ca="1">IFERROR(__xludf.DUMMYFUNCTION("""COMPUTED_VALUE"""),"Unit 2296 Box 6788, DPO AE 28790")</f>
        <v>Unit 2296 Box 6788, DPO AE 28790</v>
      </c>
      <c r="J24" s="1"/>
      <c r="K24" s="1"/>
      <c r="L24" s="1"/>
      <c r="M24" s="1" t="str">
        <f ca="1">IFERROR(__xludf.DUMMYFUNCTION("""COMPUTED_VALUE"""),"Fl044395")</f>
        <v>Fl044395</v>
      </c>
      <c r="N24" s="3" t="str">
        <f ca="1">IFERROR(__xludf.DUMMYFUNCTION("""COMPUTED_VALUE"""),"https://drive.google.com/open?id=4tvtJWpCakRuNQVWyVFY")</f>
        <v>https://drive.google.com/open?id=4tvtJWpCakRuNQVWyVFY</v>
      </c>
      <c r="O24" s="3" t="str">
        <f ca="1">IFERROR(__xludf.DUMMYFUNCTION("""COMPUTED_VALUE"""),"https://drive.google.com/open?id=7S7ILGgkllEBHIg2DrFH")</f>
        <v>https://drive.google.com/open?id=7S7ILGgkllEBHIg2DrFH</v>
      </c>
      <c r="P24" s="1" t="str">
        <f ca="1">IFERROR(__xludf.DUMMYFUNCTION("""COMPUTED_VALUE"""),"Contract")</f>
        <v>Contract</v>
      </c>
      <c r="Q24" s="1">
        <f ca="1">IFERROR(__xludf.DUMMYFUNCTION("""COMPUTED_VALUE"""),12000000)</f>
        <v>12000000</v>
      </c>
      <c r="R24" s="3" t="str">
        <f ca="1">IFERROR(__xludf.DUMMYFUNCTION("""COMPUTED_VALUE"""),"https://drive.google.com/open?id=QLfv94Zo3iJDGx3oij8O")</f>
        <v>https://drive.google.com/open?id=QLfv94Zo3iJDGx3oij8O</v>
      </c>
      <c r="S24" s="1">
        <f ca="1">IFERROR(__xludf.DUMMYFUNCTION("""COMPUTED_VALUE"""),36000000)</f>
        <v>36000000</v>
      </c>
      <c r="T24" s="1" t="str">
        <f ca="1">IFERROR(__xludf.DUMMYFUNCTION("""COMPUTED_VALUE"""),"Gold")</f>
        <v>Gold</v>
      </c>
      <c r="U24" s="1" t="str">
        <f ca="1">IFERROR(__xludf.DUMMYFUNCTION("""COMPUTED_VALUE"""),"Partner")</f>
        <v>Partner</v>
      </c>
    </row>
    <row r="25" spans="1:21" x14ac:dyDescent="0.25">
      <c r="A25" s="2" t="str">
        <f ca="1">IFERROR(__xludf.DUMMYFUNCTION("""COMPUTED_VALUE"""),"APP0024")</f>
        <v>APP0024</v>
      </c>
      <c r="B25" s="2">
        <f ca="1">IFERROR(__xludf.DUMMYFUNCTION("""COMPUTED_VALUE"""),45897.6675578703)</f>
        <v>45897.6675578703</v>
      </c>
      <c r="C25" s="1" t="str">
        <f ca="1">IFERROR(__xludf.DUMMYFUNCTION("""COMPUTED_VALUE"""),"Huỳnh Đức Tú")</f>
        <v>Huỳnh Đức Tú</v>
      </c>
      <c r="D25" s="1" t="str">
        <f ca="1">IFERROR(__xludf.DUMMYFUNCTION("""COMPUTED_VALUE"""),"27/09/1970")</f>
        <v>27/09/1970</v>
      </c>
      <c r="E25" s="1" t="str">
        <f ca="1">IFERROR(__xludf.DUMMYFUNCTION("""COMPUTED_VALUE"""),"Male")</f>
        <v>Male</v>
      </c>
      <c r="F25" s="1" t="str">
        <f ca="1">IFERROR(__xludf.DUMMYFUNCTION("""COMPUTED_VALUE"""),"Vietnam")</f>
        <v>Vietnam</v>
      </c>
      <c r="G25" s="1" t="str">
        <f ca="1">IFERROR(__xludf.DUMMYFUNCTION("""COMPUTED_VALUE"""),"0814697478")</f>
        <v>0814697478</v>
      </c>
      <c r="H25" s="1" t="str">
        <f ca="1">IFERROR(__xludf.DUMMYFUNCTION("""COMPUTED_VALUE"""),"huynhductu@gmail.com")</f>
        <v>huynhductu@gmail.com</v>
      </c>
      <c r="I25" s="1" t="str">
        <f ca="1">IFERROR(__xludf.DUMMYFUNCTION("""COMPUTED_VALUE"""),"138 Le Loi, Quan 3, Hai Phong, Viet Nam")</f>
        <v>138 Le Loi, Quan 3, Hai Phong, Viet Nam</v>
      </c>
      <c r="J25" s="1" t="str">
        <f ca="1">IFERROR(__xludf.DUMMYFUNCTION("""COMPUTED_VALUE"""),"053898193078")</f>
        <v>053898193078</v>
      </c>
      <c r="K25" s="3" t="str">
        <f ca="1">IFERROR(__xludf.DUMMYFUNCTION("""COMPUTED_VALUE"""),"https://drive.google.com/open?id=7WEhsYFSLThRvpNtx5De")</f>
        <v>https://drive.google.com/open?id=7WEhsYFSLThRvpNtx5De</v>
      </c>
      <c r="L25" s="3" t="str">
        <f ca="1">IFERROR(__xludf.DUMMYFUNCTION("""COMPUTED_VALUE"""),"https://drive.google.com/open?id=RbLbx3Zd1gEpN9g335kU")</f>
        <v>https://drive.google.com/open?id=RbLbx3Zd1gEpN9g335kU</v>
      </c>
      <c r="M25" s="1"/>
      <c r="N25" s="1"/>
      <c r="O25" s="1"/>
      <c r="P25" s="1" t="str">
        <f ca="1">IFERROR(__xludf.DUMMYFUNCTION("""COMPUTED_VALUE"""),"Part-time")</f>
        <v>Part-time</v>
      </c>
      <c r="Q25" s="1">
        <f ca="1">IFERROR(__xludf.DUMMYFUNCTION("""COMPUTED_VALUE"""),20000000)</f>
        <v>20000000</v>
      </c>
      <c r="R25" s="3" t="str">
        <f ca="1">IFERROR(__xludf.DUMMYFUNCTION("""COMPUTED_VALUE"""),"https://drive.google.com/open?id=jID4Jd9b3PpzdeTMHSPs")</f>
        <v>https://drive.google.com/open?id=jID4Jd9b3PpzdeTMHSPs</v>
      </c>
      <c r="S25" s="1">
        <f ca="1">IFERROR(__xludf.DUMMYFUNCTION("""COMPUTED_VALUE"""),60000000)</f>
        <v>60000000</v>
      </c>
      <c r="T25" s="1" t="str">
        <f ca="1">IFERROR(__xludf.DUMMYFUNCTION("""COMPUTED_VALUE"""),"Classic")</f>
        <v>Classic</v>
      </c>
      <c r="U25" s="1" t="str">
        <f ca="1">IFERROR(__xludf.DUMMYFUNCTION("""COMPUTED_VALUE"""),"Partner")</f>
        <v>Partner</v>
      </c>
    </row>
    <row r="26" spans="1:21" x14ac:dyDescent="0.25">
      <c r="A26" s="2" t="str">
        <f ca="1">IFERROR(__xludf.DUMMYFUNCTION("""COMPUTED_VALUE"""),"APP0025")</f>
        <v>APP0025</v>
      </c>
      <c r="B26" s="2">
        <f ca="1">IFERROR(__xludf.DUMMYFUNCTION("""COMPUTED_VALUE"""),45897.6953009259)</f>
        <v>45897.695300925901</v>
      </c>
      <c r="C26" s="1" t="str">
        <f ca="1">IFERROR(__xludf.DUMMYFUNCTION("""COMPUTED_VALUE"""),"Hồ Hữu Vy")</f>
        <v>Hồ Hữu Vy</v>
      </c>
      <c r="D26" s="1" t="str">
        <f ca="1">IFERROR(__xludf.DUMMYFUNCTION("""COMPUTED_VALUE"""),"30/09/1975")</f>
        <v>30/09/1975</v>
      </c>
      <c r="E26" s="1" t="str">
        <f ca="1">IFERROR(__xludf.DUMMYFUNCTION("""COMPUTED_VALUE"""),"Female")</f>
        <v>Female</v>
      </c>
      <c r="F26" s="1" t="str">
        <f ca="1">IFERROR(__xludf.DUMMYFUNCTION("""COMPUTED_VALUE"""),"Vietnam")</f>
        <v>Vietnam</v>
      </c>
      <c r="G26" s="1" t="str">
        <f ca="1">IFERROR(__xludf.DUMMYFUNCTION("""COMPUTED_VALUE"""),"0757742790")</f>
        <v>0757742790</v>
      </c>
      <c r="H26" s="1" t="str">
        <f ca="1">IFERROR(__xludf.DUMMYFUNCTION("""COMPUTED_VALUE"""),"hohuuvy@gmail.com")</f>
        <v>hohuuvy@gmail.com</v>
      </c>
      <c r="I26" s="1" t="str">
        <f ca="1">IFERROR(__xludf.DUMMYFUNCTION("""COMPUTED_VALUE"""),"171 Nguyen Trai, Hoan Kiem, Hai Phong, Viet Nam")</f>
        <v>171 Nguyen Trai, Hoan Kiem, Hai Phong, Viet Nam</v>
      </c>
      <c r="J26" s="1" t="str">
        <f ca="1">IFERROR(__xludf.DUMMYFUNCTION("""COMPUTED_VALUE"""),"090063614776")</f>
        <v>090063614776</v>
      </c>
      <c r="K26" s="3" t="str">
        <f ca="1">IFERROR(__xludf.DUMMYFUNCTION("""COMPUTED_VALUE"""),"https://drive.google.com/open?id=SZqNyrcGzMZecB6oUzVy")</f>
        <v>https://drive.google.com/open?id=SZqNyrcGzMZecB6oUzVy</v>
      </c>
      <c r="L26" s="3" t="str">
        <f ca="1">IFERROR(__xludf.DUMMYFUNCTION("""COMPUTED_VALUE"""),"https://drive.google.com/open?id=wD4M0ud53HaJWbS7YquQ")</f>
        <v>https://drive.google.com/open?id=wD4M0ud53HaJWbS7YquQ</v>
      </c>
      <c r="M26" s="1"/>
      <c r="N26" s="1"/>
      <c r="O26" s="1"/>
      <c r="P26" s="1" t="str">
        <f ca="1">IFERROR(__xludf.DUMMYFUNCTION("""COMPUTED_VALUE"""),"Self-employed")</f>
        <v>Self-employed</v>
      </c>
      <c r="Q26" s="1">
        <f ca="1">IFERROR(__xludf.DUMMYFUNCTION("""COMPUTED_VALUE"""),5000000)</f>
        <v>5000000</v>
      </c>
      <c r="R26" s="3" t="str">
        <f ca="1">IFERROR(__xludf.DUMMYFUNCTION("""COMPUTED_VALUE"""),"https://drive.google.com/open?id=4J3cSFDzclCP2d7ZTUXJ")</f>
        <v>https://drive.google.com/open?id=4J3cSFDzclCP2d7ZTUXJ</v>
      </c>
      <c r="S26" s="1">
        <f ca="1">IFERROR(__xludf.DUMMYFUNCTION("""COMPUTED_VALUE"""),15000000)</f>
        <v>15000000</v>
      </c>
      <c r="T26" s="1" t="str">
        <f ca="1">IFERROR(__xludf.DUMMYFUNCTION("""COMPUTED_VALUE"""),"Classic")</f>
        <v>Classic</v>
      </c>
      <c r="U26" s="1" t="str">
        <f ca="1">IFERROR(__xludf.DUMMYFUNCTION("""COMPUTED_VALUE"""),"Branch")</f>
        <v>Branch</v>
      </c>
    </row>
    <row r="27" spans="1:21" x14ac:dyDescent="0.25">
      <c r="A27" s="2" t="str">
        <f ca="1">IFERROR(__xludf.DUMMYFUNCTION("""COMPUTED_VALUE"""),"APP0026")</f>
        <v>APP0026</v>
      </c>
      <c r="B27" s="2">
        <f ca="1">IFERROR(__xludf.DUMMYFUNCTION("""COMPUTED_VALUE"""),45897.7052893518)</f>
        <v>45897.705289351798</v>
      </c>
      <c r="C27" s="1" t="str">
        <f ca="1">IFERROR(__xludf.DUMMYFUNCTION("""COMPUTED_VALUE"""),"Trần Thị Hiếu")</f>
        <v>Trần Thị Hiếu</v>
      </c>
      <c r="D27" s="1" t="str">
        <f ca="1">IFERROR(__xludf.DUMMYFUNCTION("""COMPUTED_VALUE"""),"25/06/1975")</f>
        <v>25/06/1975</v>
      </c>
      <c r="E27" s="1" t="str">
        <f ca="1">IFERROR(__xludf.DUMMYFUNCTION("""COMPUTED_VALUE"""),"Male")</f>
        <v>Male</v>
      </c>
      <c r="F27" s="1" t="str">
        <f ca="1">IFERROR(__xludf.DUMMYFUNCTION("""COMPUTED_VALUE"""),"Vietnam")</f>
        <v>Vietnam</v>
      </c>
      <c r="G27" s="1" t="str">
        <f ca="1">IFERROR(__xludf.DUMMYFUNCTION("""COMPUTED_VALUE"""),"0795189839")</f>
        <v>0795189839</v>
      </c>
      <c r="H27" s="1" t="str">
        <f ca="1">IFERROR(__xludf.DUMMYFUNCTION("""COMPUTED_VALUE"""),"tranthihieu@gmail.com")</f>
        <v>tranthihieu@gmail.com</v>
      </c>
      <c r="I27" s="1" t="str">
        <f ca="1">IFERROR(__xludf.DUMMYFUNCTION("""COMPUTED_VALUE"""),"146 Le Loi, Hoan Kiem, Hai Phong, Viet Nam")</f>
        <v>146 Le Loi, Hoan Kiem, Hai Phong, Viet Nam</v>
      </c>
      <c r="J27" s="1" t="str">
        <f ca="1">IFERROR(__xludf.DUMMYFUNCTION("""COMPUTED_VALUE"""),"085063726898")</f>
        <v>085063726898</v>
      </c>
      <c r="K27" s="3" t="str">
        <f ca="1">IFERROR(__xludf.DUMMYFUNCTION("""COMPUTED_VALUE"""),"https://drive.google.com/open?id=2VjK7rwat6wGRAQ7I2wd")</f>
        <v>https://drive.google.com/open?id=2VjK7rwat6wGRAQ7I2wd</v>
      </c>
      <c r="L27" s="3" t="str">
        <f ca="1">IFERROR(__xludf.DUMMYFUNCTION("""COMPUTED_VALUE"""),"https://drive.google.com/open?id=Qt0rSPxxLrJIa3u7QVgx")</f>
        <v>https://drive.google.com/open?id=Qt0rSPxxLrJIa3u7QVgx</v>
      </c>
      <c r="M27" s="1"/>
      <c r="N27" s="1"/>
      <c r="O27" s="1"/>
      <c r="P27" s="1" t="str">
        <f ca="1">IFERROR(__xludf.DUMMYFUNCTION("""COMPUTED_VALUE"""),"Freelancer")</f>
        <v>Freelancer</v>
      </c>
      <c r="Q27" s="1">
        <f ca="1">IFERROR(__xludf.DUMMYFUNCTION("""COMPUTED_VALUE"""),50000000)</f>
        <v>50000000</v>
      </c>
      <c r="R27" s="3" t="str">
        <f ca="1">IFERROR(__xludf.DUMMYFUNCTION("""COMPUTED_VALUE"""),"https://drive.google.com/open?id=K1o1dxh0vYVHJ17HgBHI")</f>
        <v>https://drive.google.com/open?id=K1o1dxh0vYVHJ17HgBHI</v>
      </c>
      <c r="S27" s="1">
        <f ca="1">IFERROR(__xludf.DUMMYFUNCTION("""COMPUTED_VALUE"""),250000000)</f>
        <v>250000000</v>
      </c>
      <c r="T27" s="1" t="str">
        <f ca="1">IFERROR(__xludf.DUMMYFUNCTION("""COMPUTED_VALUE"""),"Platinum")</f>
        <v>Platinum</v>
      </c>
      <c r="U27" s="1" t="str">
        <f ca="1">IFERROR(__xludf.DUMMYFUNCTION("""COMPUTED_VALUE"""),"Online")</f>
        <v>Online</v>
      </c>
    </row>
    <row r="28" spans="1:21" x14ac:dyDescent="0.25">
      <c r="A28" s="2" t="str">
        <f ca="1">IFERROR(__xludf.DUMMYFUNCTION("""COMPUTED_VALUE"""),"APP0027")</f>
        <v>APP0027</v>
      </c>
      <c r="B28" s="2">
        <f ca="1">IFERROR(__xludf.DUMMYFUNCTION("""COMPUTED_VALUE"""),45897.7409259259)</f>
        <v>45897.7409259259</v>
      </c>
      <c r="C28" s="1" t="str">
        <f ca="1">IFERROR(__xludf.DUMMYFUNCTION("""COMPUTED_VALUE"""),"Võ Quang Hiếu")</f>
        <v>Võ Quang Hiếu</v>
      </c>
      <c r="D28" s="1" t="str">
        <f ca="1">IFERROR(__xludf.DUMMYFUNCTION("""COMPUTED_VALUE"""),"12/10/2006")</f>
        <v>12/10/2006</v>
      </c>
      <c r="E28" s="1" t="str">
        <f ca="1">IFERROR(__xludf.DUMMYFUNCTION("""COMPUTED_VALUE"""),"Male")</f>
        <v>Male</v>
      </c>
      <c r="F28" s="1" t="str">
        <f ca="1">IFERROR(__xludf.DUMMYFUNCTION("""COMPUTED_VALUE"""),"Vietnam")</f>
        <v>Vietnam</v>
      </c>
      <c r="G28" s="1" t="str">
        <f ca="1">IFERROR(__xludf.DUMMYFUNCTION("""COMPUTED_VALUE"""),"0867419646")</f>
        <v>0867419646</v>
      </c>
      <c r="H28" s="1" t="str">
        <f ca="1">IFERROR(__xludf.DUMMYFUNCTION("""COMPUTED_VALUE"""),"voquanghieu@gmail.com")</f>
        <v>voquanghieu@gmail.com</v>
      </c>
      <c r="I28" s="1" t="str">
        <f ca="1">IFERROR(__xludf.DUMMYFUNCTION("""COMPUTED_VALUE"""),"92 Tran Hung Dao, Quan 7, Hai Phong, Viet Nam")</f>
        <v>92 Tran Hung Dao, Quan 7, Hai Phong, Viet Nam</v>
      </c>
      <c r="J28" s="1" t="str">
        <f ca="1">IFERROR(__xludf.DUMMYFUNCTION("""COMPUTED_VALUE"""),"040559081522")</f>
        <v>040559081522</v>
      </c>
      <c r="K28" s="3" t="str">
        <f ca="1">IFERROR(__xludf.DUMMYFUNCTION("""COMPUTED_VALUE"""),"https://drive.google.com/open?id=dzVGnDoU3gkHCOVFoEJL")</f>
        <v>https://drive.google.com/open?id=dzVGnDoU3gkHCOVFoEJL</v>
      </c>
      <c r="L28" s="3" t="str">
        <f ca="1">IFERROR(__xludf.DUMMYFUNCTION("""COMPUTED_VALUE"""),"https://drive.google.com/open?id=FQpMtmvJ7gDWLB2EvsJV")</f>
        <v>https://drive.google.com/open?id=FQpMtmvJ7gDWLB2EvsJV</v>
      </c>
      <c r="M28" s="1"/>
      <c r="N28" s="1"/>
      <c r="O28" s="1"/>
      <c r="P28" s="1" t="str">
        <f ca="1">IFERROR(__xludf.DUMMYFUNCTION("""COMPUTED_VALUE"""),"Contract")</f>
        <v>Contract</v>
      </c>
      <c r="Q28" s="1">
        <f ca="1">IFERROR(__xludf.DUMMYFUNCTION("""COMPUTED_VALUE"""),12000000)</f>
        <v>12000000</v>
      </c>
      <c r="R28" s="3" t="str">
        <f ca="1">IFERROR(__xludf.DUMMYFUNCTION("""COMPUTED_VALUE"""),"https://drive.google.com/open?id=FfnWomIrRcMdyTIVsaCW")</f>
        <v>https://drive.google.com/open?id=FfnWomIrRcMdyTIVsaCW</v>
      </c>
      <c r="S28" s="1">
        <f ca="1">IFERROR(__xludf.DUMMYFUNCTION("""COMPUTED_VALUE"""),36000000)</f>
        <v>36000000</v>
      </c>
      <c r="T28" s="1" t="str">
        <f ca="1">IFERROR(__xludf.DUMMYFUNCTION("""COMPUTED_VALUE"""),"Gold")</f>
        <v>Gold</v>
      </c>
      <c r="U28" s="1" t="str">
        <f ca="1">IFERROR(__xludf.DUMMYFUNCTION("""COMPUTED_VALUE"""),"Branch")</f>
        <v>Branch</v>
      </c>
    </row>
    <row r="29" spans="1:21" x14ac:dyDescent="0.25">
      <c r="A29" s="2" t="str">
        <f ca="1">IFERROR(__xludf.DUMMYFUNCTION("""COMPUTED_VALUE"""),"APP0028")</f>
        <v>APP0028</v>
      </c>
      <c r="B29" s="2">
        <f ca="1">IFERROR(__xludf.DUMMYFUNCTION("""COMPUTED_VALUE"""),45897.7780092592)</f>
        <v>45897.7780092592</v>
      </c>
      <c r="C29" s="1" t="str">
        <f ca="1">IFERROR(__xludf.DUMMYFUNCTION("""COMPUTED_VALUE"""),"Nguyễn Quang Châu")</f>
        <v>Nguyễn Quang Châu</v>
      </c>
      <c r="D29" s="1" t="str">
        <f ca="1">IFERROR(__xludf.DUMMYFUNCTION("""COMPUTED_VALUE"""),"01/04/2003")</f>
        <v>01/04/2003</v>
      </c>
      <c r="E29" s="1" t="str">
        <f ca="1">IFERROR(__xludf.DUMMYFUNCTION("""COMPUTED_VALUE"""),"Male")</f>
        <v>Male</v>
      </c>
      <c r="F29" s="1" t="str">
        <f ca="1">IFERROR(__xludf.DUMMYFUNCTION("""COMPUTED_VALUE"""),"Vietnam")</f>
        <v>Vietnam</v>
      </c>
      <c r="G29" s="1" t="str">
        <f ca="1">IFERROR(__xludf.DUMMYFUNCTION("""COMPUTED_VALUE"""),"0722209526")</f>
        <v>0722209526</v>
      </c>
      <c r="H29" s="1" t="str">
        <f ca="1">IFERROR(__xludf.DUMMYFUNCTION("""COMPUTED_VALUE"""),"nguyenquangchau@gmail.com")</f>
        <v>nguyenquangchau@gmail.com</v>
      </c>
      <c r="I29" s="1" t="str">
        <f ca="1">IFERROR(__xludf.DUMMYFUNCTION("""COMPUTED_VALUE"""),"85 Nguyen Trai, Quan 3, Da Nang, Viet Nam")</f>
        <v>85 Nguyen Trai, Quan 3, Da Nang, Viet Nam</v>
      </c>
      <c r="J29" s="1" t="str">
        <f ca="1">IFERROR(__xludf.DUMMYFUNCTION("""COMPUTED_VALUE"""),"012210876595")</f>
        <v>012210876595</v>
      </c>
      <c r="K29" s="3" t="str">
        <f ca="1">IFERROR(__xludf.DUMMYFUNCTION("""COMPUTED_VALUE"""),"https://drive.google.com/open?id=JJgonsFICe4nLn0YWi7B")</f>
        <v>https://drive.google.com/open?id=JJgonsFICe4nLn0YWi7B</v>
      </c>
      <c r="L29" s="3" t="str">
        <f ca="1">IFERROR(__xludf.DUMMYFUNCTION("""COMPUTED_VALUE"""),"https://drive.google.com/open?id=HD8p4vtixgdZw9BVfJjt")</f>
        <v>https://drive.google.com/open?id=HD8p4vtixgdZw9BVfJjt</v>
      </c>
      <c r="M29" s="1"/>
      <c r="N29" s="1"/>
      <c r="O29" s="1"/>
      <c r="P29" s="1" t="str">
        <f ca="1">IFERROR(__xludf.DUMMYFUNCTION("""COMPUTED_VALUE"""),"Freelancer")</f>
        <v>Freelancer</v>
      </c>
      <c r="Q29" s="1">
        <f ca="1">IFERROR(__xludf.DUMMYFUNCTION("""COMPUTED_VALUE"""),12000000)</f>
        <v>12000000</v>
      </c>
      <c r="R29" s="3" t="str">
        <f ca="1">IFERROR(__xludf.DUMMYFUNCTION("""COMPUTED_VALUE"""),"https://drive.google.com/open?id=K6HjdyoBuMAfA0gFOUYE")</f>
        <v>https://drive.google.com/open?id=K6HjdyoBuMAfA0gFOUYE</v>
      </c>
      <c r="S29" s="1">
        <f ca="1">IFERROR(__xludf.DUMMYFUNCTION("""COMPUTED_VALUE"""),36000000)</f>
        <v>36000000</v>
      </c>
      <c r="T29" s="1" t="str">
        <f ca="1">IFERROR(__xludf.DUMMYFUNCTION("""COMPUTED_VALUE"""),"Classic")</f>
        <v>Classic</v>
      </c>
      <c r="U29" s="1" t="str">
        <f ca="1">IFERROR(__xludf.DUMMYFUNCTION("""COMPUTED_VALUE"""),"Branch")</f>
        <v>Branch</v>
      </c>
    </row>
    <row r="30" spans="1:21" x14ac:dyDescent="0.25">
      <c r="A30" s="2" t="str">
        <f ca="1">IFERROR(__xludf.DUMMYFUNCTION("""COMPUTED_VALUE"""),"APP0029")</f>
        <v>APP0029</v>
      </c>
      <c r="B30" s="2">
        <f ca="1">IFERROR(__xludf.DUMMYFUNCTION("""COMPUTED_VALUE"""),45897.8294675925)</f>
        <v>45897.829467592499</v>
      </c>
      <c r="C30" s="1" t="str">
        <f ca="1">IFERROR(__xludf.DUMMYFUNCTION("""COMPUTED_VALUE"""),"Nguyễn Đức Hiếu")</f>
        <v>Nguyễn Đức Hiếu</v>
      </c>
      <c r="D30" s="1" t="str">
        <f ca="1">IFERROR(__xludf.DUMMYFUNCTION("""COMPUTED_VALUE"""),"04/09/2001")</f>
        <v>04/09/2001</v>
      </c>
      <c r="E30" s="1" t="str">
        <f ca="1">IFERROR(__xludf.DUMMYFUNCTION("""COMPUTED_VALUE"""),"Male")</f>
        <v>Male</v>
      </c>
      <c r="F30" s="1" t="str">
        <f ca="1">IFERROR(__xludf.DUMMYFUNCTION("""COMPUTED_VALUE"""),"Vietnam")</f>
        <v>Vietnam</v>
      </c>
      <c r="G30" s="1" t="str">
        <f ca="1">IFERROR(__xludf.DUMMYFUNCTION("""COMPUTED_VALUE"""),"0955034553")</f>
        <v>0955034553</v>
      </c>
      <c r="H30" s="1" t="str">
        <f ca="1">IFERROR(__xludf.DUMMYFUNCTION("""COMPUTED_VALUE"""),"nguyenduchieu@gmail.com")</f>
        <v>nguyenduchieu@gmail.com</v>
      </c>
      <c r="I30" s="1" t="str">
        <f ca="1">IFERROR(__xludf.DUMMYFUNCTION("""COMPUTED_VALUE"""),"22 Ly Thuong Kiet, Quan 3, Hai Phong, Viet Nam")</f>
        <v>22 Ly Thuong Kiet, Quan 3, Hai Phong, Viet Nam</v>
      </c>
      <c r="J30" s="1" t="str">
        <f ca="1">IFERROR(__xludf.DUMMYFUNCTION("""COMPUTED_VALUE"""),"024429733357")</f>
        <v>024429733357</v>
      </c>
      <c r="K30" s="3" t="str">
        <f ca="1">IFERROR(__xludf.DUMMYFUNCTION("""COMPUTED_VALUE"""),"https://drive.google.com/open?id=DMnic7u3wnxFbj4rDyZS")</f>
        <v>https://drive.google.com/open?id=DMnic7u3wnxFbj4rDyZS</v>
      </c>
      <c r="L30" s="3" t="str">
        <f ca="1">IFERROR(__xludf.DUMMYFUNCTION("""COMPUTED_VALUE"""),"https://drive.google.com/open?id=gmXRlF7gdazup0nGyvZp")</f>
        <v>https://drive.google.com/open?id=gmXRlF7gdazup0nGyvZp</v>
      </c>
      <c r="M30" s="1"/>
      <c r="N30" s="1"/>
      <c r="O30" s="1"/>
      <c r="P30" s="1" t="str">
        <f ca="1">IFERROR(__xludf.DUMMYFUNCTION("""COMPUTED_VALUE"""),"Part-time")</f>
        <v>Part-time</v>
      </c>
      <c r="Q30" s="1">
        <f ca="1">IFERROR(__xludf.DUMMYFUNCTION("""COMPUTED_VALUE"""),12000000)</f>
        <v>12000000</v>
      </c>
      <c r="R30" s="3" t="str">
        <f ca="1">IFERROR(__xludf.DUMMYFUNCTION("""COMPUTED_VALUE"""),"https://drive.google.com/open?id=VrwNsdNcJskK0vSXtU0a")</f>
        <v>https://drive.google.com/open?id=VrwNsdNcJskK0vSXtU0a</v>
      </c>
      <c r="S30" s="1">
        <f ca="1">IFERROR(__xludf.DUMMYFUNCTION("""COMPUTED_VALUE"""),24000000)</f>
        <v>24000000</v>
      </c>
      <c r="T30" s="1" t="str">
        <f ca="1">IFERROR(__xludf.DUMMYFUNCTION("""COMPUTED_VALUE"""),"Gold")</f>
        <v>Gold</v>
      </c>
      <c r="U30" s="1" t="str">
        <f ca="1">IFERROR(__xludf.DUMMYFUNCTION("""COMPUTED_VALUE"""),"Branch")</f>
        <v>Branch</v>
      </c>
    </row>
    <row r="31" spans="1:21" x14ac:dyDescent="0.25">
      <c r="A31" s="2" t="str">
        <f ca="1">IFERROR(__xludf.DUMMYFUNCTION("""COMPUTED_VALUE"""),"APP0030")</f>
        <v>APP0030</v>
      </c>
      <c r="B31" s="2">
        <f ca="1">IFERROR(__xludf.DUMMYFUNCTION("""COMPUTED_VALUE"""),45897.837349537)</f>
        <v>45897.837349537003</v>
      </c>
      <c r="C31" s="1" t="str">
        <f ca="1">IFERROR(__xludf.DUMMYFUNCTION("""COMPUTED_VALUE"""),"Hoàng Văn Thịnh")</f>
        <v>Hoàng Văn Thịnh</v>
      </c>
      <c r="D31" s="1" t="str">
        <f ca="1">IFERROR(__xludf.DUMMYFUNCTION("""COMPUTED_VALUE"""),"10/02/1988")</f>
        <v>10/02/1988</v>
      </c>
      <c r="E31" s="1" t="str">
        <f ca="1">IFERROR(__xludf.DUMMYFUNCTION("""COMPUTED_VALUE"""),"Male")</f>
        <v>Male</v>
      </c>
      <c r="F31" s="1" t="str">
        <f ca="1">IFERROR(__xludf.DUMMYFUNCTION("""COMPUTED_VALUE"""),"Vietnam")</f>
        <v>Vietnam</v>
      </c>
      <c r="G31" s="1" t="str">
        <f ca="1">IFERROR(__xludf.DUMMYFUNCTION("""COMPUTED_VALUE"""),"0877271415")</f>
        <v>0877271415</v>
      </c>
      <c r="H31" s="1" t="str">
        <f ca="1">IFERROR(__xludf.DUMMYFUNCTION("""COMPUTED_VALUE"""),"hoangvanthinh@gmail.com")</f>
        <v>hoangvanthinh@gmail.com</v>
      </c>
      <c r="I31" s="1" t="str">
        <f ca="1">IFERROR(__xludf.DUMMYFUNCTION("""COMPUTED_VALUE"""),"63 Nguyen Hue, Dong Da, Can Tho, Viet Nam")</f>
        <v>63 Nguyen Hue, Dong Da, Can Tho, Viet Nam</v>
      </c>
      <c r="J31" s="1" t="str">
        <f ca="1">IFERROR(__xludf.DUMMYFUNCTION("""COMPUTED_VALUE"""),"087899565708")</f>
        <v>087899565708</v>
      </c>
      <c r="K31" s="3" t="str">
        <f ca="1">IFERROR(__xludf.DUMMYFUNCTION("""COMPUTED_VALUE"""),"https://drive.google.com/open?id=QGVvJrfeLBuTYBWgNFZf")</f>
        <v>https://drive.google.com/open?id=QGVvJrfeLBuTYBWgNFZf</v>
      </c>
      <c r="L31" s="3" t="str">
        <f ca="1">IFERROR(__xludf.DUMMYFUNCTION("""COMPUTED_VALUE"""),"https://drive.google.com/open?id=q8kIIE2YTGo3MUJlZubE")</f>
        <v>https://drive.google.com/open?id=q8kIIE2YTGo3MUJlZubE</v>
      </c>
      <c r="M31" s="1"/>
      <c r="N31" s="1"/>
      <c r="O31" s="1"/>
      <c r="P31" s="1" t="str">
        <f ca="1">IFERROR(__xludf.DUMMYFUNCTION("""COMPUTED_VALUE"""),"Self-employed")</f>
        <v>Self-employed</v>
      </c>
      <c r="Q31" s="1">
        <f ca="1">IFERROR(__xludf.DUMMYFUNCTION("""COMPUTED_VALUE"""),50000000)</f>
        <v>50000000</v>
      </c>
      <c r="R31" s="3" t="str">
        <f ca="1">IFERROR(__xludf.DUMMYFUNCTION("""COMPUTED_VALUE"""),"https://drive.google.com/open?id=NcH3IxVEaTeKFSvJ09xH")</f>
        <v>https://drive.google.com/open?id=NcH3IxVEaTeKFSvJ09xH</v>
      </c>
      <c r="S31" s="1">
        <f ca="1">IFERROR(__xludf.DUMMYFUNCTION("""COMPUTED_VALUE"""),100000000)</f>
        <v>100000000</v>
      </c>
      <c r="T31" s="1" t="str">
        <f ca="1">IFERROR(__xludf.DUMMYFUNCTION("""COMPUTED_VALUE"""),"Platinum")</f>
        <v>Platinum</v>
      </c>
      <c r="U31" s="1" t="str">
        <f ca="1">IFERROR(__xludf.DUMMYFUNCTION("""COMPUTED_VALUE"""),"Branch")</f>
        <v>Branch</v>
      </c>
    </row>
    <row r="32" spans="1:21" x14ac:dyDescent="0.25">
      <c r="A32" s="2" t="str">
        <f ca="1">IFERROR(__xludf.DUMMYFUNCTION("""COMPUTED_VALUE"""),"APP0031")</f>
        <v>APP0031</v>
      </c>
      <c r="B32" s="2">
        <f ca="1">IFERROR(__xludf.DUMMYFUNCTION("""COMPUTED_VALUE"""),45897.8830208333)</f>
        <v>45897.883020833302</v>
      </c>
      <c r="C32" s="1" t="str">
        <f ca="1">IFERROR(__xludf.DUMMYFUNCTION("""COMPUTED_VALUE"""),"Huỳnh Đức Tuấn")</f>
        <v>Huỳnh Đức Tuấn</v>
      </c>
      <c r="D32" s="1" t="str">
        <f ca="1">IFERROR(__xludf.DUMMYFUNCTION("""COMPUTED_VALUE"""),"19/06/1972")</f>
        <v>19/06/1972</v>
      </c>
      <c r="E32" s="1" t="str">
        <f ca="1">IFERROR(__xludf.DUMMYFUNCTION("""COMPUTED_VALUE"""),"Male")</f>
        <v>Male</v>
      </c>
      <c r="F32" s="1" t="str">
        <f ca="1">IFERROR(__xludf.DUMMYFUNCTION("""COMPUTED_VALUE"""),"Vietnam")</f>
        <v>Vietnam</v>
      </c>
      <c r="G32" s="1" t="str">
        <f ca="1">IFERROR(__xludf.DUMMYFUNCTION("""COMPUTED_VALUE"""),"0897395796")</f>
        <v>0897395796</v>
      </c>
      <c r="H32" s="1" t="str">
        <f ca="1">IFERROR(__xludf.DUMMYFUNCTION("""COMPUTED_VALUE"""),"huynhductuan@gmail.com")</f>
        <v>huynhductuan@gmail.com</v>
      </c>
      <c r="I32" s="1" t="str">
        <f ca="1">IFERROR(__xludf.DUMMYFUNCTION("""COMPUTED_VALUE"""),"195 Nguyen Trai, Hai Chau, Ha Noi, Viet Nam")</f>
        <v>195 Nguyen Trai, Hai Chau, Ha Noi, Viet Nam</v>
      </c>
      <c r="J32" s="1" t="str">
        <f ca="1">IFERROR(__xludf.DUMMYFUNCTION("""COMPUTED_VALUE"""),"061515586122")</f>
        <v>061515586122</v>
      </c>
      <c r="K32" s="3" t="str">
        <f ca="1">IFERROR(__xludf.DUMMYFUNCTION("""COMPUTED_VALUE"""),"https://drive.google.com/open?id=eJSnyAISvxlzkEbu7wCX")</f>
        <v>https://drive.google.com/open?id=eJSnyAISvxlzkEbu7wCX</v>
      </c>
      <c r="L32" s="3" t="str">
        <f ca="1">IFERROR(__xludf.DUMMYFUNCTION("""COMPUTED_VALUE"""),"https://drive.google.com/open?id=mRbUzwZriAXFQNm0tjxO")</f>
        <v>https://drive.google.com/open?id=mRbUzwZriAXFQNm0tjxO</v>
      </c>
      <c r="M32" s="1"/>
      <c r="N32" s="1"/>
      <c r="O32" s="1"/>
      <c r="P32" s="1" t="str">
        <f ca="1">IFERROR(__xludf.DUMMYFUNCTION("""COMPUTED_VALUE"""),"Self-employed")</f>
        <v>Self-employed</v>
      </c>
      <c r="Q32" s="1">
        <f ca="1">IFERROR(__xludf.DUMMYFUNCTION("""COMPUTED_VALUE"""),5000000)</f>
        <v>5000000</v>
      </c>
      <c r="R32" s="3" t="str">
        <f ca="1">IFERROR(__xludf.DUMMYFUNCTION("""COMPUTED_VALUE"""),"https://drive.google.com/open?id=2JvThY936BrcyM92AvKA")</f>
        <v>https://drive.google.com/open?id=2JvThY936BrcyM92AvKA</v>
      </c>
      <c r="S32" s="1">
        <f ca="1">IFERROR(__xludf.DUMMYFUNCTION("""COMPUTED_VALUE"""),15000000)</f>
        <v>15000000</v>
      </c>
      <c r="T32" s="1" t="str">
        <f ca="1">IFERROR(__xludf.DUMMYFUNCTION("""COMPUTED_VALUE"""),"Gold")</f>
        <v>Gold</v>
      </c>
      <c r="U32" s="1" t="str">
        <f ca="1">IFERROR(__xludf.DUMMYFUNCTION("""COMPUTED_VALUE"""),"Branch")</f>
        <v>Branch</v>
      </c>
    </row>
    <row r="33" spans="1:21" x14ac:dyDescent="0.25">
      <c r="A33" s="2" t="str">
        <f ca="1">IFERROR(__xludf.DUMMYFUNCTION("""COMPUTED_VALUE"""),"APP0032")</f>
        <v>APP0032</v>
      </c>
      <c r="B33" s="2">
        <f ca="1">IFERROR(__xludf.DUMMYFUNCTION("""COMPUTED_VALUE"""),45897.9590509259)</f>
        <v>45897.9590509259</v>
      </c>
      <c r="C33" s="1" t="str">
        <f ca="1">IFERROR(__xludf.DUMMYFUNCTION("""COMPUTED_VALUE"""),"Trần Anh Mai")</f>
        <v>Trần Anh Mai</v>
      </c>
      <c r="D33" s="1" t="str">
        <f ca="1">IFERROR(__xludf.DUMMYFUNCTION("""COMPUTED_VALUE"""),"16/04/2005")</f>
        <v>16/04/2005</v>
      </c>
      <c r="E33" s="1" t="str">
        <f ca="1">IFERROR(__xludf.DUMMYFUNCTION("""COMPUTED_VALUE"""),"Male")</f>
        <v>Male</v>
      </c>
      <c r="F33" s="1" t="str">
        <f ca="1">IFERROR(__xludf.DUMMYFUNCTION("""COMPUTED_VALUE"""),"Vietnam")</f>
        <v>Vietnam</v>
      </c>
      <c r="G33" s="1" t="str">
        <f ca="1">IFERROR(__xludf.DUMMYFUNCTION("""COMPUTED_VALUE"""),"0817037513")</f>
        <v>0817037513</v>
      </c>
      <c r="H33" s="1" t="str">
        <f ca="1">IFERROR(__xludf.DUMMYFUNCTION("""COMPUTED_VALUE"""),"trananhmai@gmail.com")</f>
        <v>trananhmai@gmail.com</v>
      </c>
      <c r="I33" s="1" t="str">
        <f ca="1">IFERROR(__xludf.DUMMYFUNCTION("""COMPUTED_VALUE"""),"66 Le Loi, Dong Da, Da Nang, Viet Nam")</f>
        <v>66 Le Loi, Dong Da, Da Nang, Viet Nam</v>
      </c>
      <c r="J33" s="1" t="str">
        <f ca="1">IFERROR(__xludf.DUMMYFUNCTION("""COMPUTED_VALUE"""),"06313252481")</f>
        <v>06313252481</v>
      </c>
      <c r="K33" s="3" t="str">
        <f ca="1">IFERROR(__xludf.DUMMYFUNCTION("""COMPUTED_VALUE"""),"https://drive.google.com/open?id=dWRIZvZHa23goYtV2sxA")</f>
        <v>https://drive.google.com/open?id=dWRIZvZHa23goYtV2sxA</v>
      </c>
      <c r="L33" s="3" t="str">
        <f ca="1">IFERROR(__xludf.DUMMYFUNCTION("""COMPUTED_VALUE"""),"https://drive.google.com/open?id=eIsE62v2gx0TI2FQWMlR")</f>
        <v>https://drive.google.com/open?id=eIsE62v2gx0TI2FQWMlR</v>
      </c>
      <c r="M33" s="1"/>
      <c r="N33" s="1"/>
      <c r="O33" s="1"/>
      <c r="P33" s="1" t="str">
        <f ca="1">IFERROR(__xludf.DUMMYFUNCTION("""COMPUTED_VALUE"""),"Contract")</f>
        <v>Contract</v>
      </c>
      <c r="Q33" s="1">
        <f ca="1">IFERROR(__xludf.DUMMYFUNCTION("""COMPUTED_VALUE"""),20000000)</f>
        <v>20000000</v>
      </c>
      <c r="R33" s="3" t="str">
        <f ca="1">IFERROR(__xludf.DUMMYFUNCTION("""COMPUTED_VALUE"""),"https://drive.google.com/open?id=KnQV2ktE7d8pqS7KJse9")</f>
        <v>https://drive.google.com/open?id=KnQV2ktE7d8pqS7KJse9</v>
      </c>
      <c r="S33" s="1">
        <f ca="1">IFERROR(__xludf.DUMMYFUNCTION("""COMPUTED_VALUE"""),100000000)</f>
        <v>100000000</v>
      </c>
      <c r="T33" s="1" t="str">
        <f ca="1">IFERROR(__xludf.DUMMYFUNCTION("""COMPUTED_VALUE"""),"Platinum")</f>
        <v>Platinum</v>
      </c>
      <c r="U33" s="1" t="str">
        <f ca="1">IFERROR(__xludf.DUMMYFUNCTION("""COMPUTED_VALUE"""),"Partner")</f>
        <v>Partner</v>
      </c>
    </row>
    <row r="34" spans="1:21" x14ac:dyDescent="0.25">
      <c r="A34" s="2" t="str">
        <f ca="1">IFERROR(__xludf.DUMMYFUNCTION("""COMPUTED_VALUE"""),"APP0033")</f>
        <v>APP0033</v>
      </c>
      <c r="B34" s="2">
        <f ca="1">IFERROR(__xludf.DUMMYFUNCTION("""COMPUTED_VALUE"""),45898.0259837962)</f>
        <v>45898.0259837962</v>
      </c>
      <c r="C34" s="1" t="str">
        <f ca="1">IFERROR(__xludf.DUMMYFUNCTION("""COMPUTED_VALUE"""),"Bùi Anh Giang")</f>
        <v>Bùi Anh Giang</v>
      </c>
      <c r="D34" s="1" t="str">
        <f ca="1">IFERROR(__xludf.DUMMYFUNCTION("""COMPUTED_VALUE"""),"20/09/1983")</f>
        <v>20/09/1983</v>
      </c>
      <c r="E34" s="1" t="str">
        <f ca="1">IFERROR(__xludf.DUMMYFUNCTION("""COMPUTED_VALUE"""),"Male")</f>
        <v>Male</v>
      </c>
      <c r="F34" s="1" t="str">
        <f ca="1">IFERROR(__xludf.DUMMYFUNCTION("""COMPUTED_VALUE"""),"Vietnam")</f>
        <v>Vietnam</v>
      </c>
      <c r="G34" s="1" t="str">
        <f ca="1">IFERROR(__xludf.DUMMYFUNCTION("""COMPUTED_VALUE"""),"0731612948")</f>
        <v>0731612948</v>
      </c>
      <c r="H34" s="1" t="str">
        <f ca="1">IFERROR(__xludf.DUMMYFUNCTION("""COMPUTED_VALUE"""),"buianhgiang@gmail.com")</f>
        <v>buianhgiang@gmail.com</v>
      </c>
      <c r="I34" s="1" t="str">
        <f ca="1">IFERROR(__xludf.DUMMYFUNCTION("""COMPUTED_VALUE"""),"17 Pham Van Dong, Hai Chau, Ha Noi, Viet Nam")</f>
        <v>17 Pham Van Dong, Hai Chau, Ha Noi, Viet Nam</v>
      </c>
      <c r="J34" s="1" t="str">
        <f ca="1">IFERROR(__xludf.DUMMYFUNCTION("""COMPUTED_VALUE"""),"045558448296")</f>
        <v>045558448296</v>
      </c>
      <c r="K34" s="3" t="str">
        <f ca="1">IFERROR(__xludf.DUMMYFUNCTION("""COMPUTED_VALUE"""),"https://drive.google.com/open?id=0jmwtw63UAJOoizVsMgP")</f>
        <v>https://drive.google.com/open?id=0jmwtw63UAJOoizVsMgP</v>
      </c>
      <c r="L34" s="3" t="str">
        <f ca="1">IFERROR(__xludf.DUMMYFUNCTION("""COMPUTED_VALUE"""),"https://drive.google.com/open?id=BjtKpYtPfavDaR4gITCa")</f>
        <v>https://drive.google.com/open?id=BjtKpYtPfavDaR4gITCa</v>
      </c>
      <c r="M34" s="1"/>
      <c r="N34" s="1"/>
      <c r="O34" s="1"/>
      <c r="P34" s="1" t="str">
        <f ca="1">IFERROR(__xludf.DUMMYFUNCTION("""COMPUTED_VALUE"""),"Self-employed")</f>
        <v>Self-employed</v>
      </c>
      <c r="Q34" s="1">
        <f ca="1">IFERROR(__xludf.DUMMYFUNCTION("""COMPUTED_VALUE"""),5000000)</f>
        <v>5000000</v>
      </c>
      <c r="R34" s="3" t="str">
        <f ca="1">IFERROR(__xludf.DUMMYFUNCTION("""COMPUTED_VALUE"""),"https://drive.google.com/open?id=2N7BKkYWUs4Oye9sxwnf")</f>
        <v>https://drive.google.com/open?id=2N7BKkYWUs4Oye9sxwnf</v>
      </c>
      <c r="S34" s="1">
        <f ca="1">IFERROR(__xludf.DUMMYFUNCTION("""COMPUTED_VALUE"""),25000000)</f>
        <v>25000000</v>
      </c>
      <c r="T34" s="1" t="str">
        <f ca="1">IFERROR(__xludf.DUMMYFUNCTION("""COMPUTED_VALUE"""),"Classic")</f>
        <v>Classic</v>
      </c>
      <c r="U34" s="1" t="str">
        <f ca="1">IFERROR(__xludf.DUMMYFUNCTION("""COMPUTED_VALUE"""),"Partner")</f>
        <v>Partner</v>
      </c>
    </row>
    <row r="35" spans="1:21" x14ac:dyDescent="0.25">
      <c r="A35" s="2" t="str">
        <f ca="1">IFERROR(__xludf.DUMMYFUNCTION("""COMPUTED_VALUE"""),"APP0034")</f>
        <v>APP0034</v>
      </c>
      <c r="B35" s="2">
        <f ca="1">IFERROR(__xludf.DUMMYFUNCTION("""COMPUTED_VALUE"""),45898.0306712963)</f>
        <v>45898.030671296299</v>
      </c>
      <c r="C35" s="1" t="str">
        <f ca="1">IFERROR(__xludf.DUMMYFUNCTION("""COMPUTED_VALUE"""),"Huỳnh Quang Trang")</f>
        <v>Huỳnh Quang Trang</v>
      </c>
      <c r="D35" s="1" t="str">
        <f ca="1">IFERROR(__xludf.DUMMYFUNCTION("""COMPUTED_VALUE"""),"11/01/1981")</f>
        <v>11/01/1981</v>
      </c>
      <c r="E35" s="1" t="str">
        <f ca="1">IFERROR(__xludf.DUMMYFUNCTION("""COMPUTED_VALUE"""),"Male")</f>
        <v>Male</v>
      </c>
      <c r="F35" s="1" t="str">
        <f ca="1">IFERROR(__xludf.DUMMYFUNCTION("""COMPUTED_VALUE"""),"Vietnam")</f>
        <v>Vietnam</v>
      </c>
      <c r="G35" s="1" t="str">
        <f ca="1">IFERROR(__xludf.DUMMYFUNCTION("""COMPUTED_VALUE"""),"0772696494")</f>
        <v>0772696494</v>
      </c>
      <c r="H35" s="1" t="str">
        <f ca="1">IFERROR(__xludf.DUMMYFUNCTION("""COMPUTED_VALUE"""),"huynhquangtrang@gmail.com")</f>
        <v>huynhquangtrang@gmail.com</v>
      </c>
      <c r="I35" s="1" t="str">
        <f ca="1">IFERROR(__xludf.DUMMYFUNCTION("""COMPUTED_VALUE"""),"148 Ly Thuong Kiet, Hoan Kiem, Da Nang, Viet Nam")</f>
        <v>148 Ly Thuong Kiet, Hoan Kiem, Da Nang, Viet Nam</v>
      </c>
      <c r="J35" s="1" t="str">
        <f ca="1">IFERROR(__xludf.DUMMYFUNCTION("""COMPUTED_VALUE"""),"099979619659")</f>
        <v>099979619659</v>
      </c>
      <c r="K35" s="3" t="str">
        <f ca="1">IFERROR(__xludf.DUMMYFUNCTION("""COMPUTED_VALUE"""),"https://drive.google.com/open?id=tEbJCTChjsbjR4pE3OBu")</f>
        <v>https://drive.google.com/open?id=tEbJCTChjsbjR4pE3OBu</v>
      </c>
      <c r="L35" s="3" t="str">
        <f ca="1">IFERROR(__xludf.DUMMYFUNCTION("""COMPUTED_VALUE"""),"https://drive.google.com/open?id=xRtLZgJ1syhPhV1AVKMe")</f>
        <v>https://drive.google.com/open?id=xRtLZgJ1syhPhV1AVKMe</v>
      </c>
      <c r="M35" s="1"/>
      <c r="N35" s="1"/>
      <c r="O35" s="1"/>
      <c r="P35" s="1" t="str">
        <f ca="1">IFERROR(__xludf.DUMMYFUNCTION("""COMPUTED_VALUE"""),"Contract")</f>
        <v>Contract</v>
      </c>
      <c r="Q35" s="1">
        <f ca="1">IFERROR(__xludf.DUMMYFUNCTION("""COMPUTED_VALUE"""),50000000)</f>
        <v>50000000</v>
      </c>
      <c r="R35" s="3" t="str">
        <f ca="1">IFERROR(__xludf.DUMMYFUNCTION("""COMPUTED_VALUE"""),"https://drive.google.com/open?id=pllm0zbrdDKLfsZX5kFm")</f>
        <v>https://drive.google.com/open?id=pllm0zbrdDKLfsZX5kFm</v>
      </c>
      <c r="S35" s="1">
        <f ca="1">IFERROR(__xludf.DUMMYFUNCTION("""COMPUTED_VALUE"""),250000000)</f>
        <v>250000000</v>
      </c>
      <c r="T35" s="1" t="str">
        <f ca="1">IFERROR(__xludf.DUMMYFUNCTION("""COMPUTED_VALUE"""),"Gold")</f>
        <v>Gold</v>
      </c>
      <c r="U35" s="1" t="str">
        <f ca="1">IFERROR(__xludf.DUMMYFUNCTION("""COMPUTED_VALUE"""),"Partner")</f>
        <v>Partner</v>
      </c>
    </row>
    <row r="36" spans="1:21" x14ac:dyDescent="0.25">
      <c r="A36" s="2" t="str">
        <f ca="1">IFERROR(__xludf.DUMMYFUNCTION("""COMPUTED_VALUE"""),"APP0035")</f>
        <v>APP0035</v>
      </c>
      <c r="B36" s="2">
        <f ca="1">IFERROR(__xludf.DUMMYFUNCTION("""COMPUTED_VALUE"""),45898.1267129629)</f>
        <v>45898.126712962898</v>
      </c>
      <c r="C36" s="1" t="str">
        <f ca="1">IFERROR(__xludf.DUMMYFUNCTION("""COMPUTED_VALUE"""),"Dương Văn Thịnh")</f>
        <v>Dương Văn Thịnh</v>
      </c>
      <c r="D36" s="1" t="str">
        <f ca="1">IFERROR(__xludf.DUMMYFUNCTION("""COMPUTED_VALUE"""),"24/06/1975")</f>
        <v>24/06/1975</v>
      </c>
      <c r="E36" s="1" t="str">
        <f ca="1">IFERROR(__xludf.DUMMYFUNCTION("""COMPUTED_VALUE"""),"Female")</f>
        <v>Female</v>
      </c>
      <c r="F36" s="1" t="str">
        <f ca="1">IFERROR(__xludf.DUMMYFUNCTION("""COMPUTED_VALUE"""),"Vietnam")</f>
        <v>Vietnam</v>
      </c>
      <c r="G36" s="1" t="str">
        <f ca="1">IFERROR(__xludf.DUMMYFUNCTION("""COMPUTED_VALUE"""),"0713054530")</f>
        <v>0713054530</v>
      </c>
      <c r="H36" s="1" t="str">
        <f ca="1">IFERROR(__xludf.DUMMYFUNCTION("""COMPUTED_VALUE"""),"duongvanthinh@gmail.com")</f>
        <v>duongvanthinh@gmail.com</v>
      </c>
      <c r="I36" s="1" t="str">
        <f ca="1">IFERROR(__xludf.DUMMYFUNCTION("""COMPUTED_VALUE"""),"41 Nguyen Trai, Quan 3, Da Nang, Viet Nam")</f>
        <v>41 Nguyen Trai, Quan 3, Da Nang, Viet Nam</v>
      </c>
      <c r="J36" s="1" t="str">
        <f ca="1">IFERROR(__xludf.DUMMYFUNCTION("""COMPUTED_VALUE"""),"061087951366")</f>
        <v>061087951366</v>
      </c>
      <c r="K36" s="3" t="str">
        <f ca="1">IFERROR(__xludf.DUMMYFUNCTION("""COMPUTED_VALUE"""),"https://drive.google.com/open?id=Tjwt0arRTM0QfeqCyFHr")</f>
        <v>https://drive.google.com/open?id=Tjwt0arRTM0QfeqCyFHr</v>
      </c>
      <c r="L36" s="3" t="str">
        <f ca="1">IFERROR(__xludf.DUMMYFUNCTION("""COMPUTED_VALUE"""),"https://drive.google.com/open?id=VvYlmiXBIlIXNh7ac6qk")</f>
        <v>https://drive.google.com/open?id=VvYlmiXBIlIXNh7ac6qk</v>
      </c>
      <c r="M36" s="1"/>
      <c r="N36" s="1"/>
      <c r="O36" s="1"/>
      <c r="P36" s="1" t="str">
        <f ca="1">IFERROR(__xludf.DUMMYFUNCTION("""COMPUTED_VALUE"""),"Freelancer")</f>
        <v>Freelancer</v>
      </c>
      <c r="Q36" s="1">
        <f ca="1">IFERROR(__xludf.DUMMYFUNCTION("""COMPUTED_VALUE"""),20000000)</f>
        <v>20000000</v>
      </c>
      <c r="R36" s="3" t="str">
        <f ca="1">IFERROR(__xludf.DUMMYFUNCTION("""COMPUTED_VALUE"""),"https://drive.google.com/open?id=JNuItjK8AjEhhu1SIV8u")</f>
        <v>https://drive.google.com/open?id=JNuItjK8AjEhhu1SIV8u</v>
      </c>
      <c r="S36" s="1">
        <f ca="1">IFERROR(__xludf.DUMMYFUNCTION("""COMPUTED_VALUE"""),100000000)</f>
        <v>100000000</v>
      </c>
      <c r="T36" s="1" t="str">
        <f ca="1">IFERROR(__xludf.DUMMYFUNCTION("""COMPUTED_VALUE"""),"Classic")</f>
        <v>Classic</v>
      </c>
      <c r="U36" s="1" t="str">
        <f ca="1">IFERROR(__xludf.DUMMYFUNCTION("""COMPUTED_VALUE"""),"Partner")</f>
        <v>Partner</v>
      </c>
    </row>
    <row r="37" spans="1:21" x14ac:dyDescent="0.25">
      <c r="A37" s="2" t="str">
        <f ca="1">IFERROR(__xludf.DUMMYFUNCTION("""COMPUTED_VALUE"""),"APP0036")</f>
        <v>APP0036</v>
      </c>
      <c r="B37" s="2">
        <f ca="1">IFERROR(__xludf.DUMMYFUNCTION("""COMPUTED_VALUE"""),45898.1435416666)</f>
        <v>45898.143541666599</v>
      </c>
      <c r="C37" s="1" t="str">
        <f ca="1">IFERROR(__xludf.DUMMYFUNCTION("""COMPUTED_VALUE"""),"Peter Watkins")</f>
        <v>Peter Watkins</v>
      </c>
      <c r="D37" s="1" t="str">
        <f ca="1">IFERROR(__xludf.DUMMYFUNCTION("""COMPUTED_VALUE"""),"13/06/1995")</f>
        <v>13/06/1995</v>
      </c>
      <c r="E37" s="1" t="str">
        <f ca="1">IFERROR(__xludf.DUMMYFUNCTION("""COMPUTED_VALUE"""),"Male")</f>
        <v>Male</v>
      </c>
      <c r="F37" s="1" t="str">
        <f ca="1">IFERROR(__xludf.DUMMYFUNCTION("""COMPUTED_VALUE"""),"Other")</f>
        <v>Other</v>
      </c>
      <c r="G37" s="1" t="str">
        <f ca="1">IFERROR(__xludf.DUMMYFUNCTION("""COMPUTED_VALUE"""),"+61 9082307628")</f>
        <v>+61 9082307628</v>
      </c>
      <c r="H37" s="1" t="str">
        <f ca="1">IFERROR(__xludf.DUMMYFUNCTION("""COMPUTED_VALUE"""),"peterwatkins@gmail.com")</f>
        <v>peterwatkins@gmail.com</v>
      </c>
      <c r="I37" s="1" t="str">
        <f ca="1">IFERROR(__xludf.DUMMYFUNCTION("""COMPUTED_VALUE"""),"097 Collier Overpass Apt. 828, East John, OK 26556")</f>
        <v>097 Collier Overpass Apt. 828, East John, OK 26556</v>
      </c>
      <c r="J37" s="1"/>
      <c r="K37" s="1"/>
      <c r="L37" s="1"/>
      <c r="M37" s="1" t="str">
        <f ca="1">IFERROR(__xludf.DUMMYFUNCTION("""COMPUTED_VALUE"""),"Gz156204")</f>
        <v>Gz156204</v>
      </c>
      <c r="N37" s="3" t="str">
        <f ca="1">IFERROR(__xludf.DUMMYFUNCTION("""COMPUTED_VALUE"""),"https://drive.google.com/open?id=enmsRW0DS0OomR9xsQ1m")</f>
        <v>https://drive.google.com/open?id=enmsRW0DS0OomR9xsQ1m</v>
      </c>
      <c r="O37" s="3" t="str">
        <f ca="1">IFERROR(__xludf.DUMMYFUNCTION("""COMPUTED_VALUE"""),"https://drive.google.com/open?id=DAyYKVSUIvHxXIigMJu3")</f>
        <v>https://drive.google.com/open?id=DAyYKVSUIvHxXIigMJu3</v>
      </c>
      <c r="P37" s="1" t="str">
        <f ca="1">IFERROR(__xludf.DUMMYFUNCTION("""COMPUTED_VALUE"""),"Full-time")</f>
        <v>Full-time</v>
      </c>
      <c r="Q37" s="1">
        <f ca="1">IFERROR(__xludf.DUMMYFUNCTION("""COMPUTED_VALUE"""),12000000)</f>
        <v>12000000</v>
      </c>
      <c r="R37" s="3" t="str">
        <f ca="1">IFERROR(__xludf.DUMMYFUNCTION("""COMPUTED_VALUE"""),"https://drive.google.com/open?id=KVUkMH9iME5frIu0c0AL")</f>
        <v>https://drive.google.com/open?id=KVUkMH9iME5frIu0c0AL</v>
      </c>
      <c r="S37" s="1">
        <f ca="1">IFERROR(__xludf.DUMMYFUNCTION("""COMPUTED_VALUE"""),60000000)</f>
        <v>60000000</v>
      </c>
      <c r="T37" s="1" t="str">
        <f ca="1">IFERROR(__xludf.DUMMYFUNCTION("""COMPUTED_VALUE"""),"Classic")</f>
        <v>Classic</v>
      </c>
      <c r="U37" s="1" t="str">
        <f ca="1">IFERROR(__xludf.DUMMYFUNCTION("""COMPUTED_VALUE"""),"Online")</f>
        <v>Online</v>
      </c>
    </row>
    <row r="38" spans="1:21" x14ac:dyDescent="0.25">
      <c r="A38" s="2" t="str">
        <f ca="1">IFERROR(__xludf.DUMMYFUNCTION("""COMPUTED_VALUE"""),"APP0037")</f>
        <v>APP0037</v>
      </c>
      <c r="B38" s="2">
        <f ca="1">IFERROR(__xludf.DUMMYFUNCTION("""COMPUTED_VALUE"""),45898.1435879629)</f>
        <v>45898.143587962899</v>
      </c>
      <c r="C38" s="1" t="str">
        <f ca="1">IFERROR(__xludf.DUMMYFUNCTION("""COMPUTED_VALUE"""),"Hoàng Hữu Thịnh")</f>
        <v>Hoàng Hữu Thịnh</v>
      </c>
      <c r="D38" s="1" t="str">
        <f ca="1">IFERROR(__xludf.DUMMYFUNCTION("""COMPUTED_VALUE"""),"10/01/1966")</f>
        <v>10/01/1966</v>
      </c>
      <c r="E38" s="1" t="str">
        <f ca="1">IFERROR(__xludf.DUMMYFUNCTION("""COMPUTED_VALUE"""),"Female")</f>
        <v>Female</v>
      </c>
      <c r="F38" s="1" t="str">
        <f ca="1">IFERROR(__xludf.DUMMYFUNCTION("""COMPUTED_VALUE"""),"Vietnam")</f>
        <v>Vietnam</v>
      </c>
      <c r="G38" s="1" t="str">
        <f ca="1">IFERROR(__xludf.DUMMYFUNCTION("""COMPUTED_VALUE"""),"0910414476")</f>
        <v>0910414476</v>
      </c>
      <c r="H38" s="1" t="str">
        <f ca="1">IFERROR(__xludf.DUMMYFUNCTION("""COMPUTED_VALUE"""),"hoanghuuthinh@gmail.com")</f>
        <v>hoanghuuthinh@gmail.com</v>
      </c>
      <c r="I38" s="1" t="str">
        <f ca="1">IFERROR(__xludf.DUMMYFUNCTION("""COMPUTED_VALUE"""),"181 Nguyen Hue, Dong Da, Ha Noi, Viet Nam")</f>
        <v>181 Nguyen Hue, Dong Da, Ha Noi, Viet Nam</v>
      </c>
      <c r="J38" s="1" t="str">
        <f ca="1">IFERROR(__xludf.DUMMYFUNCTION("""COMPUTED_VALUE"""),"078402791574")</f>
        <v>078402791574</v>
      </c>
      <c r="K38" s="3" t="str">
        <f ca="1">IFERROR(__xludf.DUMMYFUNCTION("""COMPUTED_VALUE"""),"https://drive.google.com/open?id=jxuKjVT7TjVz9RyOy5Gv")</f>
        <v>https://drive.google.com/open?id=jxuKjVT7TjVz9RyOy5Gv</v>
      </c>
      <c r="L38" s="3" t="str">
        <f ca="1">IFERROR(__xludf.DUMMYFUNCTION("""COMPUTED_VALUE"""),"https://drive.google.com/open?id=HtSkAGyZr5gn1uCfPOfJ")</f>
        <v>https://drive.google.com/open?id=HtSkAGyZr5gn1uCfPOfJ</v>
      </c>
      <c r="M38" s="1"/>
      <c r="N38" s="1"/>
      <c r="O38" s="1"/>
      <c r="P38" s="1" t="str">
        <f ca="1">IFERROR(__xludf.DUMMYFUNCTION("""COMPUTED_VALUE"""),"Contract")</f>
        <v>Contract</v>
      </c>
      <c r="Q38" s="1">
        <f ca="1">IFERROR(__xludf.DUMMYFUNCTION("""COMPUTED_VALUE"""),8000000)</f>
        <v>8000000</v>
      </c>
      <c r="R38" s="3" t="str">
        <f ca="1">IFERROR(__xludf.DUMMYFUNCTION("""COMPUTED_VALUE"""),"https://drive.google.com/open?id=5jm2rRSzqXmFy7RtHOIw")</f>
        <v>https://drive.google.com/open?id=5jm2rRSzqXmFy7RtHOIw</v>
      </c>
      <c r="S38" s="1">
        <f ca="1">IFERROR(__xludf.DUMMYFUNCTION("""COMPUTED_VALUE"""),16000000)</f>
        <v>16000000</v>
      </c>
      <c r="T38" s="1" t="str">
        <f ca="1">IFERROR(__xludf.DUMMYFUNCTION("""COMPUTED_VALUE"""),"Classic")</f>
        <v>Classic</v>
      </c>
      <c r="U38" s="1" t="str">
        <f ca="1">IFERROR(__xludf.DUMMYFUNCTION("""COMPUTED_VALUE"""),"Branch")</f>
        <v>Branch</v>
      </c>
    </row>
    <row r="39" spans="1:21" x14ac:dyDescent="0.25">
      <c r="A39" s="2" t="str">
        <f ca="1">IFERROR(__xludf.DUMMYFUNCTION("""COMPUTED_VALUE"""),"APP0038")</f>
        <v>APP0038</v>
      </c>
      <c r="B39" s="2">
        <f ca="1">IFERROR(__xludf.DUMMYFUNCTION("""COMPUTED_VALUE"""),45898.2553125)</f>
        <v>45898.255312499998</v>
      </c>
      <c r="C39" s="1" t="str">
        <f ca="1">IFERROR(__xludf.DUMMYFUNCTION("""COMPUTED_VALUE"""),"Lê Thị Hiếu")</f>
        <v>Lê Thị Hiếu</v>
      </c>
      <c r="D39" s="1" t="str">
        <f ca="1">IFERROR(__xludf.DUMMYFUNCTION("""COMPUTED_VALUE"""),"16/07/1979")</f>
        <v>16/07/1979</v>
      </c>
      <c r="E39" s="1" t="str">
        <f ca="1">IFERROR(__xludf.DUMMYFUNCTION("""COMPUTED_VALUE"""),"Male")</f>
        <v>Male</v>
      </c>
      <c r="F39" s="1" t="str">
        <f ca="1">IFERROR(__xludf.DUMMYFUNCTION("""COMPUTED_VALUE"""),"Vietnam")</f>
        <v>Vietnam</v>
      </c>
      <c r="G39" s="1" t="str">
        <f ca="1">IFERROR(__xludf.DUMMYFUNCTION("""COMPUTED_VALUE"""),"0761398607")</f>
        <v>0761398607</v>
      </c>
      <c r="H39" s="1" t="str">
        <f ca="1">IFERROR(__xludf.DUMMYFUNCTION("""COMPUTED_VALUE"""),"lethihieu@gmail.com")</f>
        <v>lethihieu@gmail.com</v>
      </c>
      <c r="I39" s="1" t="str">
        <f ca="1">IFERROR(__xludf.DUMMYFUNCTION("""COMPUTED_VALUE"""),"5 Nguyen Hue, Hai Chau, Ha Noi, Viet Nam")</f>
        <v>5 Nguyen Hue, Hai Chau, Ha Noi, Viet Nam</v>
      </c>
      <c r="J39" s="1" t="str">
        <f ca="1">IFERROR(__xludf.DUMMYFUNCTION("""COMPUTED_VALUE"""),"069719061187")</f>
        <v>069719061187</v>
      </c>
      <c r="K39" s="3" t="str">
        <f ca="1">IFERROR(__xludf.DUMMYFUNCTION("""COMPUTED_VALUE"""),"https://drive.google.com/open?id=l0sDgubbLVc8Rfq2Ajyb")</f>
        <v>https://drive.google.com/open?id=l0sDgubbLVc8Rfq2Ajyb</v>
      </c>
      <c r="L39" s="3" t="str">
        <f ca="1">IFERROR(__xludf.DUMMYFUNCTION("""COMPUTED_VALUE"""),"https://drive.google.com/open?id=uagTEsWUoXXHLDg0HkEi")</f>
        <v>https://drive.google.com/open?id=uagTEsWUoXXHLDg0HkEi</v>
      </c>
      <c r="M39" s="1"/>
      <c r="N39" s="1"/>
      <c r="O39" s="1"/>
      <c r="P39" s="1" t="str">
        <f ca="1">IFERROR(__xludf.DUMMYFUNCTION("""COMPUTED_VALUE"""),"Self-employed")</f>
        <v>Self-employed</v>
      </c>
      <c r="Q39" s="1">
        <f ca="1">IFERROR(__xludf.DUMMYFUNCTION("""COMPUTED_VALUE"""),50000000)</f>
        <v>50000000</v>
      </c>
      <c r="R39" s="3" t="str">
        <f ca="1">IFERROR(__xludf.DUMMYFUNCTION("""COMPUTED_VALUE"""),"https://drive.google.com/open?id=qQv39MYJQAjmwVtjAT3V")</f>
        <v>https://drive.google.com/open?id=qQv39MYJQAjmwVtjAT3V</v>
      </c>
      <c r="S39" s="1">
        <f ca="1">IFERROR(__xludf.DUMMYFUNCTION("""COMPUTED_VALUE"""),100000000)</f>
        <v>100000000</v>
      </c>
      <c r="T39" s="1" t="str">
        <f ca="1">IFERROR(__xludf.DUMMYFUNCTION("""COMPUTED_VALUE"""),"Platinum")</f>
        <v>Platinum</v>
      </c>
      <c r="U39" s="1" t="str">
        <f ca="1">IFERROR(__xludf.DUMMYFUNCTION("""COMPUTED_VALUE"""),"Online")</f>
        <v>Online</v>
      </c>
    </row>
    <row r="40" spans="1:21" x14ac:dyDescent="0.25">
      <c r="A40" s="2" t="str">
        <f ca="1">IFERROR(__xludf.DUMMYFUNCTION("""COMPUTED_VALUE"""),"APP0039")</f>
        <v>APP0039</v>
      </c>
      <c r="B40" s="2">
        <f ca="1">IFERROR(__xludf.DUMMYFUNCTION("""COMPUTED_VALUE"""),45898.3409722222)</f>
        <v>45898.340972222199</v>
      </c>
      <c r="C40" s="1" t="str">
        <f ca="1">IFERROR(__xludf.DUMMYFUNCTION("""COMPUTED_VALUE"""),"Nguyễn Minh Hùng")</f>
        <v>Nguyễn Minh Hùng</v>
      </c>
      <c r="D40" s="1" t="str">
        <f ca="1">IFERROR(__xludf.DUMMYFUNCTION("""COMPUTED_VALUE"""),"09/01/1976")</f>
        <v>09/01/1976</v>
      </c>
      <c r="E40" s="1" t="str">
        <f ca="1">IFERROR(__xludf.DUMMYFUNCTION("""COMPUTED_VALUE"""),"Male")</f>
        <v>Male</v>
      </c>
      <c r="F40" s="1" t="str">
        <f ca="1">IFERROR(__xludf.DUMMYFUNCTION("""COMPUTED_VALUE"""),"Vietnam")</f>
        <v>Vietnam</v>
      </c>
      <c r="G40" s="1" t="str">
        <f ca="1">IFERROR(__xludf.DUMMYFUNCTION("""COMPUTED_VALUE"""),"0819368186")</f>
        <v>0819368186</v>
      </c>
      <c r="H40" s="1" t="str">
        <f ca="1">IFERROR(__xludf.DUMMYFUNCTION("""COMPUTED_VALUE"""),"nguyenminhhung@gmail.com")</f>
        <v>nguyenminhhung@gmail.com</v>
      </c>
      <c r="I40" s="1" t="str">
        <f ca="1">IFERROR(__xludf.DUMMYFUNCTION("""COMPUTED_VALUE"""),"92 Nguyen Hue, Quan 7, Can Tho, Viet Nam")</f>
        <v>92 Nguyen Hue, Quan 7, Can Tho, Viet Nam</v>
      </c>
      <c r="J40" s="1" t="str">
        <f ca="1">IFERROR(__xludf.DUMMYFUNCTION("""COMPUTED_VALUE"""),"035446681618")</f>
        <v>035446681618</v>
      </c>
      <c r="K40" s="3" t="str">
        <f ca="1">IFERROR(__xludf.DUMMYFUNCTION("""COMPUTED_VALUE"""),"https://drive.google.com/open?id=S8PMI8MGSz9e1Xmg45iw")</f>
        <v>https://drive.google.com/open?id=S8PMI8MGSz9e1Xmg45iw</v>
      </c>
      <c r="L40" s="3" t="str">
        <f ca="1">IFERROR(__xludf.DUMMYFUNCTION("""COMPUTED_VALUE"""),"https://drive.google.com/open?id=p5kgHheW9H1jVELyO6An")</f>
        <v>https://drive.google.com/open?id=p5kgHheW9H1jVELyO6An</v>
      </c>
      <c r="M40" s="1"/>
      <c r="N40" s="1"/>
      <c r="O40" s="1"/>
      <c r="P40" s="1" t="str">
        <f ca="1">IFERROR(__xludf.DUMMYFUNCTION("""COMPUTED_VALUE"""),"Contract")</f>
        <v>Contract</v>
      </c>
      <c r="Q40" s="1">
        <f ca="1">IFERROR(__xludf.DUMMYFUNCTION("""COMPUTED_VALUE"""),8000000)</f>
        <v>8000000</v>
      </c>
      <c r="R40" s="3" t="str">
        <f ca="1">IFERROR(__xludf.DUMMYFUNCTION("""COMPUTED_VALUE"""),"https://drive.google.com/open?id=AmBZEcHa1waSJQ0OswSC")</f>
        <v>https://drive.google.com/open?id=AmBZEcHa1waSJQ0OswSC</v>
      </c>
      <c r="S40" s="1">
        <f ca="1">IFERROR(__xludf.DUMMYFUNCTION("""COMPUTED_VALUE"""),24000000)</f>
        <v>24000000</v>
      </c>
      <c r="T40" s="1" t="str">
        <f ca="1">IFERROR(__xludf.DUMMYFUNCTION("""COMPUTED_VALUE"""),"Platinum")</f>
        <v>Platinum</v>
      </c>
      <c r="U40" s="1" t="str">
        <f ca="1">IFERROR(__xludf.DUMMYFUNCTION("""COMPUTED_VALUE"""),"Online")</f>
        <v>Online</v>
      </c>
    </row>
    <row r="41" spans="1:21" x14ac:dyDescent="0.25">
      <c r="A41" s="2" t="str">
        <f ca="1">IFERROR(__xludf.DUMMYFUNCTION("""COMPUTED_VALUE"""),"APP0040")</f>
        <v>APP0040</v>
      </c>
      <c r="B41" s="2">
        <f ca="1">IFERROR(__xludf.DUMMYFUNCTION("""COMPUTED_VALUE"""),45898.4453472222)</f>
        <v>45898.445347222201</v>
      </c>
      <c r="C41" s="1" t="str">
        <f ca="1">IFERROR(__xludf.DUMMYFUNCTION("""COMPUTED_VALUE"""),"Phạm Quang Phúc")</f>
        <v>Phạm Quang Phúc</v>
      </c>
      <c r="D41" s="1" t="str">
        <f ca="1">IFERROR(__xludf.DUMMYFUNCTION("""COMPUTED_VALUE"""),"19/05/1982")</f>
        <v>19/05/1982</v>
      </c>
      <c r="E41" s="1" t="str">
        <f ca="1">IFERROR(__xludf.DUMMYFUNCTION("""COMPUTED_VALUE"""),"Male")</f>
        <v>Male</v>
      </c>
      <c r="F41" s="1" t="str">
        <f ca="1">IFERROR(__xludf.DUMMYFUNCTION("""COMPUTED_VALUE"""),"Vietnam")</f>
        <v>Vietnam</v>
      </c>
      <c r="G41" s="1" t="str">
        <f ca="1">IFERROR(__xludf.DUMMYFUNCTION("""COMPUTED_VALUE"""),"0972296632")</f>
        <v>0972296632</v>
      </c>
      <c r="H41" s="1" t="str">
        <f ca="1">IFERROR(__xludf.DUMMYFUNCTION("""COMPUTED_VALUE"""),"phamquangphuc@gmail.com")</f>
        <v>phamquangphuc@gmail.com</v>
      </c>
      <c r="I41" s="1" t="str">
        <f ca="1">IFERROR(__xludf.DUMMYFUNCTION("""COMPUTED_VALUE"""),"90 Tran Hung Dao, Quan 3, Da Nang, Viet Nam")</f>
        <v>90 Tran Hung Dao, Quan 3, Da Nang, Viet Nam</v>
      </c>
      <c r="J41" s="1" t="str">
        <f ca="1">IFERROR(__xludf.DUMMYFUNCTION("""COMPUTED_VALUE"""),"078770819055")</f>
        <v>078770819055</v>
      </c>
      <c r="K41" s="3" t="str">
        <f ca="1">IFERROR(__xludf.DUMMYFUNCTION("""COMPUTED_VALUE"""),"https://drive.google.com/open?id=g7xX1KXJERnvhhALw18Q")</f>
        <v>https://drive.google.com/open?id=g7xX1KXJERnvhhALw18Q</v>
      </c>
      <c r="L41" s="3" t="str">
        <f ca="1">IFERROR(__xludf.DUMMYFUNCTION("""COMPUTED_VALUE"""),"https://drive.google.com/open?id=ezsycGNvoMkkNwH9u5R7")</f>
        <v>https://drive.google.com/open?id=ezsycGNvoMkkNwH9u5R7</v>
      </c>
      <c r="M41" s="1"/>
      <c r="N41" s="1"/>
      <c r="O41" s="1"/>
      <c r="P41" s="1" t="str">
        <f ca="1">IFERROR(__xludf.DUMMYFUNCTION("""COMPUTED_VALUE"""),"Part-time")</f>
        <v>Part-time</v>
      </c>
      <c r="Q41" s="1">
        <f ca="1">IFERROR(__xludf.DUMMYFUNCTION("""COMPUTED_VALUE"""),20000000)</f>
        <v>20000000</v>
      </c>
      <c r="R41" s="3" t="str">
        <f ca="1">IFERROR(__xludf.DUMMYFUNCTION("""COMPUTED_VALUE"""),"https://drive.google.com/open?id=zc5Z0W90lNwQGe374U5T")</f>
        <v>https://drive.google.com/open?id=zc5Z0W90lNwQGe374U5T</v>
      </c>
      <c r="S41" s="1">
        <f ca="1">IFERROR(__xludf.DUMMYFUNCTION("""COMPUTED_VALUE"""),60000000)</f>
        <v>60000000</v>
      </c>
      <c r="T41" s="1" t="str">
        <f ca="1">IFERROR(__xludf.DUMMYFUNCTION("""COMPUTED_VALUE"""),"Classic")</f>
        <v>Classic</v>
      </c>
      <c r="U41" s="1" t="str">
        <f ca="1">IFERROR(__xludf.DUMMYFUNCTION("""COMPUTED_VALUE"""),"Branch")</f>
        <v>Branch</v>
      </c>
    </row>
    <row r="42" spans="1:21" x14ac:dyDescent="0.25">
      <c r="A42" s="2" t="str">
        <f ca="1">IFERROR(__xludf.DUMMYFUNCTION("""COMPUTED_VALUE"""),"APP0041")</f>
        <v>APP0041</v>
      </c>
      <c r="B42" s="2">
        <f ca="1">IFERROR(__xludf.DUMMYFUNCTION("""COMPUTED_VALUE"""),45898.5695486111)</f>
        <v>45898.5695486111</v>
      </c>
      <c r="C42" s="1" t="str">
        <f ca="1">IFERROR(__xludf.DUMMYFUNCTION("""COMPUTED_VALUE"""),"Deborah Wright")</f>
        <v>Deborah Wright</v>
      </c>
      <c r="D42" s="1" t="str">
        <f ca="1">IFERROR(__xludf.DUMMYFUNCTION("""COMPUTED_VALUE"""),"30/12/1981")</f>
        <v>30/12/1981</v>
      </c>
      <c r="E42" s="1" t="str">
        <f ca="1">IFERROR(__xludf.DUMMYFUNCTION("""COMPUTED_VALUE"""),"Female")</f>
        <v>Female</v>
      </c>
      <c r="F42" s="1" t="str">
        <f ca="1">IFERROR(__xludf.DUMMYFUNCTION("""COMPUTED_VALUE"""),"Other")</f>
        <v>Other</v>
      </c>
      <c r="G42" s="1" t="str">
        <f ca="1">IFERROR(__xludf.DUMMYFUNCTION("""COMPUTED_VALUE"""),"+62 6679963998")</f>
        <v>+62 6679963998</v>
      </c>
      <c r="H42" s="1" t="str">
        <f ca="1">IFERROR(__xludf.DUMMYFUNCTION("""COMPUTED_VALUE"""),"deborahwright@gmail.com")</f>
        <v>deborahwright@gmail.com</v>
      </c>
      <c r="I42" s="1" t="str">
        <f ca="1">IFERROR(__xludf.DUMMYFUNCTION("""COMPUTED_VALUE"""),"Unit 2416 Box 2698, DPO AE 23238")</f>
        <v>Unit 2416 Box 2698, DPO AE 23238</v>
      </c>
      <c r="J42" s="1"/>
      <c r="K42" s="1"/>
      <c r="L42" s="1"/>
      <c r="M42" s="1" t="str">
        <f ca="1">IFERROR(__xludf.DUMMYFUNCTION("""COMPUTED_VALUE"""),"NE351284")</f>
        <v>NE351284</v>
      </c>
      <c r="N42" s="3" t="str">
        <f ca="1">IFERROR(__xludf.DUMMYFUNCTION("""COMPUTED_VALUE"""),"https://drive.google.com/open?id=PVEvYO7gHzGpAT52Vlfb")</f>
        <v>https://drive.google.com/open?id=PVEvYO7gHzGpAT52Vlfb</v>
      </c>
      <c r="O42" s="3" t="str">
        <f ca="1">IFERROR(__xludf.DUMMYFUNCTION("""COMPUTED_VALUE"""),"https://drive.google.com/open?id=bUHl8KAzqzHBSiT6DJ0n")</f>
        <v>https://drive.google.com/open?id=bUHl8KAzqzHBSiT6DJ0n</v>
      </c>
      <c r="P42" s="1" t="str">
        <f ca="1">IFERROR(__xludf.DUMMYFUNCTION("""COMPUTED_VALUE"""),"Contract")</f>
        <v>Contract</v>
      </c>
      <c r="Q42" s="1">
        <f ca="1">IFERROR(__xludf.DUMMYFUNCTION("""COMPUTED_VALUE"""),20000000)</f>
        <v>20000000</v>
      </c>
      <c r="R42" s="3" t="str">
        <f ca="1">IFERROR(__xludf.DUMMYFUNCTION("""COMPUTED_VALUE"""),"https://drive.google.com/open?id=Irb2NKP1HdmtPqg1Ub5S")</f>
        <v>https://drive.google.com/open?id=Irb2NKP1HdmtPqg1Ub5S</v>
      </c>
      <c r="S42" s="1">
        <f ca="1">IFERROR(__xludf.DUMMYFUNCTION("""COMPUTED_VALUE"""),40000000)</f>
        <v>40000000</v>
      </c>
      <c r="T42" s="1" t="str">
        <f ca="1">IFERROR(__xludf.DUMMYFUNCTION("""COMPUTED_VALUE"""),"Platinum")</f>
        <v>Platinum</v>
      </c>
      <c r="U42" s="1" t="str">
        <f ca="1">IFERROR(__xludf.DUMMYFUNCTION("""COMPUTED_VALUE"""),"Partner")</f>
        <v>Partner</v>
      </c>
    </row>
    <row r="43" spans="1:21" x14ac:dyDescent="0.25">
      <c r="A43" s="2" t="str">
        <f ca="1">IFERROR(__xludf.DUMMYFUNCTION("""COMPUTED_VALUE"""),"APP0042")</f>
        <v>APP0042</v>
      </c>
      <c r="B43" s="2">
        <f ca="1">IFERROR(__xludf.DUMMYFUNCTION("""COMPUTED_VALUE"""),45898.6902546296)</f>
        <v>45898.690254629597</v>
      </c>
      <c r="C43" s="1" t="str">
        <f ca="1">IFERROR(__xludf.DUMMYFUNCTION("""COMPUTED_VALUE"""),"Lý Văn Mai")</f>
        <v>Lý Văn Mai</v>
      </c>
      <c r="D43" s="1" t="str">
        <f ca="1">IFERROR(__xludf.DUMMYFUNCTION("""COMPUTED_VALUE"""),"07/08/1992")</f>
        <v>07/08/1992</v>
      </c>
      <c r="E43" s="1" t="str">
        <f ca="1">IFERROR(__xludf.DUMMYFUNCTION("""COMPUTED_VALUE"""),"Male")</f>
        <v>Male</v>
      </c>
      <c r="F43" s="1" t="str">
        <f ca="1">IFERROR(__xludf.DUMMYFUNCTION("""COMPUTED_VALUE"""),"Vietnam")</f>
        <v>Vietnam</v>
      </c>
      <c r="G43" s="1" t="str">
        <f ca="1">IFERROR(__xludf.DUMMYFUNCTION("""COMPUTED_VALUE"""),"0986670111")</f>
        <v>0986670111</v>
      </c>
      <c r="H43" s="1" t="str">
        <f ca="1">IFERROR(__xludf.DUMMYFUNCTION("""COMPUTED_VALUE"""),"lyvanmai@gmail.com")</f>
        <v>lyvanmai@gmail.com</v>
      </c>
      <c r="I43" s="1" t="str">
        <f ca="1">IFERROR(__xludf.DUMMYFUNCTION("""COMPUTED_VALUE"""),"1 Nguyen Trai, Hoan Kiem, Da Nang, Viet Nam")</f>
        <v>1 Nguyen Trai, Hoan Kiem, Da Nang, Viet Nam</v>
      </c>
      <c r="J43" s="1" t="str">
        <f ca="1">IFERROR(__xludf.DUMMYFUNCTION("""COMPUTED_VALUE"""),"059811927316")</f>
        <v>059811927316</v>
      </c>
      <c r="K43" s="3" t="str">
        <f ca="1">IFERROR(__xludf.DUMMYFUNCTION("""COMPUTED_VALUE"""),"https://drive.google.com/open?id=73mu4M9gGQlhYuqDaELm")</f>
        <v>https://drive.google.com/open?id=73mu4M9gGQlhYuqDaELm</v>
      </c>
      <c r="L43" s="3" t="str">
        <f ca="1">IFERROR(__xludf.DUMMYFUNCTION("""COMPUTED_VALUE"""),"https://drive.google.com/open?id=1NtLg9NybcNgEI9366QM")</f>
        <v>https://drive.google.com/open?id=1NtLg9NybcNgEI9366QM</v>
      </c>
      <c r="M43" s="1"/>
      <c r="N43" s="1"/>
      <c r="O43" s="1"/>
      <c r="P43" s="1" t="str">
        <f ca="1">IFERROR(__xludf.DUMMYFUNCTION("""COMPUTED_VALUE"""),"Part-time")</f>
        <v>Part-time</v>
      </c>
      <c r="Q43" s="1">
        <f ca="1">IFERROR(__xludf.DUMMYFUNCTION("""COMPUTED_VALUE"""),5000000)</f>
        <v>5000000</v>
      </c>
      <c r="R43" s="3" t="str">
        <f ca="1">IFERROR(__xludf.DUMMYFUNCTION("""COMPUTED_VALUE"""),"https://drive.google.com/open?id=4HaBRL59jjQ1MHbobJOz")</f>
        <v>https://drive.google.com/open?id=4HaBRL59jjQ1MHbobJOz</v>
      </c>
      <c r="S43" s="1">
        <f ca="1">IFERROR(__xludf.DUMMYFUNCTION("""COMPUTED_VALUE"""),10000000)</f>
        <v>10000000</v>
      </c>
      <c r="T43" s="1" t="str">
        <f ca="1">IFERROR(__xludf.DUMMYFUNCTION("""COMPUTED_VALUE"""),"Classic")</f>
        <v>Classic</v>
      </c>
      <c r="U43" s="1" t="str">
        <f ca="1">IFERROR(__xludf.DUMMYFUNCTION("""COMPUTED_VALUE"""),"Online")</f>
        <v>Online</v>
      </c>
    </row>
    <row r="44" spans="1:21" x14ac:dyDescent="0.25">
      <c r="A44" s="2" t="str">
        <f ca="1">IFERROR(__xludf.DUMMYFUNCTION("""COMPUTED_VALUE"""),"APP0043")</f>
        <v>APP0043</v>
      </c>
      <c r="B44" s="2">
        <f ca="1">IFERROR(__xludf.DUMMYFUNCTION("""COMPUTED_VALUE"""),45898.7258796296)</f>
        <v>45898.725879629601</v>
      </c>
      <c r="C44" s="1" t="str">
        <f ca="1">IFERROR(__xludf.DUMMYFUNCTION("""COMPUTED_VALUE"""),"Dương Thị Quân")</f>
        <v>Dương Thị Quân</v>
      </c>
      <c r="D44" s="1" t="str">
        <f ca="1">IFERROR(__xludf.DUMMYFUNCTION("""COMPUTED_VALUE"""),"15/04/1996")</f>
        <v>15/04/1996</v>
      </c>
      <c r="E44" s="1" t="str">
        <f ca="1">IFERROR(__xludf.DUMMYFUNCTION("""COMPUTED_VALUE"""),"Female")</f>
        <v>Female</v>
      </c>
      <c r="F44" s="1" t="str">
        <f ca="1">IFERROR(__xludf.DUMMYFUNCTION("""COMPUTED_VALUE"""),"Vietnam")</f>
        <v>Vietnam</v>
      </c>
      <c r="G44" s="1" t="str">
        <f ca="1">IFERROR(__xludf.DUMMYFUNCTION("""COMPUTED_VALUE"""),"0930857979")</f>
        <v>0930857979</v>
      </c>
      <c r="H44" s="1" t="str">
        <f ca="1">IFERROR(__xludf.DUMMYFUNCTION("""COMPUTED_VALUE"""),"duongthiquan@gmail.com")</f>
        <v>duongthiquan@gmail.com</v>
      </c>
      <c r="I44" s="1" t="str">
        <f ca="1">IFERROR(__xludf.DUMMYFUNCTION("""COMPUTED_VALUE"""),"100 Pham Van Dong, Quan 1, Da Nang, Viet Nam")</f>
        <v>100 Pham Van Dong, Quan 1, Da Nang, Viet Nam</v>
      </c>
      <c r="J44" s="1" t="str">
        <f ca="1">IFERROR(__xludf.DUMMYFUNCTION("""COMPUTED_VALUE"""),"045050638432")</f>
        <v>045050638432</v>
      </c>
      <c r="K44" s="3" t="str">
        <f ca="1">IFERROR(__xludf.DUMMYFUNCTION("""COMPUTED_VALUE"""),"https://drive.google.com/open?id=AZQJlWjZ917l3vVAcTVR")</f>
        <v>https://drive.google.com/open?id=AZQJlWjZ917l3vVAcTVR</v>
      </c>
      <c r="L44" s="3" t="str">
        <f ca="1">IFERROR(__xludf.DUMMYFUNCTION("""COMPUTED_VALUE"""),"https://drive.google.com/open?id=oaBPMic0KvkEYyUhfTmT")</f>
        <v>https://drive.google.com/open?id=oaBPMic0KvkEYyUhfTmT</v>
      </c>
      <c r="M44" s="1"/>
      <c r="N44" s="1"/>
      <c r="O44" s="1"/>
      <c r="P44" s="1" t="str">
        <f ca="1">IFERROR(__xludf.DUMMYFUNCTION("""COMPUTED_VALUE"""),"Full-time")</f>
        <v>Full-time</v>
      </c>
      <c r="Q44" s="1">
        <f ca="1">IFERROR(__xludf.DUMMYFUNCTION("""COMPUTED_VALUE"""),20000000)</f>
        <v>20000000</v>
      </c>
      <c r="R44" s="3" t="str">
        <f ca="1">IFERROR(__xludf.DUMMYFUNCTION("""COMPUTED_VALUE"""),"https://drive.google.com/open?id=hZxRRAOzh9cJXHDwzw5U")</f>
        <v>https://drive.google.com/open?id=hZxRRAOzh9cJXHDwzw5U</v>
      </c>
      <c r="S44" s="1">
        <f ca="1">IFERROR(__xludf.DUMMYFUNCTION("""COMPUTED_VALUE"""),40000000)</f>
        <v>40000000</v>
      </c>
      <c r="T44" s="1" t="str">
        <f ca="1">IFERROR(__xludf.DUMMYFUNCTION("""COMPUTED_VALUE"""),"Platinum")</f>
        <v>Platinum</v>
      </c>
      <c r="U44" s="1" t="str">
        <f ca="1">IFERROR(__xludf.DUMMYFUNCTION("""COMPUTED_VALUE"""),"Partner")</f>
        <v>Partner</v>
      </c>
    </row>
    <row r="45" spans="1:21" x14ac:dyDescent="0.25">
      <c r="A45" s="2" t="str">
        <f ca="1">IFERROR(__xludf.DUMMYFUNCTION("""COMPUTED_VALUE"""),"APP0044")</f>
        <v>APP0044</v>
      </c>
      <c r="B45" s="2">
        <f ca="1">IFERROR(__xludf.DUMMYFUNCTION("""COMPUTED_VALUE"""),45898.7400694444)</f>
        <v>45898.7400694444</v>
      </c>
      <c r="C45" s="1" t="str">
        <f ca="1">IFERROR(__xludf.DUMMYFUNCTION("""COMPUTED_VALUE"""),"Phạm Minh Dũng")</f>
        <v>Phạm Minh Dũng</v>
      </c>
      <c r="D45" s="1" t="str">
        <f ca="1">IFERROR(__xludf.DUMMYFUNCTION("""COMPUTED_VALUE"""),"04/03/1973")</f>
        <v>04/03/1973</v>
      </c>
      <c r="E45" s="1" t="str">
        <f ca="1">IFERROR(__xludf.DUMMYFUNCTION("""COMPUTED_VALUE"""),"Male")</f>
        <v>Male</v>
      </c>
      <c r="F45" s="1" t="str">
        <f ca="1">IFERROR(__xludf.DUMMYFUNCTION("""COMPUTED_VALUE"""),"Vietnam")</f>
        <v>Vietnam</v>
      </c>
      <c r="G45" s="1" t="str">
        <f ca="1">IFERROR(__xludf.DUMMYFUNCTION("""COMPUTED_VALUE"""),"0829790235")</f>
        <v>0829790235</v>
      </c>
      <c r="H45" s="1" t="str">
        <f ca="1">IFERROR(__xludf.DUMMYFUNCTION("""COMPUTED_VALUE"""),"phamminhdung@gmail.com")</f>
        <v>phamminhdung@gmail.com</v>
      </c>
      <c r="I45" s="1" t="str">
        <f ca="1">IFERROR(__xludf.DUMMYFUNCTION("""COMPUTED_VALUE"""),"171 Ly Thuong Kiet, Quan 7, Ha Noi, Viet Nam")</f>
        <v>171 Ly Thuong Kiet, Quan 7, Ha Noi, Viet Nam</v>
      </c>
      <c r="J45" s="1" t="str">
        <f ca="1">IFERROR(__xludf.DUMMYFUNCTION("""COMPUTED_VALUE"""),"084687235139")</f>
        <v>084687235139</v>
      </c>
      <c r="K45" s="3" t="str">
        <f ca="1">IFERROR(__xludf.DUMMYFUNCTION("""COMPUTED_VALUE"""),"https://drive.google.com/open?id=O7kn0jcCEjBSCkyfGnBQ")</f>
        <v>https://drive.google.com/open?id=O7kn0jcCEjBSCkyfGnBQ</v>
      </c>
      <c r="L45" s="3" t="str">
        <f ca="1">IFERROR(__xludf.DUMMYFUNCTION("""COMPUTED_VALUE"""),"https://drive.google.com/open?id=f7BHMYQE4BovbCJSzDXZ")</f>
        <v>https://drive.google.com/open?id=f7BHMYQE4BovbCJSzDXZ</v>
      </c>
      <c r="M45" s="1"/>
      <c r="N45" s="1"/>
      <c r="O45" s="1"/>
      <c r="P45" s="1" t="str">
        <f ca="1">IFERROR(__xludf.DUMMYFUNCTION("""COMPUTED_VALUE"""),"Contract")</f>
        <v>Contract</v>
      </c>
      <c r="Q45" s="1">
        <f ca="1">IFERROR(__xludf.DUMMYFUNCTION("""COMPUTED_VALUE"""),12000000)</f>
        <v>12000000</v>
      </c>
      <c r="R45" s="3" t="str">
        <f ca="1">IFERROR(__xludf.DUMMYFUNCTION("""COMPUTED_VALUE"""),"https://drive.google.com/open?id=8rpO9754H8LGaAYXSr92")</f>
        <v>https://drive.google.com/open?id=8rpO9754H8LGaAYXSr92</v>
      </c>
      <c r="S45" s="1">
        <f ca="1">IFERROR(__xludf.DUMMYFUNCTION("""COMPUTED_VALUE"""),24000000)</f>
        <v>24000000</v>
      </c>
      <c r="T45" s="1" t="str">
        <f ca="1">IFERROR(__xludf.DUMMYFUNCTION("""COMPUTED_VALUE"""),"Gold")</f>
        <v>Gold</v>
      </c>
      <c r="U45" s="1" t="str">
        <f ca="1">IFERROR(__xludf.DUMMYFUNCTION("""COMPUTED_VALUE"""),"Partner")</f>
        <v>Partner</v>
      </c>
    </row>
    <row r="46" spans="1:21" x14ac:dyDescent="0.25">
      <c r="A46" s="2" t="str">
        <f ca="1">IFERROR(__xludf.DUMMYFUNCTION("""COMPUTED_VALUE"""),"APP0045")</f>
        <v>APP0045</v>
      </c>
      <c r="B46" s="2">
        <f ca="1">IFERROR(__xludf.DUMMYFUNCTION("""COMPUTED_VALUE"""),45898.7995949074)</f>
        <v>45898.799594907403</v>
      </c>
      <c r="C46" s="1" t="str">
        <f ca="1">IFERROR(__xludf.DUMMYFUNCTION("""COMPUTED_VALUE"""),"Trần Hữu Lan")</f>
        <v>Trần Hữu Lan</v>
      </c>
      <c r="D46" s="1" t="str">
        <f ca="1">IFERROR(__xludf.DUMMYFUNCTION("""COMPUTED_VALUE"""),"30/08/1990")</f>
        <v>30/08/1990</v>
      </c>
      <c r="E46" s="1" t="str">
        <f ca="1">IFERROR(__xludf.DUMMYFUNCTION("""COMPUTED_VALUE"""),"Female")</f>
        <v>Female</v>
      </c>
      <c r="F46" s="1" t="str">
        <f ca="1">IFERROR(__xludf.DUMMYFUNCTION("""COMPUTED_VALUE"""),"Vietnam")</f>
        <v>Vietnam</v>
      </c>
      <c r="G46" s="1" t="str">
        <f ca="1">IFERROR(__xludf.DUMMYFUNCTION("""COMPUTED_VALUE"""),"0825617714")</f>
        <v>0825617714</v>
      </c>
      <c r="H46" s="1" t="str">
        <f ca="1">IFERROR(__xludf.DUMMYFUNCTION("""COMPUTED_VALUE"""),"tranhuulan@gmail.com")</f>
        <v>tranhuulan@gmail.com</v>
      </c>
      <c r="I46" s="1" t="str">
        <f ca="1">IFERROR(__xludf.DUMMYFUNCTION("""COMPUTED_VALUE"""),"139 Pham Van Dong, Dong Da, TP Ho Chi Minh, Viet Nam")</f>
        <v>139 Pham Van Dong, Dong Da, TP Ho Chi Minh, Viet Nam</v>
      </c>
      <c r="J46" s="1" t="str">
        <f ca="1">IFERROR(__xludf.DUMMYFUNCTION("""COMPUTED_VALUE"""),"044011455612")</f>
        <v>044011455612</v>
      </c>
      <c r="K46" s="3" t="str">
        <f ca="1">IFERROR(__xludf.DUMMYFUNCTION("""COMPUTED_VALUE"""),"https://drive.google.com/open?id=qqYzSE7pmnr6rFcZDFIa")</f>
        <v>https://drive.google.com/open?id=qqYzSE7pmnr6rFcZDFIa</v>
      </c>
      <c r="L46" s="3" t="str">
        <f ca="1">IFERROR(__xludf.DUMMYFUNCTION("""COMPUTED_VALUE"""),"https://drive.google.com/open?id=OpuP9JbaZVr4LyreimFM")</f>
        <v>https://drive.google.com/open?id=OpuP9JbaZVr4LyreimFM</v>
      </c>
      <c r="M46" s="1"/>
      <c r="N46" s="1"/>
      <c r="O46" s="1"/>
      <c r="P46" s="1" t="str">
        <f ca="1">IFERROR(__xludf.DUMMYFUNCTION("""COMPUTED_VALUE"""),"Full-time")</f>
        <v>Full-time</v>
      </c>
      <c r="Q46" s="1">
        <f ca="1">IFERROR(__xludf.DUMMYFUNCTION("""COMPUTED_VALUE"""),5000000)</f>
        <v>5000000</v>
      </c>
      <c r="R46" s="3" t="str">
        <f ca="1">IFERROR(__xludf.DUMMYFUNCTION("""COMPUTED_VALUE"""),"https://drive.google.com/open?id=U1vny0XKUTMbusxgp0Aw")</f>
        <v>https://drive.google.com/open?id=U1vny0XKUTMbusxgp0Aw</v>
      </c>
      <c r="S46" s="1">
        <f ca="1">IFERROR(__xludf.DUMMYFUNCTION("""COMPUTED_VALUE"""),10000000)</f>
        <v>10000000</v>
      </c>
      <c r="T46" s="1" t="str">
        <f ca="1">IFERROR(__xludf.DUMMYFUNCTION("""COMPUTED_VALUE"""),"Classic")</f>
        <v>Classic</v>
      </c>
      <c r="U46" s="1" t="str">
        <f ca="1">IFERROR(__xludf.DUMMYFUNCTION("""COMPUTED_VALUE"""),"Branch")</f>
        <v>Branch</v>
      </c>
    </row>
    <row r="47" spans="1:21" x14ac:dyDescent="0.25">
      <c r="A47" s="2" t="str">
        <f ca="1">IFERROR(__xludf.DUMMYFUNCTION("""COMPUTED_VALUE"""),"APP0046")</f>
        <v>APP0046</v>
      </c>
      <c r="B47" s="2">
        <f ca="1">IFERROR(__xludf.DUMMYFUNCTION("""COMPUTED_VALUE"""),45898.807349537)</f>
        <v>45898.807349536997</v>
      </c>
      <c r="C47" s="1" t="str">
        <f ca="1">IFERROR(__xludf.DUMMYFUNCTION("""COMPUTED_VALUE"""),"Huỳnh Đức Dũng")</f>
        <v>Huỳnh Đức Dũng</v>
      </c>
      <c r="D47" s="1" t="str">
        <f ca="1">IFERROR(__xludf.DUMMYFUNCTION("""COMPUTED_VALUE"""),"26/10/1991")</f>
        <v>26/10/1991</v>
      </c>
      <c r="E47" s="1" t="str">
        <f ca="1">IFERROR(__xludf.DUMMYFUNCTION("""COMPUTED_VALUE"""),"Male")</f>
        <v>Male</v>
      </c>
      <c r="F47" s="1" t="str">
        <f ca="1">IFERROR(__xludf.DUMMYFUNCTION("""COMPUTED_VALUE"""),"Vietnam")</f>
        <v>Vietnam</v>
      </c>
      <c r="G47" s="1" t="str">
        <f ca="1">IFERROR(__xludf.DUMMYFUNCTION("""COMPUTED_VALUE"""),"0954420221")</f>
        <v>0954420221</v>
      </c>
      <c r="H47" s="1" t="str">
        <f ca="1">IFERROR(__xludf.DUMMYFUNCTION("""COMPUTED_VALUE"""),"huynhducdung@gmail.com")</f>
        <v>huynhducdung@gmail.com</v>
      </c>
      <c r="I47" s="1" t="str">
        <f ca="1">IFERROR(__xludf.DUMMYFUNCTION("""COMPUTED_VALUE"""),"18 Nguyen Hue, Hai Chau, Ha Noi, Viet Nam")</f>
        <v>18 Nguyen Hue, Hai Chau, Ha Noi, Viet Nam</v>
      </c>
      <c r="J47" s="1" t="str">
        <f ca="1">IFERROR(__xludf.DUMMYFUNCTION("""COMPUTED_VALUE"""),"025262294299")</f>
        <v>025262294299</v>
      </c>
      <c r="K47" s="3" t="str">
        <f ca="1">IFERROR(__xludf.DUMMYFUNCTION("""COMPUTED_VALUE"""),"https://drive.google.com/open?id=XKtuDwd4S5AS7ptqeo1D")</f>
        <v>https://drive.google.com/open?id=XKtuDwd4S5AS7ptqeo1D</v>
      </c>
      <c r="L47" s="3" t="str">
        <f ca="1">IFERROR(__xludf.DUMMYFUNCTION("""COMPUTED_VALUE"""),"https://drive.google.com/open?id=LO8J16PAUf8bloTkFAu5")</f>
        <v>https://drive.google.com/open?id=LO8J16PAUf8bloTkFAu5</v>
      </c>
      <c r="M47" s="1"/>
      <c r="N47" s="1"/>
      <c r="O47" s="1"/>
      <c r="P47" s="1" t="str">
        <f ca="1">IFERROR(__xludf.DUMMYFUNCTION("""COMPUTED_VALUE"""),"Full-time")</f>
        <v>Full-time</v>
      </c>
      <c r="Q47" s="1">
        <f ca="1">IFERROR(__xludf.DUMMYFUNCTION("""COMPUTED_VALUE"""),50000000)</f>
        <v>50000000</v>
      </c>
      <c r="R47" s="3" t="str">
        <f ca="1">IFERROR(__xludf.DUMMYFUNCTION("""COMPUTED_VALUE"""),"https://drive.google.com/open?id=rU56X2dQv99bjk9T6u7O")</f>
        <v>https://drive.google.com/open?id=rU56X2dQv99bjk9T6u7O</v>
      </c>
      <c r="S47" s="1">
        <f ca="1">IFERROR(__xludf.DUMMYFUNCTION("""COMPUTED_VALUE"""),150000000)</f>
        <v>150000000</v>
      </c>
      <c r="T47" s="1" t="str">
        <f ca="1">IFERROR(__xludf.DUMMYFUNCTION("""COMPUTED_VALUE"""),"Gold")</f>
        <v>Gold</v>
      </c>
      <c r="U47" s="1" t="str">
        <f ca="1">IFERROR(__xludf.DUMMYFUNCTION("""COMPUTED_VALUE"""),"Online")</f>
        <v>Online</v>
      </c>
    </row>
    <row r="48" spans="1:21" x14ac:dyDescent="0.25">
      <c r="A48" s="2" t="str">
        <f ca="1">IFERROR(__xludf.DUMMYFUNCTION("""COMPUTED_VALUE"""),"APP0047")</f>
        <v>APP0047</v>
      </c>
      <c r="B48" s="2">
        <f ca="1">IFERROR(__xludf.DUMMYFUNCTION("""COMPUTED_VALUE"""),45898.8437037037)</f>
        <v>45898.8437037037</v>
      </c>
      <c r="C48" s="1" t="str">
        <f ca="1">IFERROR(__xludf.DUMMYFUNCTION("""COMPUTED_VALUE"""),"Võ Đức Hà")</f>
        <v>Võ Đức Hà</v>
      </c>
      <c r="D48" s="1" t="str">
        <f ca="1">IFERROR(__xludf.DUMMYFUNCTION("""COMPUTED_VALUE"""),"22/05/2002")</f>
        <v>22/05/2002</v>
      </c>
      <c r="E48" s="1" t="str">
        <f ca="1">IFERROR(__xludf.DUMMYFUNCTION("""COMPUTED_VALUE"""),"Male")</f>
        <v>Male</v>
      </c>
      <c r="F48" s="1" t="str">
        <f ca="1">IFERROR(__xludf.DUMMYFUNCTION("""COMPUTED_VALUE"""),"Vietnam")</f>
        <v>Vietnam</v>
      </c>
      <c r="G48" s="1" t="str">
        <f ca="1">IFERROR(__xludf.DUMMYFUNCTION("""COMPUTED_VALUE"""),"0818327951")</f>
        <v>0818327951</v>
      </c>
      <c r="H48" s="1" t="str">
        <f ca="1">IFERROR(__xludf.DUMMYFUNCTION("""COMPUTED_VALUE"""),"voducha@gmail.com")</f>
        <v>voducha@gmail.com</v>
      </c>
      <c r="I48" s="1" t="str">
        <f ca="1">IFERROR(__xludf.DUMMYFUNCTION("""COMPUTED_VALUE"""),"150 Nguyen Hue, Quan 7, Can Tho, Viet Nam")</f>
        <v>150 Nguyen Hue, Quan 7, Can Tho, Viet Nam</v>
      </c>
      <c r="J48" s="1" t="str">
        <f ca="1">IFERROR(__xludf.DUMMYFUNCTION("""COMPUTED_VALUE"""),"017501276483")</f>
        <v>017501276483</v>
      </c>
      <c r="K48" s="3" t="str">
        <f ca="1">IFERROR(__xludf.DUMMYFUNCTION("""COMPUTED_VALUE"""),"https://drive.google.com/open?id=8PTZ6Y6aRg2dnqzmFfEY")</f>
        <v>https://drive.google.com/open?id=8PTZ6Y6aRg2dnqzmFfEY</v>
      </c>
      <c r="L48" s="3" t="str">
        <f ca="1">IFERROR(__xludf.DUMMYFUNCTION("""COMPUTED_VALUE"""),"https://drive.google.com/open?id=5ogGz54Tqwky3c57fwk4")</f>
        <v>https://drive.google.com/open?id=5ogGz54Tqwky3c57fwk4</v>
      </c>
      <c r="M48" s="1"/>
      <c r="N48" s="1"/>
      <c r="O48" s="1"/>
      <c r="P48" s="1" t="str">
        <f ca="1">IFERROR(__xludf.DUMMYFUNCTION("""COMPUTED_VALUE"""),"Self-employed")</f>
        <v>Self-employed</v>
      </c>
      <c r="Q48" s="1">
        <f ca="1">IFERROR(__xludf.DUMMYFUNCTION("""COMPUTED_VALUE"""),50000000)</f>
        <v>50000000</v>
      </c>
      <c r="R48" s="3" t="str">
        <f ca="1">IFERROR(__xludf.DUMMYFUNCTION("""COMPUTED_VALUE"""),"https://drive.google.com/open?id=QKZi1A510PcQopQN2Xg1")</f>
        <v>https://drive.google.com/open?id=QKZi1A510PcQopQN2Xg1</v>
      </c>
      <c r="S48" s="1">
        <f ca="1">IFERROR(__xludf.DUMMYFUNCTION("""COMPUTED_VALUE"""),150000000)</f>
        <v>150000000</v>
      </c>
      <c r="T48" s="1" t="str">
        <f ca="1">IFERROR(__xludf.DUMMYFUNCTION("""COMPUTED_VALUE"""),"Gold")</f>
        <v>Gold</v>
      </c>
      <c r="U48" s="1" t="str">
        <f ca="1">IFERROR(__xludf.DUMMYFUNCTION("""COMPUTED_VALUE"""),"Partner")</f>
        <v>Partner</v>
      </c>
    </row>
    <row r="49" spans="1:21" x14ac:dyDescent="0.25">
      <c r="A49" s="2" t="str">
        <f ca="1">IFERROR(__xludf.DUMMYFUNCTION("""COMPUTED_VALUE"""),"APP0048")</f>
        <v>APP0048</v>
      </c>
      <c r="B49" s="2">
        <f ca="1">IFERROR(__xludf.DUMMYFUNCTION("""COMPUTED_VALUE"""),45899.0177777777)</f>
        <v>45899.017777777699</v>
      </c>
      <c r="C49" s="1" t="str">
        <f ca="1">IFERROR(__xludf.DUMMYFUNCTION("""COMPUTED_VALUE"""),"Đặng Quang Châu")</f>
        <v>Đặng Quang Châu</v>
      </c>
      <c r="D49" s="1" t="str">
        <f ca="1">IFERROR(__xludf.DUMMYFUNCTION("""COMPUTED_VALUE"""),"08/01/2001")</f>
        <v>08/01/2001</v>
      </c>
      <c r="E49" s="1" t="str">
        <f ca="1">IFERROR(__xludf.DUMMYFUNCTION("""COMPUTED_VALUE"""),"Female")</f>
        <v>Female</v>
      </c>
      <c r="F49" s="1" t="str">
        <f ca="1">IFERROR(__xludf.DUMMYFUNCTION("""COMPUTED_VALUE"""),"Vietnam")</f>
        <v>Vietnam</v>
      </c>
      <c r="G49" s="1" t="str">
        <f ca="1">IFERROR(__xludf.DUMMYFUNCTION("""COMPUTED_VALUE"""),"0997840997")</f>
        <v>0997840997</v>
      </c>
      <c r="H49" s="1" t="str">
        <f ca="1">IFERROR(__xludf.DUMMYFUNCTION("""COMPUTED_VALUE"""),"dangquangchau@gmail.com")</f>
        <v>dangquangchau@gmail.com</v>
      </c>
      <c r="I49" s="1" t="str">
        <f ca="1">IFERROR(__xludf.DUMMYFUNCTION("""COMPUTED_VALUE"""),"116 Ly Thuong Kiet, Hai Chau, TP Ho Chi Minh, Viet Nam")</f>
        <v>116 Ly Thuong Kiet, Hai Chau, TP Ho Chi Minh, Viet Nam</v>
      </c>
      <c r="J49" s="1" t="str">
        <f ca="1">IFERROR(__xludf.DUMMYFUNCTION("""COMPUTED_VALUE"""),"020294401962")</f>
        <v>020294401962</v>
      </c>
      <c r="K49" s="3" t="str">
        <f ca="1">IFERROR(__xludf.DUMMYFUNCTION("""COMPUTED_VALUE"""),"https://drive.google.com/open?id=efNurDq5D9YrJjSxkoJ6")</f>
        <v>https://drive.google.com/open?id=efNurDq5D9YrJjSxkoJ6</v>
      </c>
      <c r="L49" s="3" t="str">
        <f ca="1">IFERROR(__xludf.DUMMYFUNCTION("""COMPUTED_VALUE"""),"https://drive.google.com/open?id=f4EcGbkxgTC4lCNmIed3")</f>
        <v>https://drive.google.com/open?id=f4EcGbkxgTC4lCNmIed3</v>
      </c>
      <c r="M49" s="1"/>
      <c r="N49" s="1"/>
      <c r="O49" s="1"/>
      <c r="P49" s="1" t="str">
        <f ca="1">IFERROR(__xludf.DUMMYFUNCTION("""COMPUTED_VALUE"""),"Self-employed")</f>
        <v>Self-employed</v>
      </c>
      <c r="Q49" s="1">
        <f ca="1">IFERROR(__xludf.DUMMYFUNCTION("""COMPUTED_VALUE"""),5000000)</f>
        <v>5000000</v>
      </c>
      <c r="R49" s="3" t="str">
        <f ca="1">IFERROR(__xludf.DUMMYFUNCTION("""COMPUTED_VALUE"""),"https://drive.google.com/open?id=TaWSb2I4qx6Rsmj3jzXo")</f>
        <v>https://drive.google.com/open?id=TaWSb2I4qx6Rsmj3jzXo</v>
      </c>
      <c r="S49" s="1">
        <f ca="1">IFERROR(__xludf.DUMMYFUNCTION("""COMPUTED_VALUE"""),25000000)</f>
        <v>25000000</v>
      </c>
      <c r="T49" s="1" t="str">
        <f ca="1">IFERROR(__xludf.DUMMYFUNCTION("""COMPUTED_VALUE"""),"Classic")</f>
        <v>Classic</v>
      </c>
      <c r="U49" s="1" t="str">
        <f ca="1">IFERROR(__xludf.DUMMYFUNCTION("""COMPUTED_VALUE"""),"Online")</f>
        <v>Online</v>
      </c>
    </row>
    <row r="50" spans="1:21" x14ac:dyDescent="0.25">
      <c r="A50" s="2" t="str">
        <f ca="1">IFERROR(__xludf.DUMMYFUNCTION("""COMPUTED_VALUE"""),"APP0049")</f>
        <v>APP0049</v>
      </c>
      <c r="B50" s="2">
        <f ca="1">IFERROR(__xludf.DUMMYFUNCTION("""COMPUTED_VALUE"""),45899.183449074)</f>
        <v>45899.183449074</v>
      </c>
      <c r="C50" s="1" t="str">
        <f ca="1">IFERROR(__xludf.DUMMYFUNCTION("""COMPUTED_VALUE"""),"Lý Đức Tuấn")</f>
        <v>Lý Đức Tuấn</v>
      </c>
      <c r="D50" s="1" t="str">
        <f ca="1">IFERROR(__xludf.DUMMYFUNCTION("""COMPUTED_VALUE"""),"25/10/1990")</f>
        <v>25/10/1990</v>
      </c>
      <c r="E50" s="1" t="str">
        <f ca="1">IFERROR(__xludf.DUMMYFUNCTION("""COMPUTED_VALUE"""),"Female")</f>
        <v>Female</v>
      </c>
      <c r="F50" s="1" t="str">
        <f ca="1">IFERROR(__xludf.DUMMYFUNCTION("""COMPUTED_VALUE"""),"Vietnam")</f>
        <v>Vietnam</v>
      </c>
      <c r="G50" s="1" t="str">
        <f ca="1">IFERROR(__xludf.DUMMYFUNCTION("""COMPUTED_VALUE"""),"0712433805")</f>
        <v>0712433805</v>
      </c>
      <c r="H50" s="1" t="str">
        <f ca="1">IFERROR(__xludf.DUMMYFUNCTION("""COMPUTED_VALUE"""),"lyductuan@gmail.com")</f>
        <v>lyductuan@gmail.com</v>
      </c>
      <c r="I50" s="1" t="str">
        <f ca="1">IFERROR(__xludf.DUMMYFUNCTION("""COMPUTED_VALUE"""),"158 Tran Hung Dao, Hoan Kiem, Can Tho, Viet Nam")</f>
        <v>158 Tran Hung Dao, Hoan Kiem, Can Tho, Viet Nam</v>
      </c>
      <c r="J50" s="1" t="str">
        <f ca="1">IFERROR(__xludf.DUMMYFUNCTION("""COMPUTED_VALUE"""),"016780319090")</f>
        <v>016780319090</v>
      </c>
      <c r="K50" s="3" t="str">
        <f ca="1">IFERROR(__xludf.DUMMYFUNCTION("""COMPUTED_VALUE"""),"https://drive.google.com/open?id=OkDkNnuiO0s72sy9wuAV")</f>
        <v>https://drive.google.com/open?id=OkDkNnuiO0s72sy9wuAV</v>
      </c>
      <c r="L50" s="3" t="str">
        <f ca="1">IFERROR(__xludf.DUMMYFUNCTION("""COMPUTED_VALUE"""),"https://drive.google.com/open?id=Wglc7Mh6oTsL1CuWqbjs")</f>
        <v>https://drive.google.com/open?id=Wglc7Mh6oTsL1CuWqbjs</v>
      </c>
      <c r="M50" s="1"/>
      <c r="N50" s="1"/>
      <c r="O50" s="1"/>
      <c r="P50" s="1" t="str">
        <f ca="1">IFERROR(__xludf.DUMMYFUNCTION("""COMPUTED_VALUE"""),"Part-time")</f>
        <v>Part-time</v>
      </c>
      <c r="Q50" s="1">
        <f ca="1">IFERROR(__xludf.DUMMYFUNCTION("""COMPUTED_VALUE"""),12000000)</f>
        <v>12000000</v>
      </c>
      <c r="R50" s="3" t="str">
        <f ca="1">IFERROR(__xludf.DUMMYFUNCTION("""COMPUTED_VALUE"""),"https://drive.google.com/open?id=5gSuR14HC4B5FojDP8Lh")</f>
        <v>https://drive.google.com/open?id=5gSuR14HC4B5FojDP8Lh</v>
      </c>
      <c r="S50" s="1">
        <f ca="1">IFERROR(__xludf.DUMMYFUNCTION("""COMPUTED_VALUE"""),24000000)</f>
        <v>24000000</v>
      </c>
      <c r="T50" s="1" t="str">
        <f ca="1">IFERROR(__xludf.DUMMYFUNCTION("""COMPUTED_VALUE"""),"Platinum")</f>
        <v>Platinum</v>
      </c>
      <c r="U50" s="1" t="str">
        <f ca="1">IFERROR(__xludf.DUMMYFUNCTION("""COMPUTED_VALUE"""),"Online")</f>
        <v>Online</v>
      </c>
    </row>
    <row r="51" spans="1:21" x14ac:dyDescent="0.25">
      <c r="A51" s="2" t="str">
        <f ca="1">IFERROR(__xludf.DUMMYFUNCTION("""COMPUTED_VALUE"""),"APP0050")</f>
        <v>APP0050</v>
      </c>
      <c r="B51" s="2">
        <f ca="1">IFERROR(__xludf.DUMMYFUNCTION("""COMPUTED_VALUE"""),45899.2970254629)</f>
        <v>45899.297025462904</v>
      </c>
      <c r="C51" s="1" t="str">
        <f ca="1">IFERROR(__xludf.DUMMYFUNCTION("""COMPUTED_VALUE"""),"Lê Đức Trung")</f>
        <v>Lê Đức Trung</v>
      </c>
      <c r="D51" s="1" t="str">
        <f ca="1">IFERROR(__xludf.DUMMYFUNCTION("""COMPUTED_VALUE"""),"16/12/2006")</f>
        <v>16/12/2006</v>
      </c>
      <c r="E51" s="1" t="str">
        <f ca="1">IFERROR(__xludf.DUMMYFUNCTION("""COMPUTED_VALUE"""),"Female")</f>
        <v>Female</v>
      </c>
      <c r="F51" s="1" t="str">
        <f ca="1">IFERROR(__xludf.DUMMYFUNCTION("""COMPUTED_VALUE"""),"Vietnam")</f>
        <v>Vietnam</v>
      </c>
      <c r="G51" s="1" t="str">
        <f ca="1">IFERROR(__xludf.DUMMYFUNCTION("""COMPUTED_VALUE"""),"0920853572")</f>
        <v>0920853572</v>
      </c>
      <c r="H51" s="1" t="str">
        <f ca="1">IFERROR(__xludf.DUMMYFUNCTION("""COMPUTED_VALUE"""),"leductrung@gmail.com")</f>
        <v>leductrung@gmail.com</v>
      </c>
      <c r="I51" s="1" t="str">
        <f ca="1">IFERROR(__xludf.DUMMYFUNCTION("""COMPUTED_VALUE"""),"88 Tran Hung Dao, Quan 1, TP Ho Chi Minh, Viet Nam")</f>
        <v>88 Tran Hung Dao, Quan 1, TP Ho Chi Minh, Viet Nam</v>
      </c>
      <c r="J51" s="1" t="str">
        <f ca="1">IFERROR(__xludf.DUMMYFUNCTION("""COMPUTED_VALUE"""),"035209494461")</f>
        <v>035209494461</v>
      </c>
      <c r="K51" s="3" t="str">
        <f ca="1">IFERROR(__xludf.DUMMYFUNCTION("""COMPUTED_VALUE"""),"https://drive.google.com/open?id=xGjKmpxfHr7KbujbklHl")</f>
        <v>https://drive.google.com/open?id=xGjKmpxfHr7KbujbklHl</v>
      </c>
      <c r="L51" s="3" t="str">
        <f ca="1">IFERROR(__xludf.DUMMYFUNCTION("""COMPUTED_VALUE"""),"https://drive.google.com/open?id=xdrZQvz6BZZlDGYdoBiJ")</f>
        <v>https://drive.google.com/open?id=xdrZQvz6BZZlDGYdoBiJ</v>
      </c>
      <c r="M51" s="1"/>
      <c r="N51" s="1"/>
      <c r="O51" s="1"/>
      <c r="P51" s="1" t="str">
        <f ca="1">IFERROR(__xludf.DUMMYFUNCTION("""COMPUTED_VALUE"""),"Freelancer")</f>
        <v>Freelancer</v>
      </c>
      <c r="Q51" s="1">
        <f ca="1">IFERROR(__xludf.DUMMYFUNCTION("""COMPUTED_VALUE"""),20000000)</f>
        <v>20000000</v>
      </c>
      <c r="R51" s="3" t="str">
        <f ca="1">IFERROR(__xludf.DUMMYFUNCTION("""COMPUTED_VALUE"""),"https://drive.google.com/open?id=G2r9jvKiuW9hGpmBniyS")</f>
        <v>https://drive.google.com/open?id=G2r9jvKiuW9hGpmBniyS</v>
      </c>
      <c r="S51" s="1">
        <f ca="1">IFERROR(__xludf.DUMMYFUNCTION("""COMPUTED_VALUE"""),60000000)</f>
        <v>60000000</v>
      </c>
      <c r="T51" s="1" t="str">
        <f ca="1">IFERROR(__xludf.DUMMYFUNCTION("""COMPUTED_VALUE"""),"Platinum")</f>
        <v>Platinum</v>
      </c>
      <c r="U51" s="1" t="str">
        <f ca="1">IFERROR(__xludf.DUMMYFUNCTION("""COMPUTED_VALUE"""),"Online")</f>
        <v>Online</v>
      </c>
    </row>
    <row r="52" spans="1:21" x14ac:dyDescent="0.25">
      <c r="A52" s="2" t="str">
        <f ca="1">IFERROR(__xludf.DUMMYFUNCTION("""COMPUTED_VALUE"""),"APP0051")</f>
        <v>APP0051</v>
      </c>
      <c r="B52" s="2">
        <f ca="1">IFERROR(__xludf.DUMMYFUNCTION("""COMPUTED_VALUE"""),45899.4215393518)</f>
        <v>45899.421539351802</v>
      </c>
      <c r="C52" s="1" t="str">
        <f ca="1">IFERROR(__xludf.DUMMYFUNCTION("""COMPUTED_VALUE"""),"Hồ Đức An")</f>
        <v>Hồ Đức An</v>
      </c>
      <c r="D52" s="1" t="str">
        <f ca="1">IFERROR(__xludf.DUMMYFUNCTION("""COMPUTED_VALUE"""),"03/12/1987")</f>
        <v>03/12/1987</v>
      </c>
      <c r="E52" s="1" t="str">
        <f ca="1">IFERROR(__xludf.DUMMYFUNCTION("""COMPUTED_VALUE"""),"Female")</f>
        <v>Female</v>
      </c>
      <c r="F52" s="1" t="str">
        <f ca="1">IFERROR(__xludf.DUMMYFUNCTION("""COMPUTED_VALUE"""),"Vietnam")</f>
        <v>Vietnam</v>
      </c>
      <c r="G52" s="1" t="str">
        <f ca="1">IFERROR(__xludf.DUMMYFUNCTION("""COMPUTED_VALUE"""),"0860302516")</f>
        <v>0860302516</v>
      </c>
      <c r="H52" s="1" t="str">
        <f ca="1">IFERROR(__xludf.DUMMYFUNCTION("""COMPUTED_VALUE"""),"hoducan@gmail.com")</f>
        <v>hoducan@gmail.com</v>
      </c>
      <c r="I52" s="1" t="str">
        <f ca="1">IFERROR(__xludf.DUMMYFUNCTION("""COMPUTED_VALUE"""),"82 Ly Thuong Kiet, Dong Da, Ha Noi, Viet Nam")</f>
        <v>82 Ly Thuong Kiet, Dong Da, Ha Noi, Viet Nam</v>
      </c>
      <c r="J52" s="1" t="str">
        <f ca="1">IFERROR(__xludf.DUMMYFUNCTION("""COMPUTED_VALUE"""),"069775615753")</f>
        <v>069775615753</v>
      </c>
      <c r="K52" s="3" t="str">
        <f ca="1">IFERROR(__xludf.DUMMYFUNCTION("""COMPUTED_VALUE"""),"https://drive.google.com/open?id=xciws1QfhMyhdmzwQoGe")</f>
        <v>https://drive.google.com/open?id=xciws1QfhMyhdmzwQoGe</v>
      </c>
      <c r="L52" s="3" t="str">
        <f ca="1">IFERROR(__xludf.DUMMYFUNCTION("""COMPUTED_VALUE"""),"https://drive.google.com/open?id=22pKJLeDTcLkCTsK7Pn7")</f>
        <v>https://drive.google.com/open?id=22pKJLeDTcLkCTsK7Pn7</v>
      </c>
      <c r="M52" s="1"/>
      <c r="N52" s="1"/>
      <c r="O52" s="1"/>
      <c r="P52" s="1" t="str">
        <f ca="1">IFERROR(__xludf.DUMMYFUNCTION("""COMPUTED_VALUE"""),"Self-employed")</f>
        <v>Self-employed</v>
      </c>
      <c r="Q52" s="1">
        <f ca="1">IFERROR(__xludf.DUMMYFUNCTION("""COMPUTED_VALUE"""),20000000)</f>
        <v>20000000</v>
      </c>
      <c r="R52" s="3" t="str">
        <f ca="1">IFERROR(__xludf.DUMMYFUNCTION("""COMPUTED_VALUE"""),"https://drive.google.com/open?id=TXxc2RO10jrbGRgTK8JZ")</f>
        <v>https://drive.google.com/open?id=TXxc2RO10jrbGRgTK8JZ</v>
      </c>
      <c r="S52" s="1">
        <f ca="1">IFERROR(__xludf.DUMMYFUNCTION("""COMPUTED_VALUE"""),100000000)</f>
        <v>100000000</v>
      </c>
      <c r="T52" s="1" t="str">
        <f ca="1">IFERROR(__xludf.DUMMYFUNCTION("""COMPUTED_VALUE"""),"Gold")</f>
        <v>Gold</v>
      </c>
      <c r="U52" s="1" t="str">
        <f ca="1">IFERROR(__xludf.DUMMYFUNCTION("""COMPUTED_VALUE"""),"Branch")</f>
        <v>Branch</v>
      </c>
    </row>
    <row r="53" spans="1:21" x14ac:dyDescent="0.25">
      <c r="A53" s="2" t="str">
        <f ca="1">IFERROR(__xludf.DUMMYFUNCTION("""COMPUTED_VALUE"""),"APP0052")</f>
        <v>APP0052</v>
      </c>
      <c r="B53" s="2">
        <f ca="1">IFERROR(__xludf.DUMMYFUNCTION("""COMPUTED_VALUE"""),45899.4536342592)</f>
        <v>45899.453634259196</v>
      </c>
      <c r="C53" s="1" t="str">
        <f ca="1">IFERROR(__xludf.DUMMYFUNCTION("""COMPUTED_VALUE"""),"Lý Hữu Dũng")</f>
        <v>Lý Hữu Dũng</v>
      </c>
      <c r="D53" s="1" t="str">
        <f ca="1">IFERROR(__xludf.DUMMYFUNCTION("""COMPUTED_VALUE"""),"08/05/1969")</f>
        <v>08/05/1969</v>
      </c>
      <c r="E53" s="1" t="str">
        <f ca="1">IFERROR(__xludf.DUMMYFUNCTION("""COMPUTED_VALUE"""),"Female")</f>
        <v>Female</v>
      </c>
      <c r="F53" s="1" t="str">
        <f ca="1">IFERROR(__xludf.DUMMYFUNCTION("""COMPUTED_VALUE"""),"Vietnam")</f>
        <v>Vietnam</v>
      </c>
      <c r="G53" s="1" t="str">
        <f ca="1">IFERROR(__xludf.DUMMYFUNCTION("""COMPUTED_VALUE"""),"0865140732")</f>
        <v>0865140732</v>
      </c>
      <c r="H53" s="1" t="str">
        <f ca="1">IFERROR(__xludf.DUMMYFUNCTION("""COMPUTED_VALUE"""),"lyhuudung@gmail.com")</f>
        <v>lyhuudung@gmail.com</v>
      </c>
      <c r="I53" s="1" t="str">
        <f ca="1">IFERROR(__xludf.DUMMYFUNCTION("""COMPUTED_VALUE"""),"22 Pham Van Dong, Quan 1, Da Nang, Viet Nam")</f>
        <v>22 Pham Van Dong, Quan 1, Da Nang, Viet Nam</v>
      </c>
      <c r="J53" s="1" t="str">
        <f ca="1">IFERROR(__xludf.DUMMYFUNCTION("""COMPUTED_VALUE"""),"015528843845")</f>
        <v>015528843845</v>
      </c>
      <c r="K53" s="3" t="str">
        <f ca="1">IFERROR(__xludf.DUMMYFUNCTION("""COMPUTED_VALUE"""),"https://drive.google.com/open?id=puN3Ole43Z4sNmNw7j7r")</f>
        <v>https://drive.google.com/open?id=puN3Ole43Z4sNmNw7j7r</v>
      </c>
      <c r="L53" s="3" t="str">
        <f ca="1">IFERROR(__xludf.DUMMYFUNCTION("""COMPUTED_VALUE"""),"https://drive.google.com/open?id=JboEP4xB5RohHM7bKsQW")</f>
        <v>https://drive.google.com/open?id=JboEP4xB5RohHM7bKsQW</v>
      </c>
      <c r="M53" s="1"/>
      <c r="N53" s="1"/>
      <c r="O53" s="1"/>
      <c r="P53" s="1" t="str">
        <f ca="1">IFERROR(__xludf.DUMMYFUNCTION("""COMPUTED_VALUE"""),"Full-time")</f>
        <v>Full-time</v>
      </c>
      <c r="Q53" s="1">
        <f ca="1">IFERROR(__xludf.DUMMYFUNCTION("""COMPUTED_VALUE"""),20000000)</f>
        <v>20000000</v>
      </c>
      <c r="R53" s="3" t="str">
        <f ca="1">IFERROR(__xludf.DUMMYFUNCTION("""COMPUTED_VALUE"""),"https://drive.google.com/open?id=9kDC3QOc8NYMpLb5ppMp")</f>
        <v>https://drive.google.com/open?id=9kDC3QOc8NYMpLb5ppMp</v>
      </c>
      <c r="S53" s="1">
        <f ca="1">IFERROR(__xludf.DUMMYFUNCTION("""COMPUTED_VALUE"""),40000000)</f>
        <v>40000000</v>
      </c>
      <c r="T53" s="1" t="str">
        <f ca="1">IFERROR(__xludf.DUMMYFUNCTION("""COMPUTED_VALUE"""),"Platinum")</f>
        <v>Platinum</v>
      </c>
      <c r="U53" s="1" t="str">
        <f ca="1">IFERROR(__xludf.DUMMYFUNCTION("""COMPUTED_VALUE"""),"Partner")</f>
        <v>Partner</v>
      </c>
    </row>
    <row r="54" spans="1:21" x14ac:dyDescent="0.25">
      <c r="A54" s="2" t="str">
        <f ca="1">IFERROR(__xludf.DUMMYFUNCTION("""COMPUTED_VALUE"""),"APP0053")</f>
        <v>APP0053</v>
      </c>
      <c r="B54" s="2">
        <f ca="1">IFERROR(__xludf.DUMMYFUNCTION("""COMPUTED_VALUE"""),45899.5460300925)</f>
        <v>45899.546030092497</v>
      </c>
      <c r="C54" s="1" t="str">
        <f ca="1">IFERROR(__xludf.DUMMYFUNCTION("""COMPUTED_VALUE"""),"Võ Quang Phong")</f>
        <v>Võ Quang Phong</v>
      </c>
      <c r="D54" s="1" t="str">
        <f ca="1">IFERROR(__xludf.DUMMYFUNCTION("""COMPUTED_VALUE"""),"26/08/1975")</f>
        <v>26/08/1975</v>
      </c>
      <c r="E54" s="1" t="str">
        <f ca="1">IFERROR(__xludf.DUMMYFUNCTION("""COMPUTED_VALUE"""),"Female")</f>
        <v>Female</v>
      </c>
      <c r="F54" s="1" t="str">
        <f ca="1">IFERROR(__xludf.DUMMYFUNCTION("""COMPUTED_VALUE"""),"Vietnam")</f>
        <v>Vietnam</v>
      </c>
      <c r="G54" s="1" t="str">
        <f ca="1">IFERROR(__xludf.DUMMYFUNCTION("""COMPUTED_VALUE"""),"0760939244")</f>
        <v>0760939244</v>
      </c>
      <c r="H54" s="1" t="str">
        <f ca="1">IFERROR(__xludf.DUMMYFUNCTION("""COMPUTED_VALUE"""),"voquangphong@gmail.com")</f>
        <v>voquangphong@gmail.com</v>
      </c>
      <c r="I54" s="1" t="str">
        <f ca="1">IFERROR(__xludf.DUMMYFUNCTION("""COMPUTED_VALUE"""),"194 Nguyen Hue, Quan 1, Da Nang, Viet Nam")</f>
        <v>194 Nguyen Hue, Quan 1, Da Nang, Viet Nam</v>
      </c>
      <c r="J54" s="1" t="str">
        <f ca="1">IFERROR(__xludf.DUMMYFUNCTION("""COMPUTED_VALUE"""),"057877199017")</f>
        <v>057877199017</v>
      </c>
      <c r="K54" s="3" t="str">
        <f ca="1">IFERROR(__xludf.DUMMYFUNCTION("""COMPUTED_VALUE"""),"https://drive.google.com/open?id=ZoIjxBQEDgoCYKIvW2tj")</f>
        <v>https://drive.google.com/open?id=ZoIjxBQEDgoCYKIvW2tj</v>
      </c>
      <c r="L54" s="3" t="str">
        <f ca="1">IFERROR(__xludf.DUMMYFUNCTION("""COMPUTED_VALUE"""),"https://drive.google.com/open?id=E7cA3H9qXNJvfyjNZHDf")</f>
        <v>https://drive.google.com/open?id=E7cA3H9qXNJvfyjNZHDf</v>
      </c>
      <c r="M54" s="1"/>
      <c r="N54" s="1"/>
      <c r="O54" s="1"/>
      <c r="P54" s="1" t="str">
        <f ca="1">IFERROR(__xludf.DUMMYFUNCTION("""COMPUTED_VALUE"""),"Freelancer")</f>
        <v>Freelancer</v>
      </c>
      <c r="Q54" s="1">
        <f ca="1">IFERROR(__xludf.DUMMYFUNCTION("""COMPUTED_VALUE"""),8000000)</f>
        <v>8000000</v>
      </c>
      <c r="R54" s="3" t="str">
        <f ca="1">IFERROR(__xludf.DUMMYFUNCTION("""COMPUTED_VALUE"""),"https://drive.google.com/open?id=XvifjVWSKhumMvLMpsuA")</f>
        <v>https://drive.google.com/open?id=XvifjVWSKhumMvLMpsuA</v>
      </c>
      <c r="S54" s="1">
        <f ca="1">IFERROR(__xludf.DUMMYFUNCTION("""COMPUTED_VALUE"""),24000000)</f>
        <v>24000000</v>
      </c>
      <c r="T54" s="1" t="str">
        <f ca="1">IFERROR(__xludf.DUMMYFUNCTION("""COMPUTED_VALUE"""),"Platinum")</f>
        <v>Platinum</v>
      </c>
      <c r="U54" s="1" t="str">
        <f ca="1">IFERROR(__xludf.DUMMYFUNCTION("""COMPUTED_VALUE"""),"Online")</f>
        <v>Online</v>
      </c>
    </row>
    <row r="55" spans="1:21" x14ac:dyDescent="0.25">
      <c r="A55" s="2" t="str">
        <f ca="1">IFERROR(__xludf.DUMMYFUNCTION("""COMPUTED_VALUE"""),"APP0054")</f>
        <v>APP0054</v>
      </c>
      <c r="B55" s="2">
        <f ca="1">IFERROR(__xludf.DUMMYFUNCTION("""COMPUTED_VALUE"""),45899.5860416666)</f>
        <v>45899.586041666596</v>
      </c>
      <c r="C55" s="1" t="str">
        <f ca="1">IFERROR(__xludf.DUMMYFUNCTION("""COMPUTED_VALUE"""),"Hồ Hữu Khánh")</f>
        <v>Hồ Hữu Khánh</v>
      </c>
      <c r="D55" s="1" t="str">
        <f ca="1">IFERROR(__xludf.DUMMYFUNCTION("""COMPUTED_VALUE"""),"02/11/1967")</f>
        <v>02/11/1967</v>
      </c>
      <c r="E55" s="1" t="str">
        <f ca="1">IFERROR(__xludf.DUMMYFUNCTION("""COMPUTED_VALUE"""),"Male")</f>
        <v>Male</v>
      </c>
      <c r="F55" s="1" t="str">
        <f ca="1">IFERROR(__xludf.DUMMYFUNCTION("""COMPUTED_VALUE"""),"Vietnam")</f>
        <v>Vietnam</v>
      </c>
      <c r="G55" s="1" t="str">
        <f ca="1">IFERROR(__xludf.DUMMYFUNCTION("""COMPUTED_VALUE"""),"0731140220")</f>
        <v>0731140220</v>
      </c>
      <c r="H55" s="1" t="str">
        <f ca="1">IFERROR(__xludf.DUMMYFUNCTION("""COMPUTED_VALUE"""),"hohuukhanh@gmail.com")</f>
        <v>hohuukhanh@gmail.com</v>
      </c>
      <c r="I55" s="1" t="str">
        <f ca="1">IFERROR(__xludf.DUMMYFUNCTION("""COMPUTED_VALUE"""),"145 Tran Hung Dao, Quan 3, Can Tho, Viet Nam")</f>
        <v>145 Tran Hung Dao, Quan 3, Can Tho, Viet Nam</v>
      </c>
      <c r="J55" s="1" t="str">
        <f ca="1">IFERROR(__xludf.DUMMYFUNCTION("""COMPUTED_VALUE"""),"024150683570")</f>
        <v>024150683570</v>
      </c>
      <c r="K55" s="3" t="str">
        <f ca="1">IFERROR(__xludf.DUMMYFUNCTION("""COMPUTED_VALUE"""),"https://drive.google.com/open?id=bctodUEOqGNqgDPrfXgi")</f>
        <v>https://drive.google.com/open?id=bctodUEOqGNqgDPrfXgi</v>
      </c>
      <c r="L55" s="3" t="str">
        <f ca="1">IFERROR(__xludf.DUMMYFUNCTION("""COMPUTED_VALUE"""),"https://drive.google.com/open?id=d56ZsuHxQmnPgwPopyu4")</f>
        <v>https://drive.google.com/open?id=d56ZsuHxQmnPgwPopyu4</v>
      </c>
      <c r="M55" s="1"/>
      <c r="N55" s="1"/>
      <c r="O55" s="1"/>
      <c r="P55" s="1" t="str">
        <f ca="1">IFERROR(__xludf.DUMMYFUNCTION("""COMPUTED_VALUE"""),"Full-time")</f>
        <v>Full-time</v>
      </c>
      <c r="Q55" s="1">
        <f ca="1">IFERROR(__xludf.DUMMYFUNCTION("""COMPUTED_VALUE"""),50000000)</f>
        <v>50000000</v>
      </c>
      <c r="R55" s="3" t="str">
        <f ca="1">IFERROR(__xludf.DUMMYFUNCTION("""COMPUTED_VALUE"""),"https://drive.google.com/open?id=FPwI5EQPde78lF7tpkUM")</f>
        <v>https://drive.google.com/open?id=FPwI5EQPde78lF7tpkUM</v>
      </c>
      <c r="S55" s="1">
        <f ca="1">IFERROR(__xludf.DUMMYFUNCTION("""COMPUTED_VALUE"""),250000000)</f>
        <v>250000000</v>
      </c>
      <c r="T55" s="1" t="str">
        <f ca="1">IFERROR(__xludf.DUMMYFUNCTION("""COMPUTED_VALUE"""),"Platinum")</f>
        <v>Platinum</v>
      </c>
      <c r="U55" s="1" t="str">
        <f ca="1">IFERROR(__xludf.DUMMYFUNCTION("""COMPUTED_VALUE"""),"Online")</f>
        <v>Online</v>
      </c>
    </row>
    <row r="56" spans="1:21" x14ac:dyDescent="0.25">
      <c r="A56" s="2" t="str">
        <f ca="1">IFERROR(__xludf.DUMMYFUNCTION("""COMPUTED_VALUE"""),"APP0055")</f>
        <v>APP0055</v>
      </c>
      <c r="B56" s="2">
        <f ca="1">IFERROR(__xludf.DUMMYFUNCTION("""COMPUTED_VALUE"""),45899.6093055555)</f>
        <v>45899.609305555503</v>
      </c>
      <c r="C56" s="1" t="str">
        <f ca="1">IFERROR(__xludf.DUMMYFUNCTION("""COMPUTED_VALUE"""),"Dennis Smith")</f>
        <v>Dennis Smith</v>
      </c>
      <c r="D56" s="1" t="str">
        <f ca="1">IFERROR(__xludf.DUMMYFUNCTION("""COMPUTED_VALUE"""),"10/07/2000")</f>
        <v>10/07/2000</v>
      </c>
      <c r="E56" s="1" t="str">
        <f ca="1">IFERROR(__xludf.DUMMYFUNCTION("""COMPUTED_VALUE"""),"Male")</f>
        <v>Male</v>
      </c>
      <c r="F56" s="1" t="str">
        <f ca="1">IFERROR(__xludf.DUMMYFUNCTION("""COMPUTED_VALUE"""),"Other")</f>
        <v>Other</v>
      </c>
      <c r="G56" s="1" t="str">
        <f ca="1">IFERROR(__xludf.DUMMYFUNCTION("""COMPUTED_VALUE"""),"+44 3965435380")</f>
        <v>+44 3965435380</v>
      </c>
      <c r="H56" s="1" t="str">
        <f ca="1">IFERROR(__xludf.DUMMYFUNCTION("""COMPUTED_VALUE"""),"dennissmith@gmail.com")</f>
        <v>dennissmith@gmail.com</v>
      </c>
      <c r="I56" s="1" t="str">
        <f ca="1">IFERROR(__xludf.DUMMYFUNCTION("""COMPUTED_VALUE"""),"PSC 8212, Box 0434, APO AE 43314")</f>
        <v>PSC 8212, Box 0434, APO AE 43314</v>
      </c>
      <c r="J56" s="1"/>
      <c r="K56" s="1"/>
      <c r="L56" s="1"/>
      <c r="M56" s="1" t="str">
        <f ca="1">IFERROR(__xludf.DUMMYFUNCTION("""COMPUTED_VALUE"""),"oU577899")</f>
        <v>oU577899</v>
      </c>
      <c r="N56" s="3" t="str">
        <f ca="1">IFERROR(__xludf.DUMMYFUNCTION("""COMPUTED_VALUE"""),"https://drive.google.com/open?id=3B5PQ2XRu2TsXqwSz9aZ")</f>
        <v>https://drive.google.com/open?id=3B5PQ2XRu2TsXqwSz9aZ</v>
      </c>
      <c r="O56" s="3" t="str">
        <f ca="1">IFERROR(__xludf.DUMMYFUNCTION("""COMPUTED_VALUE"""),"https://drive.google.com/open?id=L8eE0EzbrM1WuFOaKEek")</f>
        <v>https://drive.google.com/open?id=L8eE0EzbrM1WuFOaKEek</v>
      </c>
      <c r="P56" s="1" t="str">
        <f ca="1">IFERROR(__xludf.DUMMYFUNCTION("""COMPUTED_VALUE"""),"Full-time")</f>
        <v>Full-time</v>
      </c>
      <c r="Q56" s="1">
        <f ca="1">IFERROR(__xludf.DUMMYFUNCTION("""COMPUTED_VALUE"""),12000000)</f>
        <v>12000000</v>
      </c>
      <c r="R56" s="3" t="str">
        <f ca="1">IFERROR(__xludf.DUMMYFUNCTION("""COMPUTED_VALUE"""),"https://drive.google.com/open?id=iajJTaagNKyX1nJG0Ixn")</f>
        <v>https://drive.google.com/open?id=iajJTaagNKyX1nJG0Ixn</v>
      </c>
      <c r="S56" s="1">
        <f ca="1">IFERROR(__xludf.DUMMYFUNCTION("""COMPUTED_VALUE"""),24000000)</f>
        <v>24000000</v>
      </c>
      <c r="T56" s="1" t="str">
        <f ca="1">IFERROR(__xludf.DUMMYFUNCTION("""COMPUTED_VALUE"""),"Gold")</f>
        <v>Gold</v>
      </c>
      <c r="U56" s="1" t="str">
        <f ca="1">IFERROR(__xludf.DUMMYFUNCTION("""COMPUTED_VALUE"""),"Branch")</f>
        <v>Branch</v>
      </c>
    </row>
    <row r="57" spans="1:21" x14ac:dyDescent="0.25">
      <c r="A57" s="2" t="str">
        <f ca="1">IFERROR(__xludf.DUMMYFUNCTION("""COMPUTED_VALUE"""),"APP0056")</f>
        <v>APP0056</v>
      </c>
      <c r="B57" s="2">
        <f ca="1">IFERROR(__xludf.DUMMYFUNCTION("""COMPUTED_VALUE"""),45899.6655208333)</f>
        <v>45899.665520833303</v>
      </c>
      <c r="C57" s="1" t="str">
        <f ca="1">IFERROR(__xludf.DUMMYFUNCTION("""COMPUTED_VALUE"""),"Lê Đức Hiếu")</f>
        <v>Lê Đức Hiếu</v>
      </c>
      <c r="D57" s="1" t="str">
        <f ca="1">IFERROR(__xludf.DUMMYFUNCTION("""COMPUTED_VALUE"""),"17/12/1987")</f>
        <v>17/12/1987</v>
      </c>
      <c r="E57" s="1" t="str">
        <f ca="1">IFERROR(__xludf.DUMMYFUNCTION("""COMPUTED_VALUE"""),"Male")</f>
        <v>Male</v>
      </c>
      <c r="F57" s="1" t="str">
        <f ca="1">IFERROR(__xludf.DUMMYFUNCTION("""COMPUTED_VALUE"""),"Vietnam")</f>
        <v>Vietnam</v>
      </c>
      <c r="G57" s="1" t="str">
        <f ca="1">IFERROR(__xludf.DUMMYFUNCTION("""COMPUTED_VALUE"""),"0797061411")</f>
        <v>0797061411</v>
      </c>
      <c r="H57" s="1" t="str">
        <f ca="1">IFERROR(__xludf.DUMMYFUNCTION("""COMPUTED_VALUE"""),"leduchieu@gmail.com")</f>
        <v>leduchieu@gmail.com</v>
      </c>
      <c r="I57" s="1" t="str">
        <f ca="1">IFERROR(__xludf.DUMMYFUNCTION("""COMPUTED_VALUE"""),"77 Tran Hung Dao, Hai Chau, Da Nang, Viet Nam")</f>
        <v>77 Tran Hung Dao, Hai Chau, Da Nang, Viet Nam</v>
      </c>
      <c r="J57" s="1" t="str">
        <f ca="1">IFERROR(__xludf.DUMMYFUNCTION("""COMPUTED_VALUE"""),"077209571572")</f>
        <v>077209571572</v>
      </c>
      <c r="K57" s="3" t="str">
        <f ca="1">IFERROR(__xludf.DUMMYFUNCTION("""COMPUTED_VALUE"""),"https://drive.google.com/open?id=UgzRJHjfbZM9dMrtqYi5")</f>
        <v>https://drive.google.com/open?id=UgzRJHjfbZM9dMrtqYi5</v>
      </c>
      <c r="L57" s="3" t="str">
        <f ca="1">IFERROR(__xludf.DUMMYFUNCTION("""COMPUTED_VALUE"""),"https://drive.google.com/open?id=mS0d49rAHeDQjL5A3qeB")</f>
        <v>https://drive.google.com/open?id=mS0d49rAHeDQjL5A3qeB</v>
      </c>
      <c r="M57" s="1"/>
      <c r="N57" s="1"/>
      <c r="O57" s="1"/>
      <c r="P57" s="1" t="str">
        <f ca="1">IFERROR(__xludf.DUMMYFUNCTION("""COMPUTED_VALUE"""),"Contract")</f>
        <v>Contract</v>
      </c>
      <c r="Q57" s="1">
        <f ca="1">IFERROR(__xludf.DUMMYFUNCTION("""COMPUTED_VALUE"""),5000000)</f>
        <v>5000000</v>
      </c>
      <c r="R57" s="3" t="str">
        <f ca="1">IFERROR(__xludf.DUMMYFUNCTION("""COMPUTED_VALUE"""),"https://drive.google.com/open?id=MJuiplDzu81IaGeRuenW")</f>
        <v>https://drive.google.com/open?id=MJuiplDzu81IaGeRuenW</v>
      </c>
      <c r="S57" s="1">
        <f ca="1">IFERROR(__xludf.DUMMYFUNCTION("""COMPUTED_VALUE"""),15000000)</f>
        <v>15000000</v>
      </c>
      <c r="T57" s="1" t="str">
        <f ca="1">IFERROR(__xludf.DUMMYFUNCTION("""COMPUTED_VALUE"""),"Gold")</f>
        <v>Gold</v>
      </c>
      <c r="U57" s="1" t="str">
        <f ca="1">IFERROR(__xludf.DUMMYFUNCTION("""COMPUTED_VALUE"""),"Branch")</f>
        <v>Branch</v>
      </c>
    </row>
    <row r="58" spans="1:21" x14ac:dyDescent="0.25">
      <c r="A58" s="2" t="str">
        <f ca="1">IFERROR(__xludf.DUMMYFUNCTION("""COMPUTED_VALUE"""),"APP0057")</f>
        <v>APP0057</v>
      </c>
      <c r="B58" s="2">
        <f ca="1">IFERROR(__xludf.DUMMYFUNCTION("""COMPUTED_VALUE"""),45899.7166782407)</f>
        <v>45899.7166782407</v>
      </c>
      <c r="C58" s="1" t="str">
        <f ca="1">IFERROR(__xludf.DUMMYFUNCTION("""COMPUTED_VALUE"""),"Đỗ Ngọc Hà")</f>
        <v>Đỗ Ngọc Hà</v>
      </c>
      <c r="D58" s="1" t="str">
        <f ca="1">IFERROR(__xludf.DUMMYFUNCTION("""COMPUTED_VALUE"""),"17/09/2007")</f>
        <v>17/09/2007</v>
      </c>
      <c r="E58" s="1" t="str">
        <f ca="1">IFERROR(__xludf.DUMMYFUNCTION("""COMPUTED_VALUE"""),"Male")</f>
        <v>Male</v>
      </c>
      <c r="F58" s="1" t="str">
        <f ca="1">IFERROR(__xludf.DUMMYFUNCTION("""COMPUTED_VALUE"""),"Vietnam")</f>
        <v>Vietnam</v>
      </c>
      <c r="G58" s="1" t="str">
        <f ca="1">IFERROR(__xludf.DUMMYFUNCTION("""COMPUTED_VALUE"""),"0758290192")</f>
        <v>0758290192</v>
      </c>
      <c r="H58" s="1" t="str">
        <f ca="1">IFERROR(__xludf.DUMMYFUNCTION("""COMPUTED_VALUE"""),"dongocha@gmail.com")</f>
        <v>dongocha@gmail.com</v>
      </c>
      <c r="I58" s="1" t="str">
        <f ca="1">IFERROR(__xludf.DUMMYFUNCTION("""COMPUTED_VALUE"""),"161 Nguyen Trai, Quan 1, Ha Noi, Viet Nam")</f>
        <v>161 Nguyen Trai, Quan 1, Ha Noi, Viet Nam</v>
      </c>
      <c r="J58" s="1" t="str">
        <f ca="1">IFERROR(__xludf.DUMMYFUNCTION("""COMPUTED_VALUE"""),"041626617413")</f>
        <v>041626617413</v>
      </c>
      <c r="K58" s="3" t="str">
        <f ca="1">IFERROR(__xludf.DUMMYFUNCTION("""COMPUTED_VALUE"""),"https://drive.google.com/open?id=OnNHPHcUue2VHdhzNFt2")</f>
        <v>https://drive.google.com/open?id=OnNHPHcUue2VHdhzNFt2</v>
      </c>
      <c r="L58" s="3" t="str">
        <f ca="1">IFERROR(__xludf.DUMMYFUNCTION("""COMPUTED_VALUE"""),"https://drive.google.com/open?id=R3or9CbaTjhlatv2e4WI")</f>
        <v>https://drive.google.com/open?id=R3or9CbaTjhlatv2e4WI</v>
      </c>
      <c r="M58" s="1"/>
      <c r="N58" s="1"/>
      <c r="O58" s="1"/>
      <c r="P58" s="1" t="str">
        <f ca="1">IFERROR(__xludf.DUMMYFUNCTION("""COMPUTED_VALUE"""),"Contract")</f>
        <v>Contract</v>
      </c>
      <c r="Q58" s="1">
        <f ca="1">IFERROR(__xludf.DUMMYFUNCTION("""COMPUTED_VALUE"""),5000000)</f>
        <v>5000000</v>
      </c>
      <c r="R58" s="3" t="str">
        <f ca="1">IFERROR(__xludf.DUMMYFUNCTION("""COMPUTED_VALUE"""),"https://drive.google.com/open?id=KPIyDhS0TNuH9ysFEtfS")</f>
        <v>https://drive.google.com/open?id=KPIyDhS0TNuH9ysFEtfS</v>
      </c>
      <c r="S58" s="1">
        <f ca="1">IFERROR(__xludf.DUMMYFUNCTION("""COMPUTED_VALUE"""),10000000)</f>
        <v>10000000</v>
      </c>
      <c r="T58" s="1" t="str">
        <f ca="1">IFERROR(__xludf.DUMMYFUNCTION("""COMPUTED_VALUE"""),"Platinum")</f>
        <v>Platinum</v>
      </c>
      <c r="U58" s="1" t="str">
        <f ca="1">IFERROR(__xludf.DUMMYFUNCTION("""COMPUTED_VALUE"""),"Online")</f>
        <v>Online</v>
      </c>
    </row>
    <row r="59" spans="1:21" x14ac:dyDescent="0.25">
      <c r="A59" s="2" t="str">
        <f ca="1">IFERROR(__xludf.DUMMYFUNCTION("""COMPUTED_VALUE"""),"APP0058")</f>
        <v>APP0058</v>
      </c>
      <c r="B59" s="2">
        <f ca="1">IFERROR(__xludf.DUMMYFUNCTION("""COMPUTED_VALUE"""),45899.8598148148)</f>
        <v>45899.859814814801</v>
      </c>
      <c r="C59" s="1" t="str">
        <f ca="1">IFERROR(__xludf.DUMMYFUNCTION("""COMPUTED_VALUE"""),"Nguyễn Thanh Hải")</f>
        <v>Nguyễn Thanh Hải</v>
      </c>
      <c r="D59" s="1" t="str">
        <f ca="1">IFERROR(__xludf.DUMMYFUNCTION("""COMPUTED_VALUE"""),"08/01/2006")</f>
        <v>08/01/2006</v>
      </c>
      <c r="E59" s="1" t="str">
        <f ca="1">IFERROR(__xludf.DUMMYFUNCTION("""COMPUTED_VALUE"""),"Male")</f>
        <v>Male</v>
      </c>
      <c r="F59" s="1" t="str">
        <f ca="1">IFERROR(__xludf.DUMMYFUNCTION("""COMPUTED_VALUE"""),"Vietnam")</f>
        <v>Vietnam</v>
      </c>
      <c r="G59" s="1" t="str">
        <f ca="1">IFERROR(__xludf.DUMMYFUNCTION("""COMPUTED_VALUE"""),"0989146886")</f>
        <v>0989146886</v>
      </c>
      <c r="H59" s="1" t="str">
        <f ca="1">IFERROR(__xludf.DUMMYFUNCTION("""COMPUTED_VALUE"""),"nguyenthanhhai@gmail.com")</f>
        <v>nguyenthanhhai@gmail.com</v>
      </c>
      <c r="I59" s="1" t="str">
        <f ca="1">IFERROR(__xludf.DUMMYFUNCTION("""COMPUTED_VALUE"""),"153 Ly Thuong Kiet, Hoan Kiem, Can Tho, Viet Nam")</f>
        <v>153 Ly Thuong Kiet, Hoan Kiem, Can Tho, Viet Nam</v>
      </c>
      <c r="J59" s="1" t="str">
        <f ca="1">IFERROR(__xludf.DUMMYFUNCTION("""COMPUTED_VALUE"""),"051697119719")</f>
        <v>051697119719</v>
      </c>
      <c r="K59" s="3" t="str">
        <f ca="1">IFERROR(__xludf.DUMMYFUNCTION("""COMPUTED_VALUE"""),"https://drive.google.com/open?id=5PcQIkcZiZd07OKiY2mn")</f>
        <v>https://drive.google.com/open?id=5PcQIkcZiZd07OKiY2mn</v>
      </c>
      <c r="L59" s="3" t="str">
        <f ca="1">IFERROR(__xludf.DUMMYFUNCTION("""COMPUTED_VALUE"""),"https://drive.google.com/open?id=WMWKYuBPS3X0211VIC5z")</f>
        <v>https://drive.google.com/open?id=WMWKYuBPS3X0211VIC5z</v>
      </c>
      <c r="M59" s="1"/>
      <c r="N59" s="1"/>
      <c r="O59" s="1"/>
      <c r="P59" s="1" t="str">
        <f ca="1">IFERROR(__xludf.DUMMYFUNCTION("""COMPUTED_VALUE"""),"Full-time")</f>
        <v>Full-time</v>
      </c>
      <c r="Q59" s="1">
        <f ca="1">IFERROR(__xludf.DUMMYFUNCTION("""COMPUTED_VALUE"""),20000000)</f>
        <v>20000000</v>
      </c>
      <c r="R59" s="3" t="str">
        <f ca="1">IFERROR(__xludf.DUMMYFUNCTION("""COMPUTED_VALUE"""),"https://drive.google.com/open?id=mGMW63ZrMopRKDHWXb2R")</f>
        <v>https://drive.google.com/open?id=mGMW63ZrMopRKDHWXb2R</v>
      </c>
      <c r="S59" s="1">
        <f ca="1">IFERROR(__xludf.DUMMYFUNCTION("""COMPUTED_VALUE"""),40000000)</f>
        <v>40000000</v>
      </c>
      <c r="T59" s="1" t="str">
        <f ca="1">IFERROR(__xludf.DUMMYFUNCTION("""COMPUTED_VALUE"""),"Platinum")</f>
        <v>Platinum</v>
      </c>
      <c r="U59" s="1" t="str">
        <f ca="1">IFERROR(__xludf.DUMMYFUNCTION("""COMPUTED_VALUE"""),"Partner")</f>
        <v>Partner</v>
      </c>
    </row>
    <row r="60" spans="1:21" x14ac:dyDescent="0.25">
      <c r="A60" s="2" t="str">
        <f ca="1">IFERROR(__xludf.DUMMYFUNCTION("""COMPUTED_VALUE"""),"APP0059")</f>
        <v>APP0059</v>
      </c>
      <c r="B60" s="2">
        <f ca="1">IFERROR(__xludf.DUMMYFUNCTION("""COMPUTED_VALUE"""),45899.9163078703)</f>
        <v>45899.916307870299</v>
      </c>
      <c r="C60" s="1" t="str">
        <f ca="1">IFERROR(__xludf.DUMMYFUNCTION("""COMPUTED_VALUE"""),"Đặng Ngọc Tuấn")</f>
        <v>Đặng Ngọc Tuấn</v>
      </c>
      <c r="D60" s="1" t="str">
        <f ca="1">IFERROR(__xludf.DUMMYFUNCTION("""COMPUTED_VALUE"""),"09/11/2000")</f>
        <v>09/11/2000</v>
      </c>
      <c r="E60" s="1" t="str">
        <f ca="1">IFERROR(__xludf.DUMMYFUNCTION("""COMPUTED_VALUE"""),"Female")</f>
        <v>Female</v>
      </c>
      <c r="F60" s="1" t="str">
        <f ca="1">IFERROR(__xludf.DUMMYFUNCTION("""COMPUTED_VALUE"""),"Vietnam")</f>
        <v>Vietnam</v>
      </c>
      <c r="G60" s="1" t="str">
        <f ca="1">IFERROR(__xludf.DUMMYFUNCTION("""COMPUTED_VALUE"""),"0757080167")</f>
        <v>0757080167</v>
      </c>
      <c r="H60" s="1" t="str">
        <f ca="1">IFERROR(__xludf.DUMMYFUNCTION("""COMPUTED_VALUE"""),"dangngoctuan@gmail.com")</f>
        <v>dangngoctuan@gmail.com</v>
      </c>
      <c r="I60" s="1" t="str">
        <f ca="1">IFERROR(__xludf.DUMMYFUNCTION("""COMPUTED_VALUE"""),"191 Nguyen Hue, Dong Da, TP Ho Chi Minh, Viet Nam")</f>
        <v>191 Nguyen Hue, Dong Da, TP Ho Chi Minh, Viet Nam</v>
      </c>
      <c r="J60" s="1" t="str">
        <f ca="1">IFERROR(__xludf.DUMMYFUNCTION("""COMPUTED_VALUE"""),"038397596426")</f>
        <v>038397596426</v>
      </c>
      <c r="K60" s="3" t="str">
        <f ca="1">IFERROR(__xludf.DUMMYFUNCTION("""COMPUTED_VALUE"""),"https://drive.google.com/open?id=L9J6dSWsNE2XZ01jZNoL")</f>
        <v>https://drive.google.com/open?id=L9J6dSWsNE2XZ01jZNoL</v>
      </c>
      <c r="L60" s="3" t="str">
        <f ca="1">IFERROR(__xludf.DUMMYFUNCTION("""COMPUTED_VALUE"""),"https://drive.google.com/open?id=HBtCRb43PXnD6hACbXZn")</f>
        <v>https://drive.google.com/open?id=HBtCRb43PXnD6hACbXZn</v>
      </c>
      <c r="M60" s="1"/>
      <c r="N60" s="1"/>
      <c r="O60" s="1"/>
      <c r="P60" s="1" t="str">
        <f ca="1">IFERROR(__xludf.DUMMYFUNCTION("""COMPUTED_VALUE"""),"Self-employed")</f>
        <v>Self-employed</v>
      </c>
      <c r="Q60" s="1">
        <f ca="1">IFERROR(__xludf.DUMMYFUNCTION("""COMPUTED_VALUE"""),20000000)</f>
        <v>20000000</v>
      </c>
      <c r="R60" s="3" t="str">
        <f ca="1">IFERROR(__xludf.DUMMYFUNCTION("""COMPUTED_VALUE"""),"https://drive.google.com/open?id=4pabJhSLkd7oA6FeYYGL")</f>
        <v>https://drive.google.com/open?id=4pabJhSLkd7oA6FeYYGL</v>
      </c>
      <c r="S60" s="1">
        <f ca="1">IFERROR(__xludf.DUMMYFUNCTION("""COMPUTED_VALUE"""),60000000)</f>
        <v>60000000</v>
      </c>
      <c r="T60" s="1" t="str">
        <f ca="1">IFERROR(__xludf.DUMMYFUNCTION("""COMPUTED_VALUE"""),"Gold")</f>
        <v>Gold</v>
      </c>
      <c r="U60" s="1" t="str">
        <f ca="1">IFERROR(__xludf.DUMMYFUNCTION("""COMPUTED_VALUE"""),"Online")</f>
        <v>Online</v>
      </c>
    </row>
    <row r="61" spans="1:21" x14ac:dyDescent="0.25">
      <c r="A61" s="2" t="str">
        <f ca="1">IFERROR(__xludf.DUMMYFUNCTION("""COMPUTED_VALUE"""),"APP0060")</f>
        <v>APP0060</v>
      </c>
      <c r="B61" s="2">
        <f ca="1">IFERROR(__xludf.DUMMYFUNCTION("""COMPUTED_VALUE"""),45899.9532986111)</f>
        <v>45899.953298611101</v>
      </c>
      <c r="C61" s="1" t="str">
        <f ca="1">IFERROR(__xludf.DUMMYFUNCTION("""COMPUTED_VALUE"""),"Dương Minh Sơn")</f>
        <v>Dương Minh Sơn</v>
      </c>
      <c r="D61" s="1" t="str">
        <f ca="1">IFERROR(__xludf.DUMMYFUNCTION("""COMPUTED_VALUE"""),"06/04/1967")</f>
        <v>06/04/1967</v>
      </c>
      <c r="E61" s="1" t="str">
        <f ca="1">IFERROR(__xludf.DUMMYFUNCTION("""COMPUTED_VALUE"""),"Male")</f>
        <v>Male</v>
      </c>
      <c r="F61" s="1" t="str">
        <f ca="1">IFERROR(__xludf.DUMMYFUNCTION("""COMPUTED_VALUE"""),"Vietnam")</f>
        <v>Vietnam</v>
      </c>
      <c r="G61" s="1" t="str">
        <f ca="1">IFERROR(__xludf.DUMMYFUNCTION("""COMPUTED_VALUE"""),"0715339863")</f>
        <v>0715339863</v>
      </c>
      <c r="H61" s="1" t="str">
        <f ca="1">IFERROR(__xludf.DUMMYFUNCTION("""COMPUTED_VALUE"""),"duongminhson@gmail.com")</f>
        <v>duongminhson@gmail.com</v>
      </c>
      <c r="I61" s="1" t="str">
        <f ca="1">IFERROR(__xludf.DUMMYFUNCTION("""COMPUTED_VALUE"""),"146 Ly Thuong Kiet, Hai Chau, Hai Phong, Viet Nam")</f>
        <v>146 Ly Thuong Kiet, Hai Chau, Hai Phong, Viet Nam</v>
      </c>
      <c r="J61" s="1" t="str">
        <f ca="1">IFERROR(__xludf.DUMMYFUNCTION("""COMPUTED_VALUE"""),"076974919427")</f>
        <v>076974919427</v>
      </c>
      <c r="K61" s="3" t="str">
        <f ca="1">IFERROR(__xludf.DUMMYFUNCTION("""COMPUTED_VALUE"""),"https://drive.google.com/open?id=VnuqFQH5eUgwbchO6Plq")</f>
        <v>https://drive.google.com/open?id=VnuqFQH5eUgwbchO6Plq</v>
      </c>
      <c r="L61" s="3" t="str">
        <f ca="1">IFERROR(__xludf.DUMMYFUNCTION("""COMPUTED_VALUE"""),"https://drive.google.com/open?id=wr2POiyxVMtGNmt2L6TH")</f>
        <v>https://drive.google.com/open?id=wr2POiyxVMtGNmt2L6TH</v>
      </c>
      <c r="M61" s="1"/>
      <c r="N61" s="1"/>
      <c r="O61" s="1"/>
      <c r="P61" s="1" t="str">
        <f ca="1">IFERROR(__xludf.DUMMYFUNCTION("""COMPUTED_VALUE"""),"Freelancer")</f>
        <v>Freelancer</v>
      </c>
      <c r="Q61" s="1">
        <f ca="1">IFERROR(__xludf.DUMMYFUNCTION("""COMPUTED_VALUE"""),12000000)</f>
        <v>12000000</v>
      </c>
      <c r="R61" s="3" t="str">
        <f ca="1">IFERROR(__xludf.DUMMYFUNCTION("""COMPUTED_VALUE"""),"https://drive.google.com/open?id=bT4rqgXZ29N7pWEBH38b")</f>
        <v>https://drive.google.com/open?id=bT4rqgXZ29N7pWEBH38b</v>
      </c>
      <c r="S61" s="1">
        <f ca="1">IFERROR(__xludf.DUMMYFUNCTION("""COMPUTED_VALUE"""),36000000)</f>
        <v>36000000</v>
      </c>
      <c r="T61" s="1" t="str">
        <f ca="1">IFERROR(__xludf.DUMMYFUNCTION("""COMPUTED_VALUE"""),"Classic")</f>
        <v>Classic</v>
      </c>
      <c r="U61" s="1" t="str">
        <f ca="1">IFERROR(__xludf.DUMMYFUNCTION("""COMPUTED_VALUE"""),"Online")</f>
        <v>Online</v>
      </c>
    </row>
    <row r="62" spans="1:21" x14ac:dyDescent="0.25">
      <c r="A62" s="2" t="str">
        <f ca="1">IFERROR(__xludf.DUMMYFUNCTION("""COMPUTED_VALUE"""),"APP0061")</f>
        <v>APP0061</v>
      </c>
      <c r="B62" s="2">
        <f ca="1">IFERROR(__xludf.DUMMYFUNCTION("""COMPUTED_VALUE"""),45900.0838310185)</f>
        <v>45900.083831018499</v>
      </c>
      <c r="C62" s="1" t="str">
        <f ca="1">IFERROR(__xludf.DUMMYFUNCTION("""COMPUTED_VALUE"""),"Nguyễn Hữu Hải")</f>
        <v>Nguyễn Hữu Hải</v>
      </c>
      <c r="D62" s="1" t="str">
        <f ca="1">IFERROR(__xludf.DUMMYFUNCTION("""COMPUTED_VALUE"""),"09/12/1995")</f>
        <v>09/12/1995</v>
      </c>
      <c r="E62" s="1" t="str">
        <f ca="1">IFERROR(__xludf.DUMMYFUNCTION("""COMPUTED_VALUE"""),"Male")</f>
        <v>Male</v>
      </c>
      <c r="F62" s="1" t="str">
        <f ca="1">IFERROR(__xludf.DUMMYFUNCTION("""COMPUTED_VALUE"""),"Vietnam")</f>
        <v>Vietnam</v>
      </c>
      <c r="G62" s="1" t="str">
        <f ca="1">IFERROR(__xludf.DUMMYFUNCTION("""COMPUTED_VALUE"""),"0764162550")</f>
        <v>0764162550</v>
      </c>
      <c r="H62" s="1" t="str">
        <f ca="1">IFERROR(__xludf.DUMMYFUNCTION("""COMPUTED_VALUE"""),"nguyenhuuhai@gmail.com")</f>
        <v>nguyenhuuhai@gmail.com</v>
      </c>
      <c r="I62" s="1" t="str">
        <f ca="1">IFERROR(__xludf.DUMMYFUNCTION("""COMPUTED_VALUE"""),"12 Pham Van Dong, Quan 7, Ha Noi, Viet Nam")</f>
        <v>12 Pham Van Dong, Quan 7, Ha Noi, Viet Nam</v>
      </c>
      <c r="J62" s="1" t="str">
        <f ca="1">IFERROR(__xludf.DUMMYFUNCTION("""COMPUTED_VALUE"""),"030293578142")</f>
        <v>030293578142</v>
      </c>
      <c r="K62" s="3" t="str">
        <f ca="1">IFERROR(__xludf.DUMMYFUNCTION("""COMPUTED_VALUE"""),"https://drive.google.com/open?id=fzeekNxExOEAs74LCIGg")</f>
        <v>https://drive.google.com/open?id=fzeekNxExOEAs74LCIGg</v>
      </c>
      <c r="L62" s="3" t="str">
        <f ca="1">IFERROR(__xludf.DUMMYFUNCTION("""COMPUTED_VALUE"""),"https://drive.google.com/open?id=RmDp4bvKj1ndaB5wUn7Y")</f>
        <v>https://drive.google.com/open?id=RmDp4bvKj1ndaB5wUn7Y</v>
      </c>
      <c r="M62" s="1"/>
      <c r="N62" s="1"/>
      <c r="O62" s="1"/>
      <c r="P62" s="1" t="str">
        <f ca="1">IFERROR(__xludf.DUMMYFUNCTION("""COMPUTED_VALUE"""),"Self-employed")</f>
        <v>Self-employed</v>
      </c>
      <c r="Q62" s="1">
        <f ca="1">IFERROR(__xludf.DUMMYFUNCTION("""COMPUTED_VALUE"""),5000000)</f>
        <v>5000000</v>
      </c>
      <c r="R62" s="3" t="str">
        <f ca="1">IFERROR(__xludf.DUMMYFUNCTION("""COMPUTED_VALUE"""),"https://drive.google.com/open?id=iu0YC8kRnIZ2LGRiQNI2")</f>
        <v>https://drive.google.com/open?id=iu0YC8kRnIZ2LGRiQNI2</v>
      </c>
      <c r="S62" s="1">
        <f ca="1">IFERROR(__xludf.DUMMYFUNCTION("""COMPUTED_VALUE"""),10000000)</f>
        <v>10000000</v>
      </c>
      <c r="T62" s="1" t="str">
        <f ca="1">IFERROR(__xludf.DUMMYFUNCTION("""COMPUTED_VALUE"""),"Platinum")</f>
        <v>Platinum</v>
      </c>
      <c r="U62" s="1" t="str">
        <f ca="1">IFERROR(__xludf.DUMMYFUNCTION("""COMPUTED_VALUE"""),"Partner")</f>
        <v>Partner</v>
      </c>
    </row>
    <row r="63" spans="1:21" x14ac:dyDescent="0.25">
      <c r="A63" s="2" t="str">
        <f ca="1">IFERROR(__xludf.DUMMYFUNCTION("""COMPUTED_VALUE"""),"APP0062")</f>
        <v>APP0062</v>
      </c>
      <c r="B63" s="2">
        <f ca="1">IFERROR(__xludf.DUMMYFUNCTION("""COMPUTED_VALUE"""),45900.1016319444)</f>
        <v>45900.101631944402</v>
      </c>
      <c r="C63" s="1" t="str">
        <f ca="1">IFERROR(__xludf.DUMMYFUNCTION("""COMPUTED_VALUE"""),"Lý Anh Lan")</f>
        <v>Lý Anh Lan</v>
      </c>
      <c r="D63" s="1" t="str">
        <f ca="1">IFERROR(__xludf.DUMMYFUNCTION("""COMPUTED_VALUE"""),"03/12/1971")</f>
        <v>03/12/1971</v>
      </c>
      <c r="E63" s="1" t="str">
        <f ca="1">IFERROR(__xludf.DUMMYFUNCTION("""COMPUTED_VALUE"""),"Female")</f>
        <v>Female</v>
      </c>
      <c r="F63" s="1" t="str">
        <f ca="1">IFERROR(__xludf.DUMMYFUNCTION("""COMPUTED_VALUE"""),"Vietnam")</f>
        <v>Vietnam</v>
      </c>
      <c r="G63" s="1" t="str">
        <f ca="1">IFERROR(__xludf.DUMMYFUNCTION("""COMPUTED_VALUE"""),"0781283480")</f>
        <v>0781283480</v>
      </c>
      <c r="H63" s="1" t="str">
        <f ca="1">IFERROR(__xludf.DUMMYFUNCTION("""COMPUTED_VALUE"""),"lyanhlan@gmail.com")</f>
        <v>lyanhlan@gmail.com</v>
      </c>
      <c r="I63" s="1" t="str">
        <f ca="1">IFERROR(__xludf.DUMMYFUNCTION("""COMPUTED_VALUE"""),"103 Ly Thuong Kiet, Hai Chau, TP Ho Chi Minh, Viet Nam")</f>
        <v>103 Ly Thuong Kiet, Hai Chau, TP Ho Chi Minh, Viet Nam</v>
      </c>
      <c r="J63" s="1" t="str">
        <f ca="1">IFERROR(__xludf.DUMMYFUNCTION("""COMPUTED_VALUE"""),"031634544372")</f>
        <v>031634544372</v>
      </c>
      <c r="K63" s="3" t="str">
        <f ca="1">IFERROR(__xludf.DUMMYFUNCTION("""COMPUTED_VALUE"""),"https://drive.google.com/open?id=0JILFRveq6pigtAX78S2")</f>
        <v>https://drive.google.com/open?id=0JILFRveq6pigtAX78S2</v>
      </c>
      <c r="L63" s="3" t="str">
        <f ca="1">IFERROR(__xludf.DUMMYFUNCTION("""COMPUTED_VALUE"""),"https://drive.google.com/open?id=WsQiJOQUPLVCZZBVKYq5")</f>
        <v>https://drive.google.com/open?id=WsQiJOQUPLVCZZBVKYq5</v>
      </c>
      <c r="M63" s="1"/>
      <c r="N63" s="1"/>
      <c r="O63" s="1"/>
      <c r="P63" s="1" t="str">
        <f ca="1">IFERROR(__xludf.DUMMYFUNCTION("""COMPUTED_VALUE"""),"Part-time")</f>
        <v>Part-time</v>
      </c>
      <c r="Q63" s="1">
        <f ca="1">IFERROR(__xludf.DUMMYFUNCTION("""COMPUTED_VALUE"""),12000000)</f>
        <v>12000000</v>
      </c>
      <c r="R63" s="3" t="str">
        <f ca="1">IFERROR(__xludf.DUMMYFUNCTION("""COMPUTED_VALUE"""),"https://drive.google.com/open?id=ZCXrSv0vKtPSFIzcaNle")</f>
        <v>https://drive.google.com/open?id=ZCXrSv0vKtPSFIzcaNle</v>
      </c>
      <c r="S63" s="1">
        <f ca="1">IFERROR(__xludf.DUMMYFUNCTION("""COMPUTED_VALUE"""),36000000)</f>
        <v>36000000</v>
      </c>
      <c r="T63" s="1" t="str">
        <f ca="1">IFERROR(__xludf.DUMMYFUNCTION("""COMPUTED_VALUE"""),"Gold")</f>
        <v>Gold</v>
      </c>
      <c r="U63" s="1" t="str">
        <f ca="1">IFERROR(__xludf.DUMMYFUNCTION("""COMPUTED_VALUE"""),"Branch")</f>
        <v>Branch</v>
      </c>
    </row>
    <row r="64" spans="1:21" x14ac:dyDescent="0.25">
      <c r="A64" s="2" t="str">
        <f ca="1">IFERROR(__xludf.DUMMYFUNCTION("""COMPUTED_VALUE"""),"APP0063")</f>
        <v>APP0063</v>
      </c>
      <c r="B64" s="2">
        <f ca="1">IFERROR(__xludf.DUMMYFUNCTION("""COMPUTED_VALUE"""),45900.2355208333)</f>
        <v>45900.235520833303</v>
      </c>
      <c r="C64" s="1" t="str">
        <f ca="1">IFERROR(__xludf.DUMMYFUNCTION("""COMPUTED_VALUE"""),"Hoàng Hữu Dũng")</f>
        <v>Hoàng Hữu Dũng</v>
      </c>
      <c r="D64" s="1" t="str">
        <f ca="1">IFERROR(__xludf.DUMMYFUNCTION("""COMPUTED_VALUE"""),"15/10/1987")</f>
        <v>15/10/1987</v>
      </c>
      <c r="E64" s="1" t="str">
        <f ca="1">IFERROR(__xludf.DUMMYFUNCTION("""COMPUTED_VALUE"""),"Male")</f>
        <v>Male</v>
      </c>
      <c r="F64" s="1" t="str">
        <f ca="1">IFERROR(__xludf.DUMMYFUNCTION("""COMPUTED_VALUE"""),"Vietnam")</f>
        <v>Vietnam</v>
      </c>
      <c r="G64" s="1" t="str">
        <f ca="1">IFERROR(__xludf.DUMMYFUNCTION("""COMPUTED_VALUE"""),"0753431238")</f>
        <v>0753431238</v>
      </c>
      <c r="H64" s="1" t="str">
        <f ca="1">IFERROR(__xludf.DUMMYFUNCTION("""COMPUTED_VALUE"""),"hoanghuudung@gmail.com")</f>
        <v>hoanghuudung@gmail.com</v>
      </c>
      <c r="I64" s="1" t="str">
        <f ca="1">IFERROR(__xludf.DUMMYFUNCTION("""COMPUTED_VALUE"""),"14 Ly Thuong Kiet, Dong Da, Ha Noi, Viet Nam")</f>
        <v>14 Ly Thuong Kiet, Dong Da, Ha Noi, Viet Nam</v>
      </c>
      <c r="J64" s="1" t="str">
        <f ca="1">IFERROR(__xludf.DUMMYFUNCTION("""COMPUTED_VALUE"""),"083885311186")</f>
        <v>083885311186</v>
      </c>
      <c r="K64" s="3" t="str">
        <f ca="1">IFERROR(__xludf.DUMMYFUNCTION("""COMPUTED_VALUE"""),"https://drive.google.com/open?id=hSFId7yBRqlEaxlLXNHg")</f>
        <v>https://drive.google.com/open?id=hSFId7yBRqlEaxlLXNHg</v>
      </c>
      <c r="L64" s="3" t="str">
        <f ca="1">IFERROR(__xludf.DUMMYFUNCTION("""COMPUTED_VALUE"""),"https://drive.google.com/open?id=BrjvhHoz6VKcq4bTRPGs")</f>
        <v>https://drive.google.com/open?id=BrjvhHoz6VKcq4bTRPGs</v>
      </c>
      <c r="M64" s="1"/>
      <c r="N64" s="1"/>
      <c r="O64" s="1"/>
      <c r="P64" s="1" t="str">
        <f ca="1">IFERROR(__xludf.DUMMYFUNCTION("""COMPUTED_VALUE"""),"Freelancer")</f>
        <v>Freelancer</v>
      </c>
      <c r="Q64" s="1">
        <f ca="1">IFERROR(__xludf.DUMMYFUNCTION("""COMPUTED_VALUE"""),5000000)</f>
        <v>5000000</v>
      </c>
      <c r="R64" s="3" t="str">
        <f ca="1">IFERROR(__xludf.DUMMYFUNCTION("""COMPUTED_VALUE"""),"https://drive.google.com/open?id=YJDg62StRujwOUuFaqwn")</f>
        <v>https://drive.google.com/open?id=YJDg62StRujwOUuFaqwn</v>
      </c>
      <c r="S64" s="1">
        <f ca="1">IFERROR(__xludf.DUMMYFUNCTION("""COMPUTED_VALUE"""),10000000)</f>
        <v>10000000</v>
      </c>
      <c r="T64" s="1" t="str">
        <f ca="1">IFERROR(__xludf.DUMMYFUNCTION("""COMPUTED_VALUE"""),"Gold")</f>
        <v>Gold</v>
      </c>
      <c r="U64" s="1" t="str">
        <f ca="1">IFERROR(__xludf.DUMMYFUNCTION("""COMPUTED_VALUE"""),"Partner")</f>
        <v>Partner</v>
      </c>
    </row>
    <row r="65" spans="1:21" x14ac:dyDescent="0.25">
      <c r="A65" s="2" t="str">
        <f ca="1">IFERROR(__xludf.DUMMYFUNCTION("""COMPUTED_VALUE"""),"APP0064")</f>
        <v>APP0064</v>
      </c>
      <c r="B65" s="2">
        <f ca="1">IFERROR(__xludf.DUMMYFUNCTION("""COMPUTED_VALUE"""),45900.3496875)</f>
        <v>45900.349687499998</v>
      </c>
      <c r="C65" s="1" t="str">
        <f ca="1">IFERROR(__xludf.DUMMYFUNCTION("""COMPUTED_VALUE"""),"Lý Thị Giang")</f>
        <v>Lý Thị Giang</v>
      </c>
      <c r="D65" s="1" t="str">
        <f ca="1">IFERROR(__xludf.DUMMYFUNCTION("""COMPUTED_VALUE"""),"11/12/1979")</f>
        <v>11/12/1979</v>
      </c>
      <c r="E65" s="1" t="str">
        <f ca="1">IFERROR(__xludf.DUMMYFUNCTION("""COMPUTED_VALUE"""),"Male")</f>
        <v>Male</v>
      </c>
      <c r="F65" s="1" t="str">
        <f ca="1">IFERROR(__xludf.DUMMYFUNCTION("""COMPUTED_VALUE"""),"Vietnam")</f>
        <v>Vietnam</v>
      </c>
      <c r="G65" s="1" t="str">
        <f ca="1">IFERROR(__xludf.DUMMYFUNCTION("""COMPUTED_VALUE"""),"0713817998")</f>
        <v>0713817998</v>
      </c>
      <c r="H65" s="1" t="str">
        <f ca="1">IFERROR(__xludf.DUMMYFUNCTION("""COMPUTED_VALUE"""),"lythigiang@gmail.com")</f>
        <v>lythigiang@gmail.com</v>
      </c>
      <c r="I65" s="1" t="str">
        <f ca="1">IFERROR(__xludf.DUMMYFUNCTION("""COMPUTED_VALUE"""),"33 Ly Thuong Kiet, Dong Da, Ha Noi, Viet Nam")</f>
        <v>33 Ly Thuong Kiet, Dong Da, Ha Noi, Viet Nam</v>
      </c>
      <c r="J65" s="1" t="str">
        <f ca="1">IFERROR(__xludf.DUMMYFUNCTION("""COMPUTED_VALUE"""),"071496071069")</f>
        <v>071496071069</v>
      </c>
      <c r="K65" s="3" t="str">
        <f ca="1">IFERROR(__xludf.DUMMYFUNCTION("""COMPUTED_VALUE"""),"https://drive.google.com/open?id=4bxttyYBk4buJcP75pi3")</f>
        <v>https://drive.google.com/open?id=4bxttyYBk4buJcP75pi3</v>
      </c>
      <c r="L65" s="3" t="str">
        <f ca="1">IFERROR(__xludf.DUMMYFUNCTION("""COMPUTED_VALUE"""),"https://drive.google.com/open?id=sulk4H8AbPgW5NdfAot6")</f>
        <v>https://drive.google.com/open?id=sulk4H8AbPgW5NdfAot6</v>
      </c>
      <c r="M65" s="1"/>
      <c r="N65" s="1"/>
      <c r="O65" s="1"/>
      <c r="P65" s="1" t="str">
        <f ca="1">IFERROR(__xludf.DUMMYFUNCTION("""COMPUTED_VALUE"""),"Part-time")</f>
        <v>Part-time</v>
      </c>
      <c r="Q65" s="1">
        <f ca="1">IFERROR(__xludf.DUMMYFUNCTION("""COMPUTED_VALUE"""),5000000)</f>
        <v>5000000</v>
      </c>
      <c r="R65" s="3" t="str">
        <f ca="1">IFERROR(__xludf.DUMMYFUNCTION("""COMPUTED_VALUE"""),"https://drive.google.com/open?id=CKv4K7dDUA2yTiu0y1Wv")</f>
        <v>https://drive.google.com/open?id=CKv4K7dDUA2yTiu0y1Wv</v>
      </c>
      <c r="S65" s="1">
        <f ca="1">IFERROR(__xludf.DUMMYFUNCTION("""COMPUTED_VALUE"""),10000000)</f>
        <v>10000000</v>
      </c>
      <c r="T65" s="1" t="str">
        <f ca="1">IFERROR(__xludf.DUMMYFUNCTION("""COMPUTED_VALUE"""),"Platinum")</f>
        <v>Platinum</v>
      </c>
      <c r="U65" s="1" t="str">
        <f ca="1">IFERROR(__xludf.DUMMYFUNCTION("""COMPUTED_VALUE"""),"Branch")</f>
        <v>Branch</v>
      </c>
    </row>
    <row r="66" spans="1:21" x14ac:dyDescent="0.25">
      <c r="A66" s="2" t="str">
        <f ca="1">IFERROR(__xludf.DUMMYFUNCTION("""COMPUTED_VALUE"""),"APP0065")</f>
        <v>APP0065</v>
      </c>
      <c r="B66" s="2">
        <f ca="1">IFERROR(__xludf.DUMMYFUNCTION("""COMPUTED_VALUE"""),45900.3603472222)</f>
        <v>45900.360347222202</v>
      </c>
      <c r="C66" s="1" t="str">
        <f ca="1">IFERROR(__xludf.DUMMYFUNCTION("""COMPUTED_VALUE"""),"Đặng Quang An")</f>
        <v>Đặng Quang An</v>
      </c>
      <c r="D66" s="1" t="str">
        <f ca="1">IFERROR(__xludf.DUMMYFUNCTION("""COMPUTED_VALUE"""),"08/09/2002")</f>
        <v>08/09/2002</v>
      </c>
      <c r="E66" s="1" t="str">
        <f ca="1">IFERROR(__xludf.DUMMYFUNCTION("""COMPUTED_VALUE"""),"Female")</f>
        <v>Female</v>
      </c>
      <c r="F66" s="1" t="str">
        <f ca="1">IFERROR(__xludf.DUMMYFUNCTION("""COMPUTED_VALUE"""),"Vietnam")</f>
        <v>Vietnam</v>
      </c>
      <c r="G66" s="1" t="str">
        <f ca="1">IFERROR(__xludf.DUMMYFUNCTION("""COMPUTED_VALUE"""),"0787469484")</f>
        <v>0787469484</v>
      </c>
      <c r="H66" s="1" t="str">
        <f ca="1">IFERROR(__xludf.DUMMYFUNCTION("""COMPUTED_VALUE"""),"dangquangan@gmail.com")</f>
        <v>dangquangan@gmail.com</v>
      </c>
      <c r="I66" s="1" t="str">
        <f ca="1">IFERROR(__xludf.DUMMYFUNCTION("""COMPUTED_VALUE"""),"188 Nguyen Hue, Quan 1, Hai Phong, Viet Nam")</f>
        <v>188 Nguyen Hue, Quan 1, Hai Phong, Viet Nam</v>
      </c>
      <c r="J66" s="1" t="str">
        <f ca="1">IFERROR(__xludf.DUMMYFUNCTION("""COMPUTED_VALUE"""),"048528164297")</f>
        <v>048528164297</v>
      </c>
      <c r="K66" s="3" t="str">
        <f ca="1">IFERROR(__xludf.DUMMYFUNCTION("""COMPUTED_VALUE"""),"https://drive.google.com/open?id=OLDQXAtFkQvEFv6JaJyx")</f>
        <v>https://drive.google.com/open?id=OLDQXAtFkQvEFv6JaJyx</v>
      </c>
      <c r="L66" s="3" t="str">
        <f ca="1">IFERROR(__xludf.DUMMYFUNCTION("""COMPUTED_VALUE"""),"https://drive.google.com/open?id=LMapIna2h5jLS0jhweFF")</f>
        <v>https://drive.google.com/open?id=LMapIna2h5jLS0jhweFF</v>
      </c>
      <c r="M66" s="1"/>
      <c r="N66" s="1"/>
      <c r="O66" s="1"/>
      <c r="P66" s="1" t="str">
        <f ca="1">IFERROR(__xludf.DUMMYFUNCTION("""COMPUTED_VALUE"""),"Full-time")</f>
        <v>Full-time</v>
      </c>
      <c r="Q66" s="1">
        <f ca="1">IFERROR(__xludf.DUMMYFUNCTION("""COMPUTED_VALUE"""),20000000)</f>
        <v>20000000</v>
      </c>
      <c r="R66" s="3" t="str">
        <f ca="1">IFERROR(__xludf.DUMMYFUNCTION("""COMPUTED_VALUE"""),"https://drive.google.com/open?id=I56sjpZgM1glD1kCgRhu")</f>
        <v>https://drive.google.com/open?id=I56sjpZgM1glD1kCgRhu</v>
      </c>
      <c r="S66" s="1">
        <f ca="1">IFERROR(__xludf.DUMMYFUNCTION("""COMPUTED_VALUE"""),40000000)</f>
        <v>40000000</v>
      </c>
      <c r="T66" s="1" t="str">
        <f ca="1">IFERROR(__xludf.DUMMYFUNCTION("""COMPUTED_VALUE"""),"Gold")</f>
        <v>Gold</v>
      </c>
      <c r="U66" s="1" t="str">
        <f ca="1">IFERROR(__xludf.DUMMYFUNCTION("""COMPUTED_VALUE"""),"Partner")</f>
        <v>Partner</v>
      </c>
    </row>
    <row r="67" spans="1:21" x14ac:dyDescent="0.25">
      <c r="A67" s="2" t="str">
        <f ca="1">IFERROR(__xludf.DUMMYFUNCTION("""COMPUTED_VALUE"""),"APP0066")</f>
        <v>APP0066</v>
      </c>
      <c r="B67" s="2">
        <f ca="1">IFERROR(__xludf.DUMMYFUNCTION("""COMPUTED_VALUE"""),45900.4827662037)</f>
        <v>45900.482766203699</v>
      </c>
      <c r="C67" s="1" t="str">
        <f ca="1">IFERROR(__xludf.DUMMYFUNCTION("""COMPUTED_VALUE"""),"Huỳnh Quang Nam")</f>
        <v>Huỳnh Quang Nam</v>
      </c>
      <c r="D67" s="1" t="str">
        <f ca="1">IFERROR(__xludf.DUMMYFUNCTION("""COMPUTED_VALUE"""),"12/09/1981")</f>
        <v>12/09/1981</v>
      </c>
      <c r="E67" s="1" t="str">
        <f ca="1">IFERROR(__xludf.DUMMYFUNCTION("""COMPUTED_VALUE"""),"Male")</f>
        <v>Male</v>
      </c>
      <c r="F67" s="1" t="str">
        <f ca="1">IFERROR(__xludf.DUMMYFUNCTION("""COMPUTED_VALUE"""),"Vietnam")</f>
        <v>Vietnam</v>
      </c>
      <c r="G67" s="1" t="str">
        <f ca="1">IFERROR(__xludf.DUMMYFUNCTION("""COMPUTED_VALUE"""),"0996221335")</f>
        <v>0996221335</v>
      </c>
      <c r="H67" s="1" t="str">
        <f ca="1">IFERROR(__xludf.DUMMYFUNCTION("""COMPUTED_VALUE"""),"huynhquangnam@gmail.com")</f>
        <v>huynhquangnam@gmail.com</v>
      </c>
      <c r="I67" s="1" t="str">
        <f ca="1">IFERROR(__xludf.DUMMYFUNCTION("""COMPUTED_VALUE"""),"176 Nguyen Trai, Quan 1, Can Tho, Viet Nam")</f>
        <v>176 Nguyen Trai, Quan 1, Can Tho, Viet Nam</v>
      </c>
      <c r="J67" s="1" t="str">
        <f ca="1">IFERROR(__xludf.DUMMYFUNCTION("""COMPUTED_VALUE"""),"030000071661")</f>
        <v>030000071661</v>
      </c>
      <c r="K67" s="3" t="str">
        <f ca="1">IFERROR(__xludf.DUMMYFUNCTION("""COMPUTED_VALUE"""),"https://drive.google.com/open?id=J8sYLx6DqsPHyROugaAf")</f>
        <v>https://drive.google.com/open?id=J8sYLx6DqsPHyROugaAf</v>
      </c>
      <c r="L67" s="3" t="str">
        <f ca="1">IFERROR(__xludf.DUMMYFUNCTION("""COMPUTED_VALUE"""),"https://drive.google.com/open?id=S4bfQWgTNDzZmHbEinhh")</f>
        <v>https://drive.google.com/open?id=S4bfQWgTNDzZmHbEinhh</v>
      </c>
      <c r="M67" s="1"/>
      <c r="N67" s="1"/>
      <c r="O67" s="1"/>
      <c r="P67" s="1" t="str">
        <f ca="1">IFERROR(__xludf.DUMMYFUNCTION("""COMPUTED_VALUE"""),"Self-employed")</f>
        <v>Self-employed</v>
      </c>
      <c r="Q67" s="1">
        <f ca="1">IFERROR(__xludf.DUMMYFUNCTION("""COMPUTED_VALUE"""),5000000)</f>
        <v>5000000</v>
      </c>
      <c r="R67" s="3" t="str">
        <f ca="1">IFERROR(__xludf.DUMMYFUNCTION("""COMPUTED_VALUE"""),"https://drive.google.com/open?id=defZ0UBHRxqr1tWbCsWX")</f>
        <v>https://drive.google.com/open?id=defZ0UBHRxqr1tWbCsWX</v>
      </c>
      <c r="S67" s="1">
        <f ca="1">IFERROR(__xludf.DUMMYFUNCTION("""COMPUTED_VALUE"""),15000000)</f>
        <v>15000000</v>
      </c>
      <c r="T67" s="1" t="str">
        <f ca="1">IFERROR(__xludf.DUMMYFUNCTION("""COMPUTED_VALUE"""),"Gold")</f>
        <v>Gold</v>
      </c>
      <c r="U67" s="1" t="str">
        <f ca="1">IFERROR(__xludf.DUMMYFUNCTION("""COMPUTED_VALUE"""),"Online")</f>
        <v>Online</v>
      </c>
    </row>
    <row r="68" spans="1:21" x14ac:dyDescent="0.25">
      <c r="A68" s="2" t="str">
        <f ca="1">IFERROR(__xludf.DUMMYFUNCTION("""COMPUTED_VALUE"""),"APP0067")</f>
        <v>APP0067</v>
      </c>
      <c r="B68" s="2">
        <f ca="1">IFERROR(__xludf.DUMMYFUNCTION("""COMPUTED_VALUE"""),45900.6161458333)</f>
        <v>45900.616145833301</v>
      </c>
      <c r="C68" s="1" t="str">
        <f ca="1">IFERROR(__xludf.DUMMYFUNCTION("""COMPUTED_VALUE"""),"Lê Thị Nam")</f>
        <v>Lê Thị Nam</v>
      </c>
      <c r="D68" s="1" t="str">
        <f ca="1">IFERROR(__xludf.DUMMYFUNCTION("""COMPUTED_VALUE"""),"12/04/1985")</f>
        <v>12/04/1985</v>
      </c>
      <c r="E68" s="1" t="str">
        <f ca="1">IFERROR(__xludf.DUMMYFUNCTION("""COMPUTED_VALUE"""),"Female")</f>
        <v>Female</v>
      </c>
      <c r="F68" s="1" t="str">
        <f ca="1">IFERROR(__xludf.DUMMYFUNCTION("""COMPUTED_VALUE"""),"Vietnam")</f>
        <v>Vietnam</v>
      </c>
      <c r="G68" s="1" t="str">
        <f ca="1">IFERROR(__xludf.DUMMYFUNCTION("""COMPUTED_VALUE"""),"0995686154")</f>
        <v>0995686154</v>
      </c>
      <c r="H68" s="1" t="str">
        <f ca="1">IFERROR(__xludf.DUMMYFUNCTION("""COMPUTED_VALUE"""),"lethinam@gmail.com")</f>
        <v>lethinam@gmail.com</v>
      </c>
      <c r="I68" s="1" t="str">
        <f ca="1">IFERROR(__xludf.DUMMYFUNCTION("""COMPUTED_VALUE"""),"15 Nguyen Hue, Hai Chau, Can Tho, Viet Nam")</f>
        <v>15 Nguyen Hue, Hai Chau, Can Tho, Viet Nam</v>
      </c>
      <c r="J68" s="1" t="str">
        <f ca="1">IFERROR(__xludf.DUMMYFUNCTION("""COMPUTED_VALUE"""),"036757834313")</f>
        <v>036757834313</v>
      </c>
      <c r="K68" s="3" t="str">
        <f ca="1">IFERROR(__xludf.DUMMYFUNCTION("""COMPUTED_VALUE"""),"https://drive.google.com/open?id=piBFgZTlXrCT7sdu4xax")</f>
        <v>https://drive.google.com/open?id=piBFgZTlXrCT7sdu4xax</v>
      </c>
      <c r="L68" s="3" t="str">
        <f ca="1">IFERROR(__xludf.DUMMYFUNCTION("""COMPUTED_VALUE"""),"https://drive.google.com/open?id=nTzhSnfEmusgGyPZYcvq")</f>
        <v>https://drive.google.com/open?id=nTzhSnfEmusgGyPZYcvq</v>
      </c>
      <c r="M68" s="1"/>
      <c r="N68" s="1"/>
      <c r="O68" s="1"/>
      <c r="P68" s="1" t="str">
        <f ca="1">IFERROR(__xludf.DUMMYFUNCTION("""COMPUTED_VALUE"""),"Part-time")</f>
        <v>Part-time</v>
      </c>
      <c r="Q68" s="1">
        <f ca="1">IFERROR(__xludf.DUMMYFUNCTION("""COMPUTED_VALUE"""),12000000)</f>
        <v>12000000</v>
      </c>
      <c r="R68" s="3" t="str">
        <f ca="1">IFERROR(__xludf.DUMMYFUNCTION("""COMPUTED_VALUE"""),"https://drive.google.com/open?id=ajleYMCiix55pHNka4Pt")</f>
        <v>https://drive.google.com/open?id=ajleYMCiix55pHNka4Pt</v>
      </c>
      <c r="S68" s="1">
        <f ca="1">IFERROR(__xludf.DUMMYFUNCTION("""COMPUTED_VALUE"""),36000000)</f>
        <v>36000000</v>
      </c>
      <c r="T68" s="1" t="str">
        <f ca="1">IFERROR(__xludf.DUMMYFUNCTION("""COMPUTED_VALUE"""),"Classic")</f>
        <v>Classic</v>
      </c>
      <c r="U68" s="1" t="str">
        <f ca="1">IFERROR(__xludf.DUMMYFUNCTION("""COMPUTED_VALUE"""),"Branch")</f>
        <v>Branch</v>
      </c>
    </row>
    <row r="69" spans="1:21" x14ac:dyDescent="0.25">
      <c r="A69" s="2" t="str">
        <f ca="1">IFERROR(__xludf.DUMMYFUNCTION("""COMPUTED_VALUE"""),"APP0068")</f>
        <v>APP0068</v>
      </c>
      <c r="B69" s="2">
        <f ca="1">IFERROR(__xludf.DUMMYFUNCTION("""COMPUTED_VALUE"""),45900.6195023148)</f>
        <v>45900.619502314803</v>
      </c>
      <c r="C69" s="1" t="str">
        <f ca="1">IFERROR(__xludf.DUMMYFUNCTION("""COMPUTED_VALUE"""),"Lê Quang Lan")</f>
        <v>Lê Quang Lan</v>
      </c>
      <c r="D69" s="1" t="str">
        <f ca="1">IFERROR(__xludf.DUMMYFUNCTION("""COMPUTED_VALUE"""),"23/01/1988")</f>
        <v>23/01/1988</v>
      </c>
      <c r="E69" s="1" t="str">
        <f ca="1">IFERROR(__xludf.DUMMYFUNCTION("""COMPUTED_VALUE"""),"Female")</f>
        <v>Female</v>
      </c>
      <c r="F69" s="1" t="str">
        <f ca="1">IFERROR(__xludf.DUMMYFUNCTION("""COMPUTED_VALUE"""),"Vietnam")</f>
        <v>Vietnam</v>
      </c>
      <c r="G69" s="1" t="str">
        <f ca="1">IFERROR(__xludf.DUMMYFUNCTION("""COMPUTED_VALUE"""),"0952362483")</f>
        <v>0952362483</v>
      </c>
      <c r="H69" s="1" t="str">
        <f ca="1">IFERROR(__xludf.DUMMYFUNCTION("""COMPUTED_VALUE"""),"lequanglan@gmail.com")</f>
        <v>lequanglan@gmail.com</v>
      </c>
      <c r="I69" s="1" t="str">
        <f ca="1">IFERROR(__xludf.DUMMYFUNCTION("""COMPUTED_VALUE"""),"28 Ly Thuong Kiet, Quan 7, Da Nang, Viet Nam")</f>
        <v>28 Ly Thuong Kiet, Quan 7, Da Nang, Viet Nam</v>
      </c>
      <c r="J69" s="1" t="str">
        <f ca="1">IFERROR(__xludf.DUMMYFUNCTION("""COMPUTED_VALUE"""),"024578693432")</f>
        <v>024578693432</v>
      </c>
      <c r="K69" s="3" t="str">
        <f ca="1">IFERROR(__xludf.DUMMYFUNCTION("""COMPUTED_VALUE"""),"https://drive.google.com/open?id=tXR73Bxc35swwttLivfi")</f>
        <v>https://drive.google.com/open?id=tXR73Bxc35swwttLivfi</v>
      </c>
      <c r="L69" s="3" t="str">
        <f ca="1">IFERROR(__xludf.DUMMYFUNCTION("""COMPUTED_VALUE"""),"https://drive.google.com/open?id=xyfrn6bN0LzETY00TJUf")</f>
        <v>https://drive.google.com/open?id=xyfrn6bN0LzETY00TJUf</v>
      </c>
      <c r="M69" s="1"/>
      <c r="N69" s="1"/>
      <c r="O69" s="1"/>
      <c r="P69" s="1" t="str">
        <f ca="1">IFERROR(__xludf.DUMMYFUNCTION("""COMPUTED_VALUE"""),"Contract")</f>
        <v>Contract</v>
      </c>
      <c r="Q69" s="1">
        <f ca="1">IFERROR(__xludf.DUMMYFUNCTION("""COMPUTED_VALUE"""),20000000)</f>
        <v>20000000</v>
      </c>
      <c r="R69" s="3" t="str">
        <f ca="1">IFERROR(__xludf.DUMMYFUNCTION("""COMPUTED_VALUE"""),"https://drive.google.com/open?id=GqoYiMSMG37P2zTQiGsK")</f>
        <v>https://drive.google.com/open?id=GqoYiMSMG37P2zTQiGsK</v>
      </c>
      <c r="S69" s="1">
        <f ca="1">IFERROR(__xludf.DUMMYFUNCTION("""COMPUTED_VALUE"""),40000000)</f>
        <v>40000000</v>
      </c>
      <c r="T69" s="1" t="str">
        <f ca="1">IFERROR(__xludf.DUMMYFUNCTION("""COMPUTED_VALUE"""),"Platinum")</f>
        <v>Platinum</v>
      </c>
      <c r="U69" s="1" t="str">
        <f ca="1">IFERROR(__xludf.DUMMYFUNCTION("""COMPUTED_VALUE"""),"Partner")</f>
        <v>Partner</v>
      </c>
    </row>
    <row r="70" spans="1:21" x14ac:dyDescent="0.25">
      <c r="A70" s="2" t="str">
        <f ca="1">IFERROR(__xludf.DUMMYFUNCTION("""COMPUTED_VALUE"""),"APP0069")</f>
        <v>APP0069</v>
      </c>
      <c r="B70" s="2">
        <f ca="1">IFERROR(__xludf.DUMMYFUNCTION("""COMPUTED_VALUE"""),45900.6429050925)</f>
        <v>45900.6429050925</v>
      </c>
      <c r="C70" s="1" t="str">
        <f ca="1">IFERROR(__xludf.DUMMYFUNCTION("""COMPUTED_VALUE"""),"Bùi Anh Tú")</f>
        <v>Bùi Anh Tú</v>
      </c>
      <c r="D70" s="1" t="str">
        <f ca="1">IFERROR(__xludf.DUMMYFUNCTION("""COMPUTED_VALUE"""),"08/07/1981")</f>
        <v>08/07/1981</v>
      </c>
      <c r="E70" s="1" t="str">
        <f ca="1">IFERROR(__xludf.DUMMYFUNCTION("""COMPUTED_VALUE"""),"Female")</f>
        <v>Female</v>
      </c>
      <c r="F70" s="1" t="str">
        <f ca="1">IFERROR(__xludf.DUMMYFUNCTION("""COMPUTED_VALUE"""),"Vietnam")</f>
        <v>Vietnam</v>
      </c>
      <c r="G70" s="1" t="str">
        <f ca="1">IFERROR(__xludf.DUMMYFUNCTION("""COMPUTED_VALUE"""),"0824884219")</f>
        <v>0824884219</v>
      </c>
      <c r="H70" s="1" t="str">
        <f ca="1">IFERROR(__xludf.DUMMYFUNCTION("""COMPUTED_VALUE"""),"buianhtu@gmail.com")</f>
        <v>buianhtu@gmail.com</v>
      </c>
      <c r="I70" s="1" t="str">
        <f ca="1">IFERROR(__xludf.DUMMYFUNCTION("""COMPUTED_VALUE"""),"16 Le Loi, Quan 3, Can Tho, Viet Nam")</f>
        <v>16 Le Loi, Quan 3, Can Tho, Viet Nam</v>
      </c>
      <c r="J70" s="1" t="str">
        <f ca="1">IFERROR(__xludf.DUMMYFUNCTION("""COMPUTED_VALUE"""),"023977082124")</f>
        <v>023977082124</v>
      </c>
      <c r="K70" s="3" t="str">
        <f ca="1">IFERROR(__xludf.DUMMYFUNCTION("""COMPUTED_VALUE"""),"https://drive.google.com/open?id=ajNo350wl7rRYlz3i7bn")</f>
        <v>https://drive.google.com/open?id=ajNo350wl7rRYlz3i7bn</v>
      </c>
      <c r="L70" s="3" t="str">
        <f ca="1">IFERROR(__xludf.DUMMYFUNCTION("""COMPUTED_VALUE"""),"https://drive.google.com/open?id=vvGpvQaIHRKqhpb5Te8w")</f>
        <v>https://drive.google.com/open?id=vvGpvQaIHRKqhpb5Te8w</v>
      </c>
      <c r="M70" s="1"/>
      <c r="N70" s="1"/>
      <c r="O70" s="1"/>
      <c r="P70" s="1" t="str">
        <f ca="1">IFERROR(__xludf.DUMMYFUNCTION("""COMPUTED_VALUE"""),"Contract")</f>
        <v>Contract</v>
      </c>
      <c r="Q70" s="1">
        <f ca="1">IFERROR(__xludf.DUMMYFUNCTION("""COMPUTED_VALUE"""),12000000)</f>
        <v>12000000</v>
      </c>
      <c r="R70" s="3" t="str">
        <f ca="1">IFERROR(__xludf.DUMMYFUNCTION("""COMPUTED_VALUE"""),"https://drive.google.com/open?id=O1hqsmczdLIWuVu6zVZ5")</f>
        <v>https://drive.google.com/open?id=O1hqsmczdLIWuVu6zVZ5</v>
      </c>
      <c r="S70" s="1">
        <f ca="1">IFERROR(__xludf.DUMMYFUNCTION("""COMPUTED_VALUE"""),60000000)</f>
        <v>60000000</v>
      </c>
      <c r="T70" s="1" t="str">
        <f ca="1">IFERROR(__xludf.DUMMYFUNCTION("""COMPUTED_VALUE"""),"Platinum")</f>
        <v>Platinum</v>
      </c>
      <c r="U70" s="1" t="str">
        <f ca="1">IFERROR(__xludf.DUMMYFUNCTION("""COMPUTED_VALUE"""),"Branch")</f>
        <v>Branch</v>
      </c>
    </row>
    <row r="71" spans="1:21" x14ac:dyDescent="0.25">
      <c r="A71" s="2" t="str">
        <f ca="1">IFERROR(__xludf.DUMMYFUNCTION("""COMPUTED_VALUE"""),"APP0070")</f>
        <v>APP0070</v>
      </c>
      <c r="B71" s="2">
        <f ca="1">IFERROR(__xludf.DUMMYFUNCTION("""COMPUTED_VALUE"""),45900.648125)</f>
        <v>45900.648125</v>
      </c>
      <c r="C71" s="1" t="str">
        <f ca="1">IFERROR(__xludf.DUMMYFUNCTION("""COMPUTED_VALUE"""),"Dương Quang Hiếu")</f>
        <v>Dương Quang Hiếu</v>
      </c>
      <c r="D71" s="1" t="str">
        <f ca="1">IFERROR(__xludf.DUMMYFUNCTION("""COMPUTED_VALUE"""),"09/10/1972")</f>
        <v>09/10/1972</v>
      </c>
      <c r="E71" s="1" t="str">
        <f ca="1">IFERROR(__xludf.DUMMYFUNCTION("""COMPUTED_VALUE"""),"Male")</f>
        <v>Male</v>
      </c>
      <c r="F71" s="1" t="str">
        <f ca="1">IFERROR(__xludf.DUMMYFUNCTION("""COMPUTED_VALUE"""),"Vietnam")</f>
        <v>Vietnam</v>
      </c>
      <c r="G71" s="1" t="str">
        <f ca="1">IFERROR(__xludf.DUMMYFUNCTION("""COMPUTED_VALUE"""),"0984258529")</f>
        <v>0984258529</v>
      </c>
      <c r="H71" s="1" t="str">
        <f ca="1">IFERROR(__xludf.DUMMYFUNCTION("""COMPUTED_VALUE"""),"duongquanghieu@gmail.com")</f>
        <v>duongquanghieu@gmail.com</v>
      </c>
      <c r="I71" s="1" t="str">
        <f ca="1">IFERROR(__xludf.DUMMYFUNCTION("""COMPUTED_VALUE"""),"29 Nguyen Trai, Hoan Kiem, Hai Phong, Viet Nam")</f>
        <v>29 Nguyen Trai, Hoan Kiem, Hai Phong, Viet Nam</v>
      </c>
      <c r="J71" s="1" t="str">
        <f ca="1">IFERROR(__xludf.DUMMYFUNCTION("""COMPUTED_VALUE"""),"031988163369")</f>
        <v>031988163369</v>
      </c>
      <c r="K71" s="3" t="str">
        <f ca="1">IFERROR(__xludf.DUMMYFUNCTION("""COMPUTED_VALUE"""),"https://drive.google.com/open?id=0w1G0XMj3vJUmbl74qs1")</f>
        <v>https://drive.google.com/open?id=0w1G0XMj3vJUmbl74qs1</v>
      </c>
      <c r="L71" s="3" t="str">
        <f ca="1">IFERROR(__xludf.DUMMYFUNCTION("""COMPUTED_VALUE"""),"https://drive.google.com/open?id=MJQ2547urb1Sapq8Lnei")</f>
        <v>https://drive.google.com/open?id=MJQ2547urb1Sapq8Lnei</v>
      </c>
      <c r="M71" s="1"/>
      <c r="N71" s="1"/>
      <c r="O71" s="1"/>
      <c r="P71" s="1" t="str">
        <f ca="1">IFERROR(__xludf.DUMMYFUNCTION("""COMPUTED_VALUE"""),"Contract")</f>
        <v>Contract</v>
      </c>
      <c r="Q71" s="1">
        <f ca="1">IFERROR(__xludf.DUMMYFUNCTION("""COMPUTED_VALUE"""),50000000)</f>
        <v>50000000</v>
      </c>
      <c r="R71" s="3" t="str">
        <f ca="1">IFERROR(__xludf.DUMMYFUNCTION("""COMPUTED_VALUE"""),"https://drive.google.com/open?id=AyqCTTdLQ7QVGPNH33mJ")</f>
        <v>https://drive.google.com/open?id=AyqCTTdLQ7QVGPNH33mJ</v>
      </c>
      <c r="S71" s="1">
        <f ca="1">IFERROR(__xludf.DUMMYFUNCTION("""COMPUTED_VALUE"""),250000000)</f>
        <v>250000000</v>
      </c>
      <c r="T71" s="1" t="str">
        <f ca="1">IFERROR(__xludf.DUMMYFUNCTION("""COMPUTED_VALUE"""),"Platinum")</f>
        <v>Platinum</v>
      </c>
      <c r="U71" s="1" t="str">
        <f ca="1">IFERROR(__xludf.DUMMYFUNCTION("""COMPUTED_VALUE"""),"Partner")</f>
        <v>Partner</v>
      </c>
    </row>
    <row r="72" spans="1:21" x14ac:dyDescent="0.25">
      <c r="A72" s="2" t="str">
        <f ca="1">IFERROR(__xludf.DUMMYFUNCTION("""COMPUTED_VALUE"""),"APP0071")</f>
        <v>APP0071</v>
      </c>
      <c r="B72" s="2">
        <f ca="1">IFERROR(__xludf.DUMMYFUNCTION("""COMPUTED_VALUE"""),45900.756875)</f>
        <v>45900.756874999999</v>
      </c>
      <c r="C72" s="1" t="str">
        <f ca="1">IFERROR(__xludf.DUMMYFUNCTION("""COMPUTED_VALUE"""),"Hoàng Anh Hùng")</f>
        <v>Hoàng Anh Hùng</v>
      </c>
      <c r="D72" s="1" t="str">
        <f ca="1">IFERROR(__xludf.DUMMYFUNCTION("""COMPUTED_VALUE"""),"14/09/1973")</f>
        <v>14/09/1973</v>
      </c>
      <c r="E72" s="1" t="str">
        <f ca="1">IFERROR(__xludf.DUMMYFUNCTION("""COMPUTED_VALUE"""),"Female")</f>
        <v>Female</v>
      </c>
      <c r="F72" s="1" t="str">
        <f ca="1">IFERROR(__xludf.DUMMYFUNCTION("""COMPUTED_VALUE"""),"Vietnam")</f>
        <v>Vietnam</v>
      </c>
      <c r="G72" s="1" t="str">
        <f ca="1">IFERROR(__xludf.DUMMYFUNCTION("""COMPUTED_VALUE"""),"0748182870")</f>
        <v>0748182870</v>
      </c>
      <c r="H72" s="1" t="str">
        <f ca="1">IFERROR(__xludf.DUMMYFUNCTION("""COMPUTED_VALUE"""),"hoanganhhung@gmail.com")</f>
        <v>hoanganhhung@gmail.com</v>
      </c>
      <c r="I72" s="1" t="str">
        <f ca="1">IFERROR(__xludf.DUMMYFUNCTION("""COMPUTED_VALUE"""),"131 Nguyen Hue, Quan 3, TP Ho Chi Minh, Viet Nam")</f>
        <v>131 Nguyen Hue, Quan 3, TP Ho Chi Minh, Viet Nam</v>
      </c>
      <c r="J72" s="1" t="str">
        <f ca="1">IFERROR(__xludf.DUMMYFUNCTION("""COMPUTED_VALUE"""),"092662256701")</f>
        <v>092662256701</v>
      </c>
      <c r="K72" s="3" t="str">
        <f ca="1">IFERROR(__xludf.DUMMYFUNCTION("""COMPUTED_VALUE"""),"https://drive.google.com/open?id=s7RhWKhd7GQOVVTrLpwv")</f>
        <v>https://drive.google.com/open?id=s7RhWKhd7GQOVVTrLpwv</v>
      </c>
      <c r="L72" s="3" t="str">
        <f ca="1">IFERROR(__xludf.DUMMYFUNCTION("""COMPUTED_VALUE"""),"https://drive.google.com/open?id=O1rAwaOfqr1lOBGcp5Dn")</f>
        <v>https://drive.google.com/open?id=O1rAwaOfqr1lOBGcp5Dn</v>
      </c>
      <c r="M72" s="1"/>
      <c r="N72" s="1"/>
      <c r="O72" s="1"/>
      <c r="P72" s="1" t="str">
        <f ca="1">IFERROR(__xludf.DUMMYFUNCTION("""COMPUTED_VALUE"""),"Full-time")</f>
        <v>Full-time</v>
      </c>
      <c r="Q72" s="1">
        <f ca="1">IFERROR(__xludf.DUMMYFUNCTION("""COMPUTED_VALUE"""),20000000)</f>
        <v>20000000</v>
      </c>
      <c r="R72" s="3" t="str">
        <f ca="1">IFERROR(__xludf.DUMMYFUNCTION("""COMPUTED_VALUE"""),"https://drive.google.com/open?id=eT278gPqoxRX2wDwHT7z")</f>
        <v>https://drive.google.com/open?id=eT278gPqoxRX2wDwHT7z</v>
      </c>
      <c r="S72" s="1">
        <f ca="1">IFERROR(__xludf.DUMMYFUNCTION("""COMPUTED_VALUE"""),60000000)</f>
        <v>60000000</v>
      </c>
      <c r="T72" s="1" t="str">
        <f ca="1">IFERROR(__xludf.DUMMYFUNCTION("""COMPUTED_VALUE"""),"Platinum")</f>
        <v>Platinum</v>
      </c>
      <c r="U72" s="1" t="str">
        <f ca="1">IFERROR(__xludf.DUMMYFUNCTION("""COMPUTED_VALUE"""),"Branch")</f>
        <v>Branch</v>
      </c>
    </row>
    <row r="73" spans="1:21" x14ac:dyDescent="0.25">
      <c r="A73" s="2" t="str">
        <f ca="1">IFERROR(__xludf.DUMMYFUNCTION("""COMPUTED_VALUE"""),"APP0072")</f>
        <v>APP0072</v>
      </c>
      <c r="B73" s="2">
        <f ca="1">IFERROR(__xludf.DUMMYFUNCTION("""COMPUTED_VALUE"""),45900.8358449074)</f>
        <v>45900.8358449074</v>
      </c>
      <c r="C73" s="1" t="str">
        <f ca="1">IFERROR(__xludf.DUMMYFUNCTION("""COMPUTED_VALUE"""),"Hồ Đức Bình")</f>
        <v>Hồ Đức Bình</v>
      </c>
      <c r="D73" s="1" t="str">
        <f ca="1">IFERROR(__xludf.DUMMYFUNCTION("""COMPUTED_VALUE"""),"14/02/1982")</f>
        <v>14/02/1982</v>
      </c>
      <c r="E73" s="1" t="str">
        <f ca="1">IFERROR(__xludf.DUMMYFUNCTION("""COMPUTED_VALUE"""),"Male")</f>
        <v>Male</v>
      </c>
      <c r="F73" s="1" t="str">
        <f ca="1">IFERROR(__xludf.DUMMYFUNCTION("""COMPUTED_VALUE"""),"Vietnam")</f>
        <v>Vietnam</v>
      </c>
      <c r="G73" s="1" t="str">
        <f ca="1">IFERROR(__xludf.DUMMYFUNCTION("""COMPUTED_VALUE"""),"0881029667")</f>
        <v>0881029667</v>
      </c>
      <c r="H73" s="1" t="str">
        <f ca="1">IFERROR(__xludf.DUMMYFUNCTION("""COMPUTED_VALUE"""),"hoducbinh@gmail.com")</f>
        <v>hoducbinh@gmail.com</v>
      </c>
      <c r="I73" s="1" t="str">
        <f ca="1">IFERROR(__xludf.DUMMYFUNCTION("""COMPUTED_VALUE"""),"124 Nguyen Trai, Quan 3, TP Ho Chi Minh, Viet Nam")</f>
        <v>124 Nguyen Trai, Quan 3, TP Ho Chi Minh, Viet Nam</v>
      </c>
      <c r="J73" s="1" t="str">
        <f ca="1">IFERROR(__xludf.DUMMYFUNCTION("""COMPUTED_VALUE"""),"042162297763")</f>
        <v>042162297763</v>
      </c>
      <c r="K73" s="3" t="str">
        <f ca="1">IFERROR(__xludf.DUMMYFUNCTION("""COMPUTED_VALUE"""),"https://drive.google.com/open?id=KtjUoUsg95rAEes62bmZ")</f>
        <v>https://drive.google.com/open?id=KtjUoUsg95rAEes62bmZ</v>
      </c>
      <c r="L73" s="3" t="str">
        <f ca="1">IFERROR(__xludf.DUMMYFUNCTION("""COMPUTED_VALUE"""),"https://drive.google.com/open?id=TcZWUqsOc2Gv38Sqrytn")</f>
        <v>https://drive.google.com/open?id=TcZWUqsOc2Gv38Sqrytn</v>
      </c>
      <c r="M73" s="1"/>
      <c r="N73" s="1"/>
      <c r="O73" s="1"/>
      <c r="P73" s="1" t="str">
        <f ca="1">IFERROR(__xludf.DUMMYFUNCTION("""COMPUTED_VALUE"""),"Part-time")</f>
        <v>Part-time</v>
      </c>
      <c r="Q73" s="1">
        <f ca="1">IFERROR(__xludf.DUMMYFUNCTION("""COMPUTED_VALUE"""),8000000)</f>
        <v>8000000</v>
      </c>
      <c r="R73" s="3" t="str">
        <f ca="1">IFERROR(__xludf.DUMMYFUNCTION("""COMPUTED_VALUE"""),"https://drive.google.com/open?id=aZn9V70FHYm5I3HGOQLF")</f>
        <v>https://drive.google.com/open?id=aZn9V70FHYm5I3HGOQLF</v>
      </c>
      <c r="S73" s="1">
        <f ca="1">IFERROR(__xludf.DUMMYFUNCTION("""COMPUTED_VALUE"""),16000000)</f>
        <v>16000000</v>
      </c>
      <c r="T73" s="1" t="str">
        <f ca="1">IFERROR(__xludf.DUMMYFUNCTION("""COMPUTED_VALUE"""),"Classic")</f>
        <v>Classic</v>
      </c>
      <c r="U73" s="1" t="str">
        <f ca="1">IFERROR(__xludf.DUMMYFUNCTION("""COMPUTED_VALUE"""),"Online")</f>
        <v>Online</v>
      </c>
    </row>
    <row r="74" spans="1:21" x14ac:dyDescent="0.25">
      <c r="A74" s="2" t="str">
        <f ca="1">IFERROR(__xludf.DUMMYFUNCTION("""COMPUTED_VALUE"""),"APP0073")</f>
        <v>APP0073</v>
      </c>
      <c r="B74" s="2">
        <f ca="1">IFERROR(__xludf.DUMMYFUNCTION("""COMPUTED_VALUE"""),45900.9086689814)</f>
        <v>45900.908668981399</v>
      </c>
      <c r="C74" s="1" t="str">
        <f ca="1">IFERROR(__xludf.DUMMYFUNCTION("""COMPUTED_VALUE"""),"Bùi Đức Linh")</f>
        <v>Bùi Đức Linh</v>
      </c>
      <c r="D74" s="1" t="str">
        <f ca="1">IFERROR(__xludf.DUMMYFUNCTION("""COMPUTED_VALUE"""),"27/04/2001")</f>
        <v>27/04/2001</v>
      </c>
      <c r="E74" s="1" t="str">
        <f ca="1">IFERROR(__xludf.DUMMYFUNCTION("""COMPUTED_VALUE"""),"Male")</f>
        <v>Male</v>
      </c>
      <c r="F74" s="1" t="str">
        <f ca="1">IFERROR(__xludf.DUMMYFUNCTION("""COMPUTED_VALUE"""),"Vietnam")</f>
        <v>Vietnam</v>
      </c>
      <c r="G74" s="1" t="str">
        <f ca="1">IFERROR(__xludf.DUMMYFUNCTION("""COMPUTED_VALUE"""),"0745816145")</f>
        <v>0745816145</v>
      </c>
      <c r="H74" s="1" t="str">
        <f ca="1">IFERROR(__xludf.DUMMYFUNCTION("""COMPUTED_VALUE"""),"buiduclinh@gmail.com")</f>
        <v>buiduclinh@gmail.com</v>
      </c>
      <c r="I74" s="1" t="str">
        <f ca="1">IFERROR(__xludf.DUMMYFUNCTION("""COMPUTED_VALUE"""),"103 Tran Hung Dao, Dong Da, Can Tho, Viet Nam")</f>
        <v>103 Tran Hung Dao, Dong Da, Can Tho, Viet Nam</v>
      </c>
      <c r="J74" s="1" t="str">
        <f ca="1">IFERROR(__xludf.DUMMYFUNCTION("""COMPUTED_VALUE"""),"043863048545")</f>
        <v>043863048545</v>
      </c>
      <c r="K74" s="3" t="str">
        <f ca="1">IFERROR(__xludf.DUMMYFUNCTION("""COMPUTED_VALUE"""),"https://drive.google.com/open?id=wFnY3ehjwPKAnIHWd7rw")</f>
        <v>https://drive.google.com/open?id=wFnY3ehjwPKAnIHWd7rw</v>
      </c>
      <c r="L74" s="3" t="str">
        <f ca="1">IFERROR(__xludf.DUMMYFUNCTION("""COMPUTED_VALUE"""),"https://drive.google.com/open?id=8HbWUa4ZodIVer16OVpb")</f>
        <v>https://drive.google.com/open?id=8HbWUa4ZodIVer16OVpb</v>
      </c>
      <c r="M74" s="1"/>
      <c r="N74" s="1"/>
      <c r="O74" s="1"/>
      <c r="P74" s="1" t="str">
        <f ca="1">IFERROR(__xludf.DUMMYFUNCTION("""COMPUTED_VALUE"""),"Contract")</f>
        <v>Contract</v>
      </c>
      <c r="Q74" s="1">
        <f ca="1">IFERROR(__xludf.DUMMYFUNCTION("""COMPUTED_VALUE"""),50000000)</f>
        <v>50000000</v>
      </c>
      <c r="R74" s="3" t="str">
        <f ca="1">IFERROR(__xludf.DUMMYFUNCTION("""COMPUTED_VALUE"""),"https://drive.google.com/open?id=u5ft2dZisSsjIy0eIf1t")</f>
        <v>https://drive.google.com/open?id=u5ft2dZisSsjIy0eIf1t</v>
      </c>
      <c r="S74" s="1">
        <f ca="1">IFERROR(__xludf.DUMMYFUNCTION("""COMPUTED_VALUE"""),150000000)</f>
        <v>150000000</v>
      </c>
      <c r="T74" s="1" t="str">
        <f ca="1">IFERROR(__xludf.DUMMYFUNCTION("""COMPUTED_VALUE"""),"Gold")</f>
        <v>Gold</v>
      </c>
      <c r="U74" s="1" t="str">
        <f ca="1">IFERROR(__xludf.DUMMYFUNCTION("""COMPUTED_VALUE"""),"Partner")</f>
        <v>Partner</v>
      </c>
    </row>
    <row r="75" spans="1:21" x14ac:dyDescent="0.25">
      <c r="A75" s="2" t="str">
        <f ca="1">IFERROR(__xludf.DUMMYFUNCTION("""COMPUTED_VALUE"""),"APP0074")</f>
        <v>APP0074</v>
      </c>
      <c r="B75" s="2">
        <f ca="1">IFERROR(__xludf.DUMMYFUNCTION("""COMPUTED_VALUE"""),45900.9239467592)</f>
        <v>45900.923946759198</v>
      </c>
      <c r="C75" s="1" t="str">
        <f ca="1">IFERROR(__xludf.DUMMYFUNCTION("""COMPUTED_VALUE"""),"Lý Ngọc Phúc")</f>
        <v>Lý Ngọc Phúc</v>
      </c>
      <c r="D75" s="1" t="str">
        <f ca="1">IFERROR(__xludf.DUMMYFUNCTION("""COMPUTED_VALUE"""),"19/04/2005")</f>
        <v>19/04/2005</v>
      </c>
      <c r="E75" s="1" t="str">
        <f ca="1">IFERROR(__xludf.DUMMYFUNCTION("""COMPUTED_VALUE"""),"Male")</f>
        <v>Male</v>
      </c>
      <c r="F75" s="1" t="str">
        <f ca="1">IFERROR(__xludf.DUMMYFUNCTION("""COMPUTED_VALUE"""),"Vietnam")</f>
        <v>Vietnam</v>
      </c>
      <c r="G75" s="1" t="str">
        <f ca="1">IFERROR(__xludf.DUMMYFUNCTION("""COMPUTED_VALUE"""),"0745335800")</f>
        <v>0745335800</v>
      </c>
      <c r="H75" s="1" t="str">
        <f ca="1">IFERROR(__xludf.DUMMYFUNCTION("""COMPUTED_VALUE"""),"lyngocphuc@gmail.com")</f>
        <v>lyngocphuc@gmail.com</v>
      </c>
      <c r="I75" s="1" t="str">
        <f ca="1">IFERROR(__xludf.DUMMYFUNCTION("""COMPUTED_VALUE"""),"37 Tran Hung Dao, Quan 3, Da Nang, Viet Nam")</f>
        <v>37 Tran Hung Dao, Quan 3, Da Nang, Viet Nam</v>
      </c>
      <c r="J75" s="1" t="str">
        <f ca="1">IFERROR(__xludf.DUMMYFUNCTION("""COMPUTED_VALUE"""),"077095135778")</f>
        <v>077095135778</v>
      </c>
      <c r="K75" s="3" t="str">
        <f ca="1">IFERROR(__xludf.DUMMYFUNCTION("""COMPUTED_VALUE"""),"https://drive.google.com/open?id=xJxP3qPLVbEY91gZFJmD")</f>
        <v>https://drive.google.com/open?id=xJxP3qPLVbEY91gZFJmD</v>
      </c>
      <c r="L75" s="3" t="str">
        <f ca="1">IFERROR(__xludf.DUMMYFUNCTION("""COMPUTED_VALUE"""),"https://drive.google.com/open?id=MiLsZFi8U6ZWRsCXn3gU")</f>
        <v>https://drive.google.com/open?id=MiLsZFi8U6ZWRsCXn3gU</v>
      </c>
      <c r="M75" s="1"/>
      <c r="N75" s="1"/>
      <c r="O75" s="1"/>
      <c r="P75" s="1" t="str">
        <f ca="1">IFERROR(__xludf.DUMMYFUNCTION("""COMPUTED_VALUE"""),"Contract")</f>
        <v>Contract</v>
      </c>
      <c r="Q75" s="1">
        <f ca="1">IFERROR(__xludf.DUMMYFUNCTION("""COMPUTED_VALUE"""),50000000)</f>
        <v>50000000</v>
      </c>
      <c r="R75" s="3" t="str">
        <f ca="1">IFERROR(__xludf.DUMMYFUNCTION("""COMPUTED_VALUE"""),"https://drive.google.com/open?id=QqFLeN2Nb6mvfeuA8oE1")</f>
        <v>https://drive.google.com/open?id=QqFLeN2Nb6mvfeuA8oE1</v>
      </c>
      <c r="S75" s="1">
        <f ca="1">IFERROR(__xludf.DUMMYFUNCTION("""COMPUTED_VALUE"""),100000000)</f>
        <v>100000000</v>
      </c>
      <c r="T75" s="1" t="str">
        <f ca="1">IFERROR(__xludf.DUMMYFUNCTION("""COMPUTED_VALUE"""),"Gold")</f>
        <v>Gold</v>
      </c>
      <c r="U75" s="1" t="str">
        <f ca="1">IFERROR(__xludf.DUMMYFUNCTION("""COMPUTED_VALUE"""),"Branch")</f>
        <v>Branch</v>
      </c>
    </row>
    <row r="76" spans="1:21" x14ac:dyDescent="0.25">
      <c r="A76" s="2" t="str">
        <f ca="1">IFERROR(__xludf.DUMMYFUNCTION("""COMPUTED_VALUE"""),"APP0075")</f>
        <v>APP0075</v>
      </c>
      <c r="B76" s="2">
        <f ca="1">IFERROR(__xludf.DUMMYFUNCTION("""COMPUTED_VALUE"""),45901.0208449074)</f>
        <v>45901.020844907398</v>
      </c>
      <c r="C76" s="1" t="str">
        <f ca="1">IFERROR(__xludf.DUMMYFUNCTION("""COMPUTED_VALUE"""),"Huỳnh Anh Yến")</f>
        <v>Huỳnh Anh Yến</v>
      </c>
      <c r="D76" s="1" t="str">
        <f ca="1">IFERROR(__xludf.DUMMYFUNCTION("""COMPUTED_VALUE"""),"07/06/1976")</f>
        <v>07/06/1976</v>
      </c>
      <c r="E76" s="1" t="str">
        <f ca="1">IFERROR(__xludf.DUMMYFUNCTION("""COMPUTED_VALUE"""),"Male")</f>
        <v>Male</v>
      </c>
      <c r="F76" s="1" t="str">
        <f ca="1">IFERROR(__xludf.DUMMYFUNCTION("""COMPUTED_VALUE"""),"Vietnam")</f>
        <v>Vietnam</v>
      </c>
      <c r="G76" s="1" t="str">
        <f ca="1">IFERROR(__xludf.DUMMYFUNCTION("""COMPUTED_VALUE"""),"0729691009")</f>
        <v>0729691009</v>
      </c>
      <c r="H76" s="1" t="str">
        <f ca="1">IFERROR(__xludf.DUMMYFUNCTION("""COMPUTED_VALUE"""),"huynhanhyen@gmail.com")</f>
        <v>huynhanhyen@gmail.com</v>
      </c>
      <c r="I76" s="1" t="str">
        <f ca="1">IFERROR(__xludf.DUMMYFUNCTION("""COMPUTED_VALUE"""),"174 Le Loi, Hoan Kiem, TP Ho Chi Minh, Viet Nam")</f>
        <v>174 Le Loi, Hoan Kiem, TP Ho Chi Minh, Viet Nam</v>
      </c>
      <c r="J76" s="1" t="str">
        <f ca="1">IFERROR(__xludf.DUMMYFUNCTION("""COMPUTED_VALUE"""),"029098907224")</f>
        <v>029098907224</v>
      </c>
      <c r="K76" s="3" t="str">
        <f ca="1">IFERROR(__xludf.DUMMYFUNCTION("""COMPUTED_VALUE"""),"https://drive.google.com/open?id=0bNQXKd63C8jFhLsfdoh")</f>
        <v>https://drive.google.com/open?id=0bNQXKd63C8jFhLsfdoh</v>
      </c>
      <c r="L76" s="3" t="str">
        <f ca="1">IFERROR(__xludf.DUMMYFUNCTION("""COMPUTED_VALUE"""),"https://drive.google.com/open?id=QUw1Rg4MCfIGnx4d7lcX")</f>
        <v>https://drive.google.com/open?id=QUw1Rg4MCfIGnx4d7lcX</v>
      </c>
      <c r="M76" s="1"/>
      <c r="N76" s="1"/>
      <c r="O76" s="1"/>
      <c r="P76" s="1" t="str">
        <f ca="1">IFERROR(__xludf.DUMMYFUNCTION("""COMPUTED_VALUE"""),"Freelancer")</f>
        <v>Freelancer</v>
      </c>
      <c r="Q76" s="1">
        <f ca="1">IFERROR(__xludf.DUMMYFUNCTION("""COMPUTED_VALUE"""),12000000)</f>
        <v>12000000</v>
      </c>
      <c r="R76" s="3" t="str">
        <f ca="1">IFERROR(__xludf.DUMMYFUNCTION("""COMPUTED_VALUE"""),"https://drive.google.com/open?id=mwGou36a4m1fMoY0yUaE")</f>
        <v>https://drive.google.com/open?id=mwGou36a4m1fMoY0yUaE</v>
      </c>
      <c r="S76" s="1">
        <f ca="1">IFERROR(__xludf.DUMMYFUNCTION("""COMPUTED_VALUE"""),60000000)</f>
        <v>60000000</v>
      </c>
      <c r="T76" s="1" t="str">
        <f ca="1">IFERROR(__xludf.DUMMYFUNCTION("""COMPUTED_VALUE"""),"Gold")</f>
        <v>Gold</v>
      </c>
      <c r="U76" s="1" t="str">
        <f ca="1">IFERROR(__xludf.DUMMYFUNCTION("""COMPUTED_VALUE"""),"Partner")</f>
        <v>Partner</v>
      </c>
    </row>
    <row r="77" spans="1:21" x14ac:dyDescent="0.25">
      <c r="A77" s="2" t="str">
        <f ca="1">IFERROR(__xludf.DUMMYFUNCTION("""COMPUTED_VALUE"""),"APP0076")</f>
        <v>APP0076</v>
      </c>
      <c r="B77" s="2">
        <f ca="1">IFERROR(__xludf.DUMMYFUNCTION("""COMPUTED_VALUE"""),45901.1680671296)</f>
        <v>45901.168067129598</v>
      </c>
      <c r="C77" s="1" t="str">
        <f ca="1">IFERROR(__xludf.DUMMYFUNCTION("""COMPUTED_VALUE"""),"Phạm Văn Vy")</f>
        <v>Phạm Văn Vy</v>
      </c>
      <c r="D77" s="1" t="str">
        <f ca="1">IFERROR(__xludf.DUMMYFUNCTION("""COMPUTED_VALUE"""),"25/02/2001")</f>
        <v>25/02/2001</v>
      </c>
      <c r="E77" s="1" t="str">
        <f ca="1">IFERROR(__xludf.DUMMYFUNCTION("""COMPUTED_VALUE"""),"Female")</f>
        <v>Female</v>
      </c>
      <c r="F77" s="1" t="str">
        <f ca="1">IFERROR(__xludf.DUMMYFUNCTION("""COMPUTED_VALUE"""),"Vietnam")</f>
        <v>Vietnam</v>
      </c>
      <c r="G77" s="1" t="str">
        <f ca="1">IFERROR(__xludf.DUMMYFUNCTION("""COMPUTED_VALUE"""),"0778859697")</f>
        <v>0778859697</v>
      </c>
      <c r="H77" s="1" t="str">
        <f ca="1">IFERROR(__xludf.DUMMYFUNCTION("""COMPUTED_VALUE"""),"phamvanvy@gmail.com")</f>
        <v>phamvanvy@gmail.com</v>
      </c>
      <c r="I77" s="1" t="str">
        <f ca="1">IFERROR(__xludf.DUMMYFUNCTION("""COMPUTED_VALUE"""),"119 Le Loi, Hoan Kiem, Ha Noi, Viet Nam")</f>
        <v>119 Le Loi, Hoan Kiem, Ha Noi, Viet Nam</v>
      </c>
      <c r="J77" s="1" t="str">
        <f ca="1">IFERROR(__xludf.DUMMYFUNCTION("""COMPUTED_VALUE"""),"089705965660")</f>
        <v>089705965660</v>
      </c>
      <c r="K77" s="3" t="str">
        <f ca="1">IFERROR(__xludf.DUMMYFUNCTION("""COMPUTED_VALUE"""),"https://drive.google.com/open?id=eQsi9wpQyzhGdCHIptEl")</f>
        <v>https://drive.google.com/open?id=eQsi9wpQyzhGdCHIptEl</v>
      </c>
      <c r="L77" s="3" t="str">
        <f ca="1">IFERROR(__xludf.DUMMYFUNCTION("""COMPUTED_VALUE"""),"https://drive.google.com/open?id=S3euvsJL9qWTMqx6kFCg")</f>
        <v>https://drive.google.com/open?id=S3euvsJL9qWTMqx6kFCg</v>
      </c>
      <c r="M77" s="1"/>
      <c r="N77" s="1"/>
      <c r="O77" s="1"/>
      <c r="P77" s="1" t="str">
        <f ca="1">IFERROR(__xludf.DUMMYFUNCTION("""COMPUTED_VALUE"""),"Contract")</f>
        <v>Contract</v>
      </c>
      <c r="Q77" s="1">
        <f ca="1">IFERROR(__xludf.DUMMYFUNCTION("""COMPUTED_VALUE"""),20000000)</f>
        <v>20000000</v>
      </c>
      <c r="R77" s="3" t="str">
        <f ca="1">IFERROR(__xludf.DUMMYFUNCTION("""COMPUTED_VALUE"""),"https://drive.google.com/open?id=Jvsh9XFmTK9lAD82P4oU")</f>
        <v>https://drive.google.com/open?id=Jvsh9XFmTK9lAD82P4oU</v>
      </c>
      <c r="S77" s="1">
        <f ca="1">IFERROR(__xludf.DUMMYFUNCTION("""COMPUTED_VALUE"""),100000000)</f>
        <v>100000000</v>
      </c>
      <c r="T77" s="1" t="str">
        <f ca="1">IFERROR(__xludf.DUMMYFUNCTION("""COMPUTED_VALUE"""),"Gold")</f>
        <v>Gold</v>
      </c>
      <c r="U77" s="1" t="str">
        <f ca="1">IFERROR(__xludf.DUMMYFUNCTION("""COMPUTED_VALUE"""),"Branch")</f>
        <v>Branch</v>
      </c>
    </row>
    <row r="78" spans="1:21" x14ac:dyDescent="0.25">
      <c r="A78" s="2" t="str">
        <f ca="1">IFERROR(__xludf.DUMMYFUNCTION("""COMPUTED_VALUE"""),"APP0077")</f>
        <v>APP0077</v>
      </c>
      <c r="B78" s="2">
        <f ca="1">IFERROR(__xludf.DUMMYFUNCTION("""COMPUTED_VALUE"""),45901.1920023148)</f>
        <v>45901.192002314798</v>
      </c>
      <c r="C78" s="1" t="str">
        <f ca="1">IFERROR(__xludf.DUMMYFUNCTION("""COMPUTED_VALUE"""),"Mr. Grant Turner")</f>
        <v>Mr. Grant Turner</v>
      </c>
      <c r="D78" s="1" t="str">
        <f ca="1">IFERROR(__xludf.DUMMYFUNCTION("""COMPUTED_VALUE"""),"06/01/1998")</f>
        <v>06/01/1998</v>
      </c>
      <c r="E78" s="1" t="str">
        <f ca="1">IFERROR(__xludf.DUMMYFUNCTION("""COMPUTED_VALUE"""),"Female")</f>
        <v>Female</v>
      </c>
      <c r="F78" s="1" t="str">
        <f ca="1">IFERROR(__xludf.DUMMYFUNCTION("""COMPUTED_VALUE"""),"Other")</f>
        <v>Other</v>
      </c>
      <c r="G78" s="1" t="str">
        <f ca="1">IFERROR(__xludf.DUMMYFUNCTION("""COMPUTED_VALUE"""),"+44 8333246080")</f>
        <v>+44 8333246080</v>
      </c>
      <c r="H78" s="1" t="str">
        <f ca="1">IFERROR(__xludf.DUMMYFUNCTION("""COMPUTED_VALUE"""),"mr.grantturner@gmail.com")</f>
        <v>mr.grantturner@gmail.com</v>
      </c>
      <c r="I78" s="1" t="str">
        <f ca="1">IFERROR(__xludf.DUMMYFUNCTION("""COMPUTED_VALUE"""),"951 Moss Ridge, Cherylshire, IN 53461")</f>
        <v>951 Moss Ridge, Cherylshire, IN 53461</v>
      </c>
      <c r="J78" s="1"/>
      <c r="K78" s="1"/>
      <c r="L78" s="1"/>
      <c r="M78" s="1" t="str">
        <f ca="1">IFERROR(__xludf.DUMMYFUNCTION("""COMPUTED_VALUE"""),"zE117866")</f>
        <v>zE117866</v>
      </c>
      <c r="N78" s="3" t="str">
        <f ca="1">IFERROR(__xludf.DUMMYFUNCTION("""COMPUTED_VALUE"""),"https://drive.google.com/open?id=QNG7h9VfcfVi7BzRcHOP")</f>
        <v>https://drive.google.com/open?id=QNG7h9VfcfVi7BzRcHOP</v>
      </c>
      <c r="O78" s="3" t="str">
        <f ca="1">IFERROR(__xludf.DUMMYFUNCTION("""COMPUTED_VALUE"""),"https://drive.google.com/open?id=YeUTB9VatxRSFotu0kGy")</f>
        <v>https://drive.google.com/open?id=YeUTB9VatxRSFotu0kGy</v>
      </c>
      <c r="P78" s="1" t="str">
        <f ca="1">IFERROR(__xludf.DUMMYFUNCTION("""COMPUTED_VALUE"""),"Full-time")</f>
        <v>Full-time</v>
      </c>
      <c r="Q78" s="1">
        <f ca="1">IFERROR(__xludf.DUMMYFUNCTION("""COMPUTED_VALUE"""),8000000)</f>
        <v>8000000</v>
      </c>
      <c r="R78" s="3" t="str">
        <f ca="1">IFERROR(__xludf.DUMMYFUNCTION("""COMPUTED_VALUE"""),"https://drive.google.com/open?id=jxDI7yJnFR19E5B5oxB0")</f>
        <v>https://drive.google.com/open?id=jxDI7yJnFR19E5B5oxB0</v>
      </c>
      <c r="S78" s="1">
        <f ca="1">IFERROR(__xludf.DUMMYFUNCTION("""COMPUTED_VALUE"""),40000000)</f>
        <v>40000000</v>
      </c>
      <c r="T78" s="1" t="str">
        <f ca="1">IFERROR(__xludf.DUMMYFUNCTION("""COMPUTED_VALUE"""),"Platinum")</f>
        <v>Platinum</v>
      </c>
      <c r="U78" s="1" t="str">
        <f ca="1">IFERROR(__xludf.DUMMYFUNCTION("""COMPUTED_VALUE"""),"Online")</f>
        <v>Online</v>
      </c>
    </row>
    <row r="79" spans="1:21" x14ac:dyDescent="0.25">
      <c r="A79" s="2" t="str">
        <f ca="1">IFERROR(__xludf.DUMMYFUNCTION("""COMPUTED_VALUE"""),"APP0078")</f>
        <v>APP0078</v>
      </c>
      <c r="B79" s="2">
        <f ca="1">IFERROR(__xludf.DUMMYFUNCTION("""COMPUTED_VALUE"""),45901.1971643518)</f>
        <v>45901.197164351797</v>
      </c>
      <c r="C79" s="1" t="str">
        <f ca="1">IFERROR(__xludf.DUMMYFUNCTION("""COMPUTED_VALUE"""),"Felicia Stafford")</f>
        <v>Felicia Stafford</v>
      </c>
      <c r="D79" s="1" t="str">
        <f ca="1">IFERROR(__xludf.DUMMYFUNCTION("""COMPUTED_VALUE"""),"27/12/1969")</f>
        <v>27/12/1969</v>
      </c>
      <c r="E79" s="1" t="str">
        <f ca="1">IFERROR(__xludf.DUMMYFUNCTION("""COMPUTED_VALUE"""),"Female")</f>
        <v>Female</v>
      </c>
      <c r="F79" s="1" t="str">
        <f ca="1">IFERROR(__xludf.DUMMYFUNCTION("""COMPUTED_VALUE"""),"Other")</f>
        <v>Other</v>
      </c>
      <c r="G79" s="1" t="str">
        <f ca="1">IFERROR(__xludf.DUMMYFUNCTION("""COMPUTED_VALUE"""),"+81 9971947984")</f>
        <v>+81 9971947984</v>
      </c>
      <c r="H79" s="1" t="str">
        <f ca="1">IFERROR(__xludf.DUMMYFUNCTION("""COMPUTED_VALUE"""),"feliciastafford@gmail.com")</f>
        <v>feliciastafford@gmail.com</v>
      </c>
      <c r="I79" s="1" t="str">
        <f ca="1">IFERROR(__xludf.DUMMYFUNCTION("""COMPUTED_VALUE"""),"PSC 0926, Box 4809, APO AA 58791")</f>
        <v>PSC 0926, Box 4809, APO AA 58791</v>
      </c>
      <c r="J79" s="1"/>
      <c r="K79" s="1"/>
      <c r="L79" s="1"/>
      <c r="M79" s="1" t="str">
        <f ca="1">IFERROR(__xludf.DUMMYFUNCTION("""COMPUTED_VALUE"""),"AP476448")</f>
        <v>AP476448</v>
      </c>
      <c r="N79" s="3" t="str">
        <f ca="1">IFERROR(__xludf.DUMMYFUNCTION("""COMPUTED_VALUE"""),"https://drive.google.com/open?id=QtzIWEfIMZPzfNoA7B00")</f>
        <v>https://drive.google.com/open?id=QtzIWEfIMZPzfNoA7B00</v>
      </c>
      <c r="O79" s="3" t="str">
        <f ca="1">IFERROR(__xludf.DUMMYFUNCTION("""COMPUTED_VALUE"""),"https://drive.google.com/open?id=Ji1gT1WrevRNmj7h1KUT")</f>
        <v>https://drive.google.com/open?id=Ji1gT1WrevRNmj7h1KUT</v>
      </c>
      <c r="P79" s="1" t="str">
        <f ca="1">IFERROR(__xludf.DUMMYFUNCTION("""COMPUTED_VALUE"""),"Contract")</f>
        <v>Contract</v>
      </c>
      <c r="Q79" s="1">
        <f ca="1">IFERROR(__xludf.DUMMYFUNCTION("""COMPUTED_VALUE"""),12000000)</f>
        <v>12000000</v>
      </c>
      <c r="R79" s="3" t="str">
        <f ca="1">IFERROR(__xludf.DUMMYFUNCTION("""COMPUTED_VALUE"""),"https://drive.google.com/open?id=ob0jCukWsRLuB2iReZVj")</f>
        <v>https://drive.google.com/open?id=ob0jCukWsRLuB2iReZVj</v>
      </c>
      <c r="S79" s="1">
        <f ca="1">IFERROR(__xludf.DUMMYFUNCTION("""COMPUTED_VALUE"""),36000000)</f>
        <v>36000000</v>
      </c>
      <c r="T79" s="1" t="str">
        <f ca="1">IFERROR(__xludf.DUMMYFUNCTION("""COMPUTED_VALUE"""),"Gold")</f>
        <v>Gold</v>
      </c>
      <c r="U79" s="1" t="str">
        <f ca="1">IFERROR(__xludf.DUMMYFUNCTION("""COMPUTED_VALUE"""),"Partner")</f>
        <v>Partner</v>
      </c>
    </row>
    <row r="80" spans="1:21" x14ac:dyDescent="0.25">
      <c r="A80" s="2" t="str">
        <f ca="1">IFERROR(__xludf.DUMMYFUNCTION("""COMPUTED_VALUE"""),"APP0079")</f>
        <v>APP0079</v>
      </c>
      <c r="B80" s="2">
        <f ca="1">IFERROR(__xludf.DUMMYFUNCTION("""COMPUTED_VALUE"""),45901.2866550925)</f>
        <v>45901.286655092503</v>
      </c>
      <c r="C80" s="1" t="str">
        <f ca="1">IFERROR(__xludf.DUMMYFUNCTION("""COMPUTED_VALUE"""),"Lý Văn Thảo")</f>
        <v>Lý Văn Thảo</v>
      </c>
      <c r="D80" s="1" t="str">
        <f ca="1">IFERROR(__xludf.DUMMYFUNCTION("""COMPUTED_VALUE"""),"02/11/1984")</f>
        <v>02/11/1984</v>
      </c>
      <c r="E80" s="1" t="str">
        <f ca="1">IFERROR(__xludf.DUMMYFUNCTION("""COMPUTED_VALUE"""),"Female")</f>
        <v>Female</v>
      </c>
      <c r="F80" s="1" t="str">
        <f ca="1">IFERROR(__xludf.DUMMYFUNCTION("""COMPUTED_VALUE"""),"Vietnam")</f>
        <v>Vietnam</v>
      </c>
      <c r="G80" s="1" t="str">
        <f ca="1">IFERROR(__xludf.DUMMYFUNCTION("""COMPUTED_VALUE"""),"0974021669")</f>
        <v>0974021669</v>
      </c>
      <c r="H80" s="1" t="str">
        <f ca="1">IFERROR(__xludf.DUMMYFUNCTION("""COMPUTED_VALUE"""),"lyvanthao@gmail.com")</f>
        <v>lyvanthao@gmail.com</v>
      </c>
      <c r="I80" s="1" t="str">
        <f ca="1">IFERROR(__xludf.DUMMYFUNCTION("""COMPUTED_VALUE"""),"141 Ly Thuong Kiet, Quan 3, TP Ho Chi Minh, Viet Nam")</f>
        <v>141 Ly Thuong Kiet, Quan 3, TP Ho Chi Minh, Viet Nam</v>
      </c>
      <c r="J80" s="1" t="str">
        <f ca="1">IFERROR(__xludf.DUMMYFUNCTION("""COMPUTED_VALUE"""),"013100929457")</f>
        <v>013100929457</v>
      </c>
      <c r="K80" s="3" t="str">
        <f ca="1">IFERROR(__xludf.DUMMYFUNCTION("""COMPUTED_VALUE"""),"https://drive.google.com/open?id=BrJBtBr7FhOxgDsPOnbz")</f>
        <v>https://drive.google.com/open?id=BrJBtBr7FhOxgDsPOnbz</v>
      </c>
      <c r="L80" s="3" t="str">
        <f ca="1">IFERROR(__xludf.DUMMYFUNCTION("""COMPUTED_VALUE"""),"https://drive.google.com/open?id=bpvXY7BuoQxtpenLQxTg")</f>
        <v>https://drive.google.com/open?id=bpvXY7BuoQxtpenLQxTg</v>
      </c>
      <c r="M80" s="1"/>
      <c r="N80" s="1"/>
      <c r="O80" s="1"/>
      <c r="P80" s="1" t="str">
        <f ca="1">IFERROR(__xludf.DUMMYFUNCTION("""COMPUTED_VALUE"""),"Full-time")</f>
        <v>Full-time</v>
      </c>
      <c r="Q80" s="1">
        <f ca="1">IFERROR(__xludf.DUMMYFUNCTION("""COMPUTED_VALUE"""),20000000)</f>
        <v>20000000</v>
      </c>
      <c r="R80" s="3" t="str">
        <f ca="1">IFERROR(__xludf.DUMMYFUNCTION("""COMPUTED_VALUE"""),"https://drive.google.com/open?id=gPOmmydZjT41WaSUwNJw")</f>
        <v>https://drive.google.com/open?id=gPOmmydZjT41WaSUwNJw</v>
      </c>
      <c r="S80" s="1">
        <f ca="1">IFERROR(__xludf.DUMMYFUNCTION("""COMPUTED_VALUE"""),100000000)</f>
        <v>100000000</v>
      </c>
      <c r="T80" s="1" t="str">
        <f ca="1">IFERROR(__xludf.DUMMYFUNCTION("""COMPUTED_VALUE"""),"Platinum")</f>
        <v>Platinum</v>
      </c>
      <c r="U80" s="1" t="str">
        <f ca="1">IFERROR(__xludf.DUMMYFUNCTION("""COMPUTED_VALUE"""),"Branch")</f>
        <v>Branch</v>
      </c>
    </row>
    <row r="81" spans="1:21" x14ac:dyDescent="0.25">
      <c r="A81" s="2" t="str">
        <f ca="1">IFERROR(__xludf.DUMMYFUNCTION("""COMPUTED_VALUE"""),"APP0080")</f>
        <v>APP0080</v>
      </c>
      <c r="B81" s="2">
        <f ca="1">IFERROR(__xludf.DUMMYFUNCTION("""COMPUTED_VALUE"""),45901.339537037)</f>
        <v>45901.339537036998</v>
      </c>
      <c r="C81" s="1" t="str">
        <f ca="1">IFERROR(__xludf.DUMMYFUNCTION("""COMPUTED_VALUE"""),"Joshua Frank")</f>
        <v>Joshua Frank</v>
      </c>
      <c r="D81" s="1" t="str">
        <f ca="1">IFERROR(__xludf.DUMMYFUNCTION("""COMPUTED_VALUE"""),"17/11/1991")</f>
        <v>17/11/1991</v>
      </c>
      <c r="E81" s="1" t="str">
        <f ca="1">IFERROR(__xludf.DUMMYFUNCTION("""COMPUTED_VALUE"""),"Female")</f>
        <v>Female</v>
      </c>
      <c r="F81" s="1" t="str">
        <f ca="1">IFERROR(__xludf.DUMMYFUNCTION("""COMPUTED_VALUE"""),"Other")</f>
        <v>Other</v>
      </c>
      <c r="G81" s="1" t="str">
        <f ca="1">IFERROR(__xludf.DUMMYFUNCTION("""COMPUTED_VALUE"""),"+49 9391684276")</f>
        <v>+49 9391684276</v>
      </c>
      <c r="H81" s="1" t="str">
        <f ca="1">IFERROR(__xludf.DUMMYFUNCTION("""COMPUTED_VALUE"""),"joshuafrank@gmail.com")</f>
        <v>joshuafrank@gmail.com</v>
      </c>
      <c r="I81" s="1" t="str">
        <f ca="1">IFERROR(__xludf.DUMMYFUNCTION("""COMPUTED_VALUE"""),"36562 Candice Meadow, Port Sharon, AR 22034")</f>
        <v>36562 Candice Meadow, Port Sharon, AR 22034</v>
      </c>
      <c r="J81" s="1"/>
      <c r="K81" s="1"/>
      <c r="L81" s="1"/>
      <c r="M81" s="1" t="str">
        <f ca="1">IFERROR(__xludf.DUMMYFUNCTION("""COMPUTED_VALUE"""),"Hp436676")</f>
        <v>Hp436676</v>
      </c>
      <c r="N81" s="3" t="str">
        <f ca="1">IFERROR(__xludf.DUMMYFUNCTION("""COMPUTED_VALUE"""),"https://drive.google.com/open?id=2Yo3T8MJgbH0XT4UUcmF")</f>
        <v>https://drive.google.com/open?id=2Yo3T8MJgbH0XT4UUcmF</v>
      </c>
      <c r="O81" s="3" t="str">
        <f ca="1">IFERROR(__xludf.DUMMYFUNCTION("""COMPUTED_VALUE"""),"https://drive.google.com/open?id=QGnspZNiQNnrcBF0KkR0")</f>
        <v>https://drive.google.com/open?id=QGnspZNiQNnrcBF0KkR0</v>
      </c>
      <c r="P81" s="1" t="str">
        <f ca="1">IFERROR(__xludf.DUMMYFUNCTION("""COMPUTED_VALUE"""),"Full-time")</f>
        <v>Full-time</v>
      </c>
      <c r="Q81" s="1">
        <f ca="1">IFERROR(__xludf.DUMMYFUNCTION("""COMPUTED_VALUE"""),20000000)</f>
        <v>20000000</v>
      </c>
      <c r="R81" s="3" t="str">
        <f ca="1">IFERROR(__xludf.DUMMYFUNCTION("""COMPUTED_VALUE"""),"https://drive.google.com/open?id=yIydC47ovANeNy4Nz0xc")</f>
        <v>https://drive.google.com/open?id=yIydC47ovANeNy4Nz0xc</v>
      </c>
      <c r="S81" s="1">
        <f ca="1">IFERROR(__xludf.DUMMYFUNCTION("""COMPUTED_VALUE"""),60000000)</f>
        <v>60000000</v>
      </c>
      <c r="T81" s="1" t="str">
        <f ca="1">IFERROR(__xludf.DUMMYFUNCTION("""COMPUTED_VALUE"""),"Gold")</f>
        <v>Gold</v>
      </c>
      <c r="U81" s="1" t="str">
        <f ca="1">IFERROR(__xludf.DUMMYFUNCTION("""COMPUTED_VALUE"""),"Partner")</f>
        <v>Partner</v>
      </c>
    </row>
    <row r="82" spans="1:21" x14ac:dyDescent="0.25">
      <c r="A82" s="2" t="str">
        <f ca="1">IFERROR(__xludf.DUMMYFUNCTION("""COMPUTED_VALUE"""),"APP0081")</f>
        <v>APP0081</v>
      </c>
      <c r="B82" s="2">
        <f ca="1">IFERROR(__xludf.DUMMYFUNCTION("""COMPUTED_VALUE"""),45901.3726041666)</f>
        <v>45901.372604166601</v>
      </c>
      <c r="C82" s="1" t="str">
        <f ca="1">IFERROR(__xludf.DUMMYFUNCTION("""COMPUTED_VALUE"""),"Anthony Daniels")</f>
        <v>Anthony Daniels</v>
      </c>
      <c r="D82" s="1" t="str">
        <f ca="1">IFERROR(__xludf.DUMMYFUNCTION("""COMPUTED_VALUE"""),"26/08/1984")</f>
        <v>26/08/1984</v>
      </c>
      <c r="E82" s="1" t="str">
        <f ca="1">IFERROR(__xludf.DUMMYFUNCTION("""COMPUTED_VALUE"""),"Male")</f>
        <v>Male</v>
      </c>
      <c r="F82" s="1" t="str">
        <f ca="1">IFERROR(__xludf.DUMMYFUNCTION("""COMPUTED_VALUE"""),"Other")</f>
        <v>Other</v>
      </c>
      <c r="G82" s="1" t="str">
        <f ca="1">IFERROR(__xludf.DUMMYFUNCTION("""COMPUTED_VALUE"""),"+91 2726406990")</f>
        <v>+91 2726406990</v>
      </c>
      <c r="H82" s="1" t="str">
        <f ca="1">IFERROR(__xludf.DUMMYFUNCTION("""COMPUTED_VALUE"""),"anthonydaniels@gmail.com")</f>
        <v>anthonydaniels@gmail.com</v>
      </c>
      <c r="I82" s="1" t="str">
        <f ca="1">IFERROR(__xludf.DUMMYFUNCTION("""COMPUTED_VALUE"""),"541 Smith Center Suite 386, Lindseybury, MH 34395")</f>
        <v>541 Smith Center Suite 386, Lindseybury, MH 34395</v>
      </c>
      <c r="J82" s="1"/>
      <c r="K82" s="1"/>
      <c r="L82" s="1"/>
      <c r="M82" s="1" t="str">
        <f ca="1">IFERROR(__xludf.DUMMYFUNCTION("""COMPUTED_VALUE"""),"RJ629589")</f>
        <v>RJ629589</v>
      </c>
      <c r="N82" s="3" t="str">
        <f ca="1">IFERROR(__xludf.DUMMYFUNCTION("""COMPUTED_VALUE"""),"https://drive.google.com/open?id=kp6seSepNX3v62guKLGG")</f>
        <v>https://drive.google.com/open?id=kp6seSepNX3v62guKLGG</v>
      </c>
      <c r="O82" s="3" t="str">
        <f ca="1">IFERROR(__xludf.DUMMYFUNCTION("""COMPUTED_VALUE"""),"https://drive.google.com/open?id=c7CT4L4HMdPpiNmuGDIv")</f>
        <v>https://drive.google.com/open?id=c7CT4L4HMdPpiNmuGDIv</v>
      </c>
      <c r="P82" s="1" t="str">
        <f ca="1">IFERROR(__xludf.DUMMYFUNCTION("""COMPUTED_VALUE"""),"Contract")</f>
        <v>Contract</v>
      </c>
      <c r="Q82" s="1">
        <f ca="1">IFERROR(__xludf.DUMMYFUNCTION("""COMPUTED_VALUE"""),50000000)</f>
        <v>50000000</v>
      </c>
      <c r="R82" s="3" t="str">
        <f ca="1">IFERROR(__xludf.DUMMYFUNCTION("""COMPUTED_VALUE"""),"https://drive.google.com/open?id=OZqxvMGYJhIDOAS2ctYG")</f>
        <v>https://drive.google.com/open?id=OZqxvMGYJhIDOAS2ctYG</v>
      </c>
      <c r="S82" s="1">
        <f ca="1">IFERROR(__xludf.DUMMYFUNCTION("""COMPUTED_VALUE"""),100000000)</f>
        <v>100000000</v>
      </c>
      <c r="T82" s="1" t="str">
        <f ca="1">IFERROR(__xludf.DUMMYFUNCTION("""COMPUTED_VALUE"""),"Gold")</f>
        <v>Gold</v>
      </c>
      <c r="U82" s="1" t="str">
        <f ca="1">IFERROR(__xludf.DUMMYFUNCTION("""COMPUTED_VALUE"""),"Partner")</f>
        <v>Partner</v>
      </c>
    </row>
    <row r="83" spans="1:21" x14ac:dyDescent="0.25">
      <c r="A83" s="2" t="str">
        <f ca="1">IFERROR(__xludf.DUMMYFUNCTION("""COMPUTED_VALUE"""),"APP0082")</f>
        <v>APP0082</v>
      </c>
      <c r="B83" s="2">
        <f ca="1">IFERROR(__xludf.DUMMYFUNCTION("""COMPUTED_VALUE"""),45901.4530555555)</f>
        <v>45901.453055555503</v>
      </c>
      <c r="C83" s="1" t="str">
        <f ca="1">IFERROR(__xludf.DUMMYFUNCTION("""COMPUTED_VALUE"""),"Lý Hữu Phong")</f>
        <v>Lý Hữu Phong</v>
      </c>
      <c r="D83" s="1" t="str">
        <f ca="1">IFERROR(__xludf.DUMMYFUNCTION("""COMPUTED_VALUE"""),"15/01/1986")</f>
        <v>15/01/1986</v>
      </c>
      <c r="E83" s="1" t="str">
        <f ca="1">IFERROR(__xludf.DUMMYFUNCTION("""COMPUTED_VALUE"""),"Male")</f>
        <v>Male</v>
      </c>
      <c r="F83" s="1" t="str">
        <f ca="1">IFERROR(__xludf.DUMMYFUNCTION("""COMPUTED_VALUE"""),"Vietnam")</f>
        <v>Vietnam</v>
      </c>
      <c r="G83" s="1" t="str">
        <f ca="1">IFERROR(__xludf.DUMMYFUNCTION("""COMPUTED_VALUE"""),"0794530593")</f>
        <v>0794530593</v>
      </c>
      <c r="H83" s="1" t="str">
        <f ca="1">IFERROR(__xludf.DUMMYFUNCTION("""COMPUTED_VALUE"""),"lyhuuphong@gmail.com")</f>
        <v>lyhuuphong@gmail.com</v>
      </c>
      <c r="I83" s="1" t="str">
        <f ca="1">IFERROR(__xludf.DUMMYFUNCTION("""COMPUTED_VALUE"""),"156 Tran Hung Dao, Quan 7, Can Tho, Viet Nam")</f>
        <v>156 Tran Hung Dao, Quan 7, Can Tho, Viet Nam</v>
      </c>
      <c r="J83" s="1" t="str">
        <f ca="1">IFERROR(__xludf.DUMMYFUNCTION("""COMPUTED_VALUE"""),"030659932568")</f>
        <v>030659932568</v>
      </c>
      <c r="K83" s="3" t="str">
        <f ca="1">IFERROR(__xludf.DUMMYFUNCTION("""COMPUTED_VALUE"""),"https://drive.google.com/open?id=jljzPxvouAGjKK0J9BLO")</f>
        <v>https://drive.google.com/open?id=jljzPxvouAGjKK0J9BLO</v>
      </c>
      <c r="L83" s="3" t="str">
        <f ca="1">IFERROR(__xludf.DUMMYFUNCTION("""COMPUTED_VALUE"""),"https://drive.google.com/open?id=9Q9pSCr8cXCZrtnhsp83")</f>
        <v>https://drive.google.com/open?id=9Q9pSCr8cXCZrtnhsp83</v>
      </c>
      <c r="M83" s="1"/>
      <c r="N83" s="1"/>
      <c r="O83" s="1"/>
      <c r="P83" s="1" t="str">
        <f ca="1">IFERROR(__xludf.DUMMYFUNCTION("""COMPUTED_VALUE"""),"Self-employed")</f>
        <v>Self-employed</v>
      </c>
      <c r="Q83" s="1">
        <f ca="1">IFERROR(__xludf.DUMMYFUNCTION("""COMPUTED_VALUE"""),20000000)</f>
        <v>20000000</v>
      </c>
      <c r="R83" s="3" t="str">
        <f ca="1">IFERROR(__xludf.DUMMYFUNCTION("""COMPUTED_VALUE"""),"https://drive.google.com/open?id=OeWo3BMkmji8ubtuARls")</f>
        <v>https://drive.google.com/open?id=OeWo3BMkmji8ubtuARls</v>
      </c>
      <c r="S83" s="1">
        <f ca="1">IFERROR(__xludf.DUMMYFUNCTION("""COMPUTED_VALUE"""),60000000)</f>
        <v>60000000</v>
      </c>
      <c r="T83" s="1" t="str">
        <f ca="1">IFERROR(__xludf.DUMMYFUNCTION("""COMPUTED_VALUE"""),"Classic")</f>
        <v>Classic</v>
      </c>
      <c r="U83" s="1" t="str">
        <f ca="1">IFERROR(__xludf.DUMMYFUNCTION("""COMPUTED_VALUE"""),"Branch")</f>
        <v>Branch</v>
      </c>
    </row>
    <row r="84" spans="1:21" x14ac:dyDescent="0.25">
      <c r="A84" s="2" t="str">
        <f ca="1">IFERROR(__xludf.DUMMYFUNCTION("""COMPUTED_VALUE"""),"APP0083")</f>
        <v>APP0083</v>
      </c>
      <c r="B84" s="2">
        <f ca="1">IFERROR(__xludf.DUMMYFUNCTION("""COMPUTED_VALUE"""),45901.5980787037)</f>
        <v>45901.598078703697</v>
      </c>
      <c r="C84" s="1" t="str">
        <f ca="1">IFERROR(__xludf.DUMMYFUNCTION("""COMPUTED_VALUE"""),"Phạm Ngọc Khánh")</f>
        <v>Phạm Ngọc Khánh</v>
      </c>
      <c r="D84" s="1" t="str">
        <f ca="1">IFERROR(__xludf.DUMMYFUNCTION("""COMPUTED_VALUE"""),"28/05/1966")</f>
        <v>28/05/1966</v>
      </c>
      <c r="E84" s="1" t="str">
        <f ca="1">IFERROR(__xludf.DUMMYFUNCTION("""COMPUTED_VALUE"""),"Male")</f>
        <v>Male</v>
      </c>
      <c r="F84" s="1" t="str">
        <f ca="1">IFERROR(__xludf.DUMMYFUNCTION("""COMPUTED_VALUE"""),"Vietnam")</f>
        <v>Vietnam</v>
      </c>
      <c r="G84" s="1" t="str">
        <f ca="1">IFERROR(__xludf.DUMMYFUNCTION("""COMPUTED_VALUE"""),"0758889454")</f>
        <v>0758889454</v>
      </c>
      <c r="H84" s="1" t="str">
        <f ca="1">IFERROR(__xludf.DUMMYFUNCTION("""COMPUTED_VALUE"""),"phamngockhanh@gmail.com")</f>
        <v>phamngockhanh@gmail.com</v>
      </c>
      <c r="I84" s="1" t="str">
        <f ca="1">IFERROR(__xludf.DUMMYFUNCTION("""COMPUTED_VALUE"""),"97 Nguyen Hue, Hai Chau, Can Tho, Viet Nam")</f>
        <v>97 Nguyen Hue, Hai Chau, Can Tho, Viet Nam</v>
      </c>
      <c r="J84" s="1" t="str">
        <f ca="1">IFERROR(__xludf.DUMMYFUNCTION("""COMPUTED_VALUE"""),"011818826840")</f>
        <v>011818826840</v>
      </c>
      <c r="K84" s="3" t="str">
        <f ca="1">IFERROR(__xludf.DUMMYFUNCTION("""COMPUTED_VALUE"""),"https://drive.google.com/open?id=Ne5mArUKUMN2yY7XtfU5")</f>
        <v>https://drive.google.com/open?id=Ne5mArUKUMN2yY7XtfU5</v>
      </c>
      <c r="L84" s="3" t="str">
        <f ca="1">IFERROR(__xludf.DUMMYFUNCTION("""COMPUTED_VALUE"""),"https://drive.google.com/open?id=AAsq9awKfbRSgSYRBM9Y")</f>
        <v>https://drive.google.com/open?id=AAsq9awKfbRSgSYRBM9Y</v>
      </c>
      <c r="M84" s="1"/>
      <c r="N84" s="1"/>
      <c r="O84" s="1"/>
      <c r="P84" s="1" t="str">
        <f ca="1">IFERROR(__xludf.DUMMYFUNCTION("""COMPUTED_VALUE"""),"Contract")</f>
        <v>Contract</v>
      </c>
      <c r="Q84" s="1">
        <f ca="1">IFERROR(__xludf.DUMMYFUNCTION("""COMPUTED_VALUE"""),20000000)</f>
        <v>20000000</v>
      </c>
      <c r="R84" s="3" t="str">
        <f ca="1">IFERROR(__xludf.DUMMYFUNCTION("""COMPUTED_VALUE"""),"https://drive.google.com/open?id=sszpEhh5eyWdbDEayoiK")</f>
        <v>https://drive.google.com/open?id=sszpEhh5eyWdbDEayoiK</v>
      </c>
      <c r="S84" s="1">
        <f ca="1">IFERROR(__xludf.DUMMYFUNCTION("""COMPUTED_VALUE"""),100000000)</f>
        <v>100000000</v>
      </c>
      <c r="T84" s="1" t="str">
        <f ca="1">IFERROR(__xludf.DUMMYFUNCTION("""COMPUTED_VALUE"""),"Gold")</f>
        <v>Gold</v>
      </c>
      <c r="U84" s="1" t="str">
        <f ca="1">IFERROR(__xludf.DUMMYFUNCTION("""COMPUTED_VALUE"""),"Online")</f>
        <v>Online</v>
      </c>
    </row>
    <row r="85" spans="1:21" x14ac:dyDescent="0.25">
      <c r="A85" s="2" t="str">
        <f ca="1">IFERROR(__xludf.DUMMYFUNCTION("""COMPUTED_VALUE"""),"APP0084")</f>
        <v>APP0084</v>
      </c>
      <c r="B85" s="2">
        <f ca="1">IFERROR(__xludf.DUMMYFUNCTION("""COMPUTED_VALUE"""),45901.8730671296)</f>
        <v>45901.8730671296</v>
      </c>
      <c r="C85" s="1" t="str">
        <f ca="1">IFERROR(__xludf.DUMMYFUNCTION("""COMPUTED_VALUE"""),"Phan Hữu Phong")</f>
        <v>Phan Hữu Phong</v>
      </c>
      <c r="D85" s="1" t="str">
        <f ca="1">IFERROR(__xludf.DUMMYFUNCTION("""COMPUTED_VALUE"""),"11/12/1981")</f>
        <v>11/12/1981</v>
      </c>
      <c r="E85" s="1" t="str">
        <f ca="1">IFERROR(__xludf.DUMMYFUNCTION("""COMPUTED_VALUE"""),"Male")</f>
        <v>Male</v>
      </c>
      <c r="F85" s="1" t="str">
        <f ca="1">IFERROR(__xludf.DUMMYFUNCTION("""COMPUTED_VALUE"""),"Vietnam")</f>
        <v>Vietnam</v>
      </c>
      <c r="G85" s="1" t="str">
        <f ca="1">IFERROR(__xludf.DUMMYFUNCTION("""COMPUTED_VALUE"""),"0894425320")</f>
        <v>0894425320</v>
      </c>
      <c r="H85" s="1" t="str">
        <f ca="1">IFERROR(__xludf.DUMMYFUNCTION("""COMPUTED_VALUE"""),"phanhuuphong@gmail.com")</f>
        <v>phanhuuphong@gmail.com</v>
      </c>
      <c r="I85" s="1" t="str">
        <f ca="1">IFERROR(__xludf.DUMMYFUNCTION("""COMPUTED_VALUE"""),"8 Le Loi, Quan 3, Ha Noi, Viet Nam")</f>
        <v>8 Le Loi, Quan 3, Ha Noi, Viet Nam</v>
      </c>
      <c r="J85" s="1" t="str">
        <f ca="1">IFERROR(__xludf.DUMMYFUNCTION("""COMPUTED_VALUE"""),"061764920791")</f>
        <v>061764920791</v>
      </c>
      <c r="K85" s="3" t="str">
        <f ca="1">IFERROR(__xludf.DUMMYFUNCTION("""COMPUTED_VALUE"""),"https://drive.google.com/open?id=mrU9kfFeOEa57n9rZ6aZ")</f>
        <v>https://drive.google.com/open?id=mrU9kfFeOEa57n9rZ6aZ</v>
      </c>
      <c r="L85" s="3" t="str">
        <f ca="1">IFERROR(__xludf.DUMMYFUNCTION("""COMPUTED_VALUE"""),"https://drive.google.com/open?id=K8AyMQiNVGu3Jl0oUzEI")</f>
        <v>https://drive.google.com/open?id=K8AyMQiNVGu3Jl0oUzEI</v>
      </c>
      <c r="M85" s="1"/>
      <c r="N85" s="1"/>
      <c r="O85" s="1"/>
      <c r="P85" s="1" t="str">
        <f ca="1">IFERROR(__xludf.DUMMYFUNCTION("""COMPUTED_VALUE"""),"Contract")</f>
        <v>Contract</v>
      </c>
      <c r="Q85" s="1">
        <f ca="1">IFERROR(__xludf.DUMMYFUNCTION("""COMPUTED_VALUE"""),5000000)</f>
        <v>5000000</v>
      </c>
      <c r="R85" s="3" t="str">
        <f ca="1">IFERROR(__xludf.DUMMYFUNCTION("""COMPUTED_VALUE"""),"https://drive.google.com/open?id=DR7ggVeazLXlgcGfV2Ev")</f>
        <v>https://drive.google.com/open?id=DR7ggVeazLXlgcGfV2Ev</v>
      </c>
      <c r="S85" s="1">
        <f ca="1">IFERROR(__xludf.DUMMYFUNCTION("""COMPUTED_VALUE"""),25000000)</f>
        <v>25000000</v>
      </c>
      <c r="T85" s="1" t="str">
        <f ca="1">IFERROR(__xludf.DUMMYFUNCTION("""COMPUTED_VALUE"""),"Platinum")</f>
        <v>Platinum</v>
      </c>
      <c r="U85" s="1" t="str">
        <f ca="1">IFERROR(__xludf.DUMMYFUNCTION("""COMPUTED_VALUE"""),"Partner")</f>
        <v>Partner</v>
      </c>
    </row>
    <row r="86" spans="1:21" x14ac:dyDescent="0.25">
      <c r="A86" s="2" t="str">
        <f ca="1">IFERROR(__xludf.DUMMYFUNCTION("""COMPUTED_VALUE"""),"APP0085")</f>
        <v>APP0085</v>
      </c>
      <c r="B86" s="2">
        <f ca="1">IFERROR(__xludf.DUMMYFUNCTION("""COMPUTED_VALUE"""),45902.020787037)</f>
        <v>45902.020787037</v>
      </c>
      <c r="C86" s="1" t="str">
        <f ca="1">IFERROR(__xludf.DUMMYFUNCTION("""COMPUTED_VALUE"""),"Brian Perez")</f>
        <v>Brian Perez</v>
      </c>
      <c r="D86" s="1" t="str">
        <f ca="1">IFERROR(__xludf.DUMMYFUNCTION("""COMPUTED_VALUE"""),"04/08/1986")</f>
        <v>04/08/1986</v>
      </c>
      <c r="E86" s="1" t="str">
        <f ca="1">IFERROR(__xludf.DUMMYFUNCTION("""COMPUTED_VALUE"""),"Male")</f>
        <v>Male</v>
      </c>
      <c r="F86" s="1" t="str">
        <f ca="1">IFERROR(__xludf.DUMMYFUNCTION("""COMPUTED_VALUE"""),"Other")</f>
        <v>Other</v>
      </c>
      <c r="G86" s="1" t="str">
        <f ca="1">IFERROR(__xludf.DUMMYFUNCTION("""COMPUTED_VALUE"""),"+81 9235808665")</f>
        <v>+81 9235808665</v>
      </c>
      <c r="H86" s="1" t="str">
        <f ca="1">IFERROR(__xludf.DUMMYFUNCTION("""COMPUTED_VALUE"""),"brianperez@gmail.com")</f>
        <v>brianperez@gmail.com</v>
      </c>
      <c r="I86" s="1" t="str">
        <f ca="1">IFERROR(__xludf.DUMMYFUNCTION("""COMPUTED_VALUE"""),"5509 Tammy Extensions Apt. 639, Youngville, WY 19548")</f>
        <v>5509 Tammy Extensions Apt. 639, Youngville, WY 19548</v>
      </c>
      <c r="J86" s="1"/>
      <c r="K86" s="1"/>
      <c r="L86" s="1"/>
      <c r="M86" s="1" t="str">
        <f ca="1">IFERROR(__xludf.DUMMYFUNCTION("""COMPUTED_VALUE"""),"Bj025176")</f>
        <v>Bj025176</v>
      </c>
      <c r="N86" s="3" t="str">
        <f ca="1">IFERROR(__xludf.DUMMYFUNCTION("""COMPUTED_VALUE"""),"https://drive.google.com/open?id=vsGEwBI7DKz4h4hhEMj9")</f>
        <v>https://drive.google.com/open?id=vsGEwBI7DKz4h4hhEMj9</v>
      </c>
      <c r="O86" s="3" t="str">
        <f ca="1">IFERROR(__xludf.DUMMYFUNCTION("""COMPUTED_VALUE"""),"https://drive.google.com/open?id=tWfO8XBOzI3RzymABDhE")</f>
        <v>https://drive.google.com/open?id=tWfO8XBOzI3RzymABDhE</v>
      </c>
      <c r="P86" s="1" t="str">
        <f ca="1">IFERROR(__xludf.DUMMYFUNCTION("""COMPUTED_VALUE"""),"Self-employed")</f>
        <v>Self-employed</v>
      </c>
      <c r="Q86" s="1">
        <f ca="1">IFERROR(__xludf.DUMMYFUNCTION("""COMPUTED_VALUE"""),12000000)</f>
        <v>12000000</v>
      </c>
      <c r="R86" s="3" t="str">
        <f ca="1">IFERROR(__xludf.DUMMYFUNCTION("""COMPUTED_VALUE"""),"https://drive.google.com/open?id=uLpKGU1ucjkjzTCmHfs8")</f>
        <v>https://drive.google.com/open?id=uLpKGU1ucjkjzTCmHfs8</v>
      </c>
      <c r="S86" s="1">
        <f ca="1">IFERROR(__xludf.DUMMYFUNCTION("""COMPUTED_VALUE"""),36000000)</f>
        <v>36000000</v>
      </c>
      <c r="T86" s="1" t="str">
        <f ca="1">IFERROR(__xludf.DUMMYFUNCTION("""COMPUTED_VALUE"""),"Classic")</f>
        <v>Classic</v>
      </c>
      <c r="U86" s="1" t="str">
        <f ca="1">IFERROR(__xludf.DUMMYFUNCTION("""COMPUTED_VALUE"""),"Branch")</f>
        <v>Branch</v>
      </c>
    </row>
    <row r="87" spans="1:21" x14ac:dyDescent="0.25">
      <c r="A87" s="2" t="str">
        <f ca="1">IFERROR(__xludf.DUMMYFUNCTION("""COMPUTED_VALUE"""),"APP0086")</f>
        <v>APP0086</v>
      </c>
      <c r="B87" s="2">
        <f ca="1">IFERROR(__xludf.DUMMYFUNCTION("""COMPUTED_VALUE"""),45902.0731481481)</f>
        <v>45902.073148148098</v>
      </c>
      <c r="C87" s="1" t="str">
        <f ca="1">IFERROR(__xludf.DUMMYFUNCTION("""COMPUTED_VALUE"""),"Phạm Đức Khánh")</f>
        <v>Phạm Đức Khánh</v>
      </c>
      <c r="D87" s="1" t="str">
        <f ca="1">IFERROR(__xludf.DUMMYFUNCTION("""COMPUTED_VALUE"""),"24/11/2002")</f>
        <v>24/11/2002</v>
      </c>
      <c r="E87" s="1" t="str">
        <f ca="1">IFERROR(__xludf.DUMMYFUNCTION("""COMPUTED_VALUE"""),"Male")</f>
        <v>Male</v>
      </c>
      <c r="F87" s="1" t="str">
        <f ca="1">IFERROR(__xludf.DUMMYFUNCTION("""COMPUTED_VALUE"""),"Vietnam")</f>
        <v>Vietnam</v>
      </c>
      <c r="G87" s="1" t="str">
        <f ca="1">IFERROR(__xludf.DUMMYFUNCTION("""COMPUTED_VALUE"""),"0956899310")</f>
        <v>0956899310</v>
      </c>
      <c r="H87" s="1" t="str">
        <f ca="1">IFERROR(__xludf.DUMMYFUNCTION("""COMPUTED_VALUE"""),"phamduckhanh@gmail.com")</f>
        <v>phamduckhanh@gmail.com</v>
      </c>
      <c r="I87" s="1" t="str">
        <f ca="1">IFERROR(__xludf.DUMMYFUNCTION("""COMPUTED_VALUE"""),"72 Ly Thuong Kiet, Quan 3, Can Tho, Viet Nam")</f>
        <v>72 Ly Thuong Kiet, Quan 3, Can Tho, Viet Nam</v>
      </c>
      <c r="J87" s="1" t="str">
        <f ca="1">IFERROR(__xludf.DUMMYFUNCTION("""COMPUTED_VALUE"""),"096503273939")</f>
        <v>096503273939</v>
      </c>
      <c r="K87" s="3" t="str">
        <f ca="1">IFERROR(__xludf.DUMMYFUNCTION("""COMPUTED_VALUE"""),"https://drive.google.com/open?id=COQMtFK6izaY7V7TUjrw")</f>
        <v>https://drive.google.com/open?id=COQMtFK6izaY7V7TUjrw</v>
      </c>
      <c r="L87" s="3" t="str">
        <f ca="1">IFERROR(__xludf.DUMMYFUNCTION("""COMPUTED_VALUE"""),"https://drive.google.com/open?id=hQRDx4LlyA3LQl5cp9YP")</f>
        <v>https://drive.google.com/open?id=hQRDx4LlyA3LQl5cp9YP</v>
      </c>
      <c r="M87" s="1"/>
      <c r="N87" s="1"/>
      <c r="O87" s="1"/>
      <c r="P87" s="1" t="str">
        <f ca="1">IFERROR(__xludf.DUMMYFUNCTION("""COMPUTED_VALUE"""),"Self-employed")</f>
        <v>Self-employed</v>
      </c>
      <c r="Q87" s="1">
        <f ca="1">IFERROR(__xludf.DUMMYFUNCTION("""COMPUTED_VALUE"""),50000000)</f>
        <v>50000000</v>
      </c>
      <c r="R87" s="3" t="str">
        <f ca="1">IFERROR(__xludf.DUMMYFUNCTION("""COMPUTED_VALUE"""),"https://drive.google.com/open?id=h9TX13KNPYIr4BtRW4EE")</f>
        <v>https://drive.google.com/open?id=h9TX13KNPYIr4BtRW4EE</v>
      </c>
      <c r="S87" s="1">
        <f ca="1">IFERROR(__xludf.DUMMYFUNCTION("""COMPUTED_VALUE"""),150000000)</f>
        <v>150000000</v>
      </c>
      <c r="T87" s="1" t="str">
        <f ca="1">IFERROR(__xludf.DUMMYFUNCTION("""COMPUTED_VALUE"""),"Classic")</f>
        <v>Classic</v>
      </c>
      <c r="U87" s="1" t="str">
        <f ca="1">IFERROR(__xludf.DUMMYFUNCTION("""COMPUTED_VALUE"""),"Partner")</f>
        <v>Partner</v>
      </c>
    </row>
    <row r="88" spans="1:21" x14ac:dyDescent="0.25">
      <c r="A88" s="2" t="str">
        <f ca="1">IFERROR(__xludf.DUMMYFUNCTION("""COMPUTED_VALUE"""),"APP0087")</f>
        <v>APP0087</v>
      </c>
      <c r="B88" s="2">
        <f ca="1">IFERROR(__xludf.DUMMYFUNCTION("""COMPUTED_VALUE"""),45902.087662037)</f>
        <v>45902.087662037004</v>
      </c>
      <c r="C88" s="1" t="str">
        <f ca="1">IFERROR(__xludf.DUMMYFUNCTION("""COMPUTED_VALUE"""),"Đặng Văn Bình")</f>
        <v>Đặng Văn Bình</v>
      </c>
      <c r="D88" s="1" t="str">
        <f ca="1">IFERROR(__xludf.DUMMYFUNCTION("""COMPUTED_VALUE"""),"30/05/1992")</f>
        <v>30/05/1992</v>
      </c>
      <c r="E88" s="1" t="str">
        <f ca="1">IFERROR(__xludf.DUMMYFUNCTION("""COMPUTED_VALUE"""),"Male")</f>
        <v>Male</v>
      </c>
      <c r="F88" s="1" t="str">
        <f ca="1">IFERROR(__xludf.DUMMYFUNCTION("""COMPUTED_VALUE"""),"Vietnam")</f>
        <v>Vietnam</v>
      </c>
      <c r="G88" s="1" t="str">
        <f ca="1">IFERROR(__xludf.DUMMYFUNCTION("""COMPUTED_VALUE"""),"0783522935")</f>
        <v>0783522935</v>
      </c>
      <c r="H88" s="1" t="str">
        <f ca="1">IFERROR(__xludf.DUMMYFUNCTION("""COMPUTED_VALUE"""),"dangvanbinh@gmail.com")</f>
        <v>dangvanbinh@gmail.com</v>
      </c>
      <c r="I88" s="1" t="str">
        <f ca="1">IFERROR(__xludf.DUMMYFUNCTION("""COMPUTED_VALUE"""),"105 Nguyen Trai, Quan 7, Ha Noi, Viet Nam")</f>
        <v>105 Nguyen Trai, Quan 7, Ha Noi, Viet Nam</v>
      </c>
      <c r="J88" s="1" t="str">
        <f ca="1">IFERROR(__xludf.DUMMYFUNCTION("""COMPUTED_VALUE"""),"021105222852")</f>
        <v>021105222852</v>
      </c>
      <c r="K88" s="3" t="str">
        <f ca="1">IFERROR(__xludf.DUMMYFUNCTION("""COMPUTED_VALUE"""),"https://drive.google.com/open?id=s1rkitE2davSnfDiEbiI")</f>
        <v>https://drive.google.com/open?id=s1rkitE2davSnfDiEbiI</v>
      </c>
      <c r="L88" s="3" t="str">
        <f ca="1">IFERROR(__xludf.DUMMYFUNCTION("""COMPUTED_VALUE"""),"https://drive.google.com/open?id=Ve0ASGbxT8kREVzteb9A")</f>
        <v>https://drive.google.com/open?id=Ve0ASGbxT8kREVzteb9A</v>
      </c>
      <c r="M88" s="1"/>
      <c r="N88" s="1"/>
      <c r="O88" s="1"/>
      <c r="P88" s="1" t="str">
        <f ca="1">IFERROR(__xludf.DUMMYFUNCTION("""COMPUTED_VALUE"""),"Self-employed")</f>
        <v>Self-employed</v>
      </c>
      <c r="Q88" s="1">
        <f ca="1">IFERROR(__xludf.DUMMYFUNCTION("""COMPUTED_VALUE"""),50000000)</f>
        <v>50000000</v>
      </c>
      <c r="R88" s="3" t="str">
        <f ca="1">IFERROR(__xludf.DUMMYFUNCTION("""COMPUTED_VALUE"""),"https://drive.google.com/open?id=2Hx1h3MSSrqYjrpsbwMa")</f>
        <v>https://drive.google.com/open?id=2Hx1h3MSSrqYjrpsbwMa</v>
      </c>
      <c r="S88" s="1">
        <f ca="1">IFERROR(__xludf.DUMMYFUNCTION("""COMPUTED_VALUE"""),250000000)</f>
        <v>250000000</v>
      </c>
      <c r="T88" s="1" t="str">
        <f ca="1">IFERROR(__xludf.DUMMYFUNCTION("""COMPUTED_VALUE"""),"Classic")</f>
        <v>Classic</v>
      </c>
      <c r="U88" s="1" t="str">
        <f ca="1">IFERROR(__xludf.DUMMYFUNCTION("""COMPUTED_VALUE"""),"Partner")</f>
        <v>Partner</v>
      </c>
    </row>
    <row r="89" spans="1:21" x14ac:dyDescent="0.25">
      <c r="A89" s="2" t="str">
        <f ca="1">IFERROR(__xludf.DUMMYFUNCTION("""COMPUTED_VALUE"""),"APP0088")</f>
        <v>APP0088</v>
      </c>
      <c r="B89" s="2">
        <f ca="1">IFERROR(__xludf.DUMMYFUNCTION("""COMPUTED_VALUE"""),45902.1429861111)</f>
        <v>45902.142986111103</v>
      </c>
      <c r="C89" s="1" t="str">
        <f ca="1">IFERROR(__xludf.DUMMYFUNCTION("""COMPUTED_VALUE"""),"Edward Gonzalez")</f>
        <v>Edward Gonzalez</v>
      </c>
      <c r="D89" s="1" t="str">
        <f ca="1">IFERROR(__xludf.DUMMYFUNCTION("""COMPUTED_VALUE"""),"16/04/1995")</f>
        <v>16/04/1995</v>
      </c>
      <c r="E89" s="1" t="str">
        <f ca="1">IFERROR(__xludf.DUMMYFUNCTION("""COMPUTED_VALUE"""),"Male")</f>
        <v>Male</v>
      </c>
      <c r="F89" s="1" t="str">
        <f ca="1">IFERROR(__xludf.DUMMYFUNCTION("""COMPUTED_VALUE"""),"Other")</f>
        <v>Other</v>
      </c>
      <c r="G89" s="1" t="str">
        <f ca="1">IFERROR(__xludf.DUMMYFUNCTION("""COMPUTED_VALUE"""),"+852 9115375366")</f>
        <v>+852 9115375366</v>
      </c>
      <c r="H89" s="1" t="str">
        <f ca="1">IFERROR(__xludf.DUMMYFUNCTION("""COMPUTED_VALUE"""),"edwardgonzalez@gmail.com")</f>
        <v>edwardgonzalez@gmail.com</v>
      </c>
      <c r="I89" s="1" t="str">
        <f ca="1">IFERROR(__xludf.DUMMYFUNCTION("""COMPUTED_VALUE"""),"99235 Smith Street, Schultzmouth, WI 23729")</f>
        <v>99235 Smith Street, Schultzmouth, WI 23729</v>
      </c>
      <c r="J89" s="1"/>
      <c r="K89" s="1"/>
      <c r="L89" s="1"/>
      <c r="M89" s="1" t="str">
        <f ca="1">IFERROR(__xludf.DUMMYFUNCTION("""COMPUTED_VALUE"""),"sS074935")</f>
        <v>sS074935</v>
      </c>
      <c r="N89" s="3" t="str">
        <f ca="1">IFERROR(__xludf.DUMMYFUNCTION("""COMPUTED_VALUE"""),"https://drive.google.com/open?id=Qk9Iwz5srfQwyswgXpr6")</f>
        <v>https://drive.google.com/open?id=Qk9Iwz5srfQwyswgXpr6</v>
      </c>
      <c r="O89" s="3" t="str">
        <f ca="1">IFERROR(__xludf.DUMMYFUNCTION("""COMPUTED_VALUE"""),"https://drive.google.com/open?id=c5cunlcx4G394DamHFeh")</f>
        <v>https://drive.google.com/open?id=c5cunlcx4G394DamHFeh</v>
      </c>
      <c r="P89" s="1" t="str">
        <f ca="1">IFERROR(__xludf.DUMMYFUNCTION("""COMPUTED_VALUE"""),"Part-time")</f>
        <v>Part-time</v>
      </c>
      <c r="Q89" s="1">
        <f ca="1">IFERROR(__xludf.DUMMYFUNCTION("""COMPUTED_VALUE"""),50000000)</f>
        <v>50000000</v>
      </c>
      <c r="R89" s="3" t="str">
        <f ca="1">IFERROR(__xludf.DUMMYFUNCTION("""COMPUTED_VALUE"""),"https://drive.google.com/open?id=o36XBDB8TEeHKK4Clnja")</f>
        <v>https://drive.google.com/open?id=o36XBDB8TEeHKK4Clnja</v>
      </c>
      <c r="S89" s="1">
        <f ca="1">IFERROR(__xludf.DUMMYFUNCTION("""COMPUTED_VALUE"""),150000000)</f>
        <v>150000000</v>
      </c>
      <c r="T89" s="1" t="str">
        <f ca="1">IFERROR(__xludf.DUMMYFUNCTION("""COMPUTED_VALUE"""),"Gold")</f>
        <v>Gold</v>
      </c>
      <c r="U89" s="1" t="str">
        <f ca="1">IFERROR(__xludf.DUMMYFUNCTION("""COMPUTED_VALUE"""),"Partner")</f>
        <v>Partner</v>
      </c>
    </row>
    <row r="90" spans="1:21" x14ac:dyDescent="0.25">
      <c r="A90" s="2" t="str">
        <f ca="1">IFERROR(__xludf.DUMMYFUNCTION("""COMPUTED_VALUE"""),"APP0089")</f>
        <v>APP0089</v>
      </c>
      <c r="B90" s="2">
        <f ca="1">IFERROR(__xludf.DUMMYFUNCTION("""COMPUTED_VALUE"""),45902.1455555555)</f>
        <v>45902.1455555555</v>
      </c>
      <c r="C90" s="1" t="str">
        <f ca="1">IFERROR(__xludf.DUMMYFUNCTION("""COMPUTED_VALUE"""),"Lý Thị Mai")</f>
        <v>Lý Thị Mai</v>
      </c>
      <c r="D90" s="1" t="str">
        <f ca="1">IFERROR(__xludf.DUMMYFUNCTION("""COMPUTED_VALUE"""),"30/03/1989")</f>
        <v>30/03/1989</v>
      </c>
      <c r="E90" s="1" t="str">
        <f ca="1">IFERROR(__xludf.DUMMYFUNCTION("""COMPUTED_VALUE"""),"Female")</f>
        <v>Female</v>
      </c>
      <c r="F90" s="1" t="str">
        <f ca="1">IFERROR(__xludf.DUMMYFUNCTION("""COMPUTED_VALUE"""),"Vietnam")</f>
        <v>Vietnam</v>
      </c>
      <c r="G90" s="1" t="str">
        <f ca="1">IFERROR(__xludf.DUMMYFUNCTION("""COMPUTED_VALUE"""),"0724133825")</f>
        <v>0724133825</v>
      </c>
      <c r="H90" s="1" t="str">
        <f ca="1">IFERROR(__xludf.DUMMYFUNCTION("""COMPUTED_VALUE"""),"lythimai@gmail.com")</f>
        <v>lythimai@gmail.com</v>
      </c>
      <c r="I90" s="1" t="str">
        <f ca="1">IFERROR(__xludf.DUMMYFUNCTION("""COMPUTED_VALUE"""),"46 Nguyen Trai, Dong Da, Da Nang, Viet Nam")</f>
        <v>46 Nguyen Trai, Dong Da, Da Nang, Viet Nam</v>
      </c>
      <c r="J90" s="1" t="str">
        <f ca="1">IFERROR(__xludf.DUMMYFUNCTION("""COMPUTED_VALUE"""),"041435534888")</f>
        <v>041435534888</v>
      </c>
      <c r="K90" s="3" t="str">
        <f ca="1">IFERROR(__xludf.DUMMYFUNCTION("""COMPUTED_VALUE"""),"https://drive.google.com/open?id=rhBLq9VQE6fWtumwJ6Uc")</f>
        <v>https://drive.google.com/open?id=rhBLq9VQE6fWtumwJ6Uc</v>
      </c>
      <c r="L90" s="3" t="str">
        <f ca="1">IFERROR(__xludf.DUMMYFUNCTION("""COMPUTED_VALUE"""),"https://drive.google.com/open?id=sxhzOSw4j516NMzZtiDx")</f>
        <v>https://drive.google.com/open?id=sxhzOSw4j516NMzZtiDx</v>
      </c>
      <c r="M90" s="1"/>
      <c r="N90" s="1"/>
      <c r="O90" s="1"/>
      <c r="P90" s="1" t="str">
        <f ca="1">IFERROR(__xludf.DUMMYFUNCTION("""COMPUTED_VALUE"""),"Full-time")</f>
        <v>Full-time</v>
      </c>
      <c r="Q90" s="1">
        <f ca="1">IFERROR(__xludf.DUMMYFUNCTION("""COMPUTED_VALUE"""),50000000)</f>
        <v>50000000</v>
      </c>
      <c r="R90" s="3" t="str">
        <f ca="1">IFERROR(__xludf.DUMMYFUNCTION("""COMPUTED_VALUE"""),"https://drive.google.com/open?id=adHDE3NKCcaF48W5mbjg")</f>
        <v>https://drive.google.com/open?id=adHDE3NKCcaF48W5mbjg</v>
      </c>
      <c r="S90" s="1">
        <f ca="1">IFERROR(__xludf.DUMMYFUNCTION("""COMPUTED_VALUE"""),100000000)</f>
        <v>100000000</v>
      </c>
      <c r="T90" s="1" t="str">
        <f ca="1">IFERROR(__xludf.DUMMYFUNCTION("""COMPUTED_VALUE"""),"Gold")</f>
        <v>Gold</v>
      </c>
      <c r="U90" s="1" t="str">
        <f ca="1">IFERROR(__xludf.DUMMYFUNCTION("""COMPUTED_VALUE"""),"Partner")</f>
        <v>Partner</v>
      </c>
    </row>
    <row r="91" spans="1:21" x14ac:dyDescent="0.25">
      <c r="A91" s="2" t="str">
        <f ca="1">IFERROR(__xludf.DUMMYFUNCTION("""COMPUTED_VALUE"""),"APP0090")</f>
        <v>APP0090</v>
      </c>
      <c r="B91" s="2">
        <f ca="1">IFERROR(__xludf.DUMMYFUNCTION("""COMPUTED_VALUE"""),45902.1898842592)</f>
        <v>45902.189884259198</v>
      </c>
      <c r="C91" s="1" t="str">
        <f ca="1">IFERROR(__xludf.DUMMYFUNCTION("""COMPUTED_VALUE"""),"Lý Đức Quỳnh")</f>
        <v>Lý Đức Quỳnh</v>
      </c>
      <c r="D91" s="1" t="str">
        <f ca="1">IFERROR(__xludf.DUMMYFUNCTION("""COMPUTED_VALUE"""),"08/05/1977")</f>
        <v>08/05/1977</v>
      </c>
      <c r="E91" s="1" t="str">
        <f ca="1">IFERROR(__xludf.DUMMYFUNCTION("""COMPUTED_VALUE"""),"Male")</f>
        <v>Male</v>
      </c>
      <c r="F91" s="1" t="str">
        <f ca="1">IFERROR(__xludf.DUMMYFUNCTION("""COMPUTED_VALUE"""),"Vietnam")</f>
        <v>Vietnam</v>
      </c>
      <c r="G91" s="1" t="str">
        <f ca="1">IFERROR(__xludf.DUMMYFUNCTION("""COMPUTED_VALUE"""),"0893209658")</f>
        <v>0893209658</v>
      </c>
      <c r="H91" s="1" t="str">
        <f ca="1">IFERROR(__xludf.DUMMYFUNCTION("""COMPUTED_VALUE"""),"lyducquynh@gmail.com")</f>
        <v>lyducquynh@gmail.com</v>
      </c>
      <c r="I91" s="1" t="str">
        <f ca="1">IFERROR(__xludf.DUMMYFUNCTION("""COMPUTED_VALUE"""),"190 Pham Van Dong, Dong Da, Hai Phong, Viet Nam")</f>
        <v>190 Pham Van Dong, Dong Da, Hai Phong, Viet Nam</v>
      </c>
      <c r="J91" s="1" t="str">
        <f ca="1">IFERROR(__xludf.DUMMYFUNCTION("""COMPUTED_VALUE"""),"098856581090")</f>
        <v>098856581090</v>
      </c>
      <c r="K91" s="3" t="str">
        <f ca="1">IFERROR(__xludf.DUMMYFUNCTION("""COMPUTED_VALUE"""),"https://drive.google.com/open?id=Ewi6g228j17rllNXbLtg")</f>
        <v>https://drive.google.com/open?id=Ewi6g228j17rllNXbLtg</v>
      </c>
      <c r="L91" s="3" t="str">
        <f ca="1">IFERROR(__xludf.DUMMYFUNCTION("""COMPUTED_VALUE"""),"https://drive.google.com/open?id=ahzoZISM9xPVhJYclyBH")</f>
        <v>https://drive.google.com/open?id=ahzoZISM9xPVhJYclyBH</v>
      </c>
      <c r="M91" s="1"/>
      <c r="N91" s="1"/>
      <c r="O91" s="1"/>
      <c r="P91" s="1" t="str">
        <f ca="1">IFERROR(__xludf.DUMMYFUNCTION("""COMPUTED_VALUE"""),"Contract")</f>
        <v>Contract</v>
      </c>
      <c r="Q91" s="1">
        <f ca="1">IFERROR(__xludf.DUMMYFUNCTION("""COMPUTED_VALUE"""),12000000)</f>
        <v>12000000</v>
      </c>
      <c r="R91" s="3" t="str">
        <f ca="1">IFERROR(__xludf.DUMMYFUNCTION("""COMPUTED_VALUE"""),"https://drive.google.com/open?id=qhcsFuSz1jGgUyfKDMpO")</f>
        <v>https://drive.google.com/open?id=qhcsFuSz1jGgUyfKDMpO</v>
      </c>
      <c r="S91" s="1">
        <f ca="1">IFERROR(__xludf.DUMMYFUNCTION("""COMPUTED_VALUE"""),60000000)</f>
        <v>60000000</v>
      </c>
      <c r="T91" s="1" t="str">
        <f ca="1">IFERROR(__xludf.DUMMYFUNCTION("""COMPUTED_VALUE"""),"Platinum")</f>
        <v>Platinum</v>
      </c>
      <c r="U91" s="1" t="str">
        <f ca="1">IFERROR(__xludf.DUMMYFUNCTION("""COMPUTED_VALUE"""),"Online")</f>
        <v>Online</v>
      </c>
    </row>
    <row r="92" spans="1:21" x14ac:dyDescent="0.25">
      <c r="A92" s="2" t="str">
        <f ca="1">IFERROR(__xludf.DUMMYFUNCTION("""COMPUTED_VALUE"""),"APP0091")</f>
        <v>APP0091</v>
      </c>
      <c r="B92" s="2">
        <f ca="1">IFERROR(__xludf.DUMMYFUNCTION("""COMPUTED_VALUE"""),45902.351574074)</f>
        <v>45902.351574073997</v>
      </c>
      <c r="C92" s="1" t="str">
        <f ca="1">IFERROR(__xludf.DUMMYFUNCTION("""COMPUTED_VALUE"""),"Nguyễn Đức Tú")</f>
        <v>Nguyễn Đức Tú</v>
      </c>
      <c r="D92" s="1" t="str">
        <f ca="1">IFERROR(__xludf.DUMMYFUNCTION("""COMPUTED_VALUE"""),"01/10/1971")</f>
        <v>01/10/1971</v>
      </c>
      <c r="E92" s="1" t="str">
        <f ca="1">IFERROR(__xludf.DUMMYFUNCTION("""COMPUTED_VALUE"""),"Female")</f>
        <v>Female</v>
      </c>
      <c r="F92" s="1" t="str">
        <f ca="1">IFERROR(__xludf.DUMMYFUNCTION("""COMPUTED_VALUE"""),"Vietnam")</f>
        <v>Vietnam</v>
      </c>
      <c r="G92" s="1" t="str">
        <f ca="1">IFERROR(__xludf.DUMMYFUNCTION("""COMPUTED_VALUE"""),"0991707894")</f>
        <v>0991707894</v>
      </c>
      <c r="H92" s="1" t="str">
        <f ca="1">IFERROR(__xludf.DUMMYFUNCTION("""COMPUTED_VALUE"""),"nguyenductu@gmail.com")</f>
        <v>nguyenductu@gmail.com</v>
      </c>
      <c r="I92" s="1" t="str">
        <f ca="1">IFERROR(__xludf.DUMMYFUNCTION("""COMPUTED_VALUE"""),"191 Nguyen Trai, Quan 1, Ha Noi, Viet Nam")</f>
        <v>191 Nguyen Trai, Quan 1, Ha Noi, Viet Nam</v>
      </c>
      <c r="J92" s="1" t="str">
        <f ca="1">IFERROR(__xludf.DUMMYFUNCTION("""COMPUTED_VALUE"""),"03451581543")</f>
        <v>03451581543</v>
      </c>
      <c r="K92" s="3" t="str">
        <f ca="1">IFERROR(__xludf.DUMMYFUNCTION("""COMPUTED_VALUE"""),"https://drive.google.com/open?id=uN1mW9Q9yUShYkGfCT9Y")</f>
        <v>https://drive.google.com/open?id=uN1mW9Q9yUShYkGfCT9Y</v>
      </c>
      <c r="L92" s="3" t="str">
        <f ca="1">IFERROR(__xludf.DUMMYFUNCTION("""COMPUTED_VALUE"""),"https://drive.google.com/open?id=D6ajb3CDsII0wCcDZHTu")</f>
        <v>https://drive.google.com/open?id=D6ajb3CDsII0wCcDZHTu</v>
      </c>
      <c r="M92" s="1"/>
      <c r="N92" s="1"/>
      <c r="O92" s="1"/>
      <c r="P92" s="1" t="str">
        <f ca="1">IFERROR(__xludf.DUMMYFUNCTION("""COMPUTED_VALUE"""),"Freelancer")</f>
        <v>Freelancer</v>
      </c>
      <c r="Q92" s="1">
        <f ca="1">IFERROR(__xludf.DUMMYFUNCTION("""COMPUTED_VALUE"""),50000000)</f>
        <v>50000000</v>
      </c>
      <c r="R92" s="3" t="str">
        <f ca="1">IFERROR(__xludf.DUMMYFUNCTION("""COMPUTED_VALUE"""),"https://drive.google.com/open?id=VHz2TgYGnZRdLFAebI0y")</f>
        <v>https://drive.google.com/open?id=VHz2TgYGnZRdLFAebI0y</v>
      </c>
      <c r="S92" s="1">
        <f ca="1">IFERROR(__xludf.DUMMYFUNCTION("""COMPUTED_VALUE"""),150000000)</f>
        <v>150000000</v>
      </c>
      <c r="T92" s="1" t="str">
        <f ca="1">IFERROR(__xludf.DUMMYFUNCTION("""COMPUTED_VALUE"""),"Platinum")</f>
        <v>Platinum</v>
      </c>
      <c r="U92" s="1" t="str">
        <f ca="1">IFERROR(__xludf.DUMMYFUNCTION("""COMPUTED_VALUE"""),"Partner")</f>
        <v>Partner</v>
      </c>
    </row>
    <row r="93" spans="1:21" x14ac:dyDescent="0.25">
      <c r="A93" s="2" t="str">
        <f ca="1">IFERROR(__xludf.DUMMYFUNCTION("""COMPUTED_VALUE"""),"APP0092")</f>
        <v>APP0092</v>
      </c>
      <c r="B93" s="2">
        <f ca="1">IFERROR(__xludf.DUMMYFUNCTION("""COMPUTED_VALUE"""),45902.4369097222)</f>
        <v>45902.436909722201</v>
      </c>
      <c r="C93" s="1" t="str">
        <f ca="1">IFERROR(__xludf.DUMMYFUNCTION("""COMPUTED_VALUE"""),"Hồ Ngọc Phúc")</f>
        <v>Hồ Ngọc Phúc</v>
      </c>
      <c r="D93" s="1" t="str">
        <f ca="1">IFERROR(__xludf.DUMMYFUNCTION("""COMPUTED_VALUE"""),"07/11/1979")</f>
        <v>07/11/1979</v>
      </c>
      <c r="E93" s="1" t="str">
        <f ca="1">IFERROR(__xludf.DUMMYFUNCTION("""COMPUTED_VALUE"""),"Male")</f>
        <v>Male</v>
      </c>
      <c r="F93" s="1" t="str">
        <f ca="1">IFERROR(__xludf.DUMMYFUNCTION("""COMPUTED_VALUE"""),"Vietnam")</f>
        <v>Vietnam</v>
      </c>
      <c r="G93" s="1" t="str">
        <f ca="1">IFERROR(__xludf.DUMMYFUNCTION("""COMPUTED_VALUE"""),"0771970186")</f>
        <v>0771970186</v>
      </c>
      <c r="H93" s="1" t="str">
        <f ca="1">IFERROR(__xludf.DUMMYFUNCTION("""COMPUTED_VALUE"""),"hongocphuc@gmail.com")</f>
        <v>hongocphuc@gmail.com</v>
      </c>
      <c r="I93" s="1" t="str">
        <f ca="1">IFERROR(__xludf.DUMMYFUNCTION("""COMPUTED_VALUE"""),"26 Le Loi, Hai Chau, Da Nang, Viet Nam")</f>
        <v>26 Le Loi, Hai Chau, Da Nang, Viet Nam</v>
      </c>
      <c r="J93" s="1" t="str">
        <f ca="1">IFERROR(__xludf.DUMMYFUNCTION("""COMPUTED_VALUE"""),"017589344448")</f>
        <v>017589344448</v>
      </c>
      <c r="K93" s="3" t="str">
        <f ca="1">IFERROR(__xludf.DUMMYFUNCTION("""COMPUTED_VALUE"""),"https://drive.google.com/open?id=eQKWtIgsaUm9jaMXyLaE")</f>
        <v>https://drive.google.com/open?id=eQKWtIgsaUm9jaMXyLaE</v>
      </c>
      <c r="L93" s="3" t="str">
        <f ca="1">IFERROR(__xludf.DUMMYFUNCTION("""COMPUTED_VALUE"""),"https://drive.google.com/open?id=VXdOttzPUiBD7RaEf7uN")</f>
        <v>https://drive.google.com/open?id=VXdOttzPUiBD7RaEf7uN</v>
      </c>
      <c r="M93" s="1"/>
      <c r="N93" s="1"/>
      <c r="O93" s="1"/>
      <c r="P93" s="1" t="str">
        <f ca="1">IFERROR(__xludf.DUMMYFUNCTION("""COMPUTED_VALUE"""),"Self-employed")</f>
        <v>Self-employed</v>
      </c>
      <c r="Q93" s="1">
        <f ca="1">IFERROR(__xludf.DUMMYFUNCTION("""COMPUTED_VALUE"""),5000000)</f>
        <v>5000000</v>
      </c>
      <c r="R93" s="3" t="str">
        <f ca="1">IFERROR(__xludf.DUMMYFUNCTION("""COMPUTED_VALUE"""),"https://drive.google.com/open?id=UXUdkztu19DtWsiDbzHB")</f>
        <v>https://drive.google.com/open?id=UXUdkztu19DtWsiDbzHB</v>
      </c>
      <c r="S93" s="1">
        <f ca="1">IFERROR(__xludf.DUMMYFUNCTION("""COMPUTED_VALUE"""),10000000)</f>
        <v>10000000</v>
      </c>
      <c r="T93" s="1" t="str">
        <f ca="1">IFERROR(__xludf.DUMMYFUNCTION("""COMPUTED_VALUE"""),"Gold")</f>
        <v>Gold</v>
      </c>
      <c r="U93" s="1" t="str">
        <f ca="1">IFERROR(__xludf.DUMMYFUNCTION("""COMPUTED_VALUE"""),"Partner")</f>
        <v>Partner</v>
      </c>
    </row>
    <row r="94" spans="1:21" x14ac:dyDescent="0.25">
      <c r="A94" s="2" t="str">
        <f ca="1">IFERROR(__xludf.DUMMYFUNCTION("""COMPUTED_VALUE"""),"APP0093")</f>
        <v>APP0093</v>
      </c>
      <c r="B94" s="2">
        <f ca="1">IFERROR(__xludf.DUMMYFUNCTION("""COMPUTED_VALUE"""),45902.4425694444)</f>
        <v>45902.4425694444</v>
      </c>
      <c r="C94" s="1" t="str">
        <f ca="1">IFERROR(__xludf.DUMMYFUNCTION("""COMPUTED_VALUE"""),"Karen Shields")</f>
        <v>Karen Shields</v>
      </c>
      <c r="D94" s="1" t="str">
        <f ca="1">IFERROR(__xludf.DUMMYFUNCTION("""COMPUTED_VALUE"""),"09/08/1998")</f>
        <v>09/08/1998</v>
      </c>
      <c r="E94" s="1" t="str">
        <f ca="1">IFERROR(__xludf.DUMMYFUNCTION("""COMPUTED_VALUE"""),"Female")</f>
        <v>Female</v>
      </c>
      <c r="F94" s="1" t="str">
        <f ca="1">IFERROR(__xludf.DUMMYFUNCTION("""COMPUTED_VALUE"""),"Other")</f>
        <v>Other</v>
      </c>
      <c r="G94" s="1" t="str">
        <f ca="1">IFERROR(__xludf.DUMMYFUNCTION("""COMPUTED_VALUE"""),"+65 4557448336")</f>
        <v>+65 4557448336</v>
      </c>
      <c r="H94" s="1" t="str">
        <f ca="1">IFERROR(__xludf.DUMMYFUNCTION("""COMPUTED_VALUE"""),"karenshields@gmail.com")</f>
        <v>karenshields@gmail.com</v>
      </c>
      <c r="I94" s="1" t="str">
        <f ca="1">IFERROR(__xludf.DUMMYFUNCTION("""COMPUTED_VALUE"""),"7714 Williams Port, Taylorstad, SC 57481")</f>
        <v>7714 Williams Port, Taylorstad, SC 57481</v>
      </c>
      <c r="J94" s="1"/>
      <c r="K94" s="1"/>
      <c r="L94" s="1"/>
      <c r="M94" s="1" t="str">
        <f ca="1">IFERROR(__xludf.DUMMYFUNCTION("""COMPUTED_VALUE"""),"Xk666853")</f>
        <v>Xk666853</v>
      </c>
      <c r="N94" s="3" t="str">
        <f ca="1">IFERROR(__xludf.DUMMYFUNCTION("""COMPUTED_VALUE"""),"https://drive.google.com/open?id=JCKPu26I9VmNxF8C6ZsP")</f>
        <v>https://drive.google.com/open?id=JCKPu26I9VmNxF8C6ZsP</v>
      </c>
      <c r="O94" s="3" t="str">
        <f ca="1">IFERROR(__xludf.DUMMYFUNCTION("""COMPUTED_VALUE"""),"https://drive.google.com/open?id=b8EiKCNLLADeJYgTeeew")</f>
        <v>https://drive.google.com/open?id=b8EiKCNLLADeJYgTeeew</v>
      </c>
      <c r="P94" s="1" t="str">
        <f ca="1">IFERROR(__xludf.DUMMYFUNCTION("""COMPUTED_VALUE"""),"Freelancer")</f>
        <v>Freelancer</v>
      </c>
      <c r="Q94" s="1">
        <f ca="1">IFERROR(__xludf.DUMMYFUNCTION("""COMPUTED_VALUE"""),8000000)</f>
        <v>8000000</v>
      </c>
      <c r="R94" s="3" t="str">
        <f ca="1">IFERROR(__xludf.DUMMYFUNCTION("""COMPUTED_VALUE"""),"https://drive.google.com/open?id=KFSeXaEgvS3uVFoGm6hL")</f>
        <v>https://drive.google.com/open?id=KFSeXaEgvS3uVFoGm6hL</v>
      </c>
      <c r="S94" s="1">
        <f ca="1">IFERROR(__xludf.DUMMYFUNCTION("""COMPUTED_VALUE"""),24000000)</f>
        <v>24000000</v>
      </c>
      <c r="T94" s="1" t="str">
        <f ca="1">IFERROR(__xludf.DUMMYFUNCTION("""COMPUTED_VALUE"""),"Classic")</f>
        <v>Classic</v>
      </c>
      <c r="U94" s="1" t="str">
        <f ca="1">IFERROR(__xludf.DUMMYFUNCTION("""COMPUTED_VALUE"""),"Partner")</f>
        <v>Partner</v>
      </c>
    </row>
    <row r="95" spans="1:21" x14ac:dyDescent="0.25">
      <c r="A95" s="2" t="str">
        <f ca="1">IFERROR(__xludf.DUMMYFUNCTION("""COMPUTED_VALUE"""),"APP0094")</f>
        <v>APP0094</v>
      </c>
      <c r="B95" s="2">
        <f ca="1">IFERROR(__xludf.DUMMYFUNCTION("""COMPUTED_VALUE"""),45902.4772106481)</f>
        <v>45902.477210648103</v>
      </c>
      <c r="C95" s="1" t="str">
        <f ca="1">IFERROR(__xludf.DUMMYFUNCTION("""COMPUTED_VALUE"""),"Dương Thị Phong")</f>
        <v>Dương Thị Phong</v>
      </c>
      <c r="D95" s="1" t="str">
        <f ca="1">IFERROR(__xludf.DUMMYFUNCTION("""COMPUTED_VALUE"""),"07/09/1965")</f>
        <v>07/09/1965</v>
      </c>
      <c r="E95" s="1" t="str">
        <f ca="1">IFERROR(__xludf.DUMMYFUNCTION("""COMPUTED_VALUE"""),"Male")</f>
        <v>Male</v>
      </c>
      <c r="F95" s="1" t="str">
        <f ca="1">IFERROR(__xludf.DUMMYFUNCTION("""COMPUTED_VALUE"""),"Vietnam")</f>
        <v>Vietnam</v>
      </c>
      <c r="G95" s="1" t="str">
        <f ca="1">IFERROR(__xludf.DUMMYFUNCTION("""COMPUTED_VALUE"""),"0730917692")</f>
        <v>0730917692</v>
      </c>
      <c r="H95" s="1" t="str">
        <f ca="1">IFERROR(__xludf.DUMMYFUNCTION("""COMPUTED_VALUE"""),"duongthiphong@gmail.com")</f>
        <v>duongthiphong@gmail.com</v>
      </c>
      <c r="I95" s="1" t="str">
        <f ca="1">IFERROR(__xludf.DUMMYFUNCTION("""COMPUTED_VALUE"""),"85 Nguyen Trai, Hoan Kiem, Ha Noi, Viet Nam")</f>
        <v>85 Nguyen Trai, Hoan Kiem, Ha Noi, Viet Nam</v>
      </c>
      <c r="J95" s="1" t="str">
        <f ca="1">IFERROR(__xludf.DUMMYFUNCTION("""COMPUTED_VALUE"""),"078120348893")</f>
        <v>078120348893</v>
      </c>
      <c r="K95" s="3" t="str">
        <f ca="1">IFERROR(__xludf.DUMMYFUNCTION("""COMPUTED_VALUE"""),"https://drive.google.com/open?id=xr7K1EFChRDnC2B6ceLq")</f>
        <v>https://drive.google.com/open?id=xr7K1EFChRDnC2B6ceLq</v>
      </c>
      <c r="L95" s="3" t="str">
        <f ca="1">IFERROR(__xludf.DUMMYFUNCTION("""COMPUTED_VALUE"""),"https://drive.google.com/open?id=oqE98zNuyCUDcoprv2uX")</f>
        <v>https://drive.google.com/open?id=oqE98zNuyCUDcoprv2uX</v>
      </c>
      <c r="M95" s="1"/>
      <c r="N95" s="1"/>
      <c r="O95" s="1"/>
      <c r="P95" s="1" t="str">
        <f ca="1">IFERROR(__xludf.DUMMYFUNCTION("""COMPUTED_VALUE"""),"Full-time")</f>
        <v>Full-time</v>
      </c>
      <c r="Q95" s="1">
        <f ca="1">IFERROR(__xludf.DUMMYFUNCTION("""COMPUTED_VALUE"""),50000000)</f>
        <v>50000000</v>
      </c>
      <c r="R95" s="3" t="str">
        <f ca="1">IFERROR(__xludf.DUMMYFUNCTION("""COMPUTED_VALUE"""),"https://drive.google.com/open?id=rLdRCtVPFviljNAwZUPi")</f>
        <v>https://drive.google.com/open?id=rLdRCtVPFviljNAwZUPi</v>
      </c>
      <c r="S95" s="1">
        <f ca="1">IFERROR(__xludf.DUMMYFUNCTION("""COMPUTED_VALUE"""),100000000)</f>
        <v>100000000</v>
      </c>
      <c r="T95" s="1" t="str">
        <f ca="1">IFERROR(__xludf.DUMMYFUNCTION("""COMPUTED_VALUE"""),"Gold")</f>
        <v>Gold</v>
      </c>
      <c r="U95" s="1" t="str">
        <f ca="1">IFERROR(__xludf.DUMMYFUNCTION("""COMPUTED_VALUE"""),"Branch")</f>
        <v>Branch</v>
      </c>
    </row>
    <row r="96" spans="1:21" x14ac:dyDescent="0.25">
      <c r="A96" s="2" t="str">
        <f ca="1">IFERROR(__xludf.DUMMYFUNCTION("""COMPUTED_VALUE"""),"APP0095")</f>
        <v>APP0095</v>
      </c>
      <c r="B96" s="2">
        <f ca="1">IFERROR(__xludf.DUMMYFUNCTION("""COMPUTED_VALUE"""),45902.5698379629)</f>
        <v>45902.569837962903</v>
      </c>
      <c r="C96" s="1" t="str">
        <f ca="1">IFERROR(__xludf.DUMMYFUNCTION("""COMPUTED_VALUE"""),"Trần Thanh Phong")</f>
        <v>Trần Thanh Phong</v>
      </c>
      <c r="D96" s="1" t="str">
        <f ca="1">IFERROR(__xludf.DUMMYFUNCTION("""COMPUTED_VALUE"""),"28/09/1996")</f>
        <v>28/09/1996</v>
      </c>
      <c r="E96" s="1" t="str">
        <f ca="1">IFERROR(__xludf.DUMMYFUNCTION("""COMPUTED_VALUE"""),"Male")</f>
        <v>Male</v>
      </c>
      <c r="F96" s="1" t="str">
        <f ca="1">IFERROR(__xludf.DUMMYFUNCTION("""COMPUTED_VALUE"""),"Vietnam")</f>
        <v>Vietnam</v>
      </c>
      <c r="G96" s="1" t="str">
        <f ca="1">IFERROR(__xludf.DUMMYFUNCTION("""COMPUTED_VALUE"""),"0843428974")</f>
        <v>0843428974</v>
      </c>
      <c r="H96" s="1" t="str">
        <f ca="1">IFERROR(__xludf.DUMMYFUNCTION("""COMPUTED_VALUE"""),"tranthanhphong@gmail.com")</f>
        <v>tranthanhphong@gmail.com</v>
      </c>
      <c r="I96" s="1" t="str">
        <f ca="1">IFERROR(__xludf.DUMMYFUNCTION("""COMPUTED_VALUE"""),"167 Nguyen Hue, Quan 7, Hai Phong, Viet Nam")</f>
        <v>167 Nguyen Hue, Quan 7, Hai Phong, Viet Nam</v>
      </c>
      <c r="J96" s="1" t="str">
        <f ca="1">IFERROR(__xludf.DUMMYFUNCTION("""COMPUTED_VALUE"""),"010521608396")</f>
        <v>010521608396</v>
      </c>
      <c r="K96" s="3" t="str">
        <f ca="1">IFERROR(__xludf.DUMMYFUNCTION("""COMPUTED_VALUE"""),"https://drive.google.com/open?id=sYAwUCQxi7g4EgXUJyDV")</f>
        <v>https://drive.google.com/open?id=sYAwUCQxi7g4EgXUJyDV</v>
      </c>
      <c r="L96" s="3" t="str">
        <f ca="1">IFERROR(__xludf.DUMMYFUNCTION("""COMPUTED_VALUE"""),"https://drive.google.com/open?id=OUJbcgTeXdmAKaKbvXO7")</f>
        <v>https://drive.google.com/open?id=OUJbcgTeXdmAKaKbvXO7</v>
      </c>
      <c r="M96" s="1"/>
      <c r="N96" s="1"/>
      <c r="O96" s="1"/>
      <c r="P96" s="1" t="str">
        <f ca="1">IFERROR(__xludf.DUMMYFUNCTION("""COMPUTED_VALUE"""),"Self-employed")</f>
        <v>Self-employed</v>
      </c>
      <c r="Q96" s="1">
        <f ca="1">IFERROR(__xludf.DUMMYFUNCTION("""COMPUTED_VALUE"""),20000000)</f>
        <v>20000000</v>
      </c>
      <c r="R96" s="3" t="str">
        <f ca="1">IFERROR(__xludf.DUMMYFUNCTION("""COMPUTED_VALUE"""),"https://drive.google.com/open?id=JvEBJjS91VsMtSFc9Pfc")</f>
        <v>https://drive.google.com/open?id=JvEBJjS91VsMtSFc9Pfc</v>
      </c>
      <c r="S96" s="1">
        <f ca="1">IFERROR(__xludf.DUMMYFUNCTION("""COMPUTED_VALUE"""),100000000)</f>
        <v>100000000</v>
      </c>
      <c r="T96" s="1" t="str">
        <f ca="1">IFERROR(__xludf.DUMMYFUNCTION("""COMPUTED_VALUE"""),"Classic")</f>
        <v>Classic</v>
      </c>
      <c r="U96" s="1" t="str">
        <f ca="1">IFERROR(__xludf.DUMMYFUNCTION("""COMPUTED_VALUE"""),"Branch")</f>
        <v>Branch</v>
      </c>
    </row>
    <row r="97" spans="1:21" x14ac:dyDescent="0.25">
      <c r="A97" s="2" t="str">
        <f ca="1">IFERROR(__xludf.DUMMYFUNCTION("""COMPUTED_VALUE"""),"APP0096")</f>
        <v>APP0096</v>
      </c>
      <c r="B97" s="2">
        <f ca="1">IFERROR(__xludf.DUMMYFUNCTION("""COMPUTED_VALUE"""),45902.6631828703)</f>
        <v>45902.663182870303</v>
      </c>
      <c r="C97" s="1" t="str">
        <f ca="1">IFERROR(__xludf.DUMMYFUNCTION("""COMPUTED_VALUE"""),"Ngô Hữu Quỳnh")</f>
        <v>Ngô Hữu Quỳnh</v>
      </c>
      <c r="D97" s="1" t="str">
        <f ca="1">IFERROR(__xludf.DUMMYFUNCTION("""COMPUTED_VALUE"""),"30/04/1985")</f>
        <v>30/04/1985</v>
      </c>
      <c r="E97" s="1" t="str">
        <f ca="1">IFERROR(__xludf.DUMMYFUNCTION("""COMPUTED_VALUE"""),"Male")</f>
        <v>Male</v>
      </c>
      <c r="F97" s="1" t="str">
        <f ca="1">IFERROR(__xludf.DUMMYFUNCTION("""COMPUTED_VALUE"""),"Vietnam")</f>
        <v>Vietnam</v>
      </c>
      <c r="G97" s="1" t="str">
        <f ca="1">IFERROR(__xludf.DUMMYFUNCTION("""COMPUTED_VALUE"""),"0862641554")</f>
        <v>0862641554</v>
      </c>
      <c r="H97" s="1" t="str">
        <f ca="1">IFERROR(__xludf.DUMMYFUNCTION("""COMPUTED_VALUE"""),"ngohuuquynh@gmail.com")</f>
        <v>ngohuuquynh@gmail.com</v>
      </c>
      <c r="I97" s="1" t="str">
        <f ca="1">IFERROR(__xludf.DUMMYFUNCTION("""COMPUTED_VALUE"""),"28 Nguyen Trai, Dong Da, Ha Noi, Viet Nam")</f>
        <v>28 Nguyen Trai, Dong Da, Ha Noi, Viet Nam</v>
      </c>
      <c r="J97" s="1" t="str">
        <f ca="1">IFERROR(__xludf.DUMMYFUNCTION("""COMPUTED_VALUE"""),"086012894082")</f>
        <v>086012894082</v>
      </c>
      <c r="K97" s="3" t="str">
        <f ca="1">IFERROR(__xludf.DUMMYFUNCTION("""COMPUTED_VALUE"""),"https://drive.google.com/open?id=OkFQUEJ5Yg00X01fa3i9")</f>
        <v>https://drive.google.com/open?id=OkFQUEJ5Yg00X01fa3i9</v>
      </c>
      <c r="L97" s="3" t="str">
        <f ca="1">IFERROR(__xludf.DUMMYFUNCTION("""COMPUTED_VALUE"""),"https://drive.google.com/open?id=KBS08BeK9PWetdVMd5mm")</f>
        <v>https://drive.google.com/open?id=KBS08BeK9PWetdVMd5mm</v>
      </c>
      <c r="M97" s="1"/>
      <c r="N97" s="1"/>
      <c r="O97" s="1"/>
      <c r="P97" s="1" t="str">
        <f ca="1">IFERROR(__xludf.DUMMYFUNCTION("""COMPUTED_VALUE"""),"Freelancer")</f>
        <v>Freelancer</v>
      </c>
      <c r="Q97" s="1">
        <f ca="1">IFERROR(__xludf.DUMMYFUNCTION("""COMPUTED_VALUE"""),50000000)</f>
        <v>50000000</v>
      </c>
      <c r="R97" s="3" t="str">
        <f ca="1">IFERROR(__xludf.DUMMYFUNCTION("""COMPUTED_VALUE"""),"https://drive.google.com/open?id=72YTE0ykxNixtpUvEmd5")</f>
        <v>https://drive.google.com/open?id=72YTE0ykxNixtpUvEmd5</v>
      </c>
      <c r="S97" s="1">
        <f ca="1">IFERROR(__xludf.DUMMYFUNCTION("""COMPUTED_VALUE"""),100000000)</f>
        <v>100000000</v>
      </c>
      <c r="T97" s="1" t="str">
        <f ca="1">IFERROR(__xludf.DUMMYFUNCTION("""COMPUTED_VALUE"""),"Platinum")</f>
        <v>Platinum</v>
      </c>
      <c r="U97" s="1" t="str">
        <f ca="1">IFERROR(__xludf.DUMMYFUNCTION("""COMPUTED_VALUE"""),"Branch")</f>
        <v>Branch</v>
      </c>
    </row>
    <row r="98" spans="1:21" x14ac:dyDescent="0.25">
      <c r="A98" s="2" t="str">
        <f ca="1">IFERROR(__xludf.DUMMYFUNCTION("""COMPUTED_VALUE"""),"APP0097")</f>
        <v>APP0097</v>
      </c>
      <c r="B98" s="2">
        <f ca="1">IFERROR(__xludf.DUMMYFUNCTION("""COMPUTED_VALUE"""),45902.6686689814)</f>
        <v>45902.668668981401</v>
      </c>
      <c r="C98" s="1" t="str">
        <f ca="1">IFERROR(__xludf.DUMMYFUNCTION("""COMPUTED_VALUE"""),"Phạm Anh Hà")</f>
        <v>Phạm Anh Hà</v>
      </c>
      <c r="D98" s="1" t="str">
        <f ca="1">IFERROR(__xludf.DUMMYFUNCTION("""COMPUTED_VALUE"""),"18/07/1974")</f>
        <v>18/07/1974</v>
      </c>
      <c r="E98" s="1" t="str">
        <f ca="1">IFERROR(__xludf.DUMMYFUNCTION("""COMPUTED_VALUE"""),"Male")</f>
        <v>Male</v>
      </c>
      <c r="F98" s="1" t="str">
        <f ca="1">IFERROR(__xludf.DUMMYFUNCTION("""COMPUTED_VALUE"""),"Vietnam")</f>
        <v>Vietnam</v>
      </c>
      <c r="G98" s="1" t="str">
        <f ca="1">IFERROR(__xludf.DUMMYFUNCTION("""COMPUTED_VALUE"""),"0820167224")</f>
        <v>0820167224</v>
      </c>
      <c r="H98" s="1" t="str">
        <f ca="1">IFERROR(__xludf.DUMMYFUNCTION("""COMPUTED_VALUE"""),"phamanhha@gmail.com")</f>
        <v>phamanhha@gmail.com</v>
      </c>
      <c r="I98" s="1" t="str">
        <f ca="1">IFERROR(__xludf.DUMMYFUNCTION("""COMPUTED_VALUE"""),"149 Tran Hung Dao, Quan 7, Hai Phong, Viet Nam")</f>
        <v>149 Tran Hung Dao, Quan 7, Hai Phong, Viet Nam</v>
      </c>
      <c r="J98" s="1" t="str">
        <f ca="1">IFERROR(__xludf.DUMMYFUNCTION("""COMPUTED_VALUE"""),"088862982016")</f>
        <v>088862982016</v>
      </c>
      <c r="K98" s="3" t="str">
        <f ca="1">IFERROR(__xludf.DUMMYFUNCTION("""COMPUTED_VALUE"""),"https://drive.google.com/open?id=CPxePAGNhEn7AvxsRN6v")</f>
        <v>https://drive.google.com/open?id=CPxePAGNhEn7AvxsRN6v</v>
      </c>
      <c r="L98" s="3" t="str">
        <f ca="1">IFERROR(__xludf.DUMMYFUNCTION("""COMPUTED_VALUE"""),"https://drive.google.com/open?id=SrDetkijjSMpfp18eZE2")</f>
        <v>https://drive.google.com/open?id=SrDetkijjSMpfp18eZE2</v>
      </c>
      <c r="M98" s="1"/>
      <c r="N98" s="1"/>
      <c r="O98" s="1"/>
      <c r="P98" s="1" t="str">
        <f ca="1">IFERROR(__xludf.DUMMYFUNCTION("""COMPUTED_VALUE"""),"Part-time")</f>
        <v>Part-time</v>
      </c>
      <c r="Q98" s="1">
        <f ca="1">IFERROR(__xludf.DUMMYFUNCTION("""COMPUTED_VALUE"""),8000000)</f>
        <v>8000000</v>
      </c>
      <c r="R98" s="3" t="str">
        <f ca="1">IFERROR(__xludf.DUMMYFUNCTION("""COMPUTED_VALUE"""),"https://drive.google.com/open?id=wN8nB6HjRQp3Q9EgH6yZ")</f>
        <v>https://drive.google.com/open?id=wN8nB6HjRQp3Q9EgH6yZ</v>
      </c>
      <c r="S98" s="1">
        <f ca="1">IFERROR(__xludf.DUMMYFUNCTION("""COMPUTED_VALUE"""),40000000)</f>
        <v>40000000</v>
      </c>
      <c r="T98" s="1" t="str">
        <f ca="1">IFERROR(__xludf.DUMMYFUNCTION("""COMPUTED_VALUE"""),"Platinum")</f>
        <v>Platinum</v>
      </c>
      <c r="U98" s="1" t="str">
        <f ca="1">IFERROR(__xludf.DUMMYFUNCTION("""COMPUTED_VALUE"""),"Partner")</f>
        <v>Partner</v>
      </c>
    </row>
    <row r="99" spans="1:21" x14ac:dyDescent="0.25">
      <c r="A99" s="2" t="str">
        <f ca="1">IFERROR(__xludf.DUMMYFUNCTION("""COMPUTED_VALUE"""),"APP0098")</f>
        <v>APP0098</v>
      </c>
      <c r="B99" s="2">
        <f ca="1">IFERROR(__xludf.DUMMYFUNCTION("""COMPUTED_VALUE"""),45902.6720833333)</f>
        <v>45902.672083333302</v>
      </c>
      <c r="C99" s="1" t="str">
        <f ca="1">IFERROR(__xludf.DUMMYFUNCTION("""COMPUTED_VALUE"""),"Lê Minh Yến")</f>
        <v>Lê Minh Yến</v>
      </c>
      <c r="D99" s="1" t="str">
        <f ca="1">IFERROR(__xludf.DUMMYFUNCTION("""COMPUTED_VALUE"""),"16/03/2001")</f>
        <v>16/03/2001</v>
      </c>
      <c r="E99" s="1" t="str">
        <f ca="1">IFERROR(__xludf.DUMMYFUNCTION("""COMPUTED_VALUE"""),"Male")</f>
        <v>Male</v>
      </c>
      <c r="F99" s="1" t="str">
        <f ca="1">IFERROR(__xludf.DUMMYFUNCTION("""COMPUTED_VALUE"""),"Vietnam")</f>
        <v>Vietnam</v>
      </c>
      <c r="G99" s="1" t="str">
        <f ca="1">IFERROR(__xludf.DUMMYFUNCTION("""COMPUTED_VALUE"""),"0871830407")</f>
        <v>0871830407</v>
      </c>
      <c r="H99" s="1" t="str">
        <f ca="1">IFERROR(__xludf.DUMMYFUNCTION("""COMPUTED_VALUE"""),"leminhyen@gmail.com")</f>
        <v>leminhyen@gmail.com</v>
      </c>
      <c r="I99" s="1" t="str">
        <f ca="1">IFERROR(__xludf.DUMMYFUNCTION("""COMPUTED_VALUE"""),"37 Tran Hung Dao, Quan 7, Hai Phong, Viet Nam")</f>
        <v>37 Tran Hung Dao, Quan 7, Hai Phong, Viet Nam</v>
      </c>
      <c r="J99" s="1" t="str">
        <f ca="1">IFERROR(__xludf.DUMMYFUNCTION("""COMPUTED_VALUE"""),"084341716239")</f>
        <v>084341716239</v>
      </c>
      <c r="K99" s="3" t="str">
        <f ca="1">IFERROR(__xludf.DUMMYFUNCTION("""COMPUTED_VALUE"""),"https://drive.google.com/open?id=V6tjjk8jHFGwAOSy9X8I")</f>
        <v>https://drive.google.com/open?id=V6tjjk8jHFGwAOSy9X8I</v>
      </c>
      <c r="L99" s="3" t="str">
        <f ca="1">IFERROR(__xludf.DUMMYFUNCTION("""COMPUTED_VALUE"""),"https://drive.google.com/open?id=YPGEPEeSyimXKIdQ1a8H")</f>
        <v>https://drive.google.com/open?id=YPGEPEeSyimXKIdQ1a8H</v>
      </c>
      <c r="M99" s="1"/>
      <c r="N99" s="1"/>
      <c r="O99" s="1"/>
      <c r="P99" s="1" t="str">
        <f ca="1">IFERROR(__xludf.DUMMYFUNCTION("""COMPUTED_VALUE"""),"Self-employed")</f>
        <v>Self-employed</v>
      </c>
      <c r="Q99" s="1">
        <f ca="1">IFERROR(__xludf.DUMMYFUNCTION("""COMPUTED_VALUE"""),8000000)</f>
        <v>8000000</v>
      </c>
      <c r="R99" s="3" t="str">
        <f ca="1">IFERROR(__xludf.DUMMYFUNCTION("""COMPUTED_VALUE"""),"https://drive.google.com/open?id=nf9dS7NtyTEDcqHNVnzG")</f>
        <v>https://drive.google.com/open?id=nf9dS7NtyTEDcqHNVnzG</v>
      </c>
      <c r="S99" s="1">
        <f ca="1">IFERROR(__xludf.DUMMYFUNCTION("""COMPUTED_VALUE"""),24000000)</f>
        <v>24000000</v>
      </c>
      <c r="T99" s="1" t="str">
        <f ca="1">IFERROR(__xludf.DUMMYFUNCTION("""COMPUTED_VALUE"""),"Platinum")</f>
        <v>Platinum</v>
      </c>
      <c r="U99" s="1" t="str">
        <f ca="1">IFERROR(__xludf.DUMMYFUNCTION("""COMPUTED_VALUE"""),"Online")</f>
        <v>Online</v>
      </c>
    </row>
    <row r="100" spans="1:21" x14ac:dyDescent="0.25">
      <c r="A100" s="2" t="str">
        <f ca="1">IFERROR(__xludf.DUMMYFUNCTION("""COMPUTED_VALUE"""),"APP0099")</f>
        <v>APP0099</v>
      </c>
      <c r="B100" s="2">
        <f ca="1">IFERROR(__xludf.DUMMYFUNCTION("""COMPUTED_VALUE"""),45902.70125)</f>
        <v>45902.701249999998</v>
      </c>
      <c r="C100" s="1" t="str">
        <f ca="1">IFERROR(__xludf.DUMMYFUNCTION("""COMPUTED_VALUE"""),"Đặng Thị Lan")</f>
        <v>Đặng Thị Lan</v>
      </c>
      <c r="D100" s="1" t="str">
        <f ca="1">IFERROR(__xludf.DUMMYFUNCTION("""COMPUTED_VALUE"""),"17/01/2005")</f>
        <v>17/01/2005</v>
      </c>
      <c r="E100" s="1" t="str">
        <f ca="1">IFERROR(__xludf.DUMMYFUNCTION("""COMPUTED_VALUE"""),"Male")</f>
        <v>Male</v>
      </c>
      <c r="F100" s="1" t="str">
        <f ca="1">IFERROR(__xludf.DUMMYFUNCTION("""COMPUTED_VALUE"""),"Vietnam")</f>
        <v>Vietnam</v>
      </c>
      <c r="G100" s="1" t="str">
        <f ca="1">IFERROR(__xludf.DUMMYFUNCTION("""COMPUTED_VALUE"""),"0860001698")</f>
        <v>0860001698</v>
      </c>
      <c r="H100" s="1" t="str">
        <f ca="1">IFERROR(__xludf.DUMMYFUNCTION("""COMPUTED_VALUE"""),"dangthilan@gmail.com")</f>
        <v>dangthilan@gmail.com</v>
      </c>
      <c r="I100" s="1" t="str">
        <f ca="1">IFERROR(__xludf.DUMMYFUNCTION("""COMPUTED_VALUE"""),"14 Nguyen Trai, Hai Chau, TP Ho Chi Minh, Viet Nam")</f>
        <v>14 Nguyen Trai, Hai Chau, TP Ho Chi Minh, Viet Nam</v>
      </c>
      <c r="J100" s="1" t="str">
        <f ca="1">IFERROR(__xludf.DUMMYFUNCTION("""COMPUTED_VALUE"""),"063128732469")</f>
        <v>063128732469</v>
      </c>
      <c r="K100" s="3" t="str">
        <f ca="1">IFERROR(__xludf.DUMMYFUNCTION("""COMPUTED_VALUE"""),"https://drive.google.com/open?id=lw3wuo7LDJnEzkppjnLP")</f>
        <v>https://drive.google.com/open?id=lw3wuo7LDJnEzkppjnLP</v>
      </c>
      <c r="L100" s="3" t="str">
        <f ca="1">IFERROR(__xludf.DUMMYFUNCTION("""COMPUTED_VALUE"""),"https://drive.google.com/open?id=U8geOkK5GNlTp9fuJbka")</f>
        <v>https://drive.google.com/open?id=U8geOkK5GNlTp9fuJbka</v>
      </c>
      <c r="M100" s="1"/>
      <c r="N100" s="1"/>
      <c r="O100" s="1"/>
      <c r="P100" s="1" t="str">
        <f ca="1">IFERROR(__xludf.DUMMYFUNCTION("""COMPUTED_VALUE"""),"Full-time")</f>
        <v>Full-time</v>
      </c>
      <c r="Q100" s="1">
        <f ca="1">IFERROR(__xludf.DUMMYFUNCTION("""COMPUTED_VALUE"""),5000000)</f>
        <v>5000000</v>
      </c>
      <c r="R100" s="3" t="str">
        <f ca="1">IFERROR(__xludf.DUMMYFUNCTION("""COMPUTED_VALUE"""),"https://drive.google.com/open?id=QXtd9jvGUCNYk3l5Ekft")</f>
        <v>https://drive.google.com/open?id=QXtd9jvGUCNYk3l5Ekft</v>
      </c>
      <c r="S100" s="1">
        <f ca="1">IFERROR(__xludf.DUMMYFUNCTION("""COMPUTED_VALUE"""),25000000)</f>
        <v>25000000</v>
      </c>
      <c r="T100" s="1" t="str">
        <f ca="1">IFERROR(__xludf.DUMMYFUNCTION("""COMPUTED_VALUE"""),"Gold")</f>
        <v>Gold</v>
      </c>
      <c r="U100" s="1" t="str">
        <f ca="1">IFERROR(__xludf.DUMMYFUNCTION("""COMPUTED_VALUE"""),"Branch")</f>
        <v>Branch</v>
      </c>
    </row>
    <row r="101" spans="1:21" x14ac:dyDescent="0.25">
      <c r="A101" s="2" t="str">
        <f ca="1">IFERROR(__xludf.DUMMYFUNCTION("""COMPUTED_VALUE"""),"APP0100")</f>
        <v>APP0100</v>
      </c>
      <c r="B101" s="2">
        <f ca="1">IFERROR(__xludf.DUMMYFUNCTION("""COMPUTED_VALUE"""),45902.7240625)</f>
        <v>45902.724062499998</v>
      </c>
      <c r="C101" s="1" t="str">
        <f ca="1">IFERROR(__xludf.DUMMYFUNCTION("""COMPUTED_VALUE"""),"Lý Ngọc Phúc")</f>
        <v>Lý Ngọc Phúc</v>
      </c>
      <c r="D101" s="1" t="str">
        <f ca="1">IFERROR(__xludf.DUMMYFUNCTION("""COMPUTED_VALUE"""),"08/03/2004")</f>
        <v>08/03/2004</v>
      </c>
      <c r="E101" s="1" t="str">
        <f ca="1">IFERROR(__xludf.DUMMYFUNCTION("""COMPUTED_VALUE"""),"Female")</f>
        <v>Female</v>
      </c>
      <c r="F101" s="1" t="str">
        <f ca="1">IFERROR(__xludf.DUMMYFUNCTION("""COMPUTED_VALUE"""),"Vietnam")</f>
        <v>Vietnam</v>
      </c>
      <c r="G101" s="1" t="str">
        <f ca="1">IFERROR(__xludf.DUMMYFUNCTION("""COMPUTED_VALUE"""),"0888700332")</f>
        <v>0888700332</v>
      </c>
      <c r="H101" s="1" t="str">
        <f ca="1">IFERROR(__xludf.DUMMYFUNCTION("""COMPUTED_VALUE"""),"lyngocphuc@gmail.com")</f>
        <v>lyngocphuc@gmail.com</v>
      </c>
      <c r="I101" s="1" t="str">
        <f ca="1">IFERROR(__xludf.DUMMYFUNCTION("""COMPUTED_VALUE"""),"28 Le Loi, Dong Da, Da Nang, Viet Nam")</f>
        <v>28 Le Loi, Dong Da, Da Nang, Viet Nam</v>
      </c>
      <c r="J101" s="1" t="str">
        <f ca="1">IFERROR(__xludf.DUMMYFUNCTION("""COMPUTED_VALUE"""),"027168188450")</f>
        <v>027168188450</v>
      </c>
      <c r="K101" s="3" t="str">
        <f ca="1">IFERROR(__xludf.DUMMYFUNCTION("""COMPUTED_VALUE"""),"https://drive.google.com/open?id=4v4UxAaByObYVgXWuzkY")</f>
        <v>https://drive.google.com/open?id=4v4UxAaByObYVgXWuzkY</v>
      </c>
      <c r="L101" s="3" t="str">
        <f ca="1">IFERROR(__xludf.DUMMYFUNCTION("""COMPUTED_VALUE"""),"https://drive.google.com/open?id=LTTySYiX1B2hTBTkLRoy")</f>
        <v>https://drive.google.com/open?id=LTTySYiX1B2hTBTkLRoy</v>
      </c>
      <c r="M101" s="1"/>
      <c r="N101" s="1"/>
      <c r="O101" s="1"/>
      <c r="P101" s="1" t="str">
        <f ca="1">IFERROR(__xludf.DUMMYFUNCTION("""COMPUTED_VALUE"""),"Self-employed")</f>
        <v>Self-employed</v>
      </c>
      <c r="Q101" s="1">
        <f ca="1">IFERROR(__xludf.DUMMYFUNCTION("""COMPUTED_VALUE"""),5000000)</f>
        <v>5000000</v>
      </c>
      <c r="R101" s="3" t="str">
        <f ca="1">IFERROR(__xludf.DUMMYFUNCTION("""COMPUTED_VALUE"""),"https://drive.google.com/open?id=KeiSDTQihhSyEPzX8wU6")</f>
        <v>https://drive.google.com/open?id=KeiSDTQihhSyEPzX8wU6</v>
      </c>
      <c r="S101" s="1">
        <f ca="1">IFERROR(__xludf.DUMMYFUNCTION("""COMPUTED_VALUE"""),25000000)</f>
        <v>25000000</v>
      </c>
      <c r="T101" s="1" t="str">
        <f ca="1">IFERROR(__xludf.DUMMYFUNCTION("""COMPUTED_VALUE"""),"Platinum")</f>
        <v>Platinum</v>
      </c>
      <c r="U101" s="1" t="str">
        <f ca="1">IFERROR(__xludf.DUMMYFUNCTION("""COMPUTED_VALUE"""),"Online")</f>
        <v>Online</v>
      </c>
    </row>
    <row r="102" spans="1:21" x14ac:dyDescent="0.25">
      <c r="A102" s="2" t="str">
        <f ca="1">IFERROR(__xludf.DUMMYFUNCTION("""COMPUTED_VALUE"""),"APP0101")</f>
        <v>APP0101</v>
      </c>
      <c r="B102" s="2">
        <f ca="1">IFERROR(__xludf.DUMMYFUNCTION("""COMPUTED_VALUE"""),45902.7705208333)</f>
        <v>45902.770520833299</v>
      </c>
      <c r="C102" s="1" t="str">
        <f ca="1">IFERROR(__xludf.DUMMYFUNCTION("""COMPUTED_VALUE"""),"Hồ Đức Mai")</f>
        <v>Hồ Đức Mai</v>
      </c>
      <c r="D102" s="1" t="str">
        <f ca="1">IFERROR(__xludf.DUMMYFUNCTION("""COMPUTED_VALUE"""),"31/12/1980")</f>
        <v>31/12/1980</v>
      </c>
      <c r="E102" s="1" t="str">
        <f ca="1">IFERROR(__xludf.DUMMYFUNCTION("""COMPUTED_VALUE"""),"Male")</f>
        <v>Male</v>
      </c>
      <c r="F102" s="1" t="str">
        <f ca="1">IFERROR(__xludf.DUMMYFUNCTION("""COMPUTED_VALUE"""),"Vietnam")</f>
        <v>Vietnam</v>
      </c>
      <c r="G102" s="1" t="str">
        <f ca="1">IFERROR(__xludf.DUMMYFUNCTION("""COMPUTED_VALUE"""),"0723136522")</f>
        <v>0723136522</v>
      </c>
      <c r="H102" s="1" t="str">
        <f ca="1">IFERROR(__xludf.DUMMYFUNCTION("""COMPUTED_VALUE"""),"hoducmai@gmail.com")</f>
        <v>hoducmai@gmail.com</v>
      </c>
      <c r="I102" s="1" t="str">
        <f ca="1">IFERROR(__xludf.DUMMYFUNCTION("""COMPUTED_VALUE"""),"147 Pham Van Dong, Hai Chau, Can Tho, Viet Nam")</f>
        <v>147 Pham Van Dong, Hai Chau, Can Tho, Viet Nam</v>
      </c>
      <c r="J102" s="1" t="str">
        <f ca="1">IFERROR(__xludf.DUMMYFUNCTION("""COMPUTED_VALUE"""),"024888570482")</f>
        <v>024888570482</v>
      </c>
      <c r="K102" s="3" t="str">
        <f ca="1">IFERROR(__xludf.DUMMYFUNCTION("""COMPUTED_VALUE"""),"https://drive.google.com/open?id=Bd2O2d99yOItUj8ZnfxT")</f>
        <v>https://drive.google.com/open?id=Bd2O2d99yOItUj8ZnfxT</v>
      </c>
      <c r="L102" s="3" t="str">
        <f ca="1">IFERROR(__xludf.DUMMYFUNCTION("""COMPUTED_VALUE"""),"https://drive.google.com/open?id=3e0oCPpsgiZA412H3ED9")</f>
        <v>https://drive.google.com/open?id=3e0oCPpsgiZA412H3ED9</v>
      </c>
      <c r="M102" s="1"/>
      <c r="N102" s="1"/>
      <c r="O102" s="1"/>
      <c r="P102" s="1" t="str">
        <f ca="1">IFERROR(__xludf.DUMMYFUNCTION("""COMPUTED_VALUE"""),"Freelancer")</f>
        <v>Freelancer</v>
      </c>
      <c r="Q102" s="1">
        <f ca="1">IFERROR(__xludf.DUMMYFUNCTION("""COMPUTED_VALUE"""),12000000)</f>
        <v>12000000</v>
      </c>
      <c r="R102" s="3" t="str">
        <f ca="1">IFERROR(__xludf.DUMMYFUNCTION("""COMPUTED_VALUE"""),"https://drive.google.com/open?id=FL7KXfhPsmFUOxIt7JmA")</f>
        <v>https://drive.google.com/open?id=FL7KXfhPsmFUOxIt7JmA</v>
      </c>
      <c r="S102" s="1">
        <f ca="1">IFERROR(__xludf.DUMMYFUNCTION("""COMPUTED_VALUE"""),36000000)</f>
        <v>36000000</v>
      </c>
      <c r="T102" s="1" t="str">
        <f ca="1">IFERROR(__xludf.DUMMYFUNCTION("""COMPUTED_VALUE"""),"Classic")</f>
        <v>Classic</v>
      </c>
      <c r="U102" s="1" t="str">
        <f ca="1">IFERROR(__xludf.DUMMYFUNCTION("""COMPUTED_VALUE"""),"Branch")</f>
        <v>Branch</v>
      </c>
    </row>
    <row r="103" spans="1:21" x14ac:dyDescent="0.25">
      <c r="A103" s="2" t="str">
        <f ca="1">IFERROR(__xludf.DUMMYFUNCTION("""COMPUTED_VALUE"""),"APP0102")</f>
        <v>APP0102</v>
      </c>
      <c r="B103" s="2">
        <f ca="1">IFERROR(__xludf.DUMMYFUNCTION("""COMPUTED_VALUE"""),45902.8332523148)</f>
        <v>45902.833252314798</v>
      </c>
      <c r="C103" s="1" t="str">
        <f ca="1">IFERROR(__xludf.DUMMYFUNCTION("""COMPUTED_VALUE"""),"Lý Hữu Sơn")</f>
        <v>Lý Hữu Sơn</v>
      </c>
      <c r="D103" s="1" t="str">
        <f ca="1">IFERROR(__xludf.DUMMYFUNCTION("""COMPUTED_VALUE"""),"28/09/1971")</f>
        <v>28/09/1971</v>
      </c>
      <c r="E103" s="1" t="str">
        <f ca="1">IFERROR(__xludf.DUMMYFUNCTION("""COMPUTED_VALUE"""),"Female")</f>
        <v>Female</v>
      </c>
      <c r="F103" s="1" t="str">
        <f ca="1">IFERROR(__xludf.DUMMYFUNCTION("""COMPUTED_VALUE"""),"Vietnam")</f>
        <v>Vietnam</v>
      </c>
      <c r="G103" s="1" t="str">
        <f ca="1">IFERROR(__xludf.DUMMYFUNCTION("""COMPUTED_VALUE"""),"0851633409")</f>
        <v>0851633409</v>
      </c>
      <c r="H103" s="1" t="str">
        <f ca="1">IFERROR(__xludf.DUMMYFUNCTION("""COMPUTED_VALUE"""),"lyhuuson@gmail.com")</f>
        <v>lyhuuson@gmail.com</v>
      </c>
      <c r="I103" s="1" t="str">
        <f ca="1">IFERROR(__xludf.DUMMYFUNCTION("""COMPUTED_VALUE"""),"4 Ly Thuong Kiet, Quan 3, Da Nang, Viet Nam")</f>
        <v>4 Ly Thuong Kiet, Quan 3, Da Nang, Viet Nam</v>
      </c>
      <c r="J103" s="1" t="str">
        <f ca="1">IFERROR(__xludf.DUMMYFUNCTION("""COMPUTED_VALUE"""),"068800402684")</f>
        <v>068800402684</v>
      </c>
      <c r="K103" s="3" t="str">
        <f ca="1">IFERROR(__xludf.DUMMYFUNCTION("""COMPUTED_VALUE"""),"https://drive.google.com/open?id=oV9IRk70NEFx4gW0VmNg")</f>
        <v>https://drive.google.com/open?id=oV9IRk70NEFx4gW0VmNg</v>
      </c>
      <c r="L103" s="3" t="str">
        <f ca="1">IFERROR(__xludf.DUMMYFUNCTION("""COMPUTED_VALUE"""),"https://drive.google.com/open?id=BSkNFEV7OzSzKEUXP1D5")</f>
        <v>https://drive.google.com/open?id=BSkNFEV7OzSzKEUXP1D5</v>
      </c>
      <c r="M103" s="1"/>
      <c r="N103" s="1"/>
      <c r="O103" s="1"/>
      <c r="P103" s="1" t="str">
        <f ca="1">IFERROR(__xludf.DUMMYFUNCTION("""COMPUTED_VALUE"""),"Self-employed")</f>
        <v>Self-employed</v>
      </c>
      <c r="Q103" s="1">
        <f ca="1">IFERROR(__xludf.DUMMYFUNCTION("""COMPUTED_VALUE"""),5000000)</f>
        <v>5000000</v>
      </c>
      <c r="R103" s="3" t="str">
        <f ca="1">IFERROR(__xludf.DUMMYFUNCTION("""COMPUTED_VALUE"""),"https://drive.google.com/open?id=3B1R0K42PT0NTSlLPCFZ")</f>
        <v>https://drive.google.com/open?id=3B1R0K42PT0NTSlLPCFZ</v>
      </c>
      <c r="S103" s="1">
        <f ca="1">IFERROR(__xludf.DUMMYFUNCTION("""COMPUTED_VALUE"""),25000000)</f>
        <v>25000000</v>
      </c>
      <c r="T103" s="1" t="str">
        <f ca="1">IFERROR(__xludf.DUMMYFUNCTION("""COMPUTED_VALUE"""),"Platinum")</f>
        <v>Platinum</v>
      </c>
      <c r="U103" s="1" t="str">
        <f ca="1">IFERROR(__xludf.DUMMYFUNCTION("""COMPUTED_VALUE"""),"Online")</f>
        <v>Online</v>
      </c>
    </row>
    <row r="104" spans="1:21" x14ac:dyDescent="0.25">
      <c r="A104" s="2" t="str">
        <f ca="1">IFERROR(__xludf.DUMMYFUNCTION("""COMPUTED_VALUE"""),"APP0103")</f>
        <v>APP0103</v>
      </c>
      <c r="B104" s="2">
        <f ca="1">IFERROR(__xludf.DUMMYFUNCTION("""COMPUTED_VALUE"""),45902.8517361111)</f>
        <v>45902.851736111101</v>
      </c>
      <c r="C104" s="1" t="str">
        <f ca="1">IFERROR(__xludf.DUMMYFUNCTION("""COMPUTED_VALUE"""),"Dương Văn Hùng")</f>
        <v>Dương Văn Hùng</v>
      </c>
      <c r="D104" s="1" t="str">
        <f ca="1">IFERROR(__xludf.DUMMYFUNCTION("""COMPUTED_VALUE"""),"27/06/1976")</f>
        <v>27/06/1976</v>
      </c>
      <c r="E104" s="1" t="str">
        <f ca="1">IFERROR(__xludf.DUMMYFUNCTION("""COMPUTED_VALUE"""),"Male")</f>
        <v>Male</v>
      </c>
      <c r="F104" s="1" t="str">
        <f ca="1">IFERROR(__xludf.DUMMYFUNCTION("""COMPUTED_VALUE"""),"Vietnam")</f>
        <v>Vietnam</v>
      </c>
      <c r="G104" s="1" t="str">
        <f ca="1">IFERROR(__xludf.DUMMYFUNCTION("""COMPUTED_VALUE"""),"0969111438")</f>
        <v>0969111438</v>
      </c>
      <c r="H104" s="1" t="str">
        <f ca="1">IFERROR(__xludf.DUMMYFUNCTION("""COMPUTED_VALUE"""),"duongvanhung@gmail.com")</f>
        <v>duongvanhung@gmail.com</v>
      </c>
      <c r="I104" s="1" t="str">
        <f ca="1">IFERROR(__xludf.DUMMYFUNCTION("""COMPUTED_VALUE"""),"43 Le Loi, Quan 1, TP Ho Chi Minh, Viet Nam")</f>
        <v>43 Le Loi, Quan 1, TP Ho Chi Minh, Viet Nam</v>
      </c>
      <c r="J104" s="1" t="str">
        <f ca="1">IFERROR(__xludf.DUMMYFUNCTION("""COMPUTED_VALUE"""),"085144831968")</f>
        <v>085144831968</v>
      </c>
      <c r="K104" s="3" t="str">
        <f ca="1">IFERROR(__xludf.DUMMYFUNCTION("""COMPUTED_VALUE"""),"https://drive.google.com/open?id=Uiq6zotIqpIYlwOYaG0z")</f>
        <v>https://drive.google.com/open?id=Uiq6zotIqpIYlwOYaG0z</v>
      </c>
      <c r="L104" s="3" t="str">
        <f ca="1">IFERROR(__xludf.DUMMYFUNCTION("""COMPUTED_VALUE"""),"https://drive.google.com/open?id=QiJzIKeN5nRnx714llV9")</f>
        <v>https://drive.google.com/open?id=QiJzIKeN5nRnx714llV9</v>
      </c>
      <c r="M104" s="1"/>
      <c r="N104" s="1"/>
      <c r="O104" s="1"/>
      <c r="P104" s="1" t="str">
        <f ca="1">IFERROR(__xludf.DUMMYFUNCTION("""COMPUTED_VALUE"""),"Full-time")</f>
        <v>Full-time</v>
      </c>
      <c r="Q104" s="1">
        <f ca="1">IFERROR(__xludf.DUMMYFUNCTION("""COMPUTED_VALUE"""),50000000)</f>
        <v>50000000</v>
      </c>
      <c r="R104" s="3" t="str">
        <f ca="1">IFERROR(__xludf.DUMMYFUNCTION("""COMPUTED_VALUE"""),"https://drive.google.com/open?id=XZPkl2s0PEtCPxrcffCe")</f>
        <v>https://drive.google.com/open?id=XZPkl2s0PEtCPxrcffCe</v>
      </c>
      <c r="S104" s="1">
        <f ca="1">IFERROR(__xludf.DUMMYFUNCTION("""COMPUTED_VALUE"""),150000000)</f>
        <v>150000000</v>
      </c>
      <c r="T104" s="1" t="str">
        <f ca="1">IFERROR(__xludf.DUMMYFUNCTION("""COMPUTED_VALUE"""),"Platinum")</f>
        <v>Platinum</v>
      </c>
      <c r="U104" s="1" t="str">
        <f ca="1">IFERROR(__xludf.DUMMYFUNCTION("""COMPUTED_VALUE"""),"Partner")</f>
        <v>Partner</v>
      </c>
    </row>
    <row r="105" spans="1:21" x14ac:dyDescent="0.25">
      <c r="A105" s="2" t="str">
        <f ca="1">IFERROR(__xludf.DUMMYFUNCTION("""COMPUTED_VALUE"""),"APP0104")</f>
        <v>APP0104</v>
      </c>
      <c r="B105" s="2">
        <f ca="1">IFERROR(__xludf.DUMMYFUNCTION("""COMPUTED_VALUE"""),45902.8767824074)</f>
        <v>45902.876782407402</v>
      </c>
      <c r="C105" s="1" t="str">
        <f ca="1">IFERROR(__xludf.DUMMYFUNCTION("""COMPUTED_VALUE"""),"Roberto Clark")</f>
        <v>Roberto Clark</v>
      </c>
      <c r="D105" s="1" t="str">
        <f ca="1">IFERROR(__xludf.DUMMYFUNCTION("""COMPUTED_VALUE"""),"26/05/1985")</f>
        <v>26/05/1985</v>
      </c>
      <c r="E105" s="1" t="str">
        <f ca="1">IFERROR(__xludf.DUMMYFUNCTION("""COMPUTED_VALUE"""),"Female")</f>
        <v>Female</v>
      </c>
      <c r="F105" s="1" t="str">
        <f ca="1">IFERROR(__xludf.DUMMYFUNCTION("""COMPUTED_VALUE"""),"Other")</f>
        <v>Other</v>
      </c>
      <c r="G105" s="1" t="str">
        <f ca="1">IFERROR(__xludf.DUMMYFUNCTION("""COMPUTED_VALUE"""),"+91 2776745690")</f>
        <v>+91 2776745690</v>
      </c>
      <c r="H105" s="1" t="str">
        <f ca="1">IFERROR(__xludf.DUMMYFUNCTION("""COMPUTED_VALUE"""),"robertoclark@gmail.com")</f>
        <v>robertoclark@gmail.com</v>
      </c>
      <c r="I105" s="1" t="str">
        <f ca="1">IFERROR(__xludf.DUMMYFUNCTION("""COMPUTED_VALUE"""),"495 Victoria Springs Apt. 066, Hayesshire, FM 91146")</f>
        <v>495 Victoria Springs Apt. 066, Hayesshire, FM 91146</v>
      </c>
      <c r="J105" s="1"/>
      <c r="K105" s="1"/>
      <c r="L105" s="1"/>
      <c r="M105" s="1" t="str">
        <f ca="1">IFERROR(__xludf.DUMMYFUNCTION("""COMPUTED_VALUE"""),"Mg498281")</f>
        <v>Mg498281</v>
      </c>
      <c r="N105" s="3" t="str">
        <f ca="1">IFERROR(__xludf.DUMMYFUNCTION("""COMPUTED_VALUE"""),"https://drive.google.com/open?id=WPekDL92AEDAdvKpyak0")</f>
        <v>https://drive.google.com/open?id=WPekDL92AEDAdvKpyak0</v>
      </c>
      <c r="O105" s="3" t="str">
        <f ca="1">IFERROR(__xludf.DUMMYFUNCTION("""COMPUTED_VALUE"""),"https://drive.google.com/open?id=aCK4TBS6o7Vcfr8G4Pae")</f>
        <v>https://drive.google.com/open?id=aCK4TBS6o7Vcfr8G4Pae</v>
      </c>
      <c r="P105" s="1" t="str">
        <f ca="1">IFERROR(__xludf.DUMMYFUNCTION("""COMPUTED_VALUE"""),"Contract")</f>
        <v>Contract</v>
      </c>
      <c r="Q105" s="1">
        <f ca="1">IFERROR(__xludf.DUMMYFUNCTION("""COMPUTED_VALUE"""),12000000)</f>
        <v>12000000</v>
      </c>
      <c r="R105" s="3" t="str">
        <f ca="1">IFERROR(__xludf.DUMMYFUNCTION("""COMPUTED_VALUE"""),"https://drive.google.com/open?id=t1FOtiIcF2qKJ3TlyF9r")</f>
        <v>https://drive.google.com/open?id=t1FOtiIcF2qKJ3TlyF9r</v>
      </c>
      <c r="S105" s="1">
        <f ca="1">IFERROR(__xludf.DUMMYFUNCTION("""COMPUTED_VALUE"""),60000000)</f>
        <v>60000000</v>
      </c>
      <c r="T105" s="1" t="str">
        <f ca="1">IFERROR(__xludf.DUMMYFUNCTION("""COMPUTED_VALUE"""),"Gold")</f>
        <v>Gold</v>
      </c>
      <c r="U105" s="1" t="str">
        <f ca="1">IFERROR(__xludf.DUMMYFUNCTION("""COMPUTED_VALUE"""),"Branch")</f>
        <v>Branch</v>
      </c>
    </row>
    <row r="106" spans="1:21" x14ac:dyDescent="0.25">
      <c r="A106" s="2" t="str">
        <f ca="1">IFERROR(__xludf.DUMMYFUNCTION("""COMPUTED_VALUE"""),"APP0105")</f>
        <v>APP0105</v>
      </c>
      <c r="B106" s="2">
        <f ca="1">IFERROR(__xludf.DUMMYFUNCTION("""COMPUTED_VALUE"""),45902.9866550925)</f>
        <v>45902.9866550925</v>
      </c>
      <c r="C106" s="1" t="str">
        <f ca="1">IFERROR(__xludf.DUMMYFUNCTION("""COMPUTED_VALUE"""),"Nguyễn Ngọc Phong")</f>
        <v>Nguyễn Ngọc Phong</v>
      </c>
      <c r="D106" s="1" t="str">
        <f ca="1">IFERROR(__xludf.DUMMYFUNCTION("""COMPUTED_VALUE"""),"31/08/1982")</f>
        <v>31/08/1982</v>
      </c>
      <c r="E106" s="1" t="str">
        <f ca="1">IFERROR(__xludf.DUMMYFUNCTION("""COMPUTED_VALUE"""),"Female")</f>
        <v>Female</v>
      </c>
      <c r="F106" s="1" t="str">
        <f ca="1">IFERROR(__xludf.DUMMYFUNCTION("""COMPUTED_VALUE"""),"Vietnam")</f>
        <v>Vietnam</v>
      </c>
      <c r="G106" s="1" t="str">
        <f ca="1">IFERROR(__xludf.DUMMYFUNCTION("""COMPUTED_VALUE"""),"0720311359")</f>
        <v>0720311359</v>
      </c>
      <c r="H106" s="1" t="str">
        <f ca="1">IFERROR(__xludf.DUMMYFUNCTION("""COMPUTED_VALUE"""),"nguyenngocphong@gmail.com")</f>
        <v>nguyenngocphong@gmail.com</v>
      </c>
      <c r="I106" s="1" t="str">
        <f ca="1">IFERROR(__xludf.DUMMYFUNCTION("""COMPUTED_VALUE"""),"63 Tran Hung Dao, Quan 7, Da Nang, Viet Nam")</f>
        <v>63 Tran Hung Dao, Quan 7, Da Nang, Viet Nam</v>
      </c>
      <c r="J106" s="1" t="str">
        <f ca="1">IFERROR(__xludf.DUMMYFUNCTION("""COMPUTED_VALUE"""),"067662866855")</f>
        <v>067662866855</v>
      </c>
      <c r="K106" s="3" t="str">
        <f ca="1">IFERROR(__xludf.DUMMYFUNCTION("""COMPUTED_VALUE"""),"https://drive.google.com/open?id=Hysfpxt0oUuEyczWFVwe")</f>
        <v>https://drive.google.com/open?id=Hysfpxt0oUuEyczWFVwe</v>
      </c>
      <c r="L106" s="3" t="str">
        <f ca="1">IFERROR(__xludf.DUMMYFUNCTION("""COMPUTED_VALUE"""),"https://drive.google.com/open?id=M375pEXxGLCR9XkZxS9A")</f>
        <v>https://drive.google.com/open?id=M375pEXxGLCR9XkZxS9A</v>
      </c>
      <c r="M106" s="1"/>
      <c r="N106" s="1"/>
      <c r="O106" s="1"/>
      <c r="P106" s="1" t="str">
        <f ca="1">IFERROR(__xludf.DUMMYFUNCTION("""COMPUTED_VALUE"""),"Contract")</f>
        <v>Contract</v>
      </c>
      <c r="Q106" s="1">
        <f ca="1">IFERROR(__xludf.DUMMYFUNCTION("""COMPUTED_VALUE"""),50000000)</f>
        <v>50000000</v>
      </c>
      <c r="R106" s="3" t="str">
        <f ca="1">IFERROR(__xludf.DUMMYFUNCTION("""COMPUTED_VALUE"""),"https://drive.google.com/open?id=FNK1HGs0nIYdhvuCwHli")</f>
        <v>https://drive.google.com/open?id=FNK1HGs0nIYdhvuCwHli</v>
      </c>
      <c r="S106" s="1">
        <f ca="1">IFERROR(__xludf.DUMMYFUNCTION("""COMPUTED_VALUE"""),150000000)</f>
        <v>150000000</v>
      </c>
      <c r="T106" s="1" t="str">
        <f ca="1">IFERROR(__xludf.DUMMYFUNCTION("""COMPUTED_VALUE"""),"Gold")</f>
        <v>Gold</v>
      </c>
      <c r="U106" s="1" t="str">
        <f ca="1">IFERROR(__xludf.DUMMYFUNCTION("""COMPUTED_VALUE"""),"Branch")</f>
        <v>Branch</v>
      </c>
    </row>
    <row r="107" spans="1:21" x14ac:dyDescent="0.25">
      <c r="A107" s="2" t="str">
        <f ca="1">IFERROR(__xludf.DUMMYFUNCTION("""COMPUTED_VALUE"""),"APP0106")</f>
        <v>APP0106</v>
      </c>
      <c r="B107" s="2">
        <f ca="1">IFERROR(__xludf.DUMMYFUNCTION("""COMPUTED_VALUE"""),45902.9992129629)</f>
        <v>45902.999212962903</v>
      </c>
      <c r="C107" s="1" t="str">
        <f ca="1">IFERROR(__xludf.DUMMYFUNCTION("""COMPUTED_VALUE"""),"Đỗ Minh Thảo")</f>
        <v>Đỗ Minh Thảo</v>
      </c>
      <c r="D107" s="1" t="str">
        <f ca="1">IFERROR(__xludf.DUMMYFUNCTION("""COMPUTED_VALUE"""),"13/06/1974")</f>
        <v>13/06/1974</v>
      </c>
      <c r="E107" s="1" t="str">
        <f ca="1">IFERROR(__xludf.DUMMYFUNCTION("""COMPUTED_VALUE"""),"Female")</f>
        <v>Female</v>
      </c>
      <c r="F107" s="1" t="str">
        <f ca="1">IFERROR(__xludf.DUMMYFUNCTION("""COMPUTED_VALUE"""),"Vietnam")</f>
        <v>Vietnam</v>
      </c>
      <c r="G107" s="1" t="str">
        <f ca="1">IFERROR(__xludf.DUMMYFUNCTION("""COMPUTED_VALUE"""),"0958170478")</f>
        <v>0958170478</v>
      </c>
      <c r="H107" s="1" t="str">
        <f ca="1">IFERROR(__xludf.DUMMYFUNCTION("""COMPUTED_VALUE"""),"dominhthao@gmail.com")</f>
        <v>dominhthao@gmail.com</v>
      </c>
      <c r="I107" s="1" t="str">
        <f ca="1">IFERROR(__xludf.DUMMYFUNCTION("""COMPUTED_VALUE"""),"37 Ly Thuong Kiet, Hai Chau, TP Ho Chi Minh, Viet Nam")</f>
        <v>37 Ly Thuong Kiet, Hai Chau, TP Ho Chi Minh, Viet Nam</v>
      </c>
      <c r="J107" s="1" t="str">
        <f ca="1">IFERROR(__xludf.DUMMYFUNCTION("""COMPUTED_VALUE"""),"077464391381")</f>
        <v>077464391381</v>
      </c>
      <c r="K107" s="3" t="str">
        <f ca="1">IFERROR(__xludf.DUMMYFUNCTION("""COMPUTED_VALUE"""),"https://drive.google.com/open?id=V7OxMd2BkZ7efg3qWT7I")</f>
        <v>https://drive.google.com/open?id=V7OxMd2BkZ7efg3qWT7I</v>
      </c>
      <c r="L107" s="3" t="str">
        <f ca="1">IFERROR(__xludf.DUMMYFUNCTION("""COMPUTED_VALUE"""),"https://drive.google.com/open?id=jcnabFsmKlgxZX3Em3YV")</f>
        <v>https://drive.google.com/open?id=jcnabFsmKlgxZX3Em3YV</v>
      </c>
      <c r="M107" s="1"/>
      <c r="N107" s="1"/>
      <c r="O107" s="1"/>
      <c r="P107" s="1" t="str">
        <f ca="1">IFERROR(__xludf.DUMMYFUNCTION("""COMPUTED_VALUE"""),"Part-time")</f>
        <v>Part-time</v>
      </c>
      <c r="Q107" s="1">
        <f ca="1">IFERROR(__xludf.DUMMYFUNCTION("""COMPUTED_VALUE"""),5000000)</f>
        <v>5000000</v>
      </c>
      <c r="R107" s="3" t="str">
        <f ca="1">IFERROR(__xludf.DUMMYFUNCTION("""COMPUTED_VALUE"""),"https://drive.google.com/open?id=ADZ9SFVueL0MvunVsAlY")</f>
        <v>https://drive.google.com/open?id=ADZ9SFVueL0MvunVsAlY</v>
      </c>
      <c r="S107" s="1">
        <f ca="1">IFERROR(__xludf.DUMMYFUNCTION("""COMPUTED_VALUE"""),10000000)</f>
        <v>10000000</v>
      </c>
      <c r="T107" s="1" t="str">
        <f ca="1">IFERROR(__xludf.DUMMYFUNCTION("""COMPUTED_VALUE"""),"Gold")</f>
        <v>Gold</v>
      </c>
      <c r="U107" s="1" t="str">
        <f ca="1">IFERROR(__xludf.DUMMYFUNCTION("""COMPUTED_VALUE"""),"Partner")</f>
        <v>Partner</v>
      </c>
    </row>
    <row r="108" spans="1:21" x14ac:dyDescent="0.25">
      <c r="A108" s="2" t="str">
        <f ca="1">IFERROR(__xludf.DUMMYFUNCTION("""COMPUTED_VALUE"""),"APP0107")</f>
        <v>APP0107</v>
      </c>
      <c r="B108" s="2">
        <f ca="1">IFERROR(__xludf.DUMMYFUNCTION("""COMPUTED_VALUE"""),45903.0492939814)</f>
        <v>45903.049293981399</v>
      </c>
      <c r="C108" s="1" t="str">
        <f ca="1">IFERROR(__xludf.DUMMYFUNCTION("""COMPUTED_VALUE"""),"Derrick Kim")</f>
        <v>Derrick Kim</v>
      </c>
      <c r="D108" s="1" t="str">
        <f ca="1">IFERROR(__xludf.DUMMYFUNCTION("""COMPUTED_VALUE"""),"29/07/1982")</f>
        <v>29/07/1982</v>
      </c>
      <c r="E108" s="1" t="str">
        <f ca="1">IFERROR(__xludf.DUMMYFUNCTION("""COMPUTED_VALUE"""),"Female")</f>
        <v>Female</v>
      </c>
      <c r="F108" s="1" t="str">
        <f ca="1">IFERROR(__xludf.DUMMYFUNCTION("""COMPUTED_VALUE"""),"Other")</f>
        <v>Other</v>
      </c>
      <c r="G108" s="1" t="str">
        <f ca="1">IFERROR(__xludf.DUMMYFUNCTION("""COMPUTED_VALUE"""),"+91 4569261184")</f>
        <v>+91 4569261184</v>
      </c>
      <c r="H108" s="1" t="str">
        <f ca="1">IFERROR(__xludf.DUMMYFUNCTION("""COMPUTED_VALUE"""),"derrickkim@gmail.com")</f>
        <v>derrickkim@gmail.com</v>
      </c>
      <c r="I108" s="1" t="str">
        <f ca="1">IFERROR(__xludf.DUMMYFUNCTION("""COMPUTED_VALUE"""),"811 James Bypass Apt. 447, Victoriaton, CT 78159")</f>
        <v>811 James Bypass Apt. 447, Victoriaton, CT 78159</v>
      </c>
      <c r="J108" s="1"/>
      <c r="K108" s="1"/>
      <c r="L108" s="1"/>
      <c r="M108" s="1" t="str">
        <f ca="1">IFERROR(__xludf.DUMMYFUNCTION("""COMPUTED_VALUE"""),"OY855597")</f>
        <v>OY855597</v>
      </c>
      <c r="N108" s="3" t="str">
        <f ca="1">IFERROR(__xludf.DUMMYFUNCTION("""COMPUTED_VALUE"""),"https://drive.google.com/open?id=cGWlvTgptIsIshV10yLg")</f>
        <v>https://drive.google.com/open?id=cGWlvTgptIsIshV10yLg</v>
      </c>
      <c r="O108" s="3" t="str">
        <f ca="1">IFERROR(__xludf.DUMMYFUNCTION("""COMPUTED_VALUE"""),"https://drive.google.com/open?id=WYRQCizLVx4xryeIxg0i")</f>
        <v>https://drive.google.com/open?id=WYRQCizLVx4xryeIxg0i</v>
      </c>
      <c r="P108" s="1" t="str">
        <f ca="1">IFERROR(__xludf.DUMMYFUNCTION("""COMPUTED_VALUE"""),"Self-employed")</f>
        <v>Self-employed</v>
      </c>
      <c r="Q108" s="1">
        <f ca="1">IFERROR(__xludf.DUMMYFUNCTION("""COMPUTED_VALUE"""),20000000)</f>
        <v>20000000</v>
      </c>
      <c r="R108" s="3" t="str">
        <f ca="1">IFERROR(__xludf.DUMMYFUNCTION("""COMPUTED_VALUE"""),"https://drive.google.com/open?id=NwsaIDzTCDiwR8FyMJo2")</f>
        <v>https://drive.google.com/open?id=NwsaIDzTCDiwR8FyMJo2</v>
      </c>
      <c r="S108" s="1">
        <f ca="1">IFERROR(__xludf.DUMMYFUNCTION("""COMPUTED_VALUE"""),60000000)</f>
        <v>60000000</v>
      </c>
      <c r="T108" s="1" t="str">
        <f ca="1">IFERROR(__xludf.DUMMYFUNCTION("""COMPUTED_VALUE"""),"Platinum")</f>
        <v>Platinum</v>
      </c>
      <c r="U108" s="1" t="str">
        <f ca="1">IFERROR(__xludf.DUMMYFUNCTION("""COMPUTED_VALUE"""),"Branch")</f>
        <v>Branch</v>
      </c>
    </row>
    <row r="109" spans="1:21" x14ac:dyDescent="0.25">
      <c r="A109" s="2" t="str">
        <f ca="1">IFERROR(__xludf.DUMMYFUNCTION("""COMPUTED_VALUE"""),"APP0108")</f>
        <v>APP0108</v>
      </c>
      <c r="B109" s="2">
        <f ca="1">IFERROR(__xludf.DUMMYFUNCTION("""COMPUTED_VALUE"""),45903.0517361111)</f>
        <v>45903.051736111098</v>
      </c>
      <c r="C109" s="1" t="str">
        <f ca="1">IFERROR(__xludf.DUMMYFUNCTION("""COMPUTED_VALUE"""),"Vũ Anh Hà")</f>
        <v>Vũ Anh Hà</v>
      </c>
      <c r="D109" s="1" t="str">
        <f ca="1">IFERROR(__xludf.DUMMYFUNCTION("""COMPUTED_VALUE"""),"10/04/1995")</f>
        <v>10/04/1995</v>
      </c>
      <c r="E109" s="1" t="str">
        <f ca="1">IFERROR(__xludf.DUMMYFUNCTION("""COMPUTED_VALUE"""),"Male")</f>
        <v>Male</v>
      </c>
      <c r="F109" s="1" t="str">
        <f ca="1">IFERROR(__xludf.DUMMYFUNCTION("""COMPUTED_VALUE"""),"Vietnam")</f>
        <v>Vietnam</v>
      </c>
      <c r="G109" s="1" t="str">
        <f ca="1">IFERROR(__xludf.DUMMYFUNCTION("""COMPUTED_VALUE"""),"0972158170")</f>
        <v>0972158170</v>
      </c>
      <c r="H109" s="1" t="str">
        <f ca="1">IFERROR(__xludf.DUMMYFUNCTION("""COMPUTED_VALUE"""),"vuanhha@gmail.com")</f>
        <v>vuanhha@gmail.com</v>
      </c>
      <c r="I109" s="1" t="str">
        <f ca="1">IFERROR(__xludf.DUMMYFUNCTION("""COMPUTED_VALUE"""),"32 Tran Hung Dao, Quan 3, Ha Noi, Viet Nam")</f>
        <v>32 Tran Hung Dao, Quan 3, Ha Noi, Viet Nam</v>
      </c>
      <c r="J109" s="1" t="str">
        <f ca="1">IFERROR(__xludf.DUMMYFUNCTION("""COMPUTED_VALUE"""),"077392372978")</f>
        <v>077392372978</v>
      </c>
      <c r="K109" s="3" t="str">
        <f ca="1">IFERROR(__xludf.DUMMYFUNCTION("""COMPUTED_VALUE"""),"https://drive.google.com/open?id=ix2hdLU12vzEmMwcDEdg")</f>
        <v>https://drive.google.com/open?id=ix2hdLU12vzEmMwcDEdg</v>
      </c>
      <c r="L109" s="3" t="str">
        <f ca="1">IFERROR(__xludf.DUMMYFUNCTION("""COMPUTED_VALUE"""),"https://drive.google.com/open?id=iSQ3uX2J6EnCN5kzLZed")</f>
        <v>https://drive.google.com/open?id=iSQ3uX2J6EnCN5kzLZed</v>
      </c>
      <c r="M109" s="1"/>
      <c r="N109" s="1"/>
      <c r="O109" s="1"/>
      <c r="P109" s="1" t="str">
        <f ca="1">IFERROR(__xludf.DUMMYFUNCTION("""COMPUTED_VALUE"""),"Self-employed")</f>
        <v>Self-employed</v>
      </c>
      <c r="Q109" s="1">
        <f ca="1">IFERROR(__xludf.DUMMYFUNCTION("""COMPUTED_VALUE"""),8000000)</f>
        <v>8000000</v>
      </c>
      <c r="R109" s="3" t="str">
        <f ca="1">IFERROR(__xludf.DUMMYFUNCTION("""COMPUTED_VALUE"""),"https://drive.google.com/open?id=oX96pSww9qoY5K9iUlO5")</f>
        <v>https://drive.google.com/open?id=oX96pSww9qoY5K9iUlO5</v>
      </c>
      <c r="S109" s="1">
        <f ca="1">IFERROR(__xludf.DUMMYFUNCTION("""COMPUTED_VALUE"""),16000000)</f>
        <v>16000000</v>
      </c>
      <c r="T109" s="1" t="str">
        <f ca="1">IFERROR(__xludf.DUMMYFUNCTION("""COMPUTED_VALUE"""),"Platinum")</f>
        <v>Platinum</v>
      </c>
      <c r="U109" s="1" t="str">
        <f ca="1">IFERROR(__xludf.DUMMYFUNCTION("""COMPUTED_VALUE"""),"Partner")</f>
        <v>Partner</v>
      </c>
    </row>
    <row r="110" spans="1:21" x14ac:dyDescent="0.25">
      <c r="A110" s="2" t="str">
        <f ca="1">IFERROR(__xludf.DUMMYFUNCTION("""COMPUTED_VALUE"""),"APP0109")</f>
        <v>APP0109</v>
      </c>
      <c r="B110" s="2">
        <f ca="1">IFERROR(__xludf.DUMMYFUNCTION("""COMPUTED_VALUE"""),45903.1355787037)</f>
        <v>45903.135578703703</v>
      </c>
      <c r="C110" s="1" t="str">
        <f ca="1">IFERROR(__xludf.DUMMYFUNCTION("""COMPUTED_VALUE"""),"Dương Minh Yến")</f>
        <v>Dương Minh Yến</v>
      </c>
      <c r="D110" s="1" t="str">
        <f ca="1">IFERROR(__xludf.DUMMYFUNCTION("""COMPUTED_VALUE"""),"27/11/1994")</f>
        <v>27/11/1994</v>
      </c>
      <c r="E110" s="1" t="str">
        <f ca="1">IFERROR(__xludf.DUMMYFUNCTION("""COMPUTED_VALUE"""),"Female")</f>
        <v>Female</v>
      </c>
      <c r="F110" s="1" t="str">
        <f ca="1">IFERROR(__xludf.DUMMYFUNCTION("""COMPUTED_VALUE"""),"Vietnam")</f>
        <v>Vietnam</v>
      </c>
      <c r="G110" s="1" t="str">
        <f ca="1">IFERROR(__xludf.DUMMYFUNCTION("""COMPUTED_VALUE"""),"0887430177")</f>
        <v>0887430177</v>
      </c>
      <c r="H110" s="1" t="str">
        <f ca="1">IFERROR(__xludf.DUMMYFUNCTION("""COMPUTED_VALUE"""),"duongminhyen@gmail.com")</f>
        <v>duongminhyen@gmail.com</v>
      </c>
      <c r="I110" s="1" t="str">
        <f ca="1">IFERROR(__xludf.DUMMYFUNCTION("""COMPUTED_VALUE"""),"89 Tran Hung Dao, Quan 7, Ha Noi, Viet Nam")</f>
        <v>89 Tran Hung Dao, Quan 7, Ha Noi, Viet Nam</v>
      </c>
      <c r="J110" s="1" t="str">
        <f ca="1">IFERROR(__xludf.DUMMYFUNCTION("""COMPUTED_VALUE"""),"065957367879")</f>
        <v>065957367879</v>
      </c>
      <c r="K110" s="3" t="str">
        <f ca="1">IFERROR(__xludf.DUMMYFUNCTION("""COMPUTED_VALUE"""),"https://drive.google.com/open?id=5GmFGvxLyHNMRwpF6fwY")</f>
        <v>https://drive.google.com/open?id=5GmFGvxLyHNMRwpF6fwY</v>
      </c>
      <c r="L110" s="3" t="str">
        <f ca="1">IFERROR(__xludf.DUMMYFUNCTION("""COMPUTED_VALUE"""),"https://drive.google.com/open?id=mXvRyiG5f4jhOfrfnjze")</f>
        <v>https://drive.google.com/open?id=mXvRyiG5f4jhOfrfnjze</v>
      </c>
      <c r="M110" s="1"/>
      <c r="N110" s="1"/>
      <c r="O110" s="1"/>
      <c r="P110" s="1" t="str">
        <f ca="1">IFERROR(__xludf.DUMMYFUNCTION("""COMPUTED_VALUE"""),"Part-time")</f>
        <v>Part-time</v>
      </c>
      <c r="Q110" s="1">
        <f ca="1">IFERROR(__xludf.DUMMYFUNCTION("""COMPUTED_VALUE"""),20000000)</f>
        <v>20000000</v>
      </c>
      <c r="R110" s="3" t="str">
        <f ca="1">IFERROR(__xludf.DUMMYFUNCTION("""COMPUTED_VALUE"""),"https://drive.google.com/open?id=2XwKJh8BFZABWjAxfRTk")</f>
        <v>https://drive.google.com/open?id=2XwKJh8BFZABWjAxfRTk</v>
      </c>
      <c r="S110" s="1">
        <f ca="1">IFERROR(__xludf.DUMMYFUNCTION("""COMPUTED_VALUE"""),100000000)</f>
        <v>100000000</v>
      </c>
      <c r="T110" s="1" t="str">
        <f ca="1">IFERROR(__xludf.DUMMYFUNCTION("""COMPUTED_VALUE"""),"Platinum")</f>
        <v>Platinum</v>
      </c>
      <c r="U110" s="1" t="str">
        <f ca="1">IFERROR(__xludf.DUMMYFUNCTION("""COMPUTED_VALUE"""),"Online")</f>
        <v>Online</v>
      </c>
    </row>
    <row r="111" spans="1:21" x14ac:dyDescent="0.25">
      <c r="A111" s="2" t="str">
        <f ca="1">IFERROR(__xludf.DUMMYFUNCTION("""COMPUTED_VALUE"""),"APP0110")</f>
        <v>APP0110</v>
      </c>
      <c r="B111" s="2">
        <f ca="1">IFERROR(__xludf.DUMMYFUNCTION("""COMPUTED_VALUE"""),45903.1969560185)</f>
        <v>45903.196956018503</v>
      </c>
      <c r="C111" s="1" t="str">
        <f ca="1">IFERROR(__xludf.DUMMYFUNCTION("""COMPUTED_VALUE"""),"Nguyễn Quang Trung")</f>
        <v>Nguyễn Quang Trung</v>
      </c>
      <c r="D111" s="1" t="str">
        <f ca="1">IFERROR(__xludf.DUMMYFUNCTION("""COMPUTED_VALUE"""),"01/07/1997")</f>
        <v>01/07/1997</v>
      </c>
      <c r="E111" s="1" t="str">
        <f ca="1">IFERROR(__xludf.DUMMYFUNCTION("""COMPUTED_VALUE"""),"Female")</f>
        <v>Female</v>
      </c>
      <c r="F111" s="1" t="str">
        <f ca="1">IFERROR(__xludf.DUMMYFUNCTION("""COMPUTED_VALUE"""),"Vietnam")</f>
        <v>Vietnam</v>
      </c>
      <c r="G111" s="1" t="str">
        <f ca="1">IFERROR(__xludf.DUMMYFUNCTION("""COMPUTED_VALUE"""),"0947474027")</f>
        <v>0947474027</v>
      </c>
      <c r="H111" s="1" t="str">
        <f ca="1">IFERROR(__xludf.DUMMYFUNCTION("""COMPUTED_VALUE"""),"nguyenquangtrung@gmail.com")</f>
        <v>nguyenquangtrung@gmail.com</v>
      </c>
      <c r="I111" s="1" t="str">
        <f ca="1">IFERROR(__xludf.DUMMYFUNCTION("""COMPUTED_VALUE"""),"55 Le Loi, Quan 3, Da Nang, Viet Nam")</f>
        <v>55 Le Loi, Quan 3, Da Nang, Viet Nam</v>
      </c>
      <c r="J111" s="1" t="str">
        <f ca="1">IFERROR(__xludf.DUMMYFUNCTION("""COMPUTED_VALUE"""),"022178838205")</f>
        <v>022178838205</v>
      </c>
      <c r="K111" s="3" t="str">
        <f ca="1">IFERROR(__xludf.DUMMYFUNCTION("""COMPUTED_VALUE"""),"https://drive.google.com/open?id=N23tUmoohpvNMyK0iBZq")</f>
        <v>https://drive.google.com/open?id=N23tUmoohpvNMyK0iBZq</v>
      </c>
      <c r="L111" s="3" t="str">
        <f ca="1">IFERROR(__xludf.DUMMYFUNCTION("""COMPUTED_VALUE"""),"https://drive.google.com/open?id=3HPN3vimVRUbrgMcmloQ")</f>
        <v>https://drive.google.com/open?id=3HPN3vimVRUbrgMcmloQ</v>
      </c>
      <c r="M111" s="1"/>
      <c r="N111" s="1"/>
      <c r="O111" s="1"/>
      <c r="P111" s="1" t="str">
        <f ca="1">IFERROR(__xludf.DUMMYFUNCTION("""COMPUTED_VALUE"""),"Freelancer")</f>
        <v>Freelancer</v>
      </c>
      <c r="Q111" s="1">
        <f ca="1">IFERROR(__xludf.DUMMYFUNCTION("""COMPUTED_VALUE"""),50000000)</f>
        <v>50000000</v>
      </c>
      <c r="R111" s="3" t="str">
        <f ca="1">IFERROR(__xludf.DUMMYFUNCTION("""COMPUTED_VALUE"""),"https://drive.google.com/open?id=7gmsjV86Pk7zXeAQMlWw")</f>
        <v>https://drive.google.com/open?id=7gmsjV86Pk7zXeAQMlWw</v>
      </c>
      <c r="S111" s="1">
        <f ca="1">IFERROR(__xludf.DUMMYFUNCTION("""COMPUTED_VALUE"""),250000000)</f>
        <v>250000000</v>
      </c>
      <c r="T111" s="1" t="str">
        <f ca="1">IFERROR(__xludf.DUMMYFUNCTION("""COMPUTED_VALUE"""),"Gold")</f>
        <v>Gold</v>
      </c>
      <c r="U111" s="1" t="str">
        <f ca="1">IFERROR(__xludf.DUMMYFUNCTION("""COMPUTED_VALUE"""),"Branch")</f>
        <v>Branch</v>
      </c>
    </row>
    <row r="112" spans="1:21" x14ac:dyDescent="0.25">
      <c r="A112" s="2" t="str">
        <f ca="1">IFERROR(__xludf.DUMMYFUNCTION("""COMPUTED_VALUE"""),"APP0111")</f>
        <v>APP0111</v>
      </c>
      <c r="B112" s="2">
        <f ca="1">IFERROR(__xludf.DUMMYFUNCTION("""COMPUTED_VALUE"""),45903.1979282407)</f>
        <v>45903.197928240697</v>
      </c>
      <c r="C112" s="1" t="str">
        <f ca="1">IFERROR(__xludf.DUMMYFUNCTION("""COMPUTED_VALUE"""),"Hồ Minh Trang")</f>
        <v>Hồ Minh Trang</v>
      </c>
      <c r="D112" s="1" t="str">
        <f ca="1">IFERROR(__xludf.DUMMYFUNCTION("""COMPUTED_VALUE"""),"10/11/1997")</f>
        <v>10/11/1997</v>
      </c>
      <c r="E112" s="1" t="str">
        <f ca="1">IFERROR(__xludf.DUMMYFUNCTION("""COMPUTED_VALUE"""),"Male")</f>
        <v>Male</v>
      </c>
      <c r="F112" s="1" t="str">
        <f ca="1">IFERROR(__xludf.DUMMYFUNCTION("""COMPUTED_VALUE"""),"Vietnam")</f>
        <v>Vietnam</v>
      </c>
      <c r="G112" s="1" t="str">
        <f ca="1">IFERROR(__xludf.DUMMYFUNCTION("""COMPUTED_VALUE"""),"0756305421")</f>
        <v>0756305421</v>
      </c>
      <c r="H112" s="1" t="str">
        <f ca="1">IFERROR(__xludf.DUMMYFUNCTION("""COMPUTED_VALUE"""),"hominhtrang@gmail.com")</f>
        <v>hominhtrang@gmail.com</v>
      </c>
      <c r="I112" s="1" t="str">
        <f ca="1">IFERROR(__xludf.DUMMYFUNCTION("""COMPUTED_VALUE"""),"87 Nguyen Hue, Hai Chau, Ha Noi, Viet Nam")</f>
        <v>87 Nguyen Hue, Hai Chau, Ha Noi, Viet Nam</v>
      </c>
      <c r="J112" s="1" t="str">
        <f ca="1">IFERROR(__xludf.DUMMYFUNCTION("""COMPUTED_VALUE"""),"088521852066")</f>
        <v>088521852066</v>
      </c>
      <c r="K112" s="3" t="str">
        <f ca="1">IFERROR(__xludf.DUMMYFUNCTION("""COMPUTED_VALUE"""),"https://drive.google.com/open?id=WbtwVk80Zrvns8SQuMhl")</f>
        <v>https://drive.google.com/open?id=WbtwVk80Zrvns8SQuMhl</v>
      </c>
      <c r="L112" s="3" t="str">
        <f ca="1">IFERROR(__xludf.DUMMYFUNCTION("""COMPUTED_VALUE"""),"https://drive.google.com/open?id=uD5x4sybw24ZCMXSiPS5")</f>
        <v>https://drive.google.com/open?id=uD5x4sybw24ZCMXSiPS5</v>
      </c>
      <c r="M112" s="1"/>
      <c r="N112" s="1"/>
      <c r="O112" s="1"/>
      <c r="P112" s="1" t="str">
        <f ca="1">IFERROR(__xludf.DUMMYFUNCTION("""COMPUTED_VALUE"""),"Contract")</f>
        <v>Contract</v>
      </c>
      <c r="Q112" s="1">
        <f ca="1">IFERROR(__xludf.DUMMYFUNCTION("""COMPUTED_VALUE"""),20000000)</f>
        <v>20000000</v>
      </c>
      <c r="R112" s="3" t="str">
        <f ca="1">IFERROR(__xludf.DUMMYFUNCTION("""COMPUTED_VALUE"""),"https://drive.google.com/open?id=H4xuh8FgRnOGmWqykB0Z")</f>
        <v>https://drive.google.com/open?id=H4xuh8FgRnOGmWqykB0Z</v>
      </c>
      <c r="S112" s="1">
        <f ca="1">IFERROR(__xludf.DUMMYFUNCTION("""COMPUTED_VALUE"""),100000000)</f>
        <v>100000000</v>
      </c>
      <c r="T112" s="1" t="str">
        <f ca="1">IFERROR(__xludf.DUMMYFUNCTION("""COMPUTED_VALUE"""),"Classic")</f>
        <v>Classic</v>
      </c>
      <c r="U112" s="1" t="str">
        <f ca="1">IFERROR(__xludf.DUMMYFUNCTION("""COMPUTED_VALUE"""),"Partner")</f>
        <v>Partner</v>
      </c>
    </row>
    <row r="113" spans="1:21" x14ac:dyDescent="0.25">
      <c r="A113" s="2" t="str">
        <f ca="1">IFERROR(__xludf.DUMMYFUNCTION("""COMPUTED_VALUE"""),"APP0112")</f>
        <v>APP0112</v>
      </c>
      <c r="B113" s="2">
        <f ca="1">IFERROR(__xludf.DUMMYFUNCTION("""COMPUTED_VALUE"""),45903.2504629629)</f>
        <v>45903.250462962897</v>
      </c>
      <c r="C113" s="1" t="str">
        <f ca="1">IFERROR(__xludf.DUMMYFUNCTION("""COMPUTED_VALUE"""),"Ngô Quang Thịnh")</f>
        <v>Ngô Quang Thịnh</v>
      </c>
      <c r="D113" s="1" t="str">
        <f ca="1">IFERROR(__xludf.DUMMYFUNCTION("""COMPUTED_VALUE"""),"22/01/1979")</f>
        <v>22/01/1979</v>
      </c>
      <c r="E113" s="1" t="str">
        <f ca="1">IFERROR(__xludf.DUMMYFUNCTION("""COMPUTED_VALUE"""),"Male")</f>
        <v>Male</v>
      </c>
      <c r="F113" s="1" t="str">
        <f ca="1">IFERROR(__xludf.DUMMYFUNCTION("""COMPUTED_VALUE"""),"Vietnam")</f>
        <v>Vietnam</v>
      </c>
      <c r="G113" s="1" t="str">
        <f ca="1">IFERROR(__xludf.DUMMYFUNCTION("""COMPUTED_VALUE"""),"0788185767")</f>
        <v>0788185767</v>
      </c>
      <c r="H113" s="1" t="str">
        <f ca="1">IFERROR(__xludf.DUMMYFUNCTION("""COMPUTED_VALUE"""),"ngoquangthinh@gmail.com")</f>
        <v>ngoquangthinh@gmail.com</v>
      </c>
      <c r="I113" s="1" t="str">
        <f ca="1">IFERROR(__xludf.DUMMYFUNCTION("""COMPUTED_VALUE"""),"129 Nguyen Trai, Quan 1, Can Tho, Viet Nam")</f>
        <v>129 Nguyen Trai, Quan 1, Can Tho, Viet Nam</v>
      </c>
      <c r="J113" s="1" t="str">
        <f ca="1">IFERROR(__xludf.DUMMYFUNCTION("""COMPUTED_VALUE"""),"060959294842")</f>
        <v>060959294842</v>
      </c>
      <c r="K113" s="3" t="str">
        <f ca="1">IFERROR(__xludf.DUMMYFUNCTION("""COMPUTED_VALUE"""),"https://drive.google.com/open?id=rspjRWaTnGPvuH5nT8OV")</f>
        <v>https://drive.google.com/open?id=rspjRWaTnGPvuH5nT8OV</v>
      </c>
      <c r="L113" s="3" t="str">
        <f ca="1">IFERROR(__xludf.DUMMYFUNCTION("""COMPUTED_VALUE"""),"https://drive.google.com/open?id=jDQ5muR3cl13M4ij40iH")</f>
        <v>https://drive.google.com/open?id=jDQ5muR3cl13M4ij40iH</v>
      </c>
      <c r="M113" s="1"/>
      <c r="N113" s="1"/>
      <c r="O113" s="1"/>
      <c r="P113" s="1" t="str">
        <f ca="1">IFERROR(__xludf.DUMMYFUNCTION("""COMPUTED_VALUE"""),"Self-employed")</f>
        <v>Self-employed</v>
      </c>
      <c r="Q113" s="1">
        <f ca="1">IFERROR(__xludf.DUMMYFUNCTION("""COMPUTED_VALUE"""),8000000)</f>
        <v>8000000</v>
      </c>
      <c r="R113" s="3" t="str">
        <f ca="1">IFERROR(__xludf.DUMMYFUNCTION("""COMPUTED_VALUE"""),"https://drive.google.com/open?id=uw3zOz7ol1vgKAlA9TjY")</f>
        <v>https://drive.google.com/open?id=uw3zOz7ol1vgKAlA9TjY</v>
      </c>
      <c r="S113" s="1">
        <f ca="1">IFERROR(__xludf.DUMMYFUNCTION("""COMPUTED_VALUE"""),16000000)</f>
        <v>16000000</v>
      </c>
      <c r="T113" s="1" t="str">
        <f ca="1">IFERROR(__xludf.DUMMYFUNCTION("""COMPUTED_VALUE"""),"Classic")</f>
        <v>Classic</v>
      </c>
      <c r="U113" s="1" t="str">
        <f ca="1">IFERROR(__xludf.DUMMYFUNCTION("""COMPUTED_VALUE"""),"Online")</f>
        <v>Online</v>
      </c>
    </row>
    <row r="114" spans="1:21" x14ac:dyDescent="0.25">
      <c r="A114" s="2" t="str">
        <f ca="1">IFERROR(__xludf.DUMMYFUNCTION("""COMPUTED_VALUE"""),"APP0113")</f>
        <v>APP0113</v>
      </c>
      <c r="B114" s="2">
        <f ca="1">IFERROR(__xludf.DUMMYFUNCTION("""COMPUTED_VALUE"""),45903.2593055555)</f>
        <v>45903.259305555497</v>
      </c>
      <c r="C114" s="1" t="str">
        <f ca="1">IFERROR(__xludf.DUMMYFUNCTION("""COMPUTED_VALUE"""),"Hồ Quang Bình")</f>
        <v>Hồ Quang Bình</v>
      </c>
      <c r="D114" s="1" t="str">
        <f ca="1">IFERROR(__xludf.DUMMYFUNCTION("""COMPUTED_VALUE"""),"14/10/1985")</f>
        <v>14/10/1985</v>
      </c>
      <c r="E114" s="1" t="str">
        <f ca="1">IFERROR(__xludf.DUMMYFUNCTION("""COMPUTED_VALUE"""),"Female")</f>
        <v>Female</v>
      </c>
      <c r="F114" s="1" t="str">
        <f ca="1">IFERROR(__xludf.DUMMYFUNCTION("""COMPUTED_VALUE"""),"Vietnam")</f>
        <v>Vietnam</v>
      </c>
      <c r="G114" s="1" t="str">
        <f ca="1">IFERROR(__xludf.DUMMYFUNCTION("""COMPUTED_VALUE"""),"0975181449")</f>
        <v>0975181449</v>
      </c>
      <c r="H114" s="1" t="str">
        <f ca="1">IFERROR(__xludf.DUMMYFUNCTION("""COMPUTED_VALUE"""),"hoquangbinh@gmail.com")</f>
        <v>hoquangbinh@gmail.com</v>
      </c>
      <c r="I114" s="1" t="str">
        <f ca="1">IFERROR(__xludf.DUMMYFUNCTION("""COMPUTED_VALUE"""),"7 Pham Van Dong, Hai Chau, Can Tho, Viet Nam")</f>
        <v>7 Pham Van Dong, Hai Chau, Can Tho, Viet Nam</v>
      </c>
      <c r="J114" s="1" t="str">
        <f ca="1">IFERROR(__xludf.DUMMYFUNCTION("""COMPUTED_VALUE"""),"018096635147")</f>
        <v>018096635147</v>
      </c>
      <c r="K114" s="3" t="str">
        <f ca="1">IFERROR(__xludf.DUMMYFUNCTION("""COMPUTED_VALUE"""),"https://drive.google.com/open?id=sUqrUhUmrviTKKFq4AvJ")</f>
        <v>https://drive.google.com/open?id=sUqrUhUmrviTKKFq4AvJ</v>
      </c>
      <c r="L114" s="3" t="str">
        <f ca="1">IFERROR(__xludf.DUMMYFUNCTION("""COMPUTED_VALUE"""),"https://drive.google.com/open?id=wQ7UI4zXDmsWOGEM76t7")</f>
        <v>https://drive.google.com/open?id=wQ7UI4zXDmsWOGEM76t7</v>
      </c>
      <c r="M114" s="1"/>
      <c r="N114" s="1"/>
      <c r="O114" s="1"/>
      <c r="P114" s="1" t="str">
        <f ca="1">IFERROR(__xludf.DUMMYFUNCTION("""COMPUTED_VALUE"""),"Full-time")</f>
        <v>Full-time</v>
      </c>
      <c r="Q114" s="1">
        <f ca="1">IFERROR(__xludf.DUMMYFUNCTION("""COMPUTED_VALUE"""),20000000)</f>
        <v>20000000</v>
      </c>
      <c r="R114" s="3" t="str">
        <f ca="1">IFERROR(__xludf.DUMMYFUNCTION("""COMPUTED_VALUE"""),"https://drive.google.com/open?id=K7rDpUV3mk9asGW6oggp")</f>
        <v>https://drive.google.com/open?id=K7rDpUV3mk9asGW6oggp</v>
      </c>
      <c r="S114" s="1">
        <f ca="1">IFERROR(__xludf.DUMMYFUNCTION("""COMPUTED_VALUE"""),100000000)</f>
        <v>100000000</v>
      </c>
      <c r="T114" s="1" t="str">
        <f ca="1">IFERROR(__xludf.DUMMYFUNCTION("""COMPUTED_VALUE"""),"Platinum")</f>
        <v>Platinum</v>
      </c>
      <c r="U114" s="1" t="str">
        <f ca="1">IFERROR(__xludf.DUMMYFUNCTION("""COMPUTED_VALUE"""),"Online")</f>
        <v>Online</v>
      </c>
    </row>
    <row r="115" spans="1:21" x14ac:dyDescent="0.25">
      <c r="A115" s="2" t="str">
        <f ca="1">IFERROR(__xludf.DUMMYFUNCTION("""COMPUTED_VALUE"""),"APP0114")</f>
        <v>APP0114</v>
      </c>
      <c r="B115" s="2">
        <f ca="1">IFERROR(__xludf.DUMMYFUNCTION("""COMPUTED_VALUE"""),45903.298136574)</f>
        <v>45903.298136573998</v>
      </c>
      <c r="C115" s="1" t="str">
        <f ca="1">IFERROR(__xludf.DUMMYFUNCTION("""COMPUTED_VALUE"""),"Phan Thị Dũng")</f>
        <v>Phan Thị Dũng</v>
      </c>
      <c r="D115" s="1" t="str">
        <f ca="1">IFERROR(__xludf.DUMMYFUNCTION("""COMPUTED_VALUE"""),"07/10/1993")</f>
        <v>07/10/1993</v>
      </c>
      <c r="E115" s="1" t="str">
        <f ca="1">IFERROR(__xludf.DUMMYFUNCTION("""COMPUTED_VALUE"""),"Male")</f>
        <v>Male</v>
      </c>
      <c r="F115" s="1" t="str">
        <f ca="1">IFERROR(__xludf.DUMMYFUNCTION("""COMPUTED_VALUE"""),"Vietnam")</f>
        <v>Vietnam</v>
      </c>
      <c r="G115" s="1" t="str">
        <f ca="1">IFERROR(__xludf.DUMMYFUNCTION("""COMPUTED_VALUE"""),"0732457703")</f>
        <v>0732457703</v>
      </c>
      <c r="H115" s="1" t="str">
        <f ca="1">IFERROR(__xludf.DUMMYFUNCTION("""COMPUTED_VALUE"""),"phanthidung@gmail.com")</f>
        <v>phanthidung@gmail.com</v>
      </c>
      <c r="I115" s="1" t="str">
        <f ca="1">IFERROR(__xludf.DUMMYFUNCTION("""COMPUTED_VALUE"""),"113 Pham Van Dong, Quan 3, Da Nang, Viet Nam")</f>
        <v>113 Pham Van Dong, Quan 3, Da Nang, Viet Nam</v>
      </c>
      <c r="J115" s="1" t="str">
        <f ca="1">IFERROR(__xludf.DUMMYFUNCTION("""COMPUTED_VALUE"""),"068194044604")</f>
        <v>068194044604</v>
      </c>
      <c r="K115" s="3" t="str">
        <f ca="1">IFERROR(__xludf.DUMMYFUNCTION("""COMPUTED_VALUE"""),"https://drive.google.com/open?id=kMOJslHhYZXkf4NfgBLt")</f>
        <v>https://drive.google.com/open?id=kMOJslHhYZXkf4NfgBLt</v>
      </c>
      <c r="L115" s="3" t="str">
        <f ca="1">IFERROR(__xludf.DUMMYFUNCTION("""COMPUTED_VALUE"""),"https://drive.google.com/open?id=yR0p3uE88oEcfL9MNqgq")</f>
        <v>https://drive.google.com/open?id=yR0p3uE88oEcfL9MNqgq</v>
      </c>
      <c r="M115" s="1"/>
      <c r="N115" s="1"/>
      <c r="O115" s="1"/>
      <c r="P115" s="1" t="str">
        <f ca="1">IFERROR(__xludf.DUMMYFUNCTION("""COMPUTED_VALUE"""),"Part-time")</f>
        <v>Part-time</v>
      </c>
      <c r="Q115" s="1">
        <f ca="1">IFERROR(__xludf.DUMMYFUNCTION("""COMPUTED_VALUE"""),5000000)</f>
        <v>5000000</v>
      </c>
      <c r="R115" s="3" t="str">
        <f ca="1">IFERROR(__xludf.DUMMYFUNCTION("""COMPUTED_VALUE"""),"https://drive.google.com/open?id=vkkhntrl4cYLpuTstfMW")</f>
        <v>https://drive.google.com/open?id=vkkhntrl4cYLpuTstfMW</v>
      </c>
      <c r="S115" s="1">
        <f ca="1">IFERROR(__xludf.DUMMYFUNCTION("""COMPUTED_VALUE"""),25000000)</f>
        <v>25000000</v>
      </c>
      <c r="T115" s="1" t="str">
        <f ca="1">IFERROR(__xludf.DUMMYFUNCTION("""COMPUTED_VALUE"""),"Platinum")</f>
        <v>Platinum</v>
      </c>
      <c r="U115" s="1" t="str">
        <f ca="1">IFERROR(__xludf.DUMMYFUNCTION("""COMPUTED_VALUE"""),"Online")</f>
        <v>Online</v>
      </c>
    </row>
    <row r="116" spans="1:21" x14ac:dyDescent="0.25">
      <c r="A116" s="2" t="str">
        <f ca="1">IFERROR(__xludf.DUMMYFUNCTION("""COMPUTED_VALUE"""),"APP0115")</f>
        <v>APP0115</v>
      </c>
      <c r="B116" s="2">
        <f ca="1">IFERROR(__xludf.DUMMYFUNCTION("""COMPUTED_VALUE"""),45903.3281828703)</f>
        <v>45903.328182870297</v>
      </c>
      <c r="C116" s="1" t="str">
        <f ca="1">IFERROR(__xludf.DUMMYFUNCTION("""COMPUTED_VALUE"""),"Jessica Williams")</f>
        <v>Jessica Williams</v>
      </c>
      <c r="D116" s="1" t="str">
        <f ca="1">IFERROR(__xludf.DUMMYFUNCTION("""COMPUTED_VALUE"""),"02/09/1974")</f>
        <v>02/09/1974</v>
      </c>
      <c r="E116" s="1" t="str">
        <f ca="1">IFERROR(__xludf.DUMMYFUNCTION("""COMPUTED_VALUE"""),"Female")</f>
        <v>Female</v>
      </c>
      <c r="F116" s="1" t="str">
        <f ca="1">IFERROR(__xludf.DUMMYFUNCTION("""COMPUTED_VALUE"""),"Other")</f>
        <v>Other</v>
      </c>
      <c r="G116" s="1" t="str">
        <f ca="1">IFERROR(__xludf.DUMMYFUNCTION("""COMPUTED_VALUE"""),"+49 6717470323")</f>
        <v>+49 6717470323</v>
      </c>
      <c r="H116" s="1" t="str">
        <f ca="1">IFERROR(__xludf.DUMMYFUNCTION("""COMPUTED_VALUE"""),"jessicawilliams@gmail.com")</f>
        <v>jessicawilliams@gmail.com</v>
      </c>
      <c r="I116" s="1" t="str">
        <f ca="1">IFERROR(__xludf.DUMMYFUNCTION("""COMPUTED_VALUE"""),"895 Klein Canyon Apt. 562, West Matthew, ND 28792")</f>
        <v>895 Klein Canyon Apt. 562, West Matthew, ND 28792</v>
      </c>
      <c r="J116" s="1"/>
      <c r="K116" s="1"/>
      <c r="L116" s="1"/>
      <c r="M116" s="1" t="str">
        <f ca="1">IFERROR(__xludf.DUMMYFUNCTION("""COMPUTED_VALUE"""),"LJ240991")</f>
        <v>LJ240991</v>
      </c>
      <c r="N116" s="3" t="str">
        <f ca="1">IFERROR(__xludf.DUMMYFUNCTION("""COMPUTED_VALUE"""),"https://drive.google.com/open?id=betPZynWxJOQH6zNYOef")</f>
        <v>https://drive.google.com/open?id=betPZynWxJOQH6zNYOef</v>
      </c>
      <c r="O116" s="3" t="str">
        <f ca="1">IFERROR(__xludf.DUMMYFUNCTION("""COMPUTED_VALUE"""),"https://drive.google.com/open?id=B2XebqXMeYuQ1cJFBpim")</f>
        <v>https://drive.google.com/open?id=B2XebqXMeYuQ1cJFBpim</v>
      </c>
      <c r="P116" s="1" t="str">
        <f ca="1">IFERROR(__xludf.DUMMYFUNCTION("""COMPUTED_VALUE"""),"Full-time")</f>
        <v>Full-time</v>
      </c>
      <c r="Q116" s="1">
        <f ca="1">IFERROR(__xludf.DUMMYFUNCTION("""COMPUTED_VALUE"""),8000000)</f>
        <v>8000000</v>
      </c>
      <c r="R116" s="3" t="str">
        <f ca="1">IFERROR(__xludf.DUMMYFUNCTION("""COMPUTED_VALUE"""),"https://drive.google.com/open?id=uYAJC0zPKyPVDIZdk49I")</f>
        <v>https://drive.google.com/open?id=uYAJC0zPKyPVDIZdk49I</v>
      </c>
      <c r="S116" s="1">
        <f ca="1">IFERROR(__xludf.DUMMYFUNCTION("""COMPUTED_VALUE"""),40000000)</f>
        <v>40000000</v>
      </c>
      <c r="T116" s="1" t="str">
        <f ca="1">IFERROR(__xludf.DUMMYFUNCTION("""COMPUTED_VALUE"""),"Platinum")</f>
        <v>Platinum</v>
      </c>
      <c r="U116" s="1" t="str">
        <f ca="1">IFERROR(__xludf.DUMMYFUNCTION("""COMPUTED_VALUE"""),"Branch")</f>
        <v>Branch</v>
      </c>
    </row>
    <row r="117" spans="1:21" x14ac:dyDescent="0.25">
      <c r="A117" s="2" t="str">
        <f ca="1">IFERROR(__xludf.DUMMYFUNCTION("""COMPUTED_VALUE"""),"APP0116")</f>
        <v>APP0116</v>
      </c>
      <c r="B117" s="2">
        <f ca="1">IFERROR(__xludf.DUMMYFUNCTION("""COMPUTED_VALUE"""),45903.4504976851)</f>
        <v>45903.450497685102</v>
      </c>
      <c r="C117" s="1" t="str">
        <f ca="1">IFERROR(__xludf.DUMMYFUNCTION("""COMPUTED_VALUE"""),"Dương Minh Quân")</f>
        <v>Dương Minh Quân</v>
      </c>
      <c r="D117" s="1" t="str">
        <f ca="1">IFERROR(__xludf.DUMMYFUNCTION("""COMPUTED_VALUE"""),"23/02/1972")</f>
        <v>23/02/1972</v>
      </c>
      <c r="E117" s="1" t="str">
        <f ca="1">IFERROR(__xludf.DUMMYFUNCTION("""COMPUTED_VALUE"""),"Male")</f>
        <v>Male</v>
      </c>
      <c r="F117" s="1" t="str">
        <f ca="1">IFERROR(__xludf.DUMMYFUNCTION("""COMPUTED_VALUE"""),"Vietnam")</f>
        <v>Vietnam</v>
      </c>
      <c r="G117" s="1" t="str">
        <f ca="1">IFERROR(__xludf.DUMMYFUNCTION("""COMPUTED_VALUE"""),"0799554309")</f>
        <v>0799554309</v>
      </c>
      <c r="H117" s="1" t="str">
        <f ca="1">IFERROR(__xludf.DUMMYFUNCTION("""COMPUTED_VALUE"""),"duongminhquan@gmail.com")</f>
        <v>duongminhquan@gmail.com</v>
      </c>
      <c r="I117" s="1" t="str">
        <f ca="1">IFERROR(__xludf.DUMMYFUNCTION("""COMPUTED_VALUE"""),"179 Nguyen Hue, Hoan Kiem, Can Tho, Viet Nam")</f>
        <v>179 Nguyen Hue, Hoan Kiem, Can Tho, Viet Nam</v>
      </c>
      <c r="J117" s="1" t="str">
        <f ca="1">IFERROR(__xludf.DUMMYFUNCTION("""COMPUTED_VALUE"""),"037852073548")</f>
        <v>037852073548</v>
      </c>
      <c r="K117" s="3" t="str">
        <f ca="1">IFERROR(__xludf.DUMMYFUNCTION("""COMPUTED_VALUE"""),"https://drive.google.com/open?id=11n8iJDAe0iyyKVxSsiz")</f>
        <v>https://drive.google.com/open?id=11n8iJDAe0iyyKVxSsiz</v>
      </c>
      <c r="L117" s="3" t="str">
        <f ca="1">IFERROR(__xludf.DUMMYFUNCTION("""COMPUTED_VALUE"""),"https://drive.google.com/open?id=UF7PzcKCPdnPKx4kRM91")</f>
        <v>https://drive.google.com/open?id=UF7PzcKCPdnPKx4kRM91</v>
      </c>
      <c r="M117" s="1"/>
      <c r="N117" s="1"/>
      <c r="O117" s="1"/>
      <c r="P117" s="1" t="str">
        <f ca="1">IFERROR(__xludf.DUMMYFUNCTION("""COMPUTED_VALUE"""),"Full-time")</f>
        <v>Full-time</v>
      </c>
      <c r="Q117" s="1">
        <f ca="1">IFERROR(__xludf.DUMMYFUNCTION("""COMPUTED_VALUE"""),12000000)</f>
        <v>12000000</v>
      </c>
      <c r="R117" s="3" t="str">
        <f ca="1">IFERROR(__xludf.DUMMYFUNCTION("""COMPUTED_VALUE"""),"https://drive.google.com/open?id=sEvvAuyMEFJ3kO7fC5Qp")</f>
        <v>https://drive.google.com/open?id=sEvvAuyMEFJ3kO7fC5Qp</v>
      </c>
      <c r="S117" s="1">
        <f ca="1">IFERROR(__xludf.DUMMYFUNCTION("""COMPUTED_VALUE"""),24000000)</f>
        <v>24000000</v>
      </c>
      <c r="T117" s="1" t="str">
        <f ca="1">IFERROR(__xludf.DUMMYFUNCTION("""COMPUTED_VALUE"""),"Gold")</f>
        <v>Gold</v>
      </c>
      <c r="U117" s="1" t="str">
        <f ca="1">IFERROR(__xludf.DUMMYFUNCTION("""COMPUTED_VALUE"""),"Branch")</f>
        <v>Branch</v>
      </c>
    </row>
    <row r="118" spans="1:21" x14ac:dyDescent="0.25">
      <c r="A118" s="2" t="str">
        <f ca="1">IFERROR(__xludf.DUMMYFUNCTION("""COMPUTED_VALUE"""),"APP0117")</f>
        <v>APP0117</v>
      </c>
      <c r="B118" s="2">
        <f ca="1">IFERROR(__xludf.DUMMYFUNCTION("""COMPUTED_VALUE"""),45903.5062384259)</f>
        <v>45903.5062384259</v>
      </c>
      <c r="C118" s="1" t="str">
        <f ca="1">IFERROR(__xludf.DUMMYFUNCTION("""COMPUTED_VALUE"""),"Lê Đức Quân")</f>
        <v>Lê Đức Quân</v>
      </c>
      <c r="D118" s="1" t="str">
        <f ca="1">IFERROR(__xludf.DUMMYFUNCTION("""COMPUTED_VALUE"""),"09/02/1978")</f>
        <v>09/02/1978</v>
      </c>
      <c r="E118" s="1" t="str">
        <f ca="1">IFERROR(__xludf.DUMMYFUNCTION("""COMPUTED_VALUE"""),"Female")</f>
        <v>Female</v>
      </c>
      <c r="F118" s="1" t="str">
        <f ca="1">IFERROR(__xludf.DUMMYFUNCTION("""COMPUTED_VALUE"""),"Vietnam")</f>
        <v>Vietnam</v>
      </c>
      <c r="G118" s="1" t="str">
        <f ca="1">IFERROR(__xludf.DUMMYFUNCTION("""COMPUTED_VALUE"""),"0922190759")</f>
        <v>0922190759</v>
      </c>
      <c r="H118" s="1" t="str">
        <f ca="1">IFERROR(__xludf.DUMMYFUNCTION("""COMPUTED_VALUE"""),"leducquan@gmail.com")</f>
        <v>leducquan@gmail.com</v>
      </c>
      <c r="I118" s="1" t="str">
        <f ca="1">IFERROR(__xludf.DUMMYFUNCTION("""COMPUTED_VALUE"""),"61 Ly Thuong Kiet, Hoan Kiem, TP Ho Chi Minh, Viet Nam")</f>
        <v>61 Ly Thuong Kiet, Hoan Kiem, TP Ho Chi Minh, Viet Nam</v>
      </c>
      <c r="J118" s="1" t="str">
        <f ca="1">IFERROR(__xludf.DUMMYFUNCTION("""COMPUTED_VALUE"""),"048398957649")</f>
        <v>048398957649</v>
      </c>
      <c r="K118" s="3" t="str">
        <f ca="1">IFERROR(__xludf.DUMMYFUNCTION("""COMPUTED_VALUE"""),"https://drive.google.com/open?id=tuNR9F0WZNlThUSwrayv")</f>
        <v>https://drive.google.com/open?id=tuNR9F0WZNlThUSwrayv</v>
      </c>
      <c r="L118" s="3" t="str">
        <f ca="1">IFERROR(__xludf.DUMMYFUNCTION("""COMPUTED_VALUE"""),"https://drive.google.com/open?id=06I2WMPDdUtPcoktlHPS")</f>
        <v>https://drive.google.com/open?id=06I2WMPDdUtPcoktlHPS</v>
      </c>
      <c r="M118" s="1"/>
      <c r="N118" s="1"/>
      <c r="O118" s="1"/>
      <c r="P118" s="1" t="str">
        <f ca="1">IFERROR(__xludf.DUMMYFUNCTION("""COMPUTED_VALUE"""),"Part-time")</f>
        <v>Part-time</v>
      </c>
      <c r="Q118" s="1">
        <f ca="1">IFERROR(__xludf.DUMMYFUNCTION("""COMPUTED_VALUE"""),8000000)</f>
        <v>8000000</v>
      </c>
      <c r="R118" s="3" t="str">
        <f ca="1">IFERROR(__xludf.DUMMYFUNCTION("""COMPUTED_VALUE"""),"https://drive.google.com/open?id=TeRkblaoiMIfEQ3JK483")</f>
        <v>https://drive.google.com/open?id=TeRkblaoiMIfEQ3JK483</v>
      </c>
      <c r="S118" s="1">
        <f ca="1">IFERROR(__xludf.DUMMYFUNCTION("""COMPUTED_VALUE"""),16000000)</f>
        <v>16000000</v>
      </c>
      <c r="T118" s="1" t="str">
        <f ca="1">IFERROR(__xludf.DUMMYFUNCTION("""COMPUTED_VALUE"""),"Classic")</f>
        <v>Classic</v>
      </c>
      <c r="U118" s="1" t="str">
        <f ca="1">IFERROR(__xludf.DUMMYFUNCTION("""COMPUTED_VALUE"""),"Partner")</f>
        <v>Partner</v>
      </c>
    </row>
    <row r="119" spans="1:21" x14ac:dyDescent="0.25">
      <c r="A119" s="2" t="str">
        <f ca="1">IFERROR(__xludf.DUMMYFUNCTION("""COMPUTED_VALUE"""),"APP0118")</f>
        <v>APP0118</v>
      </c>
      <c r="B119" s="2">
        <f ca="1">IFERROR(__xludf.DUMMYFUNCTION("""COMPUTED_VALUE"""),45903.5259259259)</f>
        <v>45903.525925925896</v>
      </c>
      <c r="C119" s="1" t="str">
        <f ca="1">IFERROR(__xludf.DUMMYFUNCTION("""COMPUTED_VALUE"""),"Vũ Quang Linh")</f>
        <v>Vũ Quang Linh</v>
      </c>
      <c r="D119" s="1" t="str">
        <f ca="1">IFERROR(__xludf.DUMMYFUNCTION("""COMPUTED_VALUE"""),"08/06/1983")</f>
        <v>08/06/1983</v>
      </c>
      <c r="E119" s="1" t="str">
        <f ca="1">IFERROR(__xludf.DUMMYFUNCTION("""COMPUTED_VALUE"""),"Female")</f>
        <v>Female</v>
      </c>
      <c r="F119" s="1" t="str">
        <f ca="1">IFERROR(__xludf.DUMMYFUNCTION("""COMPUTED_VALUE"""),"Vietnam")</f>
        <v>Vietnam</v>
      </c>
      <c r="G119" s="1" t="str">
        <f ca="1">IFERROR(__xludf.DUMMYFUNCTION("""COMPUTED_VALUE"""),"0727161362")</f>
        <v>0727161362</v>
      </c>
      <c r="H119" s="1" t="str">
        <f ca="1">IFERROR(__xludf.DUMMYFUNCTION("""COMPUTED_VALUE"""),"vuquanglinh@gmail.com")</f>
        <v>vuquanglinh@gmail.com</v>
      </c>
      <c r="I119" s="1" t="str">
        <f ca="1">IFERROR(__xludf.DUMMYFUNCTION("""COMPUTED_VALUE"""),"126 Le Loi, Quan 7, Ha Noi, Viet Nam")</f>
        <v>126 Le Loi, Quan 7, Ha Noi, Viet Nam</v>
      </c>
      <c r="J119" s="1" t="str">
        <f ca="1">IFERROR(__xludf.DUMMYFUNCTION("""COMPUTED_VALUE"""),"031331998784")</f>
        <v>031331998784</v>
      </c>
      <c r="K119" s="3" t="str">
        <f ca="1">IFERROR(__xludf.DUMMYFUNCTION("""COMPUTED_VALUE"""),"https://drive.google.com/open?id=3ZiNzCd1tmQDIo5ZDW5G")</f>
        <v>https://drive.google.com/open?id=3ZiNzCd1tmQDIo5ZDW5G</v>
      </c>
      <c r="L119" s="3" t="str">
        <f ca="1">IFERROR(__xludf.DUMMYFUNCTION("""COMPUTED_VALUE"""),"https://drive.google.com/open?id=ZZgHBIJ4By24GK8ju7wy")</f>
        <v>https://drive.google.com/open?id=ZZgHBIJ4By24GK8ju7wy</v>
      </c>
      <c r="M119" s="1"/>
      <c r="N119" s="1"/>
      <c r="O119" s="1"/>
      <c r="P119" s="1" t="str">
        <f ca="1">IFERROR(__xludf.DUMMYFUNCTION("""COMPUTED_VALUE"""),"Freelancer")</f>
        <v>Freelancer</v>
      </c>
      <c r="Q119" s="1">
        <f ca="1">IFERROR(__xludf.DUMMYFUNCTION("""COMPUTED_VALUE"""),20000000)</f>
        <v>20000000</v>
      </c>
      <c r="R119" s="3" t="str">
        <f ca="1">IFERROR(__xludf.DUMMYFUNCTION("""COMPUTED_VALUE"""),"https://drive.google.com/open?id=PIXJm5dsySPJFDlaY3or")</f>
        <v>https://drive.google.com/open?id=PIXJm5dsySPJFDlaY3or</v>
      </c>
      <c r="S119" s="1">
        <f ca="1">IFERROR(__xludf.DUMMYFUNCTION("""COMPUTED_VALUE"""),100000000)</f>
        <v>100000000</v>
      </c>
      <c r="T119" s="1" t="str">
        <f ca="1">IFERROR(__xludf.DUMMYFUNCTION("""COMPUTED_VALUE"""),"Classic")</f>
        <v>Classic</v>
      </c>
      <c r="U119" s="1" t="str">
        <f ca="1">IFERROR(__xludf.DUMMYFUNCTION("""COMPUTED_VALUE"""),"Online")</f>
        <v>Online</v>
      </c>
    </row>
    <row r="120" spans="1:21" x14ac:dyDescent="0.25">
      <c r="A120" s="2" t="str">
        <f ca="1">IFERROR(__xludf.DUMMYFUNCTION("""COMPUTED_VALUE"""),"APP0119")</f>
        <v>APP0119</v>
      </c>
      <c r="B120" s="2">
        <f ca="1">IFERROR(__xludf.DUMMYFUNCTION("""COMPUTED_VALUE"""),45903.5366550925)</f>
        <v>45903.536655092503</v>
      </c>
      <c r="C120" s="1" t="str">
        <f ca="1">IFERROR(__xludf.DUMMYFUNCTION("""COMPUTED_VALUE"""),"Huỳnh Văn Thắng")</f>
        <v>Huỳnh Văn Thắng</v>
      </c>
      <c r="D120" s="1" t="str">
        <f ca="1">IFERROR(__xludf.DUMMYFUNCTION("""COMPUTED_VALUE"""),"30/12/2002")</f>
        <v>30/12/2002</v>
      </c>
      <c r="E120" s="1" t="str">
        <f ca="1">IFERROR(__xludf.DUMMYFUNCTION("""COMPUTED_VALUE"""),"Female")</f>
        <v>Female</v>
      </c>
      <c r="F120" s="1" t="str">
        <f ca="1">IFERROR(__xludf.DUMMYFUNCTION("""COMPUTED_VALUE"""),"Vietnam")</f>
        <v>Vietnam</v>
      </c>
      <c r="G120" s="1" t="str">
        <f ca="1">IFERROR(__xludf.DUMMYFUNCTION("""COMPUTED_VALUE"""),"0989226802")</f>
        <v>0989226802</v>
      </c>
      <c r="H120" s="1" t="str">
        <f ca="1">IFERROR(__xludf.DUMMYFUNCTION("""COMPUTED_VALUE"""),"huynhvanthang@gmail.com")</f>
        <v>huynhvanthang@gmail.com</v>
      </c>
      <c r="I120" s="1" t="str">
        <f ca="1">IFERROR(__xludf.DUMMYFUNCTION("""COMPUTED_VALUE"""),"67 Le Loi, Hoan Kiem, Hai Phong, Viet Nam")</f>
        <v>67 Le Loi, Hoan Kiem, Hai Phong, Viet Nam</v>
      </c>
      <c r="J120" s="1" t="str">
        <f ca="1">IFERROR(__xludf.DUMMYFUNCTION("""COMPUTED_VALUE"""),"061973065545")</f>
        <v>061973065545</v>
      </c>
      <c r="K120" s="3" t="str">
        <f ca="1">IFERROR(__xludf.DUMMYFUNCTION("""COMPUTED_VALUE"""),"https://drive.google.com/open?id=kyCdi6uKVVjUylMBiglT")</f>
        <v>https://drive.google.com/open?id=kyCdi6uKVVjUylMBiglT</v>
      </c>
      <c r="L120" s="3" t="str">
        <f ca="1">IFERROR(__xludf.DUMMYFUNCTION("""COMPUTED_VALUE"""),"https://drive.google.com/open?id=ptIj3QIFUABoR8Y09S9I")</f>
        <v>https://drive.google.com/open?id=ptIj3QIFUABoR8Y09S9I</v>
      </c>
      <c r="M120" s="1"/>
      <c r="N120" s="1"/>
      <c r="O120" s="1"/>
      <c r="P120" s="1" t="str">
        <f ca="1">IFERROR(__xludf.DUMMYFUNCTION("""COMPUTED_VALUE"""),"Full-time")</f>
        <v>Full-time</v>
      </c>
      <c r="Q120" s="1">
        <f ca="1">IFERROR(__xludf.DUMMYFUNCTION("""COMPUTED_VALUE"""),20000000)</f>
        <v>20000000</v>
      </c>
      <c r="R120" s="3" t="str">
        <f ca="1">IFERROR(__xludf.DUMMYFUNCTION("""COMPUTED_VALUE"""),"https://drive.google.com/open?id=G9mmcrMZSijj2WwXIcBV")</f>
        <v>https://drive.google.com/open?id=G9mmcrMZSijj2WwXIcBV</v>
      </c>
      <c r="S120" s="1">
        <f ca="1">IFERROR(__xludf.DUMMYFUNCTION("""COMPUTED_VALUE"""),60000000)</f>
        <v>60000000</v>
      </c>
      <c r="T120" s="1" t="str">
        <f ca="1">IFERROR(__xludf.DUMMYFUNCTION("""COMPUTED_VALUE"""),"Gold")</f>
        <v>Gold</v>
      </c>
      <c r="U120" s="1" t="str">
        <f ca="1">IFERROR(__xludf.DUMMYFUNCTION("""COMPUTED_VALUE"""),"Branch")</f>
        <v>Branch</v>
      </c>
    </row>
    <row r="121" spans="1:21" x14ac:dyDescent="0.25">
      <c r="A121" s="2" t="str">
        <f ca="1">IFERROR(__xludf.DUMMYFUNCTION("""COMPUTED_VALUE"""),"APP0120")</f>
        <v>APP0120</v>
      </c>
      <c r="B121" s="2">
        <f ca="1">IFERROR(__xludf.DUMMYFUNCTION("""COMPUTED_VALUE"""),45903.6239004629)</f>
        <v>45903.623900462902</v>
      </c>
      <c r="C121" s="1" t="str">
        <f ca="1">IFERROR(__xludf.DUMMYFUNCTION("""COMPUTED_VALUE"""),"Huỳnh Anh Phong")</f>
        <v>Huỳnh Anh Phong</v>
      </c>
      <c r="D121" s="1" t="str">
        <f ca="1">IFERROR(__xludf.DUMMYFUNCTION("""COMPUTED_VALUE"""),"03/02/1971")</f>
        <v>03/02/1971</v>
      </c>
      <c r="E121" s="1" t="str">
        <f ca="1">IFERROR(__xludf.DUMMYFUNCTION("""COMPUTED_VALUE"""),"Male")</f>
        <v>Male</v>
      </c>
      <c r="F121" s="1" t="str">
        <f ca="1">IFERROR(__xludf.DUMMYFUNCTION("""COMPUTED_VALUE"""),"Vietnam")</f>
        <v>Vietnam</v>
      </c>
      <c r="G121" s="1" t="str">
        <f ca="1">IFERROR(__xludf.DUMMYFUNCTION("""COMPUTED_VALUE"""),"0821470370")</f>
        <v>0821470370</v>
      </c>
      <c r="H121" s="1" t="str">
        <f ca="1">IFERROR(__xludf.DUMMYFUNCTION("""COMPUTED_VALUE"""),"huynhanhphong@gmail.com")</f>
        <v>huynhanhphong@gmail.com</v>
      </c>
      <c r="I121" s="1" t="str">
        <f ca="1">IFERROR(__xludf.DUMMYFUNCTION("""COMPUTED_VALUE"""),"163 Nguyen Hue, Quan 7, Ha Noi, Viet Nam")</f>
        <v>163 Nguyen Hue, Quan 7, Ha Noi, Viet Nam</v>
      </c>
      <c r="J121" s="1" t="str">
        <f ca="1">IFERROR(__xludf.DUMMYFUNCTION("""COMPUTED_VALUE"""),"020290031362")</f>
        <v>020290031362</v>
      </c>
      <c r="K121" s="3" t="str">
        <f ca="1">IFERROR(__xludf.DUMMYFUNCTION("""COMPUTED_VALUE"""),"https://drive.google.com/open?id=kBlz3mXYMdlg0GtSE5WB")</f>
        <v>https://drive.google.com/open?id=kBlz3mXYMdlg0GtSE5WB</v>
      </c>
      <c r="L121" s="3" t="str">
        <f ca="1">IFERROR(__xludf.DUMMYFUNCTION("""COMPUTED_VALUE"""),"https://drive.google.com/open?id=Mt1P5cgLxrzZrCnJd65W")</f>
        <v>https://drive.google.com/open?id=Mt1P5cgLxrzZrCnJd65W</v>
      </c>
      <c r="M121" s="1"/>
      <c r="N121" s="1"/>
      <c r="O121" s="1"/>
      <c r="P121" s="1" t="str">
        <f ca="1">IFERROR(__xludf.DUMMYFUNCTION("""COMPUTED_VALUE"""),"Freelancer")</f>
        <v>Freelancer</v>
      </c>
      <c r="Q121" s="1">
        <f ca="1">IFERROR(__xludf.DUMMYFUNCTION("""COMPUTED_VALUE"""),50000000)</f>
        <v>50000000</v>
      </c>
      <c r="R121" s="3" t="str">
        <f ca="1">IFERROR(__xludf.DUMMYFUNCTION("""COMPUTED_VALUE"""),"https://drive.google.com/open?id=dgSzACHmwBlXqbb2616m")</f>
        <v>https://drive.google.com/open?id=dgSzACHmwBlXqbb2616m</v>
      </c>
      <c r="S121" s="1">
        <f ca="1">IFERROR(__xludf.DUMMYFUNCTION("""COMPUTED_VALUE"""),250000000)</f>
        <v>250000000</v>
      </c>
      <c r="T121" s="1" t="str">
        <f ca="1">IFERROR(__xludf.DUMMYFUNCTION("""COMPUTED_VALUE"""),"Platinum")</f>
        <v>Platinum</v>
      </c>
      <c r="U121" s="1" t="str">
        <f ca="1">IFERROR(__xludf.DUMMYFUNCTION("""COMPUTED_VALUE"""),"Online")</f>
        <v>Online</v>
      </c>
    </row>
    <row r="122" spans="1:21" x14ac:dyDescent="0.25">
      <c r="A122" s="2" t="str">
        <f ca="1">IFERROR(__xludf.DUMMYFUNCTION("""COMPUTED_VALUE"""),"APP0121")</f>
        <v>APP0121</v>
      </c>
      <c r="B122" s="2">
        <f ca="1">IFERROR(__xludf.DUMMYFUNCTION("""COMPUTED_VALUE"""),45903.6575925925)</f>
        <v>45903.657592592499</v>
      </c>
      <c r="C122" s="1" t="str">
        <f ca="1">IFERROR(__xludf.DUMMYFUNCTION("""COMPUTED_VALUE"""),"Lê Thị Mai")</f>
        <v>Lê Thị Mai</v>
      </c>
      <c r="D122" s="1" t="str">
        <f ca="1">IFERROR(__xludf.DUMMYFUNCTION("""COMPUTED_VALUE"""),"28/06/1978")</f>
        <v>28/06/1978</v>
      </c>
      <c r="E122" s="1" t="str">
        <f ca="1">IFERROR(__xludf.DUMMYFUNCTION("""COMPUTED_VALUE"""),"Male")</f>
        <v>Male</v>
      </c>
      <c r="F122" s="1" t="str">
        <f ca="1">IFERROR(__xludf.DUMMYFUNCTION("""COMPUTED_VALUE"""),"Vietnam")</f>
        <v>Vietnam</v>
      </c>
      <c r="G122" s="1" t="str">
        <f ca="1">IFERROR(__xludf.DUMMYFUNCTION("""COMPUTED_VALUE"""),"0716558416")</f>
        <v>0716558416</v>
      </c>
      <c r="H122" s="1" t="str">
        <f ca="1">IFERROR(__xludf.DUMMYFUNCTION("""COMPUTED_VALUE"""),"lethimai@gmail.com")</f>
        <v>lethimai@gmail.com</v>
      </c>
      <c r="I122" s="1" t="str">
        <f ca="1">IFERROR(__xludf.DUMMYFUNCTION("""COMPUTED_VALUE"""),"31 Le Loi, Hoan Kiem, Hai Phong, Viet Nam")</f>
        <v>31 Le Loi, Hoan Kiem, Hai Phong, Viet Nam</v>
      </c>
      <c r="J122" s="1" t="str">
        <f ca="1">IFERROR(__xludf.DUMMYFUNCTION("""COMPUTED_VALUE"""),"057169695089")</f>
        <v>057169695089</v>
      </c>
      <c r="K122" s="3" t="str">
        <f ca="1">IFERROR(__xludf.DUMMYFUNCTION("""COMPUTED_VALUE"""),"https://drive.google.com/open?id=kejhP1zZdhHts4mEClnT")</f>
        <v>https://drive.google.com/open?id=kejhP1zZdhHts4mEClnT</v>
      </c>
      <c r="L122" s="3" t="str">
        <f ca="1">IFERROR(__xludf.DUMMYFUNCTION("""COMPUTED_VALUE"""),"https://drive.google.com/open?id=CKreShbtCc7lPwzQWKKF")</f>
        <v>https://drive.google.com/open?id=CKreShbtCc7lPwzQWKKF</v>
      </c>
      <c r="M122" s="1"/>
      <c r="N122" s="1"/>
      <c r="O122" s="1"/>
      <c r="P122" s="1" t="str">
        <f ca="1">IFERROR(__xludf.DUMMYFUNCTION("""COMPUTED_VALUE"""),"Contract")</f>
        <v>Contract</v>
      </c>
      <c r="Q122" s="1">
        <f ca="1">IFERROR(__xludf.DUMMYFUNCTION("""COMPUTED_VALUE"""),20000000)</f>
        <v>20000000</v>
      </c>
      <c r="R122" s="3" t="str">
        <f ca="1">IFERROR(__xludf.DUMMYFUNCTION("""COMPUTED_VALUE"""),"https://drive.google.com/open?id=LbtD1unF7XpsGTHjJonA")</f>
        <v>https://drive.google.com/open?id=LbtD1unF7XpsGTHjJonA</v>
      </c>
      <c r="S122" s="1">
        <f ca="1">IFERROR(__xludf.DUMMYFUNCTION("""COMPUTED_VALUE"""),60000000)</f>
        <v>60000000</v>
      </c>
      <c r="T122" s="1" t="str">
        <f ca="1">IFERROR(__xludf.DUMMYFUNCTION("""COMPUTED_VALUE"""),"Classic")</f>
        <v>Classic</v>
      </c>
      <c r="U122" s="1" t="str">
        <f ca="1">IFERROR(__xludf.DUMMYFUNCTION("""COMPUTED_VALUE"""),"Online")</f>
        <v>Online</v>
      </c>
    </row>
    <row r="123" spans="1:21" x14ac:dyDescent="0.25">
      <c r="A123" s="2" t="str">
        <f ca="1">IFERROR(__xludf.DUMMYFUNCTION("""COMPUTED_VALUE"""),"APP0122")</f>
        <v>APP0122</v>
      </c>
      <c r="B123" s="2">
        <f ca="1">IFERROR(__xludf.DUMMYFUNCTION("""COMPUTED_VALUE"""),45903.7580787037)</f>
        <v>45903.7580787037</v>
      </c>
      <c r="C123" s="1" t="str">
        <f ca="1">IFERROR(__xludf.DUMMYFUNCTION("""COMPUTED_VALUE"""),"Trần Thanh Sơn")</f>
        <v>Trần Thanh Sơn</v>
      </c>
      <c r="D123" s="1" t="str">
        <f ca="1">IFERROR(__xludf.DUMMYFUNCTION("""COMPUTED_VALUE"""),"11/03/2006")</f>
        <v>11/03/2006</v>
      </c>
      <c r="E123" s="1" t="str">
        <f ca="1">IFERROR(__xludf.DUMMYFUNCTION("""COMPUTED_VALUE"""),"Male")</f>
        <v>Male</v>
      </c>
      <c r="F123" s="1" t="str">
        <f ca="1">IFERROR(__xludf.DUMMYFUNCTION("""COMPUTED_VALUE"""),"Vietnam")</f>
        <v>Vietnam</v>
      </c>
      <c r="G123" s="1" t="str">
        <f ca="1">IFERROR(__xludf.DUMMYFUNCTION("""COMPUTED_VALUE"""),"0829941555")</f>
        <v>0829941555</v>
      </c>
      <c r="H123" s="1" t="str">
        <f ca="1">IFERROR(__xludf.DUMMYFUNCTION("""COMPUTED_VALUE"""),"tranthanhson@gmail.com")</f>
        <v>tranthanhson@gmail.com</v>
      </c>
      <c r="I123" s="1" t="str">
        <f ca="1">IFERROR(__xludf.DUMMYFUNCTION("""COMPUTED_VALUE"""),"133 Ly Thuong Kiet, Quan 1, TP Ho Chi Minh, Viet Nam")</f>
        <v>133 Ly Thuong Kiet, Quan 1, TP Ho Chi Minh, Viet Nam</v>
      </c>
      <c r="J123" s="1" t="str">
        <f ca="1">IFERROR(__xludf.DUMMYFUNCTION("""COMPUTED_VALUE"""),"050351771405")</f>
        <v>050351771405</v>
      </c>
      <c r="K123" s="3" t="str">
        <f ca="1">IFERROR(__xludf.DUMMYFUNCTION("""COMPUTED_VALUE"""),"https://drive.google.com/open?id=HHRCBf2EhjtqpRH1Yd6L")</f>
        <v>https://drive.google.com/open?id=HHRCBf2EhjtqpRH1Yd6L</v>
      </c>
      <c r="L123" s="3" t="str">
        <f ca="1">IFERROR(__xludf.DUMMYFUNCTION("""COMPUTED_VALUE"""),"https://drive.google.com/open?id=QEZMqAy4SJPt3xgZCe1g")</f>
        <v>https://drive.google.com/open?id=QEZMqAy4SJPt3xgZCe1g</v>
      </c>
      <c r="M123" s="1"/>
      <c r="N123" s="1"/>
      <c r="O123" s="1"/>
      <c r="P123" s="1" t="str">
        <f ca="1">IFERROR(__xludf.DUMMYFUNCTION("""COMPUTED_VALUE"""),"Freelancer")</f>
        <v>Freelancer</v>
      </c>
      <c r="Q123" s="1">
        <f ca="1">IFERROR(__xludf.DUMMYFUNCTION("""COMPUTED_VALUE"""),5000000)</f>
        <v>5000000</v>
      </c>
      <c r="R123" s="3" t="str">
        <f ca="1">IFERROR(__xludf.DUMMYFUNCTION("""COMPUTED_VALUE"""),"https://drive.google.com/open?id=pSzVtgeaBdIDwm8aA1Hh")</f>
        <v>https://drive.google.com/open?id=pSzVtgeaBdIDwm8aA1Hh</v>
      </c>
      <c r="S123" s="1">
        <f ca="1">IFERROR(__xludf.DUMMYFUNCTION("""COMPUTED_VALUE"""),25000000)</f>
        <v>25000000</v>
      </c>
      <c r="T123" s="1" t="str">
        <f ca="1">IFERROR(__xludf.DUMMYFUNCTION("""COMPUTED_VALUE"""),"Platinum")</f>
        <v>Platinum</v>
      </c>
      <c r="U123" s="1" t="str">
        <f ca="1">IFERROR(__xludf.DUMMYFUNCTION("""COMPUTED_VALUE"""),"Online")</f>
        <v>Online</v>
      </c>
    </row>
    <row r="124" spans="1:21" x14ac:dyDescent="0.25">
      <c r="A124" s="2" t="str">
        <f ca="1">IFERROR(__xludf.DUMMYFUNCTION("""COMPUTED_VALUE"""),"APP0123")</f>
        <v>APP0123</v>
      </c>
      <c r="B124" s="2">
        <f ca="1">IFERROR(__xludf.DUMMYFUNCTION("""COMPUTED_VALUE"""),45903.7817476851)</f>
        <v>45903.781747685098</v>
      </c>
      <c r="C124" s="1" t="str">
        <f ca="1">IFERROR(__xludf.DUMMYFUNCTION("""COMPUTED_VALUE"""),"Alexander Robinson")</f>
        <v>Alexander Robinson</v>
      </c>
      <c r="D124" s="1" t="str">
        <f ca="1">IFERROR(__xludf.DUMMYFUNCTION("""COMPUTED_VALUE"""),"14/05/1983")</f>
        <v>14/05/1983</v>
      </c>
      <c r="E124" s="1" t="str">
        <f ca="1">IFERROR(__xludf.DUMMYFUNCTION("""COMPUTED_VALUE"""),"Female")</f>
        <v>Female</v>
      </c>
      <c r="F124" s="1" t="str">
        <f ca="1">IFERROR(__xludf.DUMMYFUNCTION("""COMPUTED_VALUE"""),"Other")</f>
        <v>Other</v>
      </c>
      <c r="G124" s="1" t="str">
        <f ca="1">IFERROR(__xludf.DUMMYFUNCTION("""COMPUTED_VALUE"""),"+1 453309688")</f>
        <v>+1 453309688</v>
      </c>
      <c r="H124" s="1" t="str">
        <f ca="1">IFERROR(__xludf.DUMMYFUNCTION("""COMPUTED_VALUE"""),"alexanderrobinson@gmail.com")</f>
        <v>alexanderrobinson@gmail.com</v>
      </c>
      <c r="I124" s="1" t="str">
        <f ca="1">IFERROR(__xludf.DUMMYFUNCTION("""COMPUTED_VALUE"""),"29484 Matthew Trafficway Suite 418, Jameschester, GA 41071")</f>
        <v>29484 Matthew Trafficway Suite 418, Jameschester, GA 41071</v>
      </c>
      <c r="J124" s="1"/>
      <c r="K124" s="1"/>
      <c r="L124" s="1"/>
      <c r="M124" s="1" t="str">
        <f ca="1">IFERROR(__xludf.DUMMYFUNCTION("""COMPUTED_VALUE"""),"iX573113")</f>
        <v>iX573113</v>
      </c>
      <c r="N124" s="3" t="str">
        <f ca="1">IFERROR(__xludf.DUMMYFUNCTION("""COMPUTED_VALUE"""),"https://drive.google.com/open?id=wipgKeIhWSrzR2dk6cs6")</f>
        <v>https://drive.google.com/open?id=wipgKeIhWSrzR2dk6cs6</v>
      </c>
      <c r="O124" s="3" t="str">
        <f ca="1">IFERROR(__xludf.DUMMYFUNCTION("""COMPUTED_VALUE"""),"https://drive.google.com/open?id=t15YvOzivd3nMyanxGru")</f>
        <v>https://drive.google.com/open?id=t15YvOzivd3nMyanxGru</v>
      </c>
      <c r="P124" s="1" t="str">
        <f ca="1">IFERROR(__xludf.DUMMYFUNCTION("""COMPUTED_VALUE"""),"Part-time")</f>
        <v>Part-time</v>
      </c>
      <c r="Q124" s="1">
        <f ca="1">IFERROR(__xludf.DUMMYFUNCTION("""COMPUTED_VALUE"""),8000000)</f>
        <v>8000000</v>
      </c>
      <c r="R124" s="3" t="str">
        <f ca="1">IFERROR(__xludf.DUMMYFUNCTION("""COMPUTED_VALUE"""),"https://drive.google.com/open?id=BpwwNFFzEOOmpgngXO8v")</f>
        <v>https://drive.google.com/open?id=BpwwNFFzEOOmpgngXO8v</v>
      </c>
      <c r="S124" s="1">
        <f ca="1">IFERROR(__xludf.DUMMYFUNCTION("""COMPUTED_VALUE"""),24000000)</f>
        <v>24000000</v>
      </c>
      <c r="T124" s="1" t="str">
        <f ca="1">IFERROR(__xludf.DUMMYFUNCTION("""COMPUTED_VALUE"""),"Classic")</f>
        <v>Classic</v>
      </c>
      <c r="U124" s="1" t="str">
        <f ca="1">IFERROR(__xludf.DUMMYFUNCTION("""COMPUTED_VALUE"""),"Branch")</f>
        <v>Branch</v>
      </c>
    </row>
    <row r="125" spans="1:21" x14ac:dyDescent="0.25">
      <c r="A125" s="2" t="str">
        <f ca="1">IFERROR(__xludf.DUMMYFUNCTION("""COMPUTED_VALUE"""),"APP0124")</f>
        <v>APP0124</v>
      </c>
      <c r="B125" s="2">
        <f ca="1">IFERROR(__xludf.DUMMYFUNCTION("""COMPUTED_VALUE"""),45903.8232986111)</f>
        <v>45903.823298611103</v>
      </c>
      <c r="C125" s="1" t="str">
        <f ca="1">IFERROR(__xludf.DUMMYFUNCTION("""COMPUTED_VALUE"""),"Đặng Quang Tuấn")</f>
        <v>Đặng Quang Tuấn</v>
      </c>
      <c r="D125" s="1" t="str">
        <f ca="1">IFERROR(__xludf.DUMMYFUNCTION("""COMPUTED_VALUE"""),"13/05/1992")</f>
        <v>13/05/1992</v>
      </c>
      <c r="E125" s="1" t="str">
        <f ca="1">IFERROR(__xludf.DUMMYFUNCTION("""COMPUTED_VALUE"""),"Male")</f>
        <v>Male</v>
      </c>
      <c r="F125" s="1" t="str">
        <f ca="1">IFERROR(__xludf.DUMMYFUNCTION("""COMPUTED_VALUE"""),"Vietnam")</f>
        <v>Vietnam</v>
      </c>
      <c r="G125" s="1" t="str">
        <f ca="1">IFERROR(__xludf.DUMMYFUNCTION("""COMPUTED_VALUE"""),"0889963096")</f>
        <v>0889963096</v>
      </c>
      <c r="H125" s="1" t="str">
        <f ca="1">IFERROR(__xludf.DUMMYFUNCTION("""COMPUTED_VALUE"""),"dangquangtuan@gmail.com")</f>
        <v>dangquangtuan@gmail.com</v>
      </c>
      <c r="I125" s="1" t="str">
        <f ca="1">IFERROR(__xludf.DUMMYFUNCTION("""COMPUTED_VALUE"""),"181 Le Loi, Quan 7, Can Tho, Viet Nam")</f>
        <v>181 Le Loi, Quan 7, Can Tho, Viet Nam</v>
      </c>
      <c r="J125" s="1" t="str">
        <f ca="1">IFERROR(__xludf.DUMMYFUNCTION("""COMPUTED_VALUE"""),"09334273954")</f>
        <v>09334273954</v>
      </c>
      <c r="K125" s="3" t="str">
        <f ca="1">IFERROR(__xludf.DUMMYFUNCTION("""COMPUTED_VALUE"""),"https://drive.google.com/open?id=9eydbfaOj3cl39rQcpeR")</f>
        <v>https://drive.google.com/open?id=9eydbfaOj3cl39rQcpeR</v>
      </c>
      <c r="L125" s="3" t="str">
        <f ca="1">IFERROR(__xludf.DUMMYFUNCTION("""COMPUTED_VALUE"""),"https://drive.google.com/open?id=1Yo10NKNQLrFFl0VWGXD")</f>
        <v>https://drive.google.com/open?id=1Yo10NKNQLrFFl0VWGXD</v>
      </c>
      <c r="M125" s="1"/>
      <c r="N125" s="1"/>
      <c r="O125" s="1"/>
      <c r="P125" s="1" t="str">
        <f ca="1">IFERROR(__xludf.DUMMYFUNCTION("""COMPUTED_VALUE"""),"Full-time")</f>
        <v>Full-time</v>
      </c>
      <c r="Q125" s="1">
        <f ca="1">IFERROR(__xludf.DUMMYFUNCTION("""COMPUTED_VALUE"""),5000000)</f>
        <v>5000000</v>
      </c>
      <c r="R125" s="3" t="str">
        <f ca="1">IFERROR(__xludf.DUMMYFUNCTION("""COMPUTED_VALUE"""),"https://drive.google.com/open?id=PnmqPAYZK64j9nucfyDq")</f>
        <v>https://drive.google.com/open?id=PnmqPAYZK64j9nucfyDq</v>
      </c>
      <c r="S125" s="1">
        <f ca="1">IFERROR(__xludf.DUMMYFUNCTION("""COMPUTED_VALUE"""),10000000)</f>
        <v>10000000</v>
      </c>
      <c r="T125" s="1" t="str">
        <f ca="1">IFERROR(__xludf.DUMMYFUNCTION("""COMPUTED_VALUE"""),"Gold")</f>
        <v>Gold</v>
      </c>
      <c r="U125" s="1" t="str">
        <f ca="1">IFERROR(__xludf.DUMMYFUNCTION("""COMPUTED_VALUE"""),"Branch")</f>
        <v>Branch</v>
      </c>
    </row>
    <row r="126" spans="1:21" x14ac:dyDescent="0.25">
      <c r="A126" s="2" t="str">
        <f ca="1">IFERROR(__xludf.DUMMYFUNCTION("""COMPUTED_VALUE"""),"APP0125")</f>
        <v>APP0125</v>
      </c>
      <c r="B126" s="2">
        <f ca="1">IFERROR(__xludf.DUMMYFUNCTION("""COMPUTED_VALUE"""),45903.82625)</f>
        <v>45903.826249999998</v>
      </c>
      <c r="C126" s="1" t="str">
        <f ca="1">IFERROR(__xludf.DUMMYFUNCTION("""COMPUTED_VALUE"""),"Phan Văn Vy")</f>
        <v>Phan Văn Vy</v>
      </c>
      <c r="D126" s="1" t="str">
        <f ca="1">IFERROR(__xludf.DUMMYFUNCTION("""COMPUTED_VALUE"""),"29/11/1993")</f>
        <v>29/11/1993</v>
      </c>
      <c r="E126" s="1" t="str">
        <f ca="1">IFERROR(__xludf.DUMMYFUNCTION("""COMPUTED_VALUE"""),"Male")</f>
        <v>Male</v>
      </c>
      <c r="F126" s="1" t="str">
        <f ca="1">IFERROR(__xludf.DUMMYFUNCTION("""COMPUTED_VALUE"""),"Vietnam")</f>
        <v>Vietnam</v>
      </c>
      <c r="G126" s="1" t="str">
        <f ca="1">IFERROR(__xludf.DUMMYFUNCTION("""COMPUTED_VALUE"""),"0780033837")</f>
        <v>0780033837</v>
      </c>
      <c r="H126" s="1" t="str">
        <f ca="1">IFERROR(__xludf.DUMMYFUNCTION("""COMPUTED_VALUE"""),"phanvanvy@gmail.com")</f>
        <v>phanvanvy@gmail.com</v>
      </c>
      <c r="I126" s="1" t="str">
        <f ca="1">IFERROR(__xludf.DUMMYFUNCTION("""COMPUTED_VALUE"""),"165 Pham Van Dong, Hoan Kiem, Hai Phong, Viet Nam")</f>
        <v>165 Pham Van Dong, Hoan Kiem, Hai Phong, Viet Nam</v>
      </c>
      <c r="J126" s="1" t="str">
        <f ca="1">IFERROR(__xludf.DUMMYFUNCTION("""COMPUTED_VALUE"""),"043399130804")</f>
        <v>043399130804</v>
      </c>
      <c r="K126" s="3" t="str">
        <f ca="1">IFERROR(__xludf.DUMMYFUNCTION("""COMPUTED_VALUE"""),"https://drive.google.com/open?id=w1YtWkErodhuHkKbrjdS")</f>
        <v>https://drive.google.com/open?id=w1YtWkErodhuHkKbrjdS</v>
      </c>
      <c r="L126" s="3" t="str">
        <f ca="1">IFERROR(__xludf.DUMMYFUNCTION("""COMPUTED_VALUE"""),"https://drive.google.com/open?id=aYrzEFZX6Zg4myBOBzel")</f>
        <v>https://drive.google.com/open?id=aYrzEFZX6Zg4myBOBzel</v>
      </c>
      <c r="M126" s="1"/>
      <c r="N126" s="1"/>
      <c r="O126" s="1"/>
      <c r="P126" s="1" t="str">
        <f ca="1">IFERROR(__xludf.DUMMYFUNCTION("""COMPUTED_VALUE"""),"Full-time")</f>
        <v>Full-time</v>
      </c>
      <c r="Q126" s="1">
        <f ca="1">IFERROR(__xludf.DUMMYFUNCTION("""COMPUTED_VALUE"""),8000000)</f>
        <v>8000000</v>
      </c>
      <c r="R126" s="3" t="str">
        <f ca="1">IFERROR(__xludf.DUMMYFUNCTION("""COMPUTED_VALUE"""),"https://drive.google.com/open?id=Qs3WDBArLy1HJbfWGcva")</f>
        <v>https://drive.google.com/open?id=Qs3WDBArLy1HJbfWGcva</v>
      </c>
      <c r="S126" s="1">
        <f ca="1">IFERROR(__xludf.DUMMYFUNCTION("""COMPUTED_VALUE"""),16000000)</f>
        <v>16000000</v>
      </c>
      <c r="T126" s="1" t="str">
        <f ca="1">IFERROR(__xludf.DUMMYFUNCTION("""COMPUTED_VALUE"""),"Classic")</f>
        <v>Classic</v>
      </c>
      <c r="U126" s="1" t="str">
        <f ca="1">IFERROR(__xludf.DUMMYFUNCTION("""COMPUTED_VALUE"""),"Online")</f>
        <v>Online</v>
      </c>
    </row>
    <row r="127" spans="1:21" x14ac:dyDescent="0.25">
      <c r="A127" s="2" t="str">
        <f ca="1">IFERROR(__xludf.DUMMYFUNCTION("""COMPUTED_VALUE"""),"APP0126")</f>
        <v>APP0126</v>
      </c>
      <c r="B127" s="2">
        <f ca="1">IFERROR(__xludf.DUMMYFUNCTION("""COMPUTED_VALUE"""),45903.8338541666)</f>
        <v>45903.833854166602</v>
      </c>
      <c r="C127" s="1" t="str">
        <f ca="1">IFERROR(__xludf.DUMMYFUNCTION("""COMPUTED_VALUE"""),"Phạm Ngọc Dũng")</f>
        <v>Phạm Ngọc Dũng</v>
      </c>
      <c r="D127" s="1" t="str">
        <f ca="1">IFERROR(__xludf.DUMMYFUNCTION("""COMPUTED_VALUE"""),"01/10/1994")</f>
        <v>01/10/1994</v>
      </c>
      <c r="E127" s="1" t="str">
        <f ca="1">IFERROR(__xludf.DUMMYFUNCTION("""COMPUTED_VALUE"""),"Female")</f>
        <v>Female</v>
      </c>
      <c r="F127" s="1" t="str">
        <f ca="1">IFERROR(__xludf.DUMMYFUNCTION("""COMPUTED_VALUE"""),"Vietnam")</f>
        <v>Vietnam</v>
      </c>
      <c r="G127" s="1" t="str">
        <f ca="1">IFERROR(__xludf.DUMMYFUNCTION("""COMPUTED_VALUE"""),"0955902659")</f>
        <v>0955902659</v>
      </c>
      <c r="H127" s="1" t="str">
        <f ca="1">IFERROR(__xludf.DUMMYFUNCTION("""COMPUTED_VALUE"""),"phamngocdung@gmail.com")</f>
        <v>phamngocdung@gmail.com</v>
      </c>
      <c r="I127" s="1" t="str">
        <f ca="1">IFERROR(__xludf.DUMMYFUNCTION("""COMPUTED_VALUE"""),"179 Ly Thuong Kiet, Quan 3, Ha Noi, Viet Nam")</f>
        <v>179 Ly Thuong Kiet, Quan 3, Ha Noi, Viet Nam</v>
      </c>
      <c r="J127" s="1" t="str">
        <f ca="1">IFERROR(__xludf.DUMMYFUNCTION("""COMPUTED_VALUE"""),"070449977727")</f>
        <v>070449977727</v>
      </c>
      <c r="K127" s="3" t="str">
        <f ca="1">IFERROR(__xludf.DUMMYFUNCTION("""COMPUTED_VALUE"""),"https://drive.google.com/open?id=4nnVGDOeX2OMwjsRIcSA")</f>
        <v>https://drive.google.com/open?id=4nnVGDOeX2OMwjsRIcSA</v>
      </c>
      <c r="L127" s="3" t="str">
        <f ca="1">IFERROR(__xludf.DUMMYFUNCTION("""COMPUTED_VALUE"""),"https://drive.google.com/open?id=AcTcrZ9f014nlrM03KQD")</f>
        <v>https://drive.google.com/open?id=AcTcrZ9f014nlrM03KQD</v>
      </c>
      <c r="M127" s="1"/>
      <c r="N127" s="1"/>
      <c r="O127" s="1"/>
      <c r="P127" s="1" t="str">
        <f ca="1">IFERROR(__xludf.DUMMYFUNCTION("""COMPUTED_VALUE"""),"Self-employed")</f>
        <v>Self-employed</v>
      </c>
      <c r="Q127" s="1">
        <f ca="1">IFERROR(__xludf.DUMMYFUNCTION("""COMPUTED_VALUE"""),20000000)</f>
        <v>20000000</v>
      </c>
      <c r="R127" s="3" t="str">
        <f ca="1">IFERROR(__xludf.DUMMYFUNCTION("""COMPUTED_VALUE"""),"https://drive.google.com/open?id=HyClDIEOMMYo3xxYvm0d")</f>
        <v>https://drive.google.com/open?id=HyClDIEOMMYo3xxYvm0d</v>
      </c>
      <c r="S127" s="1">
        <f ca="1">IFERROR(__xludf.DUMMYFUNCTION("""COMPUTED_VALUE"""),60000000)</f>
        <v>60000000</v>
      </c>
      <c r="T127" s="1" t="str">
        <f ca="1">IFERROR(__xludf.DUMMYFUNCTION("""COMPUTED_VALUE"""),"Classic")</f>
        <v>Classic</v>
      </c>
      <c r="U127" s="1" t="str">
        <f ca="1">IFERROR(__xludf.DUMMYFUNCTION("""COMPUTED_VALUE"""),"Online")</f>
        <v>Online</v>
      </c>
    </row>
    <row r="128" spans="1:21" x14ac:dyDescent="0.25">
      <c r="A128" s="2" t="str">
        <f ca="1">IFERROR(__xludf.DUMMYFUNCTION("""COMPUTED_VALUE"""),"APP0127")</f>
        <v>APP0127</v>
      </c>
      <c r="B128" s="2">
        <f ca="1">IFERROR(__xludf.DUMMYFUNCTION("""COMPUTED_VALUE"""),45904.0659837962)</f>
        <v>45904.065983796201</v>
      </c>
      <c r="C128" s="1" t="str">
        <f ca="1">IFERROR(__xludf.DUMMYFUNCTION("""COMPUTED_VALUE"""),"Bethany Smith")</f>
        <v>Bethany Smith</v>
      </c>
      <c r="D128" s="1" t="str">
        <f ca="1">IFERROR(__xludf.DUMMYFUNCTION("""COMPUTED_VALUE"""),"25/09/2004")</f>
        <v>25/09/2004</v>
      </c>
      <c r="E128" s="1" t="str">
        <f ca="1">IFERROR(__xludf.DUMMYFUNCTION("""COMPUTED_VALUE"""),"Male")</f>
        <v>Male</v>
      </c>
      <c r="F128" s="1" t="str">
        <f ca="1">IFERROR(__xludf.DUMMYFUNCTION("""COMPUTED_VALUE"""),"Other")</f>
        <v>Other</v>
      </c>
      <c r="G128" s="1" t="str">
        <f ca="1">IFERROR(__xludf.DUMMYFUNCTION("""COMPUTED_VALUE"""),"+33 1443841267")</f>
        <v>+33 1443841267</v>
      </c>
      <c r="H128" s="1" t="str">
        <f ca="1">IFERROR(__xludf.DUMMYFUNCTION("""COMPUTED_VALUE"""),"bethanysmith@gmail.com")</f>
        <v>bethanysmith@gmail.com</v>
      </c>
      <c r="I128" s="1" t="str">
        <f ca="1">IFERROR(__xludf.DUMMYFUNCTION("""COMPUTED_VALUE"""),"1695 Lewis Curve, North Donald, WY 69721")</f>
        <v>1695 Lewis Curve, North Donald, WY 69721</v>
      </c>
      <c r="J128" s="1"/>
      <c r="K128" s="1"/>
      <c r="L128" s="1"/>
      <c r="M128" s="1" t="str">
        <f ca="1">IFERROR(__xludf.DUMMYFUNCTION("""COMPUTED_VALUE"""),"zg503438")</f>
        <v>zg503438</v>
      </c>
      <c r="N128" s="3" t="str">
        <f ca="1">IFERROR(__xludf.DUMMYFUNCTION("""COMPUTED_VALUE"""),"https://drive.google.com/open?id=7Gc4DudmUiYdEJh87VbJ")</f>
        <v>https://drive.google.com/open?id=7Gc4DudmUiYdEJh87VbJ</v>
      </c>
      <c r="O128" s="3" t="str">
        <f ca="1">IFERROR(__xludf.DUMMYFUNCTION("""COMPUTED_VALUE"""),"https://drive.google.com/open?id=UvcJJU1mhftxsjy576Ou")</f>
        <v>https://drive.google.com/open?id=UvcJJU1mhftxsjy576Ou</v>
      </c>
      <c r="P128" s="1" t="str">
        <f ca="1">IFERROR(__xludf.DUMMYFUNCTION("""COMPUTED_VALUE"""),"Part-time")</f>
        <v>Part-time</v>
      </c>
      <c r="Q128" s="1">
        <f ca="1">IFERROR(__xludf.DUMMYFUNCTION("""COMPUTED_VALUE"""),8000000)</f>
        <v>8000000</v>
      </c>
      <c r="R128" s="3" t="str">
        <f ca="1">IFERROR(__xludf.DUMMYFUNCTION("""COMPUTED_VALUE"""),"https://drive.google.com/open?id=jlfj5q7SV8p68qrgeKLx")</f>
        <v>https://drive.google.com/open?id=jlfj5q7SV8p68qrgeKLx</v>
      </c>
      <c r="S128" s="1">
        <f ca="1">IFERROR(__xludf.DUMMYFUNCTION("""COMPUTED_VALUE"""),16000000)</f>
        <v>16000000</v>
      </c>
      <c r="T128" s="1" t="str">
        <f ca="1">IFERROR(__xludf.DUMMYFUNCTION("""COMPUTED_VALUE"""),"Platinum")</f>
        <v>Platinum</v>
      </c>
      <c r="U128" s="1" t="str">
        <f ca="1">IFERROR(__xludf.DUMMYFUNCTION("""COMPUTED_VALUE"""),"Partner")</f>
        <v>Partner</v>
      </c>
    </row>
    <row r="129" spans="1:21" x14ac:dyDescent="0.25">
      <c r="A129" s="2" t="str">
        <f ca="1">IFERROR(__xludf.DUMMYFUNCTION("""COMPUTED_VALUE"""),"APP0128")</f>
        <v>APP0128</v>
      </c>
      <c r="B129" s="2">
        <f ca="1">IFERROR(__xludf.DUMMYFUNCTION("""COMPUTED_VALUE"""),45904.0913194444)</f>
        <v>45904.0913194444</v>
      </c>
      <c r="C129" s="1" t="str">
        <f ca="1">IFERROR(__xludf.DUMMYFUNCTION("""COMPUTED_VALUE"""),"Võ Ngọc An")</f>
        <v>Võ Ngọc An</v>
      </c>
      <c r="D129" s="1" t="str">
        <f ca="1">IFERROR(__xludf.DUMMYFUNCTION("""COMPUTED_VALUE"""),"15/02/1978")</f>
        <v>15/02/1978</v>
      </c>
      <c r="E129" s="1" t="str">
        <f ca="1">IFERROR(__xludf.DUMMYFUNCTION("""COMPUTED_VALUE"""),"Male")</f>
        <v>Male</v>
      </c>
      <c r="F129" s="1" t="str">
        <f ca="1">IFERROR(__xludf.DUMMYFUNCTION("""COMPUTED_VALUE"""),"Vietnam")</f>
        <v>Vietnam</v>
      </c>
      <c r="G129" s="1" t="str">
        <f ca="1">IFERROR(__xludf.DUMMYFUNCTION("""COMPUTED_VALUE"""),"0817564997")</f>
        <v>0817564997</v>
      </c>
      <c r="H129" s="1" t="str">
        <f ca="1">IFERROR(__xludf.DUMMYFUNCTION("""COMPUTED_VALUE"""),"vongocan@gmail.com")</f>
        <v>vongocan@gmail.com</v>
      </c>
      <c r="I129" s="1" t="str">
        <f ca="1">IFERROR(__xludf.DUMMYFUNCTION("""COMPUTED_VALUE"""),"59 Tran Hung Dao, Quan 7, Da Nang, Viet Nam")</f>
        <v>59 Tran Hung Dao, Quan 7, Da Nang, Viet Nam</v>
      </c>
      <c r="J129" s="1" t="str">
        <f ca="1">IFERROR(__xludf.DUMMYFUNCTION("""COMPUTED_VALUE"""),"073556120816")</f>
        <v>073556120816</v>
      </c>
      <c r="K129" s="3" t="str">
        <f ca="1">IFERROR(__xludf.DUMMYFUNCTION("""COMPUTED_VALUE"""),"https://drive.google.com/open?id=3g3b8xjvX8myyw78h4nz")</f>
        <v>https://drive.google.com/open?id=3g3b8xjvX8myyw78h4nz</v>
      </c>
      <c r="L129" s="3" t="str">
        <f ca="1">IFERROR(__xludf.DUMMYFUNCTION("""COMPUTED_VALUE"""),"https://drive.google.com/open?id=Q1opNkNBNnGnqNsUgWrf")</f>
        <v>https://drive.google.com/open?id=Q1opNkNBNnGnqNsUgWrf</v>
      </c>
      <c r="M129" s="1"/>
      <c r="N129" s="1"/>
      <c r="O129" s="1"/>
      <c r="P129" s="1" t="str">
        <f ca="1">IFERROR(__xludf.DUMMYFUNCTION("""COMPUTED_VALUE"""),"Self-employed")</f>
        <v>Self-employed</v>
      </c>
      <c r="Q129" s="1">
        <f ca="1">IFERROR(__xludf.DUMMYFUNCTION("""COMPUTED_VALUE"""),5000000)</f>
        <v>5000000</v>
      </c>
      <c r="R129" s="3" t="str">
        <f ca="1">IFERROR(__xludf.DUMMYFUNCTION("""COMPUTED_VALUE"""),"https://drive.google.com/open?id=cdWRsNosPW7n81tw9j62")</f>
        <v>https://drive.google.com/open?id=cdWRsNosPW7n81tw9j62</v>
      </c>
      <c r="S129" s="1">
        <f ca="1">IFERROR(__xludf.DUMMYFUNCTION("""COMPUTED_VALUE"""),10000000)</f>
        <v>10000000</v>
      </c>
      <c r="T129" s="1" t="str">
        <f ca="1">IFERROR(__xludf.DUMMYFUNCTION("""COMPUTED_VALUE"""),"Classic")</f>
        <v>Classic</v>
      </c>
      <c r="U129" s="1" t="str">
        <f ca="1">IFERROR(__xludf.DUMMYFUNCTION("""COMPUTED_VALUE"""),"Branch")</f>
        <v>Branch</v>
      </c>
    </row>
    <row r="130" spans="1:21" x14ac:dyDescent="0.25">
      <c r="A130" s="2" t="str">
        <f ca="1">IFERROR(__xludf.DUMMYFUNCTION("""COMPUTED_VALUE"""),"APP0129")</f>
        <v>APP0129</v>
      </c>
      <c r="B130" s="2">
        <f ca="1">IFERROR(__xludf.DUMMYFUNCTION("""COMPUTED_VALUE"""),45904.211875)</f>
        <v>45904.211875000001</v>
      </c>
      <c r="C130" s="1" t="str">
        <f ca="1">IFERROR(__xludf.DUMMYFUNCTION("""COMPUTED_VALUE"""),"Jared Morris")</f>
        <v>Jared Morris</v>
      </c>
      <c r="D130" s="1" t="str">
        <f ca="1">IFERROR(__xludf.DUMMYFUNCTION("""COMPUTED_VALUE"""),"16/06/2007")</f>
        <v>16/06/2007</v>
      </c>
      <c r="E130" s="1" t="str">
        <f ca="1">IFERROR(__xludf.DUMMYFUNCTION("""COMPUTED_VALUE"""),"Male")</f>
        <v>Male</v>
      </c>
      <c r="F130" s="1" t="str">
        <f ca="1">IFERROR(__xludf.DUMMYFUNCTION("""COMPUTED_VALUE"""),"Other")</f>
        <v>Other</v>
      </c>
      <c r="G130" s="1" t="str">
        <f ca="1">IFERROR(__xludf.DUMMYFUNCTION("""COMPUTED_VALUE"""),"+852 738730130")</f>
        <v>+852 738730130</v>
      </c>
      <c r="H130" s="1" t="str">
        <f ca="1">IFERROR(__xludf.DUMMYFUNCTION("""COMPUTED_VALUE"""),"jaredmorris@gmail.com")</f>
        <v>jaredmorris@gmail.com</v>
      </c>
      <c r="I130" s="1" t="str">
        <f ca="1">IFERROR(__xludf.DUMMYFUNCTION("""COMPUTED_VALUE"""),"USS Armstrong, FPO AP 22329")</f>
        <v>USS Armstrong, FPO AP 22329</v>
      </c>
      <c r="J130" s="1"/>
      <c r="K130" s="1"/>
      <c r="L130" s="1"/>
      <c r="M130" s="1" t="str">
        <f ca="1">IFERROR(__xludf.DUMMYFUNCTION("""COMPUTED_VALUE"""),"Dw127684")</f>
        <v>Dw127684</v>
      </c>
      <c r="N130" s="3" t="str">
        <f ca="1">IFERROR(__xludf.DUMMYFUNCTION("""COMPUTED_VALUE"""),"https://drive.google.com/open?id=5VSCgtboqktrOxx8WwMc")</f>
        <v>https://drive.google.com/open?id=5VSCgtboqktrOxx8WwMc</v>
      </c>
      <c r="O130" s="3" t="str">
        <f ca="1">IFERROR(__xludf.DUMMYFUNCTION("""COMPUTED_VALUE"""),"https://drive.google.com/open?id=XYT8TyhY4BxmdnrTXDSK")</f>
        <v>https://drive.google.com/open?id=XYT8TyhY4BxmdnrTXDSK</v>
      </c>
      <c r="P130" s="1" t="str">
        <f ca="1">IFERROR(__xludf.DUMMYFUNCTION("""COMPUTED_VALUE"""),"Contract")</f>
        <v>Contract</v>
      </c>
      <c r="Q130" s="1">
        <f ca="1">IFERROR(__xludf.DUMMYFUNCTION("""COMPUTED_VALUE"""),5000000)</f>
        <v>5000000</v>
      </c>
      <c r="R130" s="3" t="str">
        <f ca="1">IFERROR(__xludf.DUMMYFUNCTION("""COMPUTED_VALUE"""),"https://drive.google.com/open?id=vpJMa7HvWmMeO5f5kcTF")</f>
        <v>https://drive.google.com/open?id=vpJMa7HvWmMeO5f5kcTF</v>
      </c>
      <c r="S130" s="1">
        <f ca="1">IFERROR(__xludf.DUMMYFUNCTION("""COMPUTED_VALUE"""),15000000)</f>
        <v>15000000</v>
      </c>
      <c r="T130" s="1" t="str">
        <f ca="1">IFERROR(__xludf.DUMMYFUNCTION("""COMPUTED_VALUE"""),"Classic")</f>
        <v>Classic</v>
      </c>
      <c r="U130" s="1" t="str">
        <f ca="1">IFERROR(__xludf.DUMMYFUNCTION("""COMPUTED_VALUE"""),"Online")</f>
        <v>Online</v>
      </c>
    </row>
    <row r="131" spans="1:21" x14ac:dyDescent="0.25">
      <c r="A131" s="2" t="str">
        <f ca="1">IFERROR(__xludf.DUMMYFUNCTION("""COMPUTED_VALUE"""),"APP0130")</f>
        <v>APP0130</v>
      </c>
      <c r="B131" s="2">
        <f ca="1">IFERROR(__xludf.DUMMYFUNCTION("""COMPUTED_VALUE"""),45904.2415393518)</f>
        <v>45904.241539351802</v>
      </c>
      <c r="C131" s="1" t="str">
        <f ca="1">IFERROR(__xludf.DUMMYFUNCTION("""COMPUTED_VALUE"""),"Đặng Thanh Hùng")</f>
        <v>Đặng Thanh Hùng</v>
      </c>
      <c r="D131" s="1" t="str">
        <f ca="1">IFERROR(__xludf.DUMMYFUNCTION("""COMPUTED_VALUE"""),"13/04/1974")</f>
        <v>13/04/1974</v>
      </c>
      <c r="E131" s="1" t="str">
        <f ca="1">IFERROR(__xludf.DUMMYFUNCTION("""COMPUTED_VALUE"""),"Female")</f>
        <v>Female</v>
      </c>
      <c r="F131" s="1" t="str">
        <f ca="1">IFERROR(__xludf.DUMMYFUNCTION("""COMPUTED_VALUE"""),"Vietnam")</f>
        <v>Vietnam</v>
      </c>
      <c r="G131" s="1" t="str">
        <f ca="1">IFERROR(__xludf.DUMMYFUNCTION("""COMPUTED_VALUE"""),"0995791089")</f>
        <v>0995791089</v>
      </c>
      <c r="H131" s="1" t="str">
        <f ca="1">IFERROR(__xludf.DUMMYFUNCTION("""COMPUTED_VALUE"""),"dangthanhhung@gmail.com")</f>
        <v>dangthanhhung@gmail.com</v>
      </c>
      <c r="I131" s="1" t="str">
        <f ca="1">IFERROR(__xludf.DUMMYFUNCTION("""COMPUTED_VALUE"""),"43 Ly Thuong Kiet, Hai Chau, TP Ho Chi Minh, Viet Nam")</f>
        <v>43 Ly Thuong Kiet, Hai Chau, TP Ho Chi Minh, Viet Nam</v>
      </c>
      <c r="J131" s="1" t="str">
        <f ca="1">IFERROR(__xludf.DUMMYFUNCTION("""COMPUTED_VALUE"""),"056496320736")</f>
        <v>056496320736</v>
      </c>
      <c r="K131" s="3" t="str">
        <f ca="1">IFERROR(__xludf.DUMMYFUNCTION("""COMPUTED_VALUE"""),"https://drive.google.com/open?id=t6UwZX5pkCYxdZZKbLes")</f>
        <v>https://drive.google.com/open?id=t6UwZX5pkCYxdZZKbLes</v>
      </c>
      <c r="L131" s="3" t="str">
        <f ca="1">IFERROR(__xludf.DUMMYFUNCTION("""COMPUTED_VALUE"""),"https://drive.google.com/open?id=pJD7Vh7kOwSUWDy7cv00")</f>
        <v>https://drive.google.com/open?id=pJD7Vh7kOwSUWDy7cv00</v>
      </c>
      <c r="M131" s="1"/>
      <c r="N131" s="1"/>
      <c r="O131" s="1"/>
      <c r="P131" s="1" t="str">
        <f ca="1">IFERROR(__xludf.DUMMYFUNCTION("""COMPUTED_VALUE"""),"Contract")</f>
        <v>Contract</v>
      </c>
      <c r="Q131" s="1">
        <f ca="1">IFERROR(__xludf.DUMMYFUNCTION("""COMPUTED_VALUE"""),8000000)</f>
        <v>8000000</v>
      </c>
      <c r="R131" s="3" t="str">
        <f ca="1">IFERROR(__xludf.DUMMYFUNCTION("""COMPUTED_VALUE"""),"https://drive.google.com/open?id=shaJ38RtpuvsNBJ1JTyo")</f>
        <v>https://drive.google.com/open?id=shaJ38RtpuvsNBJ1JTyo</v>
      </c>
      <c r="S131" s="1">
        <f ca="1">IFERROR(__xludf.DUMMYFUNCTION("""COMPUTED_VALUE"""),16000000)</f>
        <v>16000000</v>
      </c>
      <c r="T131" s="1" t="str">
        <f ca="1">IFERROR(__xludf.DUMMYFUNCTION("""COMPUTED_VALUE"""),"Platinum")</f>
        <v>Platinum</v>
      </c>
      <c r="U131" s="1" t="str">
        <f ca="1">IFERROR(__xludf.DUMMYFUNCTION("""COMPUTED_VALUE"""),"Branch")</f>
        <v>Branch</v>
      </c>
    </row>
    <row r="132" spans="1:21" x14ac:dyDescent="0.25">
      <c r="A132" s="2" t="str">
        <f ca="1">IFERROR(__xludf.DUMMYFUNCTION("""COMPUTED_VALUE"""),"APP0131")</f>
        <v>APP0131</v>
      </c>
      <c r="B132" s="2">
        <f ca="1">IFERROR(__xludf.DUMMYFUNCTION("""COMPUTED_VALUE"""),45904.3341898148)</f>
        <v>45904.334189814799</v>
      </c>
      <c r="C132" s="1" t="str">
        <f ca="1">IFERROR(__xludf.DUMMYFUNCTION("""COMPUTED_VALUE"""),"Huỳnh Ngọc Vy")</f>
        <v>Huỳnh Ngọc Vy</v>
      </c>
      <c r="D132" s="1" t="str">
        <f ca="1">IFERROR(__xludf.DUMMYFUNCTION("""COMPUTED_VALUE"""),"24/05/1994")</f>
        <v>24/05/1994</v>
      </c>
      <c r="E132" s="1" t="str">
        <f ca="1">IFERROR(__xludf.DUMMYFUNCTION("""COMPUTED_VALUE"""),"Female")</f>
        <v>Female</v>
      </c>
      <c r="F132" s="1" t="str">
        <f ca="1">IFERROR(__xludf.DUMMYFUNCTION("""COMPUTED_VALUE"""),"Vietnam")</f>
        <v>Vietnam</v>
      </c>
      <c r="G132" s="1" t="str">
        <f ca="1">IFERROR(__xludf.DUMMYFUNCTION("""COMPUTED_VALUE"""),"0928901068")</f>
        <v>0928901068</v>
      </c>
      <c r="H132" s="1" t="str">
        <f ca="1">IFERROR(__xludf.DUMMYFUNCTION("""COMPUTED_VALUE"""),"huynhngocvy@gmail.com")</f>
        <v>huynhngocvy@gmail.com</v>
      </c>
      <c r="I132" s="1" t="str">
        <f ca="1">IFERROR(__xludf.DUMMYFUNCTION("""COMPUTED_VALUE"""),"146 Nguyen Trai, Hai Chau, Hai Phong, Viet Nam")</f>
        <v>146 Nguyen Trai, Hai Chau, Hai Phong, Viet Nam</v>
      </c>
      <c r="J132" s="1" t="str">
        <f ca="1">IFERROR(__xludf.DUMMYFUNCTION("""COMPUTED_VALUE"""),"011501742987")</f>
        <v>011501742987</v>
      </c>
      <c r="K132" s="3" t="str">
        <f ca="1">IFERROR(__xludf.DUMMYFUNCTION("""COMPUTED_VALUE"""),"https://drive.google.com/open?id=kHgf6BC5hm3gzdpzwJ0P")</f>
        <v>https://drive.google.com/open?id=kHgf6BC5hm3gzdpzwJ0P</v>
      </c>
      <c r="L132" s="3" t="str">
        <f ca="1">IFERROR(__xludf.DUMMYFUNCTION("""COMPUTED_VALUE"""),"https://drive.google.com/open?id=AcCSU4TdF2bzBCrZtXYb")</f>
        <v>https://drive.google.com/open?id=AcCSU4TdF2bzBCrZtXYb</v>
      </c>
      <c r="M132" s="1"/>
      <c r="N132" s="1"/>
      <c r="O132" s="1"/>
      <c r="P132" s="1" t="str">
        <f ca="1">IFERROR(__xludf.DUMMYFUNCTION("""COMPUTED_VALUE"""),"Full-time")</f>
        <v>Full-time</v>
      </c>
      <c r="Q132" s="1">
        <f ca="1">IFERROR(__xludf.DUMMYFUNCTION("""COMPUTED_VALUE"""),12000000)</f>
        <v>12000000</v>
      </c>
      <c r="R132" s="3" t="str">
        <f ca="1">IFERROR(__xludf.DUMMYFUNCTION("""COMPUTED_VALUE"""),"https://drive.google.com/open?id=voJyVBO4t6qJPgzlW7dm")</f>
        <v>https://drive.google.com/open?id=voJyVBO4t6qJPgzlW7dm</v>
      </c>
      <c r="S132" s="1">
        <f ca="1">IFERROR(__xludf.DUMMYFUNCTION("""COMPUTED_VALUE"""),60000000)</f>
        <v>60000000</v>
      </c>
      <c r="T132" s="1" t="str">
        <f ca="1">IFERROR(__xludf.DUMMYFUNCTION("""COMPUTED_VALUE"""),"Gold")</f>
        <v>Gold</v>
      </c>
      <c r="U132" s="1" t="str">
        <f ca="1">IFERROR(__xludf.DUMMYFUNCTION("""COMPUTED_VALUE"""),"Online")</f>
        <v>Online</v>
      </c>
    </row>
    <row r="133" spans="1:21" x14ac:dyDescent="0.25">
      <c r="A133" s="2" t="str">
        <f ca="1">IFERROR(__xludf.DUMMYFUNCTION("""COMPUTED_VALUE"""),"APP0132")</f>
        <v>APP0132</v>
      </c>
      <c r="B133" s="2">
        <f ca="1">IFERROR(__xludf.DUMMYFUNCTION("""COMPUTED_VALUE"""),45904.3397337962)</f>
        <v>45904.339733796201</v>
      </c>
      <c r="C133" s="1" t="str">
        <f ca="1">IFERROR(__xludf.DUMMYFUNCTION("""COMPUTED_VALUE"""),"Đỗ Quang Yến")</f>
        <v>Đỗ Quang Yến</v>
      </c>
      <c r="D133" s="1" t="str">
        <f ca="1">IFERROR(__xludf.DUMMYFUNCTION("""COMPUTED_VALUE"""),"25/08/2007")</f>
        <v>25/08/2007</v>
      </c>
      <c r="E133" s="1" t="str">
        <f ca="1">IFERROR(__xludf.DUMMYFUNCTION("""COMPUTED_VALUE"""),"Male")</f>
        <v>Male</v>
      </c>
      <c r="F133" s="1" t="str">
        <f ca="1">IFERROR(__xludf.DUMMYFUNCTION("""COMPUTED_VALUE"""),"Vietnam")</f>
        <v>Vietnam</v>
      </c>
      <c r="G133" s="1" t="str">
        <f ca="1">IFERROR(__xludf.DUMMYFUNCTION("""COMPUTED_VALUE"""),"0823743953")</f>
        <v>0823743953</v>
      </c>
      <c r="H133" s="1" t="str">
        <f ca="1">IFERROR(__xludf.DUMMYFUNCTION("""COMPUTED_VALUE"""),"doquangyen@gmail.com")</f>
        <v>doquangyen@gmail.com</v>
      </c>
      <c r="I133" s="1" t="str">
        <f ca="1">IFERROR(__xludf.DUMMYFUNCTION("""COMPUTED_VALUE"""),"99 Pham Van Dong, Hoan Kiem, TP Ho Chi Minh, Viet Nam")</f>
        <v>99 Pham Van Dong, Hoan Kiem, TP Ho Chi Minh, Viet Nam</v>
      </c>
      <c r="J133" s="1" t="str">
        <f ca="1">IFERROR(__xludf.DUMMYFUNCTION("""COMPUTED_VALUE"""),"074613989697")</f>
        <v>074613989697</v>
      </c>
      <c r="K133" s="3" t="str">
        <f ca="1">IFERROR(__xludf.DUMMYFUNCTION("""COMPUTED_VALUE"""),"https://drive.google.com/open?id=3ffmpxh3fqPHWeHsPwTd")</f>
        <v>https://drive.google.com/open?id=3ffmpxh3fqPHWeHsPwTd</v>
      </c>
      <c r="L133" s="3" t="str">
        <f ca="1">IFERROR(__xludf.DUMMYFUNCTION("""COMPUTED_VALUE"""),"https://drive.google.com/open?id=sshexuJzlEjsuC7JsdgP")</f>
        <v>https://drive.google.com/open?id=sshexuJzlEjsuC7JsdgP</v>
      </c>
      <c r="M133" s="1"/>
      <c r="N133" s="1"/>
      <c r="O133" s="1"/>
      <c r="P133" s="1" t="str">
        <f ca="1">IFERROR(__xludf.DUMMYFUNCTION("""COMPUTED_VALUE"""),"Part-time")</f>
        <v>Part-time</v>
      </c>
      <c r="Q133" s="1">
        <f ca="1">IFERROR(__xludf.DUMMYFUNCTION("""COMPUTED_VALUE"""),8000000)</f>
        <v>8000000</v>
      </c>
      <c r="R133" s="3" t="str">
        <f ca="1">IFERROR(__xludf.DUMMYFUNCTION("""COMPUTED_VALUE"""),"https://drive.google.com/open?id=ONwtbalGtbWRVnD1wRP7")</f>
        <v>https://drive.google.com/open?id=ONwtbalGtbWRVnD1wRP7</v>
      </c>
      <c r="S133" s="1">
        <f ca="1">IFERROR(__xludf.DUMMYFUNCTION("""COMPUTED_VALUE"""),24000000)</f>
        <v>24000000</v>
      </c>
      <c r="T133" s="1" t="str">
        <f ca="1">IFERROR(__xludf.DUMMYFUNCTION("""COMPUTED_VALUE"""),"Gold")</f>
        <v>Gold</v>
      </c>
      <c r="U133" s="1" t="str">
        <f ca="1">IFERROR(__xludf.DUMMYFUNCTION("""COMPUTED_VALUE"""),"Partner")</f>
        <v>Partner</v>
      </c>
    </row>
    <row r="134" spans="1:21" x14ac:dyDescent="0.25">
      <c r="A134" s="2" t="str">
        <f ca="1">IFERROR(__xludf.DUMMYFUNCTION("""COMPUTED_VALUE"""),"APP0133")</f>
        <v>APP0133</v>
      </c>
      <c r="B134" s="2">
        <f ca="1">IFERROR(__xludf.DUMMYFUNCTION("""COMPUTED_VALUE"""),45904.3636574074)</f>
        <v>45904.363657407397</v>
      </c>
      <c r="C134" s="1" t="str">
        <f ca="1">IFERROR(__xludf.DUMMYFUNCTION("""COMPUTED_VALUE"""),"Nguyễn Thị Yến")</f>
        <v>Nguyễn Thị Yến</v>
      </c>
      <c r="D134" s="1" t="str">
        <f ca="1">IFERROR(__xludf.DUMMYFUNCTION("""COMPUTED_VALUE"""),"29/12/1992")</f>
        <v>29/12/1992</v>
      </c>
      <c r="E134" s="1" t="str">
        <f ca="1">IFERROR(__xludf.DUMMYFUNCTION("""COMPUTED_VALUE"""),"Female")</f>
        <v>Female</v>
      </c>
      <c r="F134" s="1" t="str">
        <f ca="1">IFERROR(__xludf.DUMMYFUNCTION("""COMPUTED_VALUE"""),"Vietnam")</f>
        <v>Vietnam</v>
      </c>
      <c r="G134" s="1" t="str">
        <f ca="1">IFERROR(__xludf.DUMMYFUNCTION("""COMPUTED_VALUE"""),"0798180085")</f>
        <v>0798180085</v>
      </c>
      <c r="H134" s="1" t="str">
        <f ca="1">IFERROR(__xludf.DUMMYFUNCTION("""COMPUTED_VALUE"""),"nguyenthiyen@gmail.com")</f>
        <v>nguyenthiyen@gmail.com</v>
      </c>
      <c r="I134" s="1" t="str">
        <f ca="1">IFERROR(__xludf.DUMMYFUNCTION("""COMPUTED_VALUE"""),"8 Pham Van Dong, Quan 1, Can Tho, Viet Nam")</f>
        <v>8 Pham Van Dong, Quan 1, Can Tho, Viet Nam</v>
      </c>
      <c r="J134" s="1" t="str">
        <f ca="1">IFERROR(__xludf.DUMMYFUNCTION("""COMPUTED_VALUE"""),"02358669445")</f>
        <v>02358669445</v>
      </c>
      <c r="K134" s="3" t="str">
        <f ca="1">IFERROR(__xludf.DUMMYFUNCTION("""COMPUTED_VALUE"""),"https://drive.google.com/open?id=hnCNOW8R2QxQ2UpXBZ3M")</f>
        <v>https://drive.google.com/open?id=hnCNOW8R2QxQ2UpXBZ3M</v>
      </c>
      <c r="L134" s="3" t="str">
        <f ca="1">IFERROR(__xludf.DUMMYFUNCTION("""COMPUTED_VALUE"""),"https://drive.google.com/open?id=xpQqRZyQrXOsPrMPSKob")</f>
        <v>https://drive.google.com/open?id=xpQqRZyQrXOsPrMPSKob</v>
      </c>
      <c r="M134" s="1"/>
      <c r="N134" s="1"/>
      <c r="O134" s="1"/>
      <c r="P134" s="1" t="str">
        <f ca="1">IFERROR(__xludf.DUMMYFUNCTION("""COMPUTED_VALUE"""),"Contract")</f>
        <v>Contract</v>
      </c>
      <c r="Q134" s="1">
        <f ca="1">IFERROR(__xludf.DUMMYFUNCTION("""COMPUTED_VALUE"""),5000000)</f>
        <v>5000000</v>
      </c>
      <c r="R134" s="3" t="str">
        <f ca="1">IFERROR(__xludf.DUMMYFUNCTION("""COMPUTED_VALUE"""),"https://drive.google.com/open?id=LHwRhEgntETw07bEpz5B")</f>
        <v>https://drive.google.com/open?id=LHwRhEgntETw07bEpz5B</v>
      </c>
      <c r="S134" s="1">
        <f ca="1">IFERROR(__xludf.DUMMYFUNCTION("""COMPUTED_VALUE"""),10000000)</f>
        <v>10000000</v>
      </c>
      <c r="T134" s="1" t="str">
        <f ca="1">IFERROR(__xludf.DUMMYFUNCTION("""COMPUTED_VALUE"""),"Gold")</f>
        <v>Gold</v>
      </c>
      <c r="U134" s="1" t="str">
        <f ca="1">IFERROR(__xludf.DUMMYFUNCTION("""COMPUTED_VALUE"""),"Online")</f>
        <v>Online</v>
      </c>
    </row>
    <row r="135" spans="1:21" x14ac:dyDescent="0.25">
      <c r="A135" s="2" t="str">
        <f ca="1">IFERROR(__xludf.DUMMYFUNCTION("""COMPUTED_VALUE"""),"APP0134")</f>
        <v>APP0134</v>
      </c>
      <c r="B135" s="2">
        <f ca="1">IFERROR(__xludf.DUMMYFUNCTION("""COMPUTED_VALUE"""),45904.3996643518)</f>
        <v>45904.399664351797</v>
      </c>
      <c r="C135" s="1" t="str">
        <f ca="1">IFERROR(__xludf.DUMMYFUNCTION("""COMPUTED_VALUE"""),"Shaun Molina")</f>
        <v>Shaun Molina</v>
      </c>
      <c r="D135" s="1" t="str">
        <f ca="1">IFERROR(__xludf.DUMMYFUNCTION("""COMPUTED_VALUE"""),"21/04/1974")</f>
        <v>21/04/1974</v>
      </c>
      <c r="E135" s="1" t="str">
        <f ca="1">IFERROR(__xludf.DUMMYFUNCTION("""COMPUTED_VALUE"""),"Female")</f>
        <v>Female</v>
      </c>
      <c r="F135" s="1" t="str">
        <f ca="1">IFERROR(__xludf.DUMMYFUNCTION("""COMPUTED_VALUE"""),"Other")</f>
        <v>Other</v>
      </c>
      <c r="G135" s="1" t="str">
        <f ca="1">IFERROR(__xludf.DUMMYFUNCTION("""COMPUTED_VALUE"""),"+44 3600834477")</f>
        <v>+44 3600834477</v>
      </c>
      <c r="H135" s="1" t="str">
        <f ca="1">IFERROR(__xludf.DUMMYFUNCTION("""COMPUTED_VALUE"""),"shaunmolina@gmail.com")</f>
        <v>shaunmolina@gmail.com</v>
      </c>
      <c r="I135" s="1" t="str">
        <f ca="1">IFERROR(__xludf.DUMMYFUNCTION("""COMPUTED_VALUE"""),"15651 Mueller Vista, East Lauraborough, NE 21455")</f>
        <v>15651 Mueller Vista, East Lauraborough, NE 21455</v>
      </c>
      <c r="J135" s="1"/>
      <c r="K135" s="1"/>
      <c r="L135" s="1"/>
      <c r="M135" s="1" t="str">
        <f ca="1">IFERROR(__xludf.DUMMYFUNCTION("""COMPUTED_VALUE"""),"Bv077811")</f>
        <v>Bv077811</v>
      </c>
      <c r="N135" s="3" t="str">
        <f ca="1">IFERROR(__xludf.DUMMYFUNCTION("""COMPUTED_VALUE"""),"https://drive.google.com/open?id=p4Gbrz6klhXiWS8FztFi")</f>
        <v>https://drive.google.com/open?id=p4Gbrz6klhXiWS8FztFi</v>
      </c>
      <c r="O135" s="3" t="str">
        <f ca="1">IFERROR(__xludf.DUMMYFUNCTION("""COMPUTED_VALUE"""),"https://drive.google.com/open?id=vy29aKH5a0OC720xWpWB")</f>
        <v>https://drive.google.com/open?id=vy29aKH5a0OC720xWpWB</v>
      </c>
      <c r="P135" s="1" t="str">
        <f ca="1">IFERROR(__xludf.DUMMYFUNCTION("""COMPUTED_VALUE"""),"Contract")</f>
        <v>Contract</v>
      </c>
      <c r="Q135" s="1">
        <f ca="1">IFERROR(__xludf.DUMMYFUNCTION("""COMPUTED_VALUE"""),20000000)</f>
        <v>20000000</v>
      </c>
      <c r="R135" s="3" t="str">
        <f ca="1">IFERROR(__xludf.DUMMYFUNCTION("""COMPUTED_VALUE"""),"https://drive.google.com/open?id=6bcCJAR1lMBBhcMgZqXw")</f>
        <v>https://drive.google.com/open?id=6bcCJAR1lMBBhcMgZqXw</v>
      </c>
      <c r="S135" s="1">
        <f ca="1">IFERROR(__xludf.DUMMYFUNCTION("""COMPUTED_VALUE"""),100000000)</f>
        <v>100000000</v>
      </c>
      <c r="T135" s="1" t="str">
        <f ca="1">IFERROR(__xludf.DUMMYFUNCTION("""COMPUTED_VALUE"""),"Gold")</f>
        <v>Gold</v>
      </c>
      <c r="U135" s="1" t="str">
        <f ca="1">IFERROR(__xludf.DUMMYFUNCTION("""COMPUTED_VALUE"""),"Online")</f>
        <v>Online</v>
      </c>
    </row>
    <row r="136" spans="1:21" x14ac:dyDescent="0.25">
      <c r="A136" s="2" t="str">
        <f ca="1">IFERROR(__xludf.DUMMYFUNCTION("""COMPUTED_VALUE"""),"APP0135")</f>
        <v>APP0135</v>
      </c>
      <c r="B136" s="2">
        <f ca="1">IFERROR(__xludf.DUMMYFUNCTION("""COMPUTED_VALUE"""),45904.4680787037)</f>
        <v>45904.4680787037</v>
      </c>
      <c r="C136" s="1" t="str">
        <f ca="1">IFERROR(__xludf.DUMMYFUNCTION("""COMPUTED_VALUE"""),"Trần Ngọc Châu")</f>
        <v>Trần Ngọc Châu</v>
      </c>
      <c r="D136" s="1" t="str">
        <f ca="1">IFERROR(__xludf.DUMMYFUNCTION("""COMPUTED_VALUE"""),"19/02/1998")</f>
        <v>19/02/1998</v>
      </c>
      <c r="E136" s="1" t="str">
        <f ca="1">IFERROR(__xludf.DUMMYFUNCTION("""COMPUTED_VALUE"""),"Female")</f>
        <v>Female</v>
      </c>
      <c r="F136" s="1" t="str">
        <f ca="1">IFERROR(__xludf.DUMMYFUNCTION("""COMPUTED_VALUE"""),"Vietnam")</f>
        <v>Vietnam</v>
      </c>
      <c r="G136" s="1" t="str">
        <f ca="1">IFERROR(__xludf.DUMMYFUNCTION("""COMPUTED_VALUE"""),"0712261069")</f>
        <v>0712261069</v>
      </c>
      <c r="H136" s="1" t="str">
        <f ca="1">IFERROR(__xludf.DUMMYFUNCTION("""COMPUTED_VALUE"""),"tranngocchau@gmail.com")</f>
        <v>tranngocchau@gmail.com</v>
      </c>
      <c r="I136" s="1" t="str">
        <f ca="1">IFERROR(__xludf.DUMMYFUNCTION("""COMPUTED_VALUE"""),"12 Tran Hung Dao, Dong Da, TP Ho Chi Minh, Viet Nam")</f>
        <v>12 Tran Hung Dao, Dong Da, TP Ho Chi Minh, Viet Nam</v>
      </c>
      <c r="J136" s="1" t="str">
        <f ca="1">IFERROR(__xludf.DUMMYFUNCTION("""COMPUTED_VALUE"""),"068760805347")</f>
        <v>068760805347</v>
      </c>
      <c r="K136" s="3" t="str">
        <f ca="1">IFERROR(__xludf.DUMMYFUNCTION("""COMPUTED_VALUE"""),"https://drive.google.com/open?id=XhuNkF03p4r4p8mdkwMS")</f>
        <v>https://drive.google.com/open?id=XhuNkF03p4r4p8mdkwMS</v>
      </c>
      <c r="L136" s="3" t="str">
        <f ca="1">IFERROR(__xludf.DUMMYFUNCTION("""COMPUTED_VALUE"""),"https://drive.google.com/open?id=QlizSKoV4tniOjOE2Xe2")</f>
        <v>https://drive.google.com/open?id=QlizSKoV4tniOjOE2Xe2</v>
      </c>
      <c r="M136" s="1"/>
      <c r="N136" s="1"/>
      <c r="O136" s="1"/>
      <c r="P136" s="1" t="str">
        <f ca="1">IFERROR(__xludf.DUMMYFUNCTION("""COMPUTED_VALUE"""),"Self-employed")</f>
        <v>Self-employed</v>
      </c>
      <c r="Q136" s="1">
        <f ca="1">IFERROR(__xludf.DUMMYFUNCTION("""COMPUTED_VALUE"""),50000000)</f>
        <v>50000000</v>
      </c>
      <c r="R136" s="3" t="str">
        <f ca="1">IFERROR(__xludf.DUMMYFUNCTION("""COMPUTED_VALUE"""),"https://drive.google.com/open?id=TZenB8Iq1a7Qu88H5zeF")</f>
        <v>https://drive.google.com/open?id=TZenB8Iq1a7Qu88H5zeF</v>
      </c>
      <c r="S136" s="1">
        <f ca="1">IFERROR(__xludf.DUMMYFUNCTION("""COMPUTED_VALUE"""),250000000)</f>
        <v>250000000</v>
      </c>
      <c r="T136" s="1" t="str">
        <f ca="1">IFERROR(__xludf.DUMMYFUNCTION("""COMPUTED_VALUE"""),"Gold")</f>
        <v>Gold</v>
      </c>
      <c r="U136" s="1" t="str">
        <f ca="1">IFERROR(__xludf.DUMMYFUNCTION("""COMPUTED_VALUE"""),"Branch")</f>
        <v>Branch</v>
      </c>
    </row>
    <row r="137" spans="1:21" x14ac:dyDescent="0.25">
      <c r="A137" s="2" t="str">
        <f ca="1">IFERROR(__xludf.DUMMYFUNCTION("""COMPUTED_VALUE"""),"APP0136")</f>
        <v>APP0136</v>
      </c>
      <c r="B137" s="2">
        <f ca="1">IFERROR(__xludf.DUMMYFUNCTION("""COMPUTED_VALUE"""),45904.5233912037)</f>
        <v>45904.5233912037</v>
      </c>
      <c r="C137" s="1" t="str">
        <f ca="1">IFERROR(__xludf.DUMMYFUNCTION("""COMPUTED_VALUE"""),"Trevor Nelson")</f>
        <v>Trevor Nelson</v>
      </c>
      <c r="D137" s="1" t="str">
        <f ca="1">IFERROR(__xludf.DUMMYFUNCTION("""COMPUTED_VALUE"""),"21/11/1969")</f>
        <v>21/11/1969</v>
      </c>
      <c r="E137" s="1" t="str">
        <f ca="1">IFERROR(__xludf.DUMMYFUNCTION("""COMPUTED_VALUE"""),"Male")</f>
        <v>Male</v>
      </c>
      <c r="F137" s="1" t="str">
        <f ca="1">IFERROR(__xludf.DUMMYFUNCTION("""COMPUTED_VALUE"""),"Other")</f>
        <v>Other</v>
      </c>
      <c r="G137" s="1" t="str">
        <f ca="1">IFERROR(__xludf.DUMMYFUNCTION("""COMPUTED_VALUE"""),"+852 5297757056")</f>
        <v>+852 5297757056</v>
      </c>
      <c r="H137" s="1" t="str">
        <f ca="1">IFERROR(__xludf.DUMMYFUNCTION("""COMPUTED_VALUE"""),"trevornelson@gmail.com")</f>
        <v>trevornelson@gmail.com</v>
      </c>
      <c r="I137" s="1" t="str">
        <f ca="1">IFERROR(__xludf.DUMMYFUNCTION("""COMPUTED_VALUE"""),"6768 Rebecca Cape, North Colin, GA 81605")</f>
        <v>6768 Rebecca Cape, North Colin, GA 81605</v>
      </c>
      <c r="J137" s="1"/>
      <c r="K137" s="1"/>
      <c r="L137" s="1"/>
      <c r="M137" s="1" t="str">
        <f ca="1">IFERROR(__xludf.DUMMYFUNCTION("""COMPUTED_VALUE"""),"mk435593")</f>
        <v>mk435593</v>
      </c>
      <c r="N137" s="3" t="str">
        <f ca="1">IFERROR(__xludf.DUMMYFUNCTION("""COMPUTED_VALUE"""),"https://drive.google.com/open?id=KF9uUVeCCbJX2iZc6pA2")</f>
        <v>https://drive.google.com/open?id=KF9uUVeCCbJX2iZc6pA2</v>
      </c>
      <c r="O137" s="3" t="str">
        <f ca="1">IFERROR(__xludf.DUMMYFUNCTION("""COMPUTED_VALUE"""),"https://drive.google.com/open?id=ezdSLvLdlNJzEnujgxfS")</f>
        <v>https://drive.google.com/open?id=ezdSLvLdlNJzEnujgxfS</v>
      </c>
      <c r="P137" s="1" t="str">
        <f ca="1">IFERROR(__xludf.DUMMYFUNCTION("""COMPUTED_VALUE"""),"Full-time")</f>
        <v>Full-time</v>
      </c>
      <c r="Q137" s="1">
        <f ca="1">IFERROR(__xludf.DUMMYFUNCTION("""COMPUTED_VALUE"""),20000000)</f>
        <v>20000000</v>
      </c>
      <c r="R137" s="3" t="str">
        <f ca="1">IFERROR(__xludf.DUMMYFUNCTION("""COMPUTED_VALUE"""),"https://drive.google.com/open?id=0Ezur2SVvT59i5jRhieq")</f>
        <v>https://drive.google.com/open?id=0Ezur2SVvT59i5jRhieq</v>
      </c>
      <c r="S137" s="1">
        <f ca="1">IFERROR(__xludf.DUMMYFUNCTION("""COMPUTED_VALUE"""),60000000)</f>
        <v>60000000</v>
      </c>
      <c r="T137" s="1" t="str">
        <f ca="1">IFERROR(__xludf.DUMMYFUNCTION("""COMPUTED_VALUE"""),"Gold")</f>
        <v>Gold</v>
      </c>
      <c r="U137" s="1" t="str">
        <f ca="1">IFERROR(__xludf.DUMMYFUNCTION("""COMPUTED_VALUE"""),"Partner")</f>
        <v>Partner</v>
      </c>
    </row>
    <row r="138" spans="1:21" x14ac:dyDescent="0.25">
      <c r="A138" s="2" t="str">
        <f ca="1">IFERROR(__xludf.DUMMYFUNCTION("""COMPUTED_VALUE"""),"APP0137")</f>
        <v>APP0137</v>
      </c>
      <c r="B138" s="2">
        <f ca="1">IFERROR(__xludf.DUMMYFUNCTION("""COMPUTED_VALUE"""),45904.6055902777)</f>
        <v>45904.605590277701</v>
      </c>
      <c r="C138" s="1" t="str">
        <f ca="1">IFERROR(__xludf.DUMMYFUNCTION("""COMPUTED_VALUE"""),"Hồ Minh Khánh")</f>
        <v>Hồ Minh Khánh</v>
      </c>
      <c r="D138" s="1" t="str">
        <f ca="1">IFERROR(__xludf.DUMMYFUNCTION("""COMPUTED_VALUE"""),"14/12/1973")</f>
        <v>14/12/1973</v>
      </c>
      <c r="E138" s="1" t="str">
        <f ca="1">IFERROR(__xludf.DUMMYFUNCTION("""COMPUTED_VALUE"""),"Male")</f>
        <v>Male</v>
      </c>
      <c r="F138" s="1" t="str">
        <f ca="1">IFERROR(__xludf.DUMMYFUNCTION("""COMPUTED_VALUE"""),"Vietnam")</f>
        <v>Vietnam</v>
      </c>
      <c r="G138" s="1" t="str">
        <f ca="1">IFERROR(__xludf.DUMMYFUNCTION("""COMPUTED_VALUE"""),"0844264860")</f>
        <v>0844264860</v>
      </c>
      <c r="H138" s="1" t="str">
        <f ca="1">IFERROR(__xludf.DUMMYFUNCTION("""COMPUTED_VALUE"""),"hominhkhanh@gmail.com")</f>
        <v>hominhkhanh@gmail.com</v>
      </c>
      <c r="I138" s="1" t="str">
        <f ca="1">IFERROR(__xludf.DUMMYFUNCTION("""COMPUTED_VALUE"""),"141 Pham Van Dong, Quan 3, Can Tho, Viet Nam")</f>
        <v>141 Pham Van Dong, Quan 3, Can Tho, Viet Nam</v>
      </c>
      <c r="J138" s="1" t="str">
        <f ca="1">IFERROR(__xludf.DUMMYFUNCTION("""COMPUTED_VALUE"""),"017905595727")</f>
        <v>017905595727</v>
      </c>
      <c r="K138" s="3" t="str">
        <f ca="1">IFERROR(__xludf.DUMMYFUNCTION("""COMPUTED_VALUE"""),"https://drive.google.com/open?id=0kjTp7tGLz331ohEaRom")</f>
        <v>https://drive.google.com/open?id=0kjTp7tGLz331ohEaRom</v>
      </c>
      <c r="L138" s="3" t="str">
        <f ca="1">IFERROR(__xludf.DUMMYFUNCTION("""COMPUTED_VALUE"""),"https://drive.google.com/open?id=18rTAt6xTLaYsEiT3Ey3")</f>
        <v>https://drive.google.com/open?id=18rTAt6xTLaYsEiT3Ey3</v>
      </c>
      <c r="M138" s="1"/>
      <c r="N138" s="1"/>
      <c r="O138" s="1"/>
      <c r="P138" s="1" t="str">
        <f ca="1">IFERROR(__xludf.DUMMYFUNCTION("""COMPUTED_VALUE"""),"Part-time")</f>
        <v>Part-time</v>
      </c>
      <c r="Q138" s="1">
        <f ca="1">IFERROR(__xludf.DUMMYFUNCTION("""COMPUTED_VALUE"""),5000000)</f>
        <v>5000000</v>
      </c>
      <c r="R138" s="3" t="str">
        <f ca="1">IFERROR(__xludf.DUMMYFUNCTION("""COMPUTED_VALUE"""),"https://drive.google.com/open?id=xXYnlhrHmeu88gcpKPhM")</f>
        <v>https://drive.google.com/open?id=xXYnlhrHmeu88gcpKPhM</v>
      </c>
      <c r="S138" s="1">
        <f ca="1">IFERROR(__xludf.DUMMYFUNCTION("""COMPUTED_VALUE"""),25000000)</f>
        <v>25000000</v>
      </c>
      <c r="T138" s="1" t="str">
        <f ca="1">IFERROR(__xludf.DUMMYFUNCTION("""COMPUTED_VALUE"""),"Classic")</f>
        <v>Classic</v>
      </c>
      <c r="U138" s="1" t="str">
        <f ca="1">IFERROR(__xludf.DUMMYFUNCTION("""COMPUTED_VALUE"""),"Branch")</f>
        <v>Branch</v>
      </c>
    </row>
    <row r="139" spans="1:21" x14ac:dyDescent="0.25">
      <c r="A139" s="2" t="str">
        <f ca="1">IFERROR(__xludf.DUMMYFUNCTION("""COMPUTED_VALUE"""),"APP0138")</f>
        <v>APP0138</v>
      </c>
      <c r="B139" s="2">
        <f ca="1">IFERROR(__xludf.DUMMYFUNCTION("""COMPUTED_VALUE"""),45904.622662037)</f>
        <v>45904.622662037</v>
      </c>
      <c r="C139" s="1" t="str">
        <f ca="1">IFERROR(__xludf.DUMMYFUNCTION("""COMPUTED_VALUE"""),"Vũ Ngọc Quỳnh")</f>
        <v>Vũ Ngọc Quỳnh</v>
      </c>
      <c r="D139" s="1" t="str">
        <f ca="1">IFERROR(__xludf.DUMMYFUNCTION("""COMPUTED_VALUE"""),"07/03/1966")</f>
        <v>07/03/1966</v>
      </c>
      <c r="E139" s="1" t="str">
        <f ca="1">IFERROR(__xludf.DUMMYFUNCTION("""COMPUTED_VALUE"""),"Male")</f>
        <v>Male</v>
      </c>
      <c r="F139" s="1" t="str">
        <f ca="1">IFERROR(__xludf.DUMMYFUNCTION("""COMPUTED_VALUE"""),"Vietnam")</f>
        <v>Vietnam</v>
      </c>
      <c r="G139" s="1" t="str">
        <f ca="1">IFERROR(__xludf.DUMMYFUNCTION("""COMPUTED_VALUE"""),"0812953489")</f>
        <v>0812953489</v>
      </c>
      <c r="H139" s="1" t="str">
        <f ca="1">IFERROR(__xludf.DUMMYFUNCTION("""COMPUTED_VALUE"""),"vungocquynh@gmail.com")</f>
        <v>vungocquynh@gmail.com</v>
      </c>
      <c r="I139" s="1" t="str">
        <f ca="1">IFERROR(__xludf.DUMMYFUNCTION("""COMPUTED_VALUE"""),"74 Nguyen Hue, Quan 3, TP Ho Chi Minh, Viet Nam")</f>
        <v>74 Nguyen Hue, Quan 3, TP Ho Chi Minh, Viet Nam</v>
      </c>
      <c r="J139" s="1" t="str">
        <f ca="1">IFERROR(__xludf.DUMMYFUNCTION("""COMPUTED_VALUE"""),"05219074525")</f>
        <v>05219074525</v>
      </c>
      <c r="K139" s="3" t="str">
        <f ca="1">IFERROR(__xludf.DUMMYFUNCTION("""COMPUTED_VALUE"""),"https://drive.google.com/open?id=r9lF1bFvjdb8MQWdIHTC")</f>
        <v>https://drive.google.com/open?id=r9lF1bFvjdb8MQWdIHTC</v>
      </c>
      <c r="L139" s="3" t="str">
        <f ca="1">IFERROR(__xludf.DUMMYFUNCTION("""COMPUTED_VALUE"""),"https://drive.google.com/open?id=jyTqqjoZ4q7SYOFxp2pa")</f>
        <v>https://drive.google.com/open?id=jyTqqjoZ4q7SYOFxp2pa</v>
      </c>
      <c r="M139" s="1"/>
      <c r="N139" s="1"/>
      <c r="O139" s="1"/>
      <c r="P139" s="1" t="str">
        <f ca="1">IFERROR(__xludf.DUMMYFUNCTION("""COMPUTED_VALUE"""),"Contract")</f>
        <v>Contract</v>
      </c>
      <c r="Q139" s="1">
        <f ca="1">IFERROR(__xludf.DUMMYFUNCTION("""COMPUTED_VALUE"""),12000000)</f>
        <v>12000000</v>
      </c>
      <c r="R139" s="3" t="str">
        <f ca="1">IFERROR(__xludf.DUMMYFUNCTION("""COMPUTED_VALUE"""),"https://drive.google.com/open?id=NHO2X4d0g707t15gvxFb")</f>
        <v>https://drive.google.com/open?id=NHO2X4d0g707t15gvxFb</v>
      </c>
      <c r="S139" s="1">
        <f ca="1">IFERROR(__xludf.DUMMYFUNCTION("""COMPUTED_VALUE"""),36000000)</f>
        <v>36000000</v>
      </c>
      <c r="T139" s="1" t="str">
        <f ca="1">IFERROR(__xludf.DUMMYFUNCTION("""COMPUTED_VALUE"""),"Classic")</f>
        <v>Classic</v>
      </c>
      <c r="U139" s="1" t="str">
        <f ca="1">IFERROR(__xludf.DUMMYFUNCTION("""COMPUTED_VALUE"""),"Partner")</f>
        <v>Partner</v>
      </c>
    </row>
    <row r="140" spans="1:21" x14ac:dyDescent="0.25">
      <c r="A140" s="2" t="str">
        <f ca="1">IFERROR(__xludf.DUMMYFUNCTION("""COMPUTED_VALUE"""),"APP0139")</f>
        <v>APP0139</v>
      </c>
      <c r="B140" s="2">
        <f ca="1">IFERROR(__xludf.DUMMYFUNCTION("""COMPUTED_VALUE"""),45904.6244907407)</f>
        <v>45904.624490740702</v>
      </c>
      <c r="C140" s="1" t="str">
        <f ca="1">IFERROR(__xludf.DUMMYFUNCTION("""COMPUTED_VALUE"""),"Ngô Thanh Nam")</f>
        <v>Ngô Thanh Nam</v>
      </c>
      <c r="D140" s="1" t="str">
        <f ca="1">IFERROR(__xludf.DUMMYFUNCTION("""COMPUTED_VALUE"""),"19/07/1979")</f>
        <v>19/07/1979</v>
      </c>
      <c r="E140" s="1" t="str">
        <f ca="1">IFERROR(__xludf.DUMMYFUNCTION("""COMPUTED_VALUE"""),"Female")</f>
        <v>Female</v>
      </c>
      <c r="F140" s="1" t="str">
        <f ca="1">IFERROR(__xludf.DUMMYFUNCTION("""COMPUTED_VALUE"""),"Vietnam")</f>
        <v>Vietnam</v>
      </c>
      <c r="G140" s="1" t="str">
        <f ca="1">IFERROR(__xludf.DUMMYFUNCTION("""COMPUTED_VALUE"""),"0956179854")</f>
        <v>0956179854</v>
      </c>
      <c r="H140" s="1" t="str">
        <f ca="1">IFERROR(__xludf.DUMMYFUNCTION("""COMPUTED_VALUE"""),"ngothanhnam@gmail.com")</f>
        <v>ngothanhnam@gmail.com</v>
      </c>
      <c r="I140" s="1" t="str">
        <f ca="1">IFERROR(__xludf.DUMMYFUNCTION("""COMPUTED_VALUE"""),"197 Nguyen Hue, Hoan Kiem, Hai Phong, Viet Nam")</f>
        <v>197 Nguyen Hue, Hoan Kiem, Hai Phong, Viet Nam</v>
      </c>
      <c r="J140" s="1" t="str">
        <f ca="1">IFERROR(__xludf.DUMMYFUNCTION("""COMPUTED_VALUE"""),"037363309584")</f>
        <v>037363309584</v>
      </c>
      <c r="K140" s="3" t="str">
        <f ca="1">IFERROR(__xludf.DUMMYFUNCTION("""COMPUTED_VALUE"""),"https://drive.google.com/open?id=YrmNKPKSmQza0abLYAXm")</f>
        <v>https://drive.google.com/open?id=YrmNKPKSmQza0abLYAXm</v>
      </c>
      <c r="L140" s="3" t="str">
        <f ca="1">IFERROR(__xludf.DUMMYFUNCTION("""COMPUTED_VALUE"""),"https://drive.google.com/open?id=XTfij5wxrb0uPdQc4Vv6")</f>
        <v>https://drive.google.com/open?id=XTfij5wxrb0uPdQc4Vv6</v>
      </c>
      <c r="M140" s="1"/>
      <c r="N140" s="1"/>
      <c r="O140" s="1"/>
      <c r="P140" s="1" t="str">
        <f ca="1">IFERROR(__xludf.DUMMYFUNCTION("""COMPUTED_VALUE"""),"Part-time")</f>
        <v>Part-time</v>
      </c>
      <c r="Q140" s="1">
        <f ca="1">IFERROR(__xludf.DUMMYFUNCTION("""COMPUTED_VALUE"""),8000000)</f>
        <v>8000000</v>
      </c>
      <c r="R140" s="3" t="str">
        <f ca="1">IFERROR(__xludf.DUMMYFUNCTION("""COMPUTED_VALUE"""),"https://drive.google.com/open?id=LzvZmRDpEwGyz2FK0yOt")</f>
        <v>https://drive.google.com/open?id=LzvZmRDpEwGyz2FK0yOt</v>
      </c>
      <c r="S140" s="1">
        <f ca="1">IFERROR(__xludf.DUMMYFUNCTION("""COMPUTED_VALUE"""),16000000)</f>
        <v>16000000</v>
      </c>
      <c r="T140" s="1" t="str">
        <f ca="1">IFERROR(__xludf.DUMMYFUNCTION("""COMPUTED_VALUE"""),"Platinum")</f>
        <v>Platinum</v>
      </c>
      <c r="U140" s="1" t="str">
        <f ca="1">IFERROR(__xludf.DUMMYFUNCTION("""COMPUTED_VALUE"""),"Branch")</f>
        <v>Branch</v>
      </c>
    </row>
    <row r="141" spans="1:21" x14ac:dyDescent="0.25">
      <c r="A141" s="2" t="str">
        <f ca="1">IFERROR(__xludf.DUMMYFUNCTION("""COMPUTED_VALUE"""),"APP0140")</f>
        <v>APP0140</v>
      </c>
      <c r="B141" s="2">
        <f ca="1">IFERROR(__xludf.DUMMYFUNCTION("""COMPUTED_VALUE"""),45904.635636574)</f>
        <v>45904.635636573999</v>
      </c>
      <c r="C141" s="1" t="str">
        <f ca="1">IFERROR(__xludf.DUMMYFUNCTION("""COMPUTED_VALUE"""),"Nguyễn Quang Vy")</f>
        <v>Nguyễn Quang Vy</v>
      </c>
      <c r="D141" s="1" t="str">
        <f ca="1">IFERROR(__xludf.DUMMYFUNCTION("""COMPUTED_VALUE"""),"10/05/2002")</f>
        <v>10/05/2002</v>
      </c>
      <c r="E141" s="1" t="str">
        <f ca="1">IFERROR(__xludf.DUMMYFUNCTION("""COMPUTED_VALUE"""),"Female")</f>
        <v>Female</v>
      </c>
      <c r="F141" s="1" t="str">
        <f ca="1">IFERROR(__xludf.DUMMYFUNCTION("""COMPUTED_VALUE"""),"Vietnam")</f>
        <v>Vietnam</v>
      </c>
      <c r="G141" s="1" t="str">
        <f ca="1">IFERROR(__xludf.DUMMYFUNCTION("""COMPUTED_VALUE"""),"0770582901")</f>
        <v>0770582901</v>
      </c>
      <c r="H141" s="1" t="str">
        <f ca="1">IFERROR(__xludf.DUMMYFUNCTION("""COMPUTED_VALUE"""),"nguyenquangvy@gmail.com")</f>
        <v>nguyenquangvy@gmail.com</v>
      </c>
      <c r="I141" s="1" t="str">
        <f ca="1">IFERROR(__xludf.DUMMYFUNCTION("""COMPUTED_VALUE"""),"130 Nguyen Hue, Quan 1, Da Nang, Viet Nam")</f>
        <v>130 Nguyen Hue, Quan 1, Da Nang, Viet Nam</v>
      </c>
      <c r="J141" s="1" t="str">
        <f ca="1">IFERROR(__xludf.DUMMYFUNCTION("""COMPUTED_VALUE"""),"04141471868")</f>
        <v>04141471868</v>
      </c>
      <c r="K141" s="3" t="str">
        <f ca="1">IFERROR(__xludf.DUMMYFUNCTION("""COMPUTED_VALUE"""),"https://drive.google.com/open?id=hgat4R2WyvZPGvx4YXRP")</f>
        <v>https://drive.google.com/open?id=hgat4R2WyvZPGvx4YXRP</v>
      </c>
      <c r="L141" s="3" t="str">
        <f ca="1">IFERROR(__xludf.DUMMYFUNCTION("""COMPUTED_VALUE"""),"https://drive.google.com/open?id=SIIk7Ulo4JTVsozYvHco")</f>
        <v>https://drive.google.com/open?id=SIIk7Ulo4JTVsozYvHco</v>
      </c>
      <c r="M141" s="1"/>
      <c r="N141" s="1"/>
      <c r="O141" s="1"/>
      <c r="P141" s="1" t="str">
        <f ca="1">IFERROR(__xludf.DUMMYFUNCTION("""COMPUTED_VALUE"""),"Part-time")</f>
        <v>Part-time</v>
      </c>
      <c r="Q141" s="1">
        <f ca="1">IFERROR(__xludf.DUMMYFUNCTION("""COMPUTED_VALUE"""),5000000)</f>
        <v>5000000</v>
      </c>
      <c r="R141" s="3" t="str">
        <f ca="1">IFERROR(__xludf.DUMMYFUNCTION("""COMPUTED_VALUE"""),"https://drive.google.com/open?id=rHhU5Elco4kKBowQT9Q3")</f>
        <v>https://drive.google.com/open?id=rHhU5Elco4kKBowQT9Q3</v>
      </c>
      <c r="S141" s="1">
        <f ca="1">IFERROR(__xludf.DUMMYFUNCTION("""COMPUTED_VALUE"""),10000000)</f>
        <v>10000000</v>
      </c>
      <c r="T141" s="1" t="str">
        <f ca="1">IFERROR(__xludf.DUMMYFUNCTION("""COMPUTED_VALUE"""),"Platinum")</f>
        <v>Platinum</v>
      </c>
      <c r="U141" s="1" t="str">
        <f ca="1">IFERROR(__xludf.DUMMYFUNCTION("""COMPUTED_VALUE"""),"Partner")</f>
        <v>Partner</v>
      </c>
    </row>
    <row r="142" spans="1:21" x14ac:dyDescent="0.25">
      <c r="A142" s="2" t="str">
        <f ca="1">IFERROR(__xludf.DUMMYFUNCTION("""COMPUTED_VALUE"""),"APP0141")</f>
        <v>APP0141</v>
      </c>
      <c r="B142" s="2">
        <f ca="1">IFERROR(__xludf.DUMMYFUNCTION("""COMPUTED_VALUE"""),45904.6940162037)</f>
        <v>45904.694016203699</v>
      </c>
      <c r="C142" s="1" t="str">
        <f ca="1">IFERROR(__xludf.DUMMYFUNCTION("""COMPUTED_VALUE"""),"Dương Văn Giang")</f>
        <v>Dương Văn Giang</v>
      </c>
      <c r="D142" s="1" t="str">
        <f ca="1">IFERROR(__xludf.DUMMYFUNCTION("""COMPUTED_VALUE"""),"13/07/1990")</f>
        <v>13/07/1990</v>
      </c>
      <c r="E142" s="1" t="str">
        <f ca="1">IFERROR(__xludf.DUMMYFUNCTION("""COMPUTED_VALUE"""),"Female")</f>
        <v>Female</v>
      </c>
      <c r="F142" s="1" t="str">
        <f ca="1">IFERROR(__xludf.DUMMYFUNCTION("""COMPUTED_VALUE"""),"Vietnam")</f>
        <v>Vietnam</v>
      </c>
      <c r="G142" s="1" t="str">
        <f ca="1">IFERROR(__xludf.DUMMYFUNCTION("""COMPUTED_VALUE"""),"0933076304")</f>
        <v>0933076304</v>
      </c>
      <c r="H142" s="1" t="str">
        <f ca="1">IFERROR(__xludf.DUMMYFUNCTION("""COMPUTED_VALUE"""),"duongvangiang@gmail.com")</f>
        <v>duongvangiang@gmail.com</v>
      </c>
      <c r="I142" s="1" t="str">
        <f ca="1">IFERROR(__xludf.DUMMYFUNCTION("""COMPUTED_VALUE"""),"40 Ly Thuong Kiet, Hoan Kiem, Hai Phong, Viet Nam")</f>
        <v>40 Ly Thuong Kiet, Hoan Kiem, Hai Phong, Viet Nam</v>
      </c>
      <c r="J142" s="1" t="str">
        <f ca="1">IFERROR(__xludf.DUMMYFUNCTION("""COMPUTED_VALUE"""),"059849648696")</f>
        <v>059849648696</v>
      </c>
      <c r="K142" s="3" t="str">
        <f ca="1">IFERROR(__xludf.DUMMYFUNCTION("""COMPUTED_VALUE"""),"https://drive.google.com/open?id=buq3HdtdcvsFTprTUbfc")</f>
        <v>https://drive.google.com/open?id=buq3HdtdcvsFTprTUbfc</v>
      </c>
      <c r="L142" s="3" t="str">
        <f ca="1">IFERROR(__xludf.DUMMYFUNCTION("""COMPUTED_VALUE"""),"https://drive.google.com/open?id=fgsCyfaXUmuk7zUhVxiW")</f>
        <v>https://drive.google.com/open?id=fgsCyfaXUmuk7zUhVxiW</v>
      </c>
      <c r="M142" s="1"/>
      <c r="N142" s="1"/>
      <c r="O142" s="1"/>
      <c r="P142" s="1" t="str">
        <f ca="1">IFERROR(__xludf.DUMMYFUNCTION("""COMPUTED_VALUE"""),"Freelancer")</f>
        <v>Freelancer</v>
      </c>
      <c r="Q142" s="1">
        <f ca="1">IFERROR(__xludf.DUMMYFUNCTION("""COMPUTED_VALUE"""),8000000)</f>
        <v>8000000</v>
      </c>
      <c r="R142" s="3" t="str">
        <f ca="1">IFERROR(__xludf.DUMMYFUNCTION("""COMPUTED_VALUE"""),"https://drive.google.com/open?id=tRHwooXjZuBrGubGQe51")</f>
        <v>https://drive.google.com/open?id=tRHwooXjZuBrGubGQe51</v>
      </c>
      <c r="S142" s="1">
        <f ca="1">IFERROR(__xludf.DUMMYFUNCTION("""COMPUTED_VALUE"""),24000000)</f>
        <v>24000000</v>
      </c>
      <c r="T142" s="1" t="str">
        <f ca="1">IFERROR(__xludf.DUMMYFUNCTION("""COMPUTED_VALUE"""),"Platinum")</f>
        <v>Platinum</v>
      </c>
      <c r="U142" s="1" t="str">
        <f ca="1">IFERROR(__xludf.DUMMYFUNCTION("""COMPUTED_VALUE"""),"Partner")</f>
        <v>Partner</v>
      </c>
    </row>
    <row r="143" spans="1:21" x14ac:dyDescent="0.25">
      <c r="A143" s="2" t="str">
        <f ca="1">IFERROR(__xludf.DUMMYFUNCTION("""COMPUTED_VALUE"""),"APP0142")</f>
        <v>APP0142</v>
      </c>
      <c r="B143" s="2">
        <f ca="1">IFERROR(__xludf.DUMMYFUNCTION("""COMPUTED_VALUE"""),45904.7991666666)</f>
        <v>45904.799166666598</v>
      </c>
      <c r="C143" s="1" t="str">
        <f ca="1">IFERROR(__xludf.DUMMYFUNCTION("""COMPUTED_VALUE"""),"Phạm Thị Vy")</f>
        <v>Phạm Thị Vy</v>
      </c>
      <c r="D143" s="1" t="str">
        <f ca="1">IFERROR(__xludf.DUMMYFUNCTION("""COMPUTED_VALUE"""),"16/11/1968")</f>
        <v>16/11/1968</v>
      </c>
      <c r="E143" s="1" t="str">
        <f ca="1">IFERROR(__xludf.DUMMYFUNCTION("""COMPUTED_VALUE"""),"Male")</f>
        <v>Male</v>
      </c>
      <c r="F143" s="1" t="str">
        <f ca="1">IFERROR(__xludf.DUMMYFUNCTION("""COMPUTED_VALUE"""),"Vietnam")</f>
        <v>Vietnam</v>
      </c>
      <c r="G143" s="1" t="str">
        <f ca="1">IFERROR(__xludf.DUMMYFUNCTION("""COMPUTED_VALUE"""),"0817694031")</f>
        <v>0817694031</v>
      </c>
      <c r="H143" s="1" t="str">
        <f ca="1">IFERROR(__xludf.DUMMYFUNCTION("""COMPUTED_VALUE"""),"phamthivy@gmail.com")</f>
        <v>phamthivy@gmail.com</v>
      </c>
      <c r="I143" s="1" t="str">
        <f ca="1">IFERROR(__xludf.DUMMYFUNCTION("""COMPUTED_VALUE"""),"42 Nguyen Hue, Hai Chau, Da Nang, Viet Nam")</f>
        <v>42 Nguyen Hue, Hai Chau, Da Nang, Viet Nam</v>
      </c>
      <c r="J143" s="1" t="str">
        <f ca="1">IFERROR(__xludf.DUMMYFUNCTION("""COMPUTED_VALUE"""),"076596627769")</f>
        <v>076596627769</v>
      </c>
      <c r="K143" s="3" t="str">
        <f ca="1">IFERROR(__xludf.DUMMYFUNCTION("""COMPUTED_VALUE"""),"https://drive.google.com/open?id=6TrlXa8JJirfLYqU5OP3")</f>
        <v>https://drive.google.com/open?id=6TrlXa8JJirfLYqU5OP3</v>
      </c>
      <c r="L143" s="3" t="str">
        <f ca="1">IFERROR(__xludf.DUMMYFUNCTION("""COMPUTED_VALUE"""),"https://drive.google.com/open?id=z81OIpoCySrov8NNUZnu")</f>
        <v>https://drive.google.com/open?id=z81OIpoCySrov8NNUZnu</v>
      </c>
      <c r="M143" s="1"/>
      <c r="N143" s="1"/>
      <c r="O143" s="1"/>
      <c r="P143" s="1" t="str">
        <f ca="1">IFERROR(__xludf.DUMMYFUNCTION("""COMPUTED_VALUE"""),"Contract")</f>
        <v>Contract</v>
      </c>
      <c r="Q143" s="1">
        <f ca="1">IFERROR(__xludf.DUMMYFUNCTION("""COMPUTED_VALUE"""),8000000)</f>
        <v>8000000</v>
      </c>
      <c r="R143" s="3" t="str">
        <f ca="1">IFERROR(__xludf.DUMMYFUNCTION("""COMPUTED_VALUE"""),"https://drive.google.com/open?id=F1SzBAfWZQeLpg8C8NeG")</f>
        <v>https://drive.google.com/open?id=F1SzBAfWZQeLpg8C8NeG</v>
      </c>
      <c r="S143" s="1">
        <f ca="1">IFERROR(__xludf.DUMMYFUNCTION("""COMPUTED_VALUE"""),16000000)</f>
        <v>16000000</v>
      </c>
      <c r="T143" s="1" t="str">
        <f ca="1">IFERROR(__xludf.DUMMYFUNCTION("""COMPUTED_VALUE"""),"Gold")</f>
        <v>Gold</v>
      </c>
      <c r="U143" s="1" t="str">
        <f ca="1">IFERROR(__xludf.DUMMYFUNCTION("""COMPUTED_VALUE"""),"Branch")</f>
        <v>Branch</v>
      </c>
    </row>
    <row r="144" spans="1:21" x14ac:dyDescent="0.25">
      <c r="A144" s="2" t="str">
        <f ca="1">IFERROR(__xludf.DUMMYFUNCTION("""COMPUTED_VALUE"""),"APP0143")</f>
        <v>APP0143</v>
      </c>
      <c r="B144" s="2">
        <f ca="1">IFERROR(__xludf.DUMMYFUNCTION("""COMPUTED_VALUE"""),45904.9066782407)</f>
        <v>45904.906678240703</v>
      </c>
      <c r="C144" s="1" t="str">
        <f ca="1">IFERROR(__xludf.DUMMYFUNCTION("""COMPUTED_VALUE"""),"Phan Đức An")</f>
        <v>Phan Đức An</v>
      </c>
      <c r="D144" s="1" t="str">
        <f ca="1">IFERROR(__xludf.DUMMYFUNCTION("""COMPUTED_VALUE"""),"15/02/1992")</f>
        <v>15/02/1992</v>
      </c>
      <c r="E144" s="1" t="str">
        <f ca="1">IFERROR(__xludf.DUMMYFUNCTION("""COMPUTED_VALUE"""),"Male")</f>
        <v>Male</v>
      </c>
      <c r="F144" s="1" t="str">
        <f ca="1">IFERROR(__xludf.DUMMYFUNCTION("""COMPUTED_VALUE"""),"Vietnam")</f>
        <v>Vietnam</v>
      </c>
      <c r="G144" s="1" t="str">
        <f ca="1">IFERROR(__xludf.DUMMYFUNCTION("""COMPUTED_VALUE"""),"0758519747")</f>
        <v>0758519747</v>
      </c>
      <c r="H144" s="1" t="str">
        <f ca="1">IFERROR(__xludf.DUMMYFUNCTION("""COMPUTED_VALUE"""),"phanducan@gmail.com")</f>
        <v>phanducan@gmail.com</v>
      </c>
      <c r="I144" s="1" t="str">
        <f ca="1">IFERROR(__xludf.DUMMYFUNCTION("""COMPUTED_VALUE"""),"61 Tran Hung Dao, Dong Da, TP Ho Chi Minh, Viet Nam")</f>
        <v>61 Tran Hung Dao, Dong Da, TP Ho Chi Minh, Viet Nam</v>
      </c>
      <c r="J144" s="1" t="str">
        <f ca="1">IFERROR(__xludf.DUMMYFUNCTION("""COMPUTED_VALUE"""),"088739939667")</f>
        <v>088739939667</v>
      </c>
      <c r="K144" s="3" t="str">
        <f ca="1">IFERROR(__xludf.DUMMYFUNCTION("""COMPUTED_VALUE"""),"https://drive.google.com/open?id=rnsKTYaUhC3Gvhn4yg6m")</f>
        <v>https://drive.google.com/open?id=rnsKTYaUhC3Gvhn4yg6m</v>
      </c>
      <c r="L144" s="3" t="str">
        <f ca="1">IFERROR(__xludf.DUMMYFUNCTION("""COMPUTED_VALUE"""),"https://drive.google.com/open?id=tVuToTSr2NBz1n5Micef")</f>
        <v>https://drive.google.com/open?id=tVuToTSr2NBz1n5Micef</v>
      </c>
      <c r="M144" s="1"/>
      <c r="N144" s="1"/>
      <c r="O144" s="1"/>
      <c r="P144" s="1" t="str">
        <f ca="1">IFERROR(__xludf.DUMMYFUNCTION("""COMPUTED_VALUE"""),"Contract")</f>
        <v>Contract</v>
      </c>
      <c r="Q144" s="1">
        <f ca="1">IFERROR(__xludf.DUMMYFUNCTION("""COMPUTED_VALUE"""),5000000)</f>
        <v>5000000</v>
      </c>
      <c r="R144" s="3" t="str">
        <f ca="1">IFERROR(__xludf.DUMMYFUNCTION("""COMPUTED_VALUE"""),"https://drive.google.com/open?id=H2115nJSi9xc1mWT7jCw")</f>
        <v>https://drive.google.com/open?id=H2115nJSi9xc1mWT7jCw</v>
      </c>
      <c r="S144" s="1">
        <f ca="1">IFERROR(__xludf.DUMMYFUNCTION("""COMPUTED_VALUE"""),25000000)</f>
        <v>25000000</v>
      </c>
      <c r="T144" s="1" t="str">
        <f ca="1">IFERROR(__xludf.DUMMYFUNCTION("""COMPUTED_VALUE"""),"Gold")</f>
        <v>Gold</v>
      </c>
      <c r="U144" s="1" t="str">
        <f ca="1">IFERROR(__xludf.DUMMYFUNCTION("""COMPUTED_VALUE"""),"Online")</f>
        <v>Online</v>
      </c>
    </row>
    <row r="145" spans="1:21" x14ac:dyDescent="0.25">
      <c r="A145" s="2" t="str">
        <f ca="1">IFERROR(__xludf.DUMMYFUNCTION("""COMPUTED_VALUE"""),"APP0144")</f>
        <v>APP0144</v>
      </c>
      <c r="B145" s="2">
        <f ca="1">IFERROR(__xludf.DUMMYFUNCTION("""COMPUTED_VALUE"""),45904.9986574074)</f>
        <v>45904.998657407399</v>
      </c>
      <c r="C145" s="1" t="str">
        <f ca="1">IFERROR(__xludf.DUMMYFUNCTION("""COMPUTED_VALUE"""),"Phạm Minh Hùng")</f>
        <v>Phạm Minh Hùng</v>
      </c>
      <c r="D145" s="1" t="str">
        <f ca="1">IFERROR(__xludf.DUMMYFUNCTION("""COMPUTED_VALUE"""),"24/05/1983")</f>
        <v>24/05/1983</v>
      </c>
      <c r="E145" s="1" t="str">
        <f ca="1">IFERROR(__xludf.DUMMYFUNCTION("""COMPUTED_VALUE"""),"Male")</f>
        <v>Male</v>
      </c>
      <c r="F145" s="1" t="str">
        <f ca="1">IFERROR(__xludf.DUMMYFUNCTION("""COMPUTED_VALUE"""),"Vietnam")</f>
        <v>Vietnam</v>
      </c>
      <c r="G145" s="1" t="str">
        <f ca="1">IFERROR(__xludf.DUMMYFUNCTION("""COMPUTED_VALUE"""),"0875737241")</f>
        <v>0875737241</v>
      </c>
      <c r="H145" s="1" t="str">
        <f ca="1">IFERROR(__xludf.DUMMYFUNCTION("""COMPUTED_VALUE"""),"phamminhhung@gmail.com")</f>
        <v>phamminhhung@gmail.com</v>
      </c>
      <c r="I145" s="1" t="str">
        <f ca="1">IFERROR(__xludf.DUMMYFUNCTION("""COMPUTED_VALUE"""),"82 Tran Hung Dao, Quan 7, TP Ho Chi Minh, Viet Nam")</f>
        <v>82 Tran Hung Dao, Quan 7, TP Ho Chi Minh, Viet Nam</v>
      </c>
      <c r="J145" s="1" t="str">
        <f ca="1">IFERROR(__xludf.DUMMYFUNCTION("""COMPUTED_VALUE"""),"099452369881")</f>
        <v>099452369881</v>
      </c>
      <c r="K145" s="3" t="str">
        <f ca="1">IFERROR(__xludf.DUMMYFUNCTION("""COMPUTED_VALUE"""),"https://drive.google.com/open?id=baAmKUJM7qDYEcvQc1O1")</f>
        <v>https://drive.google.com/open?id=baAmKUJM7qDYEcvQc1O1</v>
      </c>
      <c r="L145" s="3" t="str">
        <f ca="1">IFERROR(__xludf.DUMMYFUNCTION("""COMPUTED_VALUE"""),"https://drive.google.com/open?id=HAov8cHGV76X779ixmTg")</f>
        <v>https://drive.google.com/open?id=HAov8cHGV76X779ixmTg</v>
      </c>
      <c r="M145" s="1"/>
      <c r="N145" s="1"/>
      <c r="O145" s="1"/>
      <c r="P145" s="1" t="str">
        <f ca="1">IFERROR(__xludf.DUMMYFUNCTION("""COMPUTED_VALUE"""),"Part-time")</f>
        <v>Part-time</v>
      </c>
      <c r="Q145" s="1">
        <f ca="1">IFERROR(__xludf.DUMMYFUNCTION("""COMPUTED_VALUE"""),8000000)</f>
        <v>8000000</v>
      </c>
      <c r="R145" s="3" t="str">
        <f ca="1">IFERROR(__xludf.DUMMYFUNCTION("""COMPUTED_VALUE"""),"https://drive.google.com/open?id=7GZBtiWJBjJ9WVlRplXD")</f>
        <v>https://drive.google.com/open?id=7GZBtiWJBjJ9WVlRplXD</v>
      </c>
      <c r="S145" s="1">
        <f ca="1">IFERROR(__xludf.DUMMYFUNCTION("""COMPUTED_VALUE"""),24000000)</f>
        <v>24000000</v>
      </c>
      <c r="T145" s="1" t="str">
        <f ca="1">IFERROR(__xludf.DUMMYFUNCTION("""COMPUTED_VALUE"""),"Classic")</f>
        <v>Classic</v>
      </c>
      <c r="U145" s="1" t="str">
        <f ca="1">IFERROR(__xludf.DUMMYFUNCTION("""COMPUTED_VALUE"""),"Partner")</f>
        <v>Partner</v>
      </c>
    </row>
    <row r="146" spans="1:21" x14ac:dyDescent="0.25">
      <c r="A146" s="2" t="str">
        <f ca="1">IFERROR(__xludf.DUMMYFUNCTION("""COMPUTED_VALUE"""),"APP0145")</f>
        <v>APP0145</v>
      </c>
      <c r="B146" s="2">
        <f ca="1">IFERROR(__xludf.DUMMYFUNCTION("""COMPUTED_VALUE"""),45905.0402083333)</f>
        <v>45905.040208333303</v>
      </c>
      <c r="C146" s="1" t="str">
        <f ca="1">IFERROR(__xludf.DUMMYFUNCTION("""COMPUTED_VALUE"""),"James Williams")</f>
        <v>James Williams</v>
      </c>
      <c r="D146" s="1" t="str">
        <f ca="1">IFERROR(__xludf.DUMMYFUNCTION("""COMPUTED_VALUE"""),"13/07/1965")</f>
        <v>13/07/1965</v>
      </c>
      <c r="E146" s="1" t="str">
        <f ca="1">IFERROR(__xludf.DUMMYFUNCTION("""COMPUTED_VALUE"""),"Female")</f>
        <v>Female</v>
      </c>
      <c r="F146" s="1" t="str">
        <f ca="1">IFERROR(__xludf.DUMMYFUNCTION("""COMPUTED_VALUE"""),"Other")</f>
        <v>Other</v>
      </c>
      <c r="G146" s="1" t="str">
        <f ca="1">IFERROR(__xludf.DUMMYFUNCTION("""COMPUTED_VALUE"""),"+65 5764021037")</f>
        <v>+65 5764021037</v>
      </c>
      <c r="H146" s="1" t="str">
        <f ca="1">IFERROR(__xludf.DUMMYFUNCTION("""COMPUTED_VALUE"""),"jameswilliams@gmail.com")</f>
        <v>jameswilliams@gmail.com</v>
      </c>
      <c r="I146" s="1" t="str">
        <f ca="1">IFERROR(__xludf.DUMMYFUNCTION("""COMPUTED_VALUE"""),"668 Jones Tunnel, Gonzalezfort, PW 96201")</f>
        <v>668 Jones Tunnel, Gonzalezfort, PW 96201</v>
      </c>
      <c r="J146" s="1"/>
      <c r="K146" s="1"/>
      <c r="L146" s="1"/>
      <c r="M146" s="1" t="str">
        <f ca="1">IFERROR(__xludf.DUMMYFUNCTION("""COMPUTED_VALUE"""),"vV576363")</f>
        <v>vV576363</v>
      </c>
      <c r="N146" s="3" t="str">
        <f ca="1">IFERROR(__xludf.DUMMYFUNCTION("""COMPUTED_VALUE"""),"https://drive.google.com/open?id=yYzXlOdlbQcYAbQyYsw2")</f>
        <v>https://drive.google.com/open?id=yYzXlOdlbQcYAbQyYsw2</v>
      </c>
      <c r="O146" s="3" t="str">
        <f ca="1">IFERROR(__xludf.DUMMYFUNCTION("""COMPUTED_VALUE"""),"https://drive.google.com/open?id=8KDeCltVUOZqPjtwn0ci")</f>
        <v>https://drive.google.com/open?id=8KDeCltVUOZqPjtwn0ci</v>
      </c>
      <c r="P146" s="1" t="str">
        <f ca="1">IFERROR(__xludf.DUMMYFUNCTION("""COMPUTED_VALUE"""),"Contract")</f>
        <v>Contract</v>
      </c>
      <c r="Q146" s="1">
        <f ca="1">IFERROR(__xludf.DUMMYFUNCTION("""COMPUTED_VALUE"""),5000000)</f>
        <v>5000000</v>
      </c>
      <c r="R146" s="3" t="str">
        <f ca="1">IFERROR(__xludf.DUMMYFUNCTION("""COMPUTED_VALUE"""),"https://drive.google.com/open?id=OXNkSswTtNVKBDLTFxAp")</f>
        <v>https://drive.google.com/open?id=OXNkSswTtNVKBDLTFxAp</v>
      </c>
      <c r="S146" s="1">
        <f ca="1">IFERROR(__xludf.DUMMYFUNCTION("""COMPUTED_VALUE"""),15000000)</f>
        <v>15000000</v>
      </c>
      <c r="T146" s="1" t="str">
        <f ca="1">IFERROR(__xludf.DUMMYFUNCTION("""COMPUTED_VALUE"""),"Gold")</f>
        <v>Gold</v>
      </c>
      <c r="U146" s="1" t="str">
        <f ca="1">IFERROR(__xludf.DUMMYFUNCTION("""COMPUTED_VALUE"""),"Partner")</f>
        <v>Partner</v>
      </c>
    </row>
    <row r="147" spans="1:21" x14ac:dyDescent="0.25">
      <c r="A147" s="2" t="str">
        <f ca="1">IFERROR(__xludf.DUMMYFUNCTION("""COMPUTED_VALUE"""),"APP0146")</f>
        <v>APP0146</v>
      </c>
      <c r="B147" s="2">
        <f ca="1">IFERROR(__xludf.DUMMYFUNCTION("""COMPUTED_VALUE"""),45905.5320717592)</f>
        <v>45905.532071759197</v>
      </c>
      <c r="C147" s="1" t="str">
        <f ca="1">IFERROR(__xludf.DUMMYFUNCTION("""COMPUTED_VALUE"""),"Đỗ Văn Phong")</f>
        <v>Đỗ Văn Phong</v>
      </c>
      <c r="D147" s="1" t="str">
        <f ca="1">IFERROR(__xludf.DUMMYFUNCTION("""COMPUTED_VALUE"""),"04/05/1988")</f>
        <v>04/05/1988</v>
      </c>
      <c r="E147" s="1" t="str">
        <f ca="1">IFERROR(__xludf.DUMMYFUNCTION("""COMPUTED_VALUE"""),"Female")</f>
        <v>Female</v>
      </c>
      <c r="F147" s="1" t="str">
        <f ca="1">IFERROR(__xludf.DUMMYFUNCTION("""COMPUTED_VALUE"""),"Vietnam")</f>
        <v>Vietnam</v>
      </c>
      <c r="G147" s="1" t="str">
        <f ca="1">IFERROR(__xludf.DUMMYFUNCTION("""COMPUTED_VALUE"""),"0835181643")</f>
        <v>0835181643</v>
      </c>
      <c r="H147" s="1" t="str">
        <f ca="1">IFERROR(__xludf.DUMMYFUNCTION("""COMPUTED_VALUE"""),"dovanphong@gmail.com")</f>
        <v>dovanphong@gmail.com</v>
      </c>
      <c r="I147" s="1" t="str">
        <f ca="1">IFERROR(__xludf.DUMMYFUNCTION("""COMPUTED_VALUE"""),"158 Ly Thuong Kiet, Quan 7, Da Nang, Viet Nam")</f>
        <v>158 Ly Thuong Kiet, Quan 7, Da Nang, Viet Nam</v>
      </c>
      <c r="J147" s="1" t="str">
        <f ca="1">IFERROR(__xludf.DUMMYFUNCTION("""COMPUTED_VALUE"""),"099938206908")</f>
        <v>099938206908</v>
      </c>
      <c r="K147" s="3" t="str">
        <f ca="1">IFERROR(__xludf.DUMMYFUNCTION("""COMPUTED_VALUE"""),"https://drive.google.com/open?id=Z3JCQQaFS06NgehZWQ28")</f>
        <v>https://drive.google.com/open?id=Z3JCQQaFS06NgehZWQ28</v>
      </c>
      <c r="L147" s="3" t="str">
        <f ca="1">IFERROR(__xludf.DUMMYFUNCTION("""COMPUTED_VALUE"""),"https://drive.google.com/open?id=031hwyNBENwBAvM0NIk1")</f>
        <v>https://drive.google.com/open?id=031hwyNBENwBAvM0NIk1</v>
      </c>
      <c r="M147" s="1"/>
      <c r="N147" s="1"/>
      <c r="O147" s="1"/>
      <c r="P147" s="1" t="str">
        <f ca="1">IFERROR(__xludf.DUMMYFUNCTION("""COMPUTED_VALUE"""),"Full-time")</f>
        <v>Full-time</v>
      </c>
      <c r="Q147" s="1">
        <f ca="1">IFERROR(__xludf.DUMMYFUNCTION("""COMPUTED_VALUE"""),50000000)</f>
        <v>50000000</v>
      </c>
      <c r="R147" s="3" t="str">
        <f ca="1">IFERROR(__xludf.DUMMYFUNCTION("""COMPUTED_VALUE"""),"https://drive.google.com/open?id=gxYb25ZpcmIIagR5Ukvo")</f>
        <v>https://drive.google.com/open?id=gxYb25ZpcmIIagR5Ukvo</v>
      </c>
      <c r="S147" s="1">
        <f ca="1">IFERROR(__xludf.DUMMYFUNCTION("""COMPUTED_VALUE"""),250000000)</f>
        <v>250000000</v>
      </c>
      <c r="T147" s="1" t="str">
        <f ca="1">IFERROR(__xludf.DUMMYFUNCTION("""COMPUTED_VALUE"""),"Classic")</f>
        <v>Classic</v>
      </c>
      <c r="U147" s="1" t="str">
        <f ca="1">IFERROR(__xludf.DUMMYFUNCTION("""COMPUTED_VALUE"""),"Branch")</f>
        <v>Branch</v>
      </c>
    </row>
    <row r="148" spans="1:21" x14ac:dyDescent="0.25">
      <c r="A148" s="2" t="str">
        <f ca="1">IFERROR(__xludf.DUMMYFUNCTION("""COMPUTED_VALUE"""),"APP0147")</f>
        <v>APP0147</v>
      </c>
      <c r="B148" s="2">
        <f ca="1">IFERROR(__xludf.DUMMYFUNCTION("""COMPUTED_VALUE"""),45905.5364583333)</f>
        <v>45905.536458333299</v>
      </c>
      <c r="C148" s="1" t="str">
        <f ca="1">IFERROR(__xludf.DUMMYFUNCTION("""COMPUTED_VALUE"""),"Đỗ Thị Phong")</f>
        <v>Đỗ Thị Phong</v>
      </c>
      <c r="D148" s="1" t="str">
        <f ca="1">IFERROR(__xludf.DUMMYFUNCTION("""COMPUTED_VALUE"""),"27/12/1983")</f>
        <v>27/12/1983</v>
      </c>
      <c r="E148" s="1" t="str">
        <f ca="1">IFERROR(__xludf.DUMMYFUNCTION("""COMPUTED_VALUE"""),"Male")</f>
        <v>Male</v>
      </c>
      <c r="F148" s="1" t="str">
        <f ca="1">IFERROR(__xludf.DUMMYFUNCTION("""COMPUTED_VALUE"""),"Vietnam")</f>
        <v>Vietnam</v>
      </c>
      <c r="G148" s="1" t="str">
        <f ca="1">IFERROR(__xludf.DUMMYFUNCTION("""COMPUTED_VALUE"""),"0816204596")</f>
        <v>0816204596</v>
      </c>
      <c r="H148" s="1" t="str">
        <f ca="1">IFERROR(__xludf.DUMMYFUNCTION("""COMPUTED_VALUE"""),"dothiphong@gmail.com")</f>
        <v>dothiphong@gmail.com</v>
      </c>
      <c r="I148" s="1" t="str">
        <f ca="1">IFERROR(__xludf.DUMMYFUNCTION("""COMPUTED_VALUE"""),"37 Pham Van Dong, Quan 7, Ha Noi, Viet Nam")</f>
        <v>37 Pham Van Dong, Quan 7, Ha Noi, Viet Nam</v>
      </c>
      <c r="J148" s="1" t="str">
        <f ca="1">IFERROR(__xludf.DUMMYFUNCTION("""COMPUTED_VALUE"""),"033321020127")</f>
        <v>033321020127</v>
      </c>
      <c r="K148" s="3" t="str">
        <f ca="1">IFERROR(__xludf.DUMMYFUNCTION("""COMPUTED_VALUE"""),"https://drive.google.com/open?id=zQcK2Wh6SLiBdwV8kHx5")</f>
        <v>https://drive.google.com/open?id=zQcK2Wh6SLiBdwV8kHx5</v>
      </c>
      <c r="L148" s="3" t="str">
        <f ca="1">IFERROR(__xludf.DUMMYFUNCTION("""COMPUTED_VALUE"""),"https://drive.google.com/open?id=ny99xDXk1JH6rPPtbIgz")</f>
        <v>https://drive.google.com/open?id=ny99xDXk1JH6rPPtbIgz</v>
      </c>
      <c r="M148" s="1"/>
      <c r="N148" s="1"/>
      <c r="O148" s="1"/>
      <c r="P148" s="1" t="str">
        <f ca="1">IFERROR(__xludf.DUMMYFUNCTION("""COMPUTED_VALUE"""),"Part-time")</f>
        <v>Part-time</v>
      </c>
      <c r="Q148" s="1">
        <f ca="1">IFERROR(__xludf.DUMMYFUNCTION("""COMPUTED_VALUE"""),5000000)</f>
        <v>5000000</v>
      </c>
      <c r="R148" s="3" t="str">
        <f ca="1">IFERROR(__xludf.DUMMYFUNCTION("""COMPUTED_VALUE"""),"https://drive.google.com/open?id=tXhRRaLdJVmEQyU88sW2")</f>
        <v>https://drive.google.com/open?id=tXhRRaLdJVmEQyU88sW2</v>
      </c>
      <c r="S148" s="1">
        <f ca="1">IFERROR(__xludf.DUMMYFUNCTION("""COMPUTED_VALUE"""),10000000)</f>
        <v>10000000</v>
      </c>
      <c r="T148" s="1" t="str">
        <f ca="1">IFERROR(__xludf.DUMMYFUNCTION("""COMPUTED_VALUE"""),"Gold")</f>
        <v>Gold</v>
      </c>
      <c r="U148" s="1" t="str">
        <f ca="1">IFERROR(__xludf.DUMMYFUNCTION("""COMPUTED_VALUE"""),"Online")</f>
        <v>Online</v>
      </c>
    </row>
    <row r="149" spans="1:21" x14ac:dyDescent="0.25">
      <c r="A149" s="2" t="str">
        <f ca="1">IFERROR(__xludf.DUMMYFUNCTION("""COMPUTED_VALUE"""),"APP0148")</f>
        <v>APP0148</v>
      </c>
      <c r="B149" s="2">
        <f ca="1">IFERROR(__xludf.DUMMYFUNCTION("""COMPUTED_VALUE"""),45905.718136574)</f>
        <v>45905.718136574003</v>
      </c>
      <c r="C149" s="1" t="str">
        <f ca="1">IFERROR(__xludf.DUMMYFUNCTION("""COMPUTED_VALUE"""),"Vũ Anh Vy")</f>
        <v>Vũ Anh Vy</v>
      </c>
      <c r="D149" s="1" t="str">
        <f ca="1">IFERROR(__xludf.DUMMYFUNCTION("""COMPUTED_VALUE"""),"15/09/1974")</f>
        <v>15/09/1974</v>
      </c>
      <c r="E149" s="1" t="str">
        <f ca="1">IFERROR(__xludf.DUMMYFUNCTION("""COMPUTED_VALUE"""),"Male")</f>
        <v>Male</v>
      </c>
      <c r="F149" s="1" t="str">
        <f ca="1">IFERROR(__xludf.DUMMYFUNCTION("""COMPUTED_VALUE"""),"Vietnam")</f>
        <v>Vietnam</v>
      </c>
      <c r="G149" s="1" t="str">
        <f ca="1">IFERROR(__xludf.DUMMYFUNCTION("""COMPUTED_VALUE"""),"0941174717")</f>
        <v>0941174717</v>
      </c>
      <c r="H149" s="1" t="str">
        <f ca="1">IFERROR(__xludf.DUMMYFUNCTION("""COMPUTED_VALUE"""),"vuanhvy@gmail.com")</f>
        <v>vuanhvy@gmail.com</v>
      </c>
      <c r="I149" s="1" t="str">
        <f ca="1">IFERROR(__xludf.DUMMYFUNCTION("""COMPUTED_VALUE"""),"158 Nguyen Hue, Quan 1, Ha Noi, Viet Nam")</f>
        <v>158 Nguyen Hue, Quan 1, Ha Noi, Viet Nam</v>
      </c>
      <c r="J149" s="1" t="str">
        <f ca="1">IFERROR(__xludf.DUMMYFUNCTION("""COMPUTED_VALUE"""),"054612238550")</f>
        <v>054612238550</v>
      </c>
      <c r="K149" s="3" t="str">
        <f ca="1">IFERROR(__xludf.DUMMYFUNCTION("""COMPUTED_VALUE"""),"https://drive.google.com/open?id=ga2o89vR322MvfcB6ZIz")</f>
        <v>https://drive.google.com/open?id=ga2o89vR322MvfcB6ZIz</v>
      </c>
      <c r="L149" s="3" t="str">
        <f ca="1">IFERROR(__xludf.DUMMYFUNCTION("""COMPUTED_VALUE"""),"https://drive.google.com/open?id=14mXmeulcVMpRj7LQ58A")</f>
        <v>https://drive.google.com/open?id=14mXmeulcVMpRj7LQ58A</v>
      </c>
      <c r="M149" s="1"/>
      <c r="N149" s="1"/>
      <c r="O149" s="1"/>
      <c r="P149" s="1" t="str">
        <f ca="1">IFERROR(__xludf.DUMMYFUNCTION("""COMPUTED_VALUE"""),"Full-time")</f>
        <v>Full-time</v>
      </c>
      <c r="Q149" s="1">
        <f ca="1">IFERROR(__xludf.DUMMYFUNCTION("""COMPUTED_VALUE"""),8000000)</f>
        <v>8000000</v>
      </c>
      <c r="R149" s="3" t="str">
        <f ca="1">IFERROR(__xludf.DUMMYFUNCTION("""COMPUTED_VALUE"""),"https://drive.google.com/open?id=zBINfSXlGSXpS5Cg57Br")</f>
        <v>https://drive.google.com/open?id=zBINfSXlGSXpS5Cg57Br</v>
      </c>
      <c r="S149" s="1">
        <f ca="1">IFERROR(__xludf.DUMMYFUNCTION("""COMPUTED_VALUE"""),40000000)</f>
        <v>40000000</v>
      </c>
      <c r="T149" s="1" t="str">
        <f ca="1">IFERROR(__xludf.DUMMYFUNCTION("""COMPUTED_VALUE"""),"Classic")</f>
        <v>Classic</v>
      </c>
      <c r="U149" s="1" t="str">
        <f ca="1">IFERROR(__xludf.DUMMYFUNCTION("""COMPUTED_VALUE"""),"Partner")</f>
        <v>Partner</v>
      </c>
    </row>
    <row r="150" spans="1:21" x14ac:dyDescent="0.25">
      <c r="A150" s="2" t="str">
        <f ca="1">IFERROR(__xludf.DUMMYFUNCTION("""COMPUTED_VALUE"""),"APP0149")</f>
        <v>APP0149</v>
      </c>
      <c r="B150" s="2">
        <f ca="1">IFERROR(__xludf.DUMMYFUNCTION("""COMPUTED_VALUE"""),45905.7239930555)</f>
        <v>45905.723993055501</v>
      </c>
      <c r="C150" s="1" t="str">
        <f ca="1">IFERROR(__xludf.DUMMYFUNCTION("""COMPUTED_VALUE"""),"Ngô Hữu Nam")</f>
        <v>Ngô Hữu Nam</v>
      </c>
      <c r="D150" s="1" t="str">
        <f ca="1">IFERROR(__xludf.DUMMYFUNCTION("""COMPUTED_VALUE"""),"07/06/2002")</f>
        <v>07/06/2002</v>
      </c>
      <c r="E150" s="1" t="str">
        <f ca="1">IFERROR(__xludf.DUMMYFUNCTION("""COMPUTED_VALUE"""),"Female")</f>
        <v>Female</v>
      </c>
      <c r="F150" s="1" t="str">
        <f ca="1">IFERROR(__xludf.DUMMYFUNCTION("""COMPUTED_VALUE"""),"Vietnam")</f>
        <v>Vietnam</v>
      </c>
      <c r="G150" s="1" t="str">
        <f ca="1">IFERROR(__xludf.DUMMYFUNCTION("""COMPUTED_VALUE"""),"0977981676")</f>
        <v>0977981676</v>
      </c>
      <c r="H150" s="1" t="str">
        <f ca="1">IFERROR(__xludf.DUMMYFUNCTION("""COMPUTED_VALUE"""),"ngohuunam@gmail.com")</f>
        <v>ngohuunam@gmail.com</v>
      </c>
      <c r="I150" s="1" t="str">
        <f ca="1">IFERROR(__xludf.DUMMYFUNCTION("""COMPUTED_VALUE"""),"89 Nguyen Hue, Quan 1, TP Ho Chi Minh, Viet Nam")</f>
        <v>89 Nguyen Hue, Quan 1, TP Ho Chi Minh, Viet Nam</v>
      </c>
      <c r="J150" s="1" t="str">
        <f ca="1">IFERROR(__xludf.DUMMYFUNCTION("""COMPUTED_VALUE"""),"055690896446")</f>
        <v>055690896446</v>
      </c>
      <c r="K150" s="3" t="str">
        <f ca="1">IFERROR(__xludf.DUMMYFUNCTION("""COMPUTED_VALUE"""),"https://drive.google.com/open?id=8y8NMSXlx1jlbJWxPPCE")</f>
        <v>https://drive.google.com/open?id=8y8NMSXlx1jlbJWxPPCE</v>
      </c>
      <c r="L150" s="3" t="str">
        <f ca="1">IFERROR(__xludf.DUMMYFUNCTION("""COMPUTED_VALUE"""),"https://drive.google.com/open?id=aU6f3mt2o5SNd8aJFF4O")</f>
        <v>https://drive.google.com/open?id=aU6f3mt2o5SNd8aJFF4O</v>
      </c>
      <c r="M150" s="1"/>
      <c r="N150" s="1"/>
      <c r="O150" s="1"/>
      <c r="P150" s="1" t="str">
        <f ca="1">IFERROR(__xludf.DUMMYFUNCTION("""COMPUTED_VALUE"""),"Contract")</f>
        <v>Contract</v>
      </c>
      <c r="Q150" s="1">
        <f ca="1">IFERROR(__xludf.DUMMYFUNCTION("""COMPUTED_VALUE"""),50000000)</f>
        <v>50000000</v>
      </c>
      <c r="R150" s="3" t="str">
        <f ca="1">IFERROR(__xludf.DUMMYFUNCTION("""COMPUTED_VALUE"""),"https://drive.google.com/open?id=UYOwBlo2mQmUluZfbKOQ")</f>
        <v>https://drive.google.com/open?id=UYOwBlo2mQmUluZfbKOQ</v>
      </c>
      <c r="S150" s="1">
        <f ca="1">IFERROR(__xludf.DUMMYFUNCTION("""COMPUTED_VALUE"""),100000000)</f>
        <v>100000000</v>
      </c>
      <c r="T150" s="1" t="str">
        <f ca="1">IFERROR(__xludf.DUMMYFUNCTION("""COMPUTED_VALUE"""),"Classic")</f>
        <v>Classic</v>
      </c>
      <c r="U150" s="1" t="str">
        <f ca="1">IFERROR(__xludf.DUMMYFUNCTION("""COMPUTED_VALUE"""),"Partner")</f>
        <v>Partner</v>
      </c>
    </row>
    <row r="151" spans="1:21" x14ac:dyDescent="0.25">
      <c r="A151" s="2" t="str">
        <f ca="1">IFERROR(__xludf.DUMMYFUNCTION("""COMPUTED_VALUE"""),"APP0150")</f>
        <v>APP0150</v>
      </c>
      <c r="B151" s="2">
        <f ca="1">IFERROR(__xludf.DUMMYFUNCTION("""COMPUTED_VALUE"""),45905.8491898148)</f>
        <v>45905.849189814799</v>
      </c>
      <c r="C151" s="1" t="str">
        <f ca="1">IFERROR(__xludf.DUMMYFUNCTION("""COMPUTED_VALUE"""),"Trần Đức Quỳnh")</f>
        <v>Trần Đức Quỳnh</v>
      </c>
      <c r="D151" s="1" t="str">
        <f ca="1">IFERROR(__xludf.DUMMYFUNCTION("""COMPUTED_VALUE"""),"17/11/1985")</f>
        <v>17/11/1985</v>
      </c>
      <c r="E151" s="1" t="str">
        <f ca="1">IFERROR(__xludf.DUMMYFUNCTION("""COMPUTED_VALUE"""),"Female")</f>
        <v>Female</v>
      </c>
      <c r="F151" s="1" t="str">
        <f ca="1">IFERROR(__xludf.DUMMYFUNCTION("""COMPUTED_VALUE"""),"Vietnam")</f>
        <v>Vietnam</v>
      </c>
      <c r="G151" s="1" t="str">
        <f ca="1">IFERROR(__xludf.DUMMYFUNCTION("""COMPUTED_VALUE"""),"0936540458")</f>
        <v>0936540458</v>
      </c>
      <c r="H151" s="1" t="str">
        <f ca="1">IFERROR(__xludf.DUMMYFUNCTION("""COMPUTED_VALUE"""),"tranducquynh@gmail.com")</f>
        <v>tranducquynh@gmail.com</v>
      </c>
      <c r="I151" s="1" t="str">
        <f ca="1">IFERROR(__xludf.DUMMYFUNCTION("""COMPUTED_VALUE"""),"17 Nguyen Hue, Quan 1, Da Nang, Viet Nam")</f>
        <v>17 Nguyen Hue, Quan 1, Da Nang, Viet Nam</v>
      </c>
      <c r="J151" s="1" t="str">
        <f ca="1">IFERROR(__xludf.DUMMYFUNCTION("""COMPUTED_VALUE"""),"045151197563")</f>
        <v>045151197563</v>
      </c>
      <c r="K151" s="3" t="str">
        <f ca="1">IFERROR(__xludf.DUMMYFUNCTION("""COMPUTED_VALUE"""),"https://drive.google.com/open?id=3pWZY0cBg5DTpOKXhAFk")</f>
        <v>https://drive.google.com/open?id=3pWZY0cBg5DTpOKXhAFk</v>
      </c>
      <c r="L151" s="3" t="str">
        <f ca="1">IFERROR(__xludf.DUMMYFUNCTION("""COMPUTED_VALUE"""),"https://drive.google.com/open?id=ZCLHWl804obbmDsKaNRf")</f>
        <v>https://drive.google.com/open?id=ZCLHWl804obbmDsKaNRf</v>
      </c>
      <c r="M151" s="1"/>
      <c r="N151" s="1"/>
      <c r="O151" s="1"/>
      <c r="P151" s="1" t="str">
        <f ca="1">IFERROR(__xludf.DUMMYFUNCTION("""COMPUTED_VALUE"""),"Freelancer")</f>
        <v>Freelancer</v>
      </c>
      <c r="Q151" s="1">
        <f ca="1">IFERROR(__xludf.DUMMYFUNCTION("""COMPUTED_VALUE"""),12000000)</f>
        <v>12000000</v>
      </c>
      <c r="R151" s="3" t="str">
        <f ca="1">IFERROR(__xludf.DUMMYFUNCTION("""COMPUTED_VALUE"""),"https://drive.google.com/open?id=YQJnvm2h5cloGPhmKifo")</f>
        <v>https://drive.google.com/open?id=YQJnvm2h5cloGPhmKifo</v>
      </c>
      <c r="S151" s="1">
        <f ca="1">IFERROR(__xludf.DUMMYFUNCTION("""COMPUTED_VALUE"""),24000000)</f>
        <v>24000000</v>
      </c>
      <c r="T151" s="1" t="str">
        <f ca="1">IFERROR(__xludf.DUMMYFUNCTION("""COMPUTED_VALUE"""),"Gold")</f>
        <v>Gold</v>
      </c>
      <c r="U151" s="1" t="str">
        <f ca="1">IFERROR(__xludf.DUMMYFUNCTION("""COMPUTED_VALUE"""),"Online")</f>
        <v>Online</v>
      </c>
    </row>
    <row r="152" spans="1:21" x14ac:dyDescent="0.25">
      <c r="A152" s="2" t="str">
        <f ca="1">IFERROR(__xludf.DUMMYFUNCTION("""COMPUTED_VALUE"""),"APP0151")</f>
        <v>APP0151</v>
      </c>
      <c r="B152" s="2">
        <f ca="1">IFERROR(__xludf.DUMMYFUNCTION("""COMPUTED_VALUE"""),45905.8726157407)</f>
        <v>45905.8726157407</v>
      </c>
      <c r="C152" s="1" t="str">
        <f ca="1">IFERROR(__xludf.DUMMYFUNCTION("""COMPUTED_VALUE"""),"Phạm Anh Bình")</f>
        <v>Phạm Anh Bình</v>
      </c>
      <c r="D152" s="1" t="str">
        <f ca="1">IFERROR(__xludf.DUMMYFUNCTION("""COMPUTED_VALUE"""),"13/09/1968")</f>
        <v>13/09/1968</v>
      </c>
      <c r="E152" s="1" t="str">
        <f ca="1">IFERROR(__xludf.DUMMYFUNCTION("""COMPUTED_VALUE"""),"Male")</f>
        <v>Male</v>
      </c>
      <c r="F152" s="1" t="str">
        <f ca="1">IFERROR(__xludf.DUMMYFUNCTION("""COMPUTED_VALUE"""),"Vietnam")</f>
        <v>Vietnam</v>
      </c>
      <c r="G152" s="1" t="str">
        <f ca="1">IFERROR(__xludf.DUMMYFUNCTION("""COMPUTED_VALUE"""),"0727828217")</f>
        <v>0727828217</v>
      </c>
      <c r="H152" s="1" t="str">
        <f ca="1">IFERROR(__xludf.DUMMYFUNCTION("""COMPUTED_VALUE"""),"phamanhbinh@gmail.com")</f>
        <v>phamanhbinh@gmail.com</v>
      </c>
      <c r="I152" s="1" t="str">
        <f ca="1">IFERROR(__xludf.DUMMYFUNCTION("""COMPUTED_VALUE"""),"43 Nguyen Trai, Quan 3, TP Ho Chi Minh, Viet Nam")</f>
        <v>43 Nguyen Trai, Quan 3, TP Ho Chi Minh, Viet Nam</v>
      </c>
      <c r="J152" s="1" t="str">
        <f ca="1">IFERROR(__xludf.DUMMYFUNCTION("""COMPUTED_VALUE"""),"010297509752")</f>
        <v>010297509752</v>
      </c>
      <c r="K152" s="3" t="str">
        <f ca="1">IFERROR(__xludf.DUMMYFUNCTION("""COMPUTED_VALUE"""),"https://drive.google.com/open?id=Fe6OkXCdHRqE2C2riNY2")</f>
        <v>https://drive.google.com/open?id=Fe6OkXCdHRqE2C2riNY2</v>
      </c>
      <c r="L152" s="3" t="str">
        <f ca="1">IFERROR(__xludf.DUMMYFUNCTION("""COMPUTED_VALUE"""),"https://drive.google.com/open?id=jyTklnvwMIp79LgJ3054")</f>
        <v>https://drive.google.com/open?id=jyTklnvwMIp79LgJ3054</v>
      </c>
      <c r="M152" s="1"/>
      <c r="N152" s="1"/>
      <c r="O152" s="1"/>
      <c r="P152" s="1" t="str">
        <f ca="1">IFERROR(__xludf.DUMMYFUNCTION("""COMPUTED_VALUE"""),"Freelancer")</f>
        <v>Freelancer</v>
      </c>
      <c r="Q152" s="1">
        <f ca="1">IFERROR(__xludf.DUMMYFUNCTION("""COMPUTED_VALUE"""),8000000)</f>
        <v>8000000</v>
      </c>
      <c r="R152" s="3" t="str">
        <f ca="1">IFERROR(__xludf.DUMMYFUNCTION("""COMPUTED_VALUE"""),"https://drive.google.com/open?id=3SVKLke1ORy9Tt0sCK7w")</f>
        <v>https://drive.google.com/open?id=3SVKLke1ORy9Tt0sCK7w</v>
      </c>
      <c r="S152" s="1">
        <f ca="1">IFERROR(__xludf.DUMMYFUNCTION("""COMPUTED_VALUE"""),24000000)</f>
        <v>24000000</v>
      </c>
      <c r="T152" s="1" t="str">
        <f ca="1">IFERROR(__xludf.DUMMYFUNCTION("""COMPUTED_VALUE"""),"Platinum")</f>
        <v>Platinum</v>
      </c>
      <c r="U152" s="1" t="str">
        <f ca="1">IFERROR(__xludf.DUMMYFUNCTION("""COMPUTED_VALUE"""),"Partner")</f>
        <v>Partner</v>
      </c>
    </row>
    <row r="153" spans="1:21" x14ac:dyDescent="0.25">
      <c r="A153" s="2" t="str">
        <f ca="1">IFERROR(__xludf.DUMMYFUNCTION("""COMPUTED_VALUE"""),"APP0152")</f>
        <v>APP0152</v>
      </c>
      <c r="B153" s="2">
        <f ca="1">IFERROR(__xludf.DUMMYFUNCTION("""COMPUTED_VALUE"""),45905.8745138888)</f>
        <v>45905.874513888797</v>
      </c>
      <c r="C153" s="1" t="str">
        <f ca="1">IFERROR(__xludf.DUMMYFUNCTION("""COMPUTED_VALUE"""),"Trần Thị Hùng")</f>
        <v>Trần Thị Hùng</v>
      </c>
      <c r="D153" s="1" t="str">
        <f ca="1">IFERROR(__xludf.DUMMYFUNCTION("""COMPUTED_VALUE"""),"07/03/1995")</f>
        <v>07/03/1995</v>
      </c>
      <c r="E153" s="1" t="str">
        <f ca="1">IFERROR(__xludf.DUMMYFUNCTION("""COMPUTED_VALUE"""),"Male")</f>
        <v>Male</v>
      </c>
      <c r="F153" s="1" t="str">
        <f ca="1">IFERROR(__xludf.DUMMYFUNCTION("""COMPUTED_VALUE"""),"Vietnam")</f>
        <v>Vietnam</v>
      </c>
      <c r="G153" s="1" t="str">
        <f ca="1">IFERROR(__xludf.DUMMYFUNCTION("""COMPUTED_VALUE"""),"0825625641")</f>
        <v>0825625641</v>
      </c>
      <c r="H153" s="1" t="str">
        <f ca="1">IFERROR(__xludf.DUMMYFUNCTION("""COMPUTED_VALUE"""),"tranthihung@gmail.com")</f>
        <v>tranthihung@gmail.com</v>
      </c>
      <c r="I153" s="1" t="str">
        <f ca="1">IFERROR(__xludf.DUMMYFUNCTION("""COMPUTED_VALUE"""),"161 Tran Hung Dao, Quan 3, TP Ho Chi Minh, Viet Nam")</f>
        <v>161 Tran Hung Dao, Quan 3, TP Ho Chi Minh, Viet Nam</v>
      </c>
      <c r="J153" s="1" t="str">
        <f ca="1">IFERROR(__xludf.DUMMYFUNCTION("""COMPUTED_VALUE"""),"022817313101")</f>
        <v>022817313101</v>
      </c>
      <c r="K153" s="3" t="str">
        <f ca="1">IFERROR(__xludf.DUMMYFUNCTION("""COMPUTED_VALUE"""),"https://drive.google.com/open?id=oez8En3DEvpEmR7ru0aH")</f>
        <v>https://drive.google.com/open?id=oez8En3DEvpEmR7ru0aH</v>
      </c>
      <c r="L153" s="3" t="str">
        <f ca="1">IFERROR(__xludf.DUMMYFUNCTION("""COMPUTED_VALUE"""),"https://drive.google.com/open?id=geXMSI2wR1Wex1KJv8Wx")</f>
        <v>https://drive.google.com/open?id=geXMSI2wR1Wex1KJv8Wx</v>
      </c>
      <c r="M153" s="1"/>
      <c r="N153" s="1"/>
      <c r="O153" s="1"/>
      <c r="P153" s="1" t="str">
        <f ca="1">IFERROR(__xludf.DUMMYFUNCTION("""COMPUTED_VALUE"""),"Full-time")</f>
        <v>Full-time</v>
      </c>
      <c r="Q153" s="1">
        <f ca="1">IFERROR(__xludf.DUMMYFUNCTION("""COMPUTED_VALUE"""),5000000)</f>
        <v>5000000</v>
      </c>
      <c r="R153" s="3" t="str">
        <f ca="1">IFERROR(__xludf.DUMMYFUNCTION("""COMPUTED_VALUE"""),"https://drive.google.com/open?id=qsN9OWoaMajcdw5iOTrO")</f>
        <v>https://drive.google.com/open?id=qsN9OWoaMajcdw5iOTrO</v>
      </c>
      <c r="S153" s="1">
        <f ca="1">IFERROR(__xludf.DUMMYFUNCTION("""COMPUTED_VALUE"""),25000000)</f>
        <v>25000000</v>
      </c>
      <c r="T153" s="1" t="str">
        <f ca="1">IFERROR(__xludf.DUMMYFUNCTION("""COMPUTED_VALUE"""),"Gold")</f>
        <v>Gold</v>
      </c>
      <c r="U153" s="1" t="str">
        <f ca="1">IFERROR(__xludf.DUMMYFUNCTION("""COMPUTED_VALUE"""),"Partner")</f>
        <v>Partner</v>
      </c>
    </row>
    <row r="154" spans="1:21" x14ac:dyDescent="0.25">
      <c r="A154" s="2" t="str">
        <f ca="1">IFERROR(__xludf.DUMMYFUNCTION("""COMPUTED_VALUE"""),"APP0153")</f>
        <v>APP0153</v>
      </c>
      <c r="B154" s="2">
        <f ca="1">IFERROR(__xludf.DUMMYFUNCTION("""COMPUTED_VALUE"""),45905.9089004629)</f>
        <v>45905.908900462899</v>
      </c>
      <c r="C154" s="1" t="str">
        <f ca="1">IFERROR(__xludf.DUMMYFUNCTION("""COMPUTED_VALUE"""),"Phan Đức Vy")</f>
        <v>Phan Đức Vy</v>
      </c>
      <c r="D154" s="1" t="str">
        <f ca="1">IFERROR(__xludf.DUMMYFUNCTION("""COMPUTED_VALUE"""),"08/08/1969")</f>
        <v>08/08/1969</v>
      </c>
      <c r="E154" s="1" t="str">
        <f ca="1">IFERROR(__xludf.DUMMYFUNCTION("""COMPUTED_VALUE"""),"Male")</f>
        <v>Male</v>
      </c>
      <c r="F154" s="1" t="str">
        <f ca="1">IFERROR(__xludf.DUMMYFUNCTION("""COMPUTED_VALUE"""),"Vietnam")</f>
        <v>Vietnam</v>
      </c>
      <c r="G154" s="1" t="str">
        <f ca="1">IFERROR(__xludf.DUMMYFUNCTION("""COMPUTED_VALUE"""),"0772608554")</f>
        <v>0772608554</v>
      </c>
      <c r="H154" s="1" t="str">
        <f ca="1">IFERROR(__xludf.DUMMYFUNCTION("""COMPUTED_VALUE"""),"phanducvy@gmail.com")</f>
        <v>phanducvy@gmail.com</v>
      </c>
      <c r="I154" s="1" t="str">
        <f ca="1">IFERROR(__xludf.DUMMYFUNCTION("""COMPUTED_VALUE"""),"36 Nguyen Hue, Hoan Kiem, TP Ho Chi Minh, Viet Nam")</f>
        <v>36 Nguyen Hue, Hoan Kiem, TP Ho Chi Minh, Viet Nam</v>
      </c>
      <c r="J154" s="1" t="str">
        <f ca="1">IFERROR(__xludf.DUMMYFUNCTION("""COMPUTED_VALUE"""),"064839415106")</f>
        <v>064839415106</v>
      </c>
      <c r="K154" s="3" t="str">
        <f ca="1">IFERROR(__xludf.DUMMYFUNCTION("""COMPUTED_VALUE"""),"https://drive.google.com/open?id=UW3J6DYzNdmpv4apJpFY")</f>
        <v>https://drive.google.com/open?id=UW3J6DYzNdmpv4apJpFY</v>
      </c>
      <c r="L154" s="3" t="str">
        <f ca="1">IFERROR(__xludf.DUMMYFUNCTION("""COMPUTED_VALUE"""),"https://drive.google.com/open?id=zeMrI8cxz1E8iUi0UcVm")</f>
        <v>https://drive.google.com/open?id=zeMrI8cxz1E8iUi0UcVm</v>
      </c>
      <c r="M154" s="1"/>
      <c r="N154" s="1"/>
      <c r="O154" s="1"/>
      <c r="P154" s="1" t="str">
        <f ca="1">IFERROR(__xludf.DUMMYFUNCTION("""COMPUTED_VALUE"""),"Contract")</f>
        <v>Contract</v>
      </c>
      <c r="Q154" s="1">
        <f ca="1">IFERROR(__xludf.DUMMYFUNCTION("""COMPUTED_VALUE"""),5000000)</f>
        <v>5000000</v>
      </c>
      <c r="R154" s="3" t="str">
        <f ca="1">IFERROR(__xludf.DUMMYFUNCTION("""COMPUTED_VALUE"""),"https://drive.google.com/open?id=1Ydhzdd6WNgcEAesmgjY")</f>
        <v>https://drive.google.com/open?id=1Ydhzdd6WNgcEAesmgjY</v>
      </c>
      <c r="S154" s="1">
        <f ca="1">IFERROR(__xludf.DUMMYFUNCTION("""COMPUTED_VALUE"""),10000000)</f>
        <v>10000000</v>
      </c>
      <c r="T154" s="1" t="str">
        <f ca="1">IFERROR(__xludf.DUMMYFUNCTION("""COMPUTED_VALUE"""),"Platinum")</f>
        <v>Platinum</v>
      </c>
      <c r="U154" s="1" t="str">
        <f ca="1">IFERROR(__xludf.DUMMYFUNCTION("""COMPUTED_VALUE"""),"Partner")</f>
        <v>Partner</v>
      </c>
    </row>
    <row r="155" spans="1:21" x14ac:dyDescent="0.25">
      <c r="A155" s="2" t="str">
        <f ca="1">IFERROR(__xludf.DUMMYFUNCTION("""COMPUTED_VALUE"""),"APP0154")</f>
        <v>APP0154</v>
      </c>
      <c r="B155" s="2">
        <f ca="1">IFERROR(__xludf.DUMMYFUNCTION("""COMPUTED_VALUE"""),45905.9689699074)</f>
        <v>45905.968969907401</v>
      </c>
      <c r="C155" s="1" t="str">
        <f ca="1">IFERROR(__xludf.DUMMYFUNCTION("""COMPUTED_VALUE"""),"Dương Thanh Quỳnh")</f>
        <v>Dương Thanh Quỳnh</v>
      </c>
      <c r="D155" s="1" t="str">
        <f ca="1">IFERROR(__xludf.DUMMYFUNCTION("""COMPUTED_VALUE"""),"20/11/1987")</f>
        <v>20/11/1987</v>
      </c>
      <c r="E155" s="1" t="str">
        <f ca="1">IFERROR(__xludf.DUMMYFUNCTION("""COMPUTED_VALUE"""),"Female")</f>
        <v>Female</v>
      </c>
      <c r="F155" s="1" t="str">
        <f ca="1">IFERROR(__xludf.DUMMYFUNCTION("""COMPUTED_VALUE"""),"Vietnam")</f>
        <v>Vietnam</v>
      </c>
      <c r="G155" s="1" t="str">
        <f ca="1">IFERROR(__xludf.DUMMYFUNCTION("""COMPUTED_VALUE"""),"0955888994")</f>
        <v>0955888994</v>
      </c>
      <c r="H155" s="1" t="str">
        <f ca="1">IFERROR(__xludf.DUMMYFUNCTION("""COMPUTED_VALUE"""),"duongthanhquynh@gmail.com")</f>
        <v>duongthanhquynh@gmail.com</v>
      </c>
      <c r="I155" s="1" t="str">
        <f ca="1">IFERROR(__xludf.DUMMYFUNCTION("""COMPUTED_VALUE"""),"8 Pham Van Dong, Quan 3, Ha Noi, Viet Nam")</f>
        <v>8 Pham Van Dong, Quan 3, Ha Noi, Viet Nam</v>
      </c>
      <c r="J155" s="1" t="str">
        <f ca="1">IFERROR(__xludf.DUMMYFUNCTION("""COMPUTED_VALUE"""),"030564847110")</f>
        <v>030564847110</v>
      </c>
      <c r="K155" s="3" t="str">
        <f ca="1">IFERROR(__xludf.DUMMYFUNCTION("""COMPUTED_VALUE"""),"https://drive.google.com/open?id=iKmuVlGPE76JR1yjiziv")</f>
        <v>https://drive.google.com/open?id=iKmuVlGPE76JR1yjiziv</v>
      </c>
      <c r="L155" s="3" t="str">
        <f ca="1">IFERROR(__xludf.DUMMYFUNCTION("""COMPUTED_VALUE"""),"https://drive.google.com/open?id=SeB49Ep1Zh2VzKmEFuWU")</f>
        <v>https://drive.google.com/open?id=SeB49Ep1Zh2VzKmEFuWU</v>
      </c>
      <c r="M155" s="1"/>
      <c r="N155" s="1"/>
      <c r="O155" s="1"/>
      <c r="P155" s="1" t="str">
        <f ca="1">IFERROR(__xludf.DUMMYFUNCTION("""COMPUTED_VALUE"""),"Contract")</f>
        <v>Contract</v>
      </c>
      <c r="Q155" s="1">
        <f ca="1">IFERROR(__xludf.DUMMYFUNCTION("""COMPUTED_VALUE"""),5000000)</f>
        <v>5000000</v>
      </c>
      <c r="R155" s="3" t="str">
        <f ca="1">IFERROR(__xludf.DUMMYFUNCTION("""COMPUTED_VALUE"""),"https://drive.google.com/open?id=92EKazwVBroHpbgf8Pto")</f>
        <v>https://drive.google.com/open?id=92EKazwVBroHpbgf8Pto</v>
      </c>
      <c r="S155" s="1">
        <f ca="1">IFERROR(__xludf.DUMMYFUNCTION("""COMPUTED_VALUE"""),10000000)</f>
        <v>10000000</v>
      </c>
      <c r="T155" s="1" t="str">
        <f ca="1">IFERROR(__xludf.DUMMYFUNCTION("""COMPUTED_VALUE"""),"Gold")</f>
        <v>Gold</v>
      </c>
      <c r="U155" s="1" t="str">
        <f ca="1">IFERROR(__xludf.DUMMYFUNCTION("""COMPUTED_VALUE"""),"Online")</f>
        <v>Online</v>
      </c>
    </row>
    <row r="156" spans="1:21" x14ac:dyDescent="0.25">
      <c r="A156" s="2" t="str">
        <f ca="1">IFERROR(__xludf.DUMMYFUNCTION("""COMPUTED_VALUE"""),"APP0155")</f>
        <v>APP0155</v>
      </c>
      <c r="B156" s="2">
        <f ca="1">IFERROR(__xludf.DUMMYFUNCTION("""COMPUTED_VALUE"""),45905.9694675925)</f>
        <v>45905.969467592498</v>
      </c>
      <c r="C156" s="1" t="str">
        <f ca="1">IFERROR(__xludf.DUMMYFUNCTION("""COMPUTED_VALUE"""),"Huỳnh Quang An")</f>
        <v>Huỳnh Quang An</v>
      </c>
      <c r="D156" s="1" t="str">
        <f ca="1">IFERROR(__xludf.DUMMYFUNCTION("""COMPUTED_VALUE"""),"27/09/1989")</f>
        <v>27/09/1989</v>
      </c>
      <c r="E156" s="1" t="str">
        <f ca="1">IFERROR(__xludf.DUMMYFUNCTION("""COMPUTED_VALUE"""),"Female")</f>
        <v>Female</v>
      </c>
      <c r="F156" s="1" t="str">
        <f ca="1">IFERROR(__xludf.DUMMYFUNCTION("""COMPUTED_VALUE"""),"Vietnam")</f>
        <v>Vietnam</v>
      </c>
      <c r="G156" s="1" t="str">
        <f ca="1">IFERROR(__xludf.DUMMYFUNCTION("""COMPUTED_VALUE"""),"0884203550")</f>
        <v>0884203550</v>
      </c>
      <c r="H156" s="1" t="str">
        <f ca="1">IFERROR(__xludf.DUMMYFUNCTION("""COMPUTED_VALUE"""),"huynhquangan@gmail.com")</f>
        <v>huynhquangan@gmail.com</v>
      </c>
      <c r="I156" s="1" t="str">
        <f ca="1">IFERROR(__xludf.DUMMYFUNCTION("""COMPUTED_VALUE"""),"161 Tran Hung Dao, Quan 1, Hai Phong, Viet Nam")</f>
        <v>161 Tran Hung Dao, Quan 1, Hai Phong, Viet Nam</v>
      </c>
      <c r="J156" s="1" t="str">
        <f ca="1">IFERROR(__xludf.DUMMYFUNCTION("""COMPUTED_VALUE"""),"044098482245")</f>
        <v>044098482245</v>
      </c>
      <c r="K156" s="3" t="str">
        <f ca="1">IFERROR(__xludf.DUMMYFUNCTION("""COMPUTED_VALUE"""),"https://drive.google.com/open?id=A5KQktHVL5Pihccio0wu")</f>
        <v>https://drive.google.com/open?id=A5KQktHVL5Pihccio0wu</v>
      </c>
      <c r="L156" s="3" t="str">
        <f ca="1">IFERROR(__xludf.DUMMYFUNCTION("""COMPUTED_VALUE"""),"https://drive.google.com/open?id=kQQUHf3mF53ydyN7WwNM")</f>
        <v>https://drive.google.com/open?id=kQQUHf3mF53ydyN7WwNM</v>
      </c>
      <c r="M156" s="1"/>
      <c r="N156" s="1"/>
      <c r="O156" s="1"/>
      <c r="P156" s="1" t="str">
        <f ca="1">IFERROR(__xludf.DUMMYFUNCTION("""COMPUTED_VALUE"""),"Full-time")</f>
        <v>Full-time</v>
      </c>
      <c r="Q156" s="1">
        <f ca="1">IFERROR(__xludf.DUMMYFUNCTION("""COMPUTED_VALUE"""),5000000)</f>
        <v>5000000</v>
      </c>
      <c r="R156" s="3" t="str">
        <f ca="1">IFERROR(__xludf.DUMMYFUNCTION("""COMPUTED_VALUE"""),"https://drive.google.com/open?id=uTcmU3uK4F1zZhnxCH4o")</f>
        <v>https://drive.google.com/open?id=uTcmU3uK4F1zZhnxCH4o</v>
      </c>
      <c r="S156" s="1">
        <f ca="1">IFERROR(__xludf.DUMMYFUNCTION("""COMPUTED_VALUE"""),15000000)</f>
        <v>15000000</v>
      </c>
      <c r="T156" s="1" t="str">
        <f ca="1">IFERROR(__xludf.DUMMYFUNCTION("""COMPUTED_VALUE"""),"Gold")</f>
        <v>Gold</v>
      </c>
      <c r="U156" s="1" t="str">
        <f ca="1">IFERROR(__xludf.DUMMYFUNCTION("""COMPUTED_VALUE"""),"Online")</f>
        <v>Online</v>
      </c>
    </row>
    <row r="157" spans="1:21" x14ac:dyDescent="0.25">
      <c r="A157" s="2" t="str">
        <f ca="1">IFERROR(__xludf.DUMMYFUNCTION("""COMPUTED_VALUE"""),"APP0156")</f>
        <v>APP0156</v>
      </c>
      <c r="B157" s="2">
        <f ca="1">IFERROR(__xludf.DUMMYFUNCTION("""COMPUTED_VALUE"""),45905.9858333333)</f>
        <v>45905.985833333303</v>
      </c>
      <c r="C157" s="1" t="str">
        <f ca="1">IFERROR(__xludf.DUMMYFUNCTION("""COMPUTED_VALUE"""),"Hoàng Văn Mai")</f>
        <v>Hoàng Văn Mai</v>
      </c>
      <c r="D157" s="1" t="str">
        <f ca="1">IFERROR(__xludf.DUMMYFUNCTION("""COMPUTED_VALUE"""),"12/04/1989")</f>
        <v>12/04/1989</v>
      </c>
      <c r="E157" s="1" t="str">
        <f ca="1">IFERROR(__xludf.DUMMYFUNCTION("""COMPUTED_VALUE"""),"Female")</f>
        <v>Female</v>
      </c>
      <c r="F157" s="1" t="str">
        <f ca="1">IFERROR(__xludf.DUMMYFUNCTION("""COMPUTED_VALUE"""),"Vietnam")</f>
        <v>Vietnam</v>
      </c>
      <c r="G157" s="1" t="str">
        <f ca="1">IFERROR(__xludf.DUMMYFUNCTION("""COMPUTED_VALUE"""),"0992371477")</f>
        <v>0992371477</v>
      </c>
      <c r="H157" s="1" t="str">
        <f ca="1">IFERROR(__xludf.DUMMYFUNCTION("""COMPUTED_VALUE"""),"hoangvanmai@gmail.com")</f>
        <v>hoangvanmai@gmail.com</v>
      </c>
      <c r="I157" s="1" t="str">
        <f ca="1">IFERROR(__xludf.DUMMYFUNCTION("""COMPUTED_VALUE"""),"81 Ly Thuong Kiet, Dong Da, Da Nang, Viet Nam")</f>
        <v>81 Ly Thuong Kiet, Dong Da, Da Nang, Viet Nam</v>
      </c>
      <c r="J157" s="1" t="str">
        <f ca="1">IFERROR(__xludf.DUMMYFUNCTION("""COMPUTED_VALUE"""),"095610128019")</f>
        <v>095610128019</v>
      </c>
      <c r="K157" s="3" t="str">
        <f ca="1">IFERROR(__xludf.DUMMYFUNCTION("""COMPUTED_VALUE"""),"https://drive.google.com/open?id=BLBXvgJUJpK5GTqNjAS4")</f>
        <v>https://drive.google.com/open?id=BLBXvgJUJpK5GTqNjAS4</v>
      </c>
      <c r="L157" s="3" t="str">
        <f ca="1">IFERROR(__xludf.DUMMYFUNCTION("""COMPUTED_VALUE"""),"https://drive.google.com/open?id=vDd7T5VZvjdTm9zAmlpt")</f>
        <v>https://drive.google.com/open?id=vDd7T5VZvjdTm9zAmlpt</v>
      </c>
      <c r="M157" s="1"/>
      <c r="N157" s="1"/>
      <c r="O157" s="1"/>
      <c r="P157" s="1" t="str">
        <f ca="1">IFERROR(__xludf.DUMMYFUNCTION("""COMPUTED_VALUE"""),"Contract")</f>
        <v>Contract</v>
      </c>
      <c r="Q157" s="1">
        <f ca="1">IFERROR(__xludf.DUMMYFUNCTION("""COMPUTED_VALUE"""),8000000)</f>
        <v>8000000</v>
      </c>
      <c r="R157" s="3" t="str">
        <f ca="1">IFERROR(__xludf.DUMMYFUNCTION("""COMPUTED_VALUE"""),"https://drive.google.com/open?id=bGOq5BKUx3sk6CltLEF9")</f>
        <v>https://drive.google.com/open?id=bGOq5BKUx3sk6CltLEF9</v>
      </c>
      <c r="S157" s="1">
        <f ca="1">IFERROR(__xludf.DUMMYFUNCTION("""COMPUTED_VALUE"""),24000000)</f>
        <v>24000000</v>
      </c>
      <c r="T157" s="1" t="str">
        <f ca="1">IFERROR(__xludf.DUMMYFUNCTION("""COMPUTED_VALUE"""),"Gold")</f>
        <v>Gold</v>
      </c>
      <c r="U157" s="1" t="str">
        <f ca="1">IFERROR(__xludf.DUMMYFUNCTION("""COMPUTED_VALUE"""),"Online")</f>
        <v>Online</v>
      </c>
    </row>
    <row r="158" spans="1:21" x14ac:dyDescent="0.25">
      <c r="A158" s="2" t="str">
        <f ca="1">IFERROR(__xludf.DUMMYFUNCTION("""COMPUTED_VALUE"""),"APP0157")</f>
        <v>APP0157</v>
      </c>
      <c r="B158" s="2">
        <f ca="1">IFERROR(__xludf.DUMMYFUNCTION("""COMPUTED_VALUE"""),45906.0163888888)</f>
        <v>45906.016388888798</v>
      </c>
      <c r="C158" s="1" t="str">
        <f ca="1">IFERROR(__xludf.DUMMYFUNCTION("""COMPUTED_VALUE"""),"Lý Ngọc Tuấn")</f>
        <v>Lý Ngọc Tuấn</v>
      </c>
      <c r="D158" s="1" t="str">
        <f ca="1">IFERROR(__xludf.DUMMYFUNCTION("""COMPUTED_VALUE"""),"17/05/1990")</f>
        <v>17/05/1990</v>
      </c>
      <c r="E158" s="1" t="str">
        <f ca="1">IFERROR(__xludf.DUMMYFUNCTION("""COMPUTED_VALUE"""),"Female")</f>
        <v>Female</v>
      </c>
      <c r="F158" s="1" t="str">
        <f ca="1">IFERROR(__xludf.DUMMYFUNCTION("""COMPUTED_VALUE"""),"Vietnam")</f>
        <v>Vietnam</v>
      </c>
      <c r="G158" s="1" t="str">
        <f ca="1">IFERROR(__xludf.DUMMYFUNCTION("""COMPUTED_VALUE"""),"0861534016")</f>
        <v>0861534016</v>
      </c>
      <c r="H158" s="1" t="str">
        <f ca="1">IFERROR(__xludf.DUMMYFUNCTION("""COMPUTED_VALUE"""),"lyngoctuan@gmail.com")</f>
        <v>lyngoctuan@gmail.com</v>
      </c>
      <c r="I158" s="1" t="str">
        <f ca="1">IFERROR(__xludf.DUMMYFUNCTION("""COMPUTED_VALUE"""),"34 Pham Van Dong, Quan 3, TP Ho Chi Minh, Viet Nam")</f>
        <v>34 Pham Van Dong, Quan 3, TP Ho Chi Minh, Viet Nam</v>
      </c>
      <c r="J158" s="1" t="str">
        <f ca="1">IFERROR(__xludf.DUMMYFUNCTION("""COMPUTED_VALUE"""),"042758658172")</f>
        <v>042758658172</v>
      </c>
      <c r="K158" s="3" t="str">
        <f ca="1">IFERROR(__xludf.DUMMYFUNCTION("""COMPUTED_VALUE"""),"https://drive.google.com/open?id=M3vwAssxcyGKaDIhoQUB")</f>
        <v>https://drive.google.com/open?id=M3vwAssxcyGKaDIhoQUB</v>
      </c>
      <c r="L158" s="3" t="str">
        <f ca="1">IFERROR(__xludf.DUMMYFUNCTION("""COMPUTED_VALUE"""),"https://drive.google.com/open?id=hhRVnszoXxwq0EKUzfbM")</f>
        <v>https://drive.google.com/open?id=hhRVnszoXxwq0EKUzfbM</v>
      </c>
      <c r="M158" s="1"/>
      <c r="N158" s="1"/>
      <c r="O158" s="1"/>
      <c r="P158" s="1" t="str">
        <f ca="1">IFERROR(__xludf.DUMMYFUNCTION("""COMPUTED_VALUE"""),"Contract")</f>
        <v>Contract</v>
      </c>
      <c r="Q158" s="1">
        <f ca="1">IFERROR(__xludf.DUMMYFUNCTION("""COMPUTED_VALUE"""),12000000)</f>
        <v>12000000</v>
      </c>
      <c r="R158" s="3" t="str">
        <f ca="1">IFERROR(__xludf.DUMMYFUNCTION("""COMPUTED_VALUE"""),"https://drive.google.com/open?id=5eJgEAKlR0EMEhqsKXps")</f>
        <v>https://drive.google.com/open?id=5eJgEAKlR0EMEhqsKXps</v>
      </c>
      <c r="S158" s="1">
        <f ca="1">IFERROR(__xludf.DUMMYFUNCTION("""COMPUTED_VALUE"""),24000000)</f>
        <v>24000000</v>
      </c>
      <c r="T158" s="1" t="str">
        <f ca="1">IFERROR(__xludf.DUMMYFUNCTION("""COMPUTED_VALUE"""),"Platinum")</f>
        <v>Platinum</v>
      </c>
      <c r="U158" s="1" t="str">
        <f ca="1">IFERROR(__xludf.DUMMYFUNCTION("""COMPUTED_VALUE"""),"Branch")</f>
        <v>Branch</v>
      </c>
    </row>
    <row r="159" spans="1:21" x14ac:dyDescent="0.25">
      <c r="A159" s="2" t="str">
        <f ca="1">IFERROR(__xludf.DUMMYFUNCTION("""COMPUTED_VALUE"""),"APP0158")</f>
        <v>APP0158</v>
      </c>
      <c r="B159" s="2">
        <f ca="1">IFERROR(__xludf.DUMMYFUNCTION("""COMPUTED_VALUE"""),45906.0609953703)</f>
        <v>45906.060995370302</v>
      </c>
      <c r="C159" s="1" t="str">
        <f ca="1">IFERROR(__xludf.DUMMYFUNCTION("""COMPUTED_VALUE"""),"Phạm Anh Châu")</f>
        <v>Phạm Anh Châu</v>
      </c>
      <c r="D159" s="1" t="str">
        <f ca="1">IFERROR(__xludf.DUMMYFUNCTION("""COMPUTED_VALUE"""),"20/09/1993")</f>
        <v>20/09/1993</v>
      </c>
      <c r="E159" s="1" t="str">
        <f ca="1">IFERROR(__xludf.DUMMYFUNCTION("""COMPUTED_VALUE"""),"Female")</f>
        <v>Female</v>
      </c>
      <c r="F159" s="1" t="str">
        <f ca="1">IFERROR(__xludf.DUMMYFUNCTION("""COMPUTED_VALUE"""),"Vietnam")</f>
        <v>Vietnam</v>
      </c>
      <c r="G159" s="1" t="str">
        <f ca="1">IFERROR(__xludf.DUMMYFUNCTION("""COMPUTED_VALUE"""),"0968388909")</f>
        <v>0968388909</v>
      </c>
      <c r="H159" s="1" t="str">
        <f ca="1">IFERROR(__xludf.DUMMYFUNCTION("""COMPUTED_VALUE"""),"phamanhchau@gmail.com")</f>
        <v>phamanhchau@gmail.com</v>
      </c>
      <c r="I159" s="1" t="str">
        <f ca="1">IFERROR(__xludf.DUMMYFUNCTION("""COMPUTED_VALUE"""),"196 Tran Hung Dao, Quan 7, Hai Phong, Viet Nam")</f>
        <v>196 Tran Hung Dao, Quan 7, Hai Phong, Viet Nam</v>
      </c>
      <c r="J159" s="1" t="str">
        <f ca="1">IFERROR(__xludf.DUMMYFUNCTION("""COMPUTED_VALUE"""),"060401320643")</f>
        <v>060401320643</v>
      </c>
      <c r="K159" s="3" t="str">
        <f ca="1">IFERROR(__xludf.DUMMYFUNCTION("""COMPUTED_VALUE"""),"https://drive.google.com/open?id=TdGNq4pP0cGBjbavnxw5")</f>
        <v>https://drive.google.com/open?id=TdGNq4pP0cGBjbavnxw5</v>
      </c>
      <c r="L159" s="3" t="str">
        <f ca="1">IFERROR(__xludf.DUMMYFUNCTION("""COMPUTED_VALUE"""),"https://drive.google.com/open?id=hC4bdHGB7w4SFAjzPDge")</f>
        <v>https://drive.google.com/open?id=hC4bdHGB7w4SFAjzPDge</v>
      </c>
      <c r="M159" s="1"/>
      <c r="N159" s="1"/>
      <c r="O159" s="1"/>
      <c r="P159" s="1" t="str">
        <f ca="1">IFERROR(__xludf.DUMMYFUNCTION("""COMPUTED_VALUE"""),"Freelancer")</f>
        <v>Freelancer</v>
      </c>
      <c r="Q159" s="1">
        <f ca="1">IFERROR(__xludf.DUMMYFUNCTION("""COMPUTED_VALUE"""),8000000)</f>
        <v>8000000</v>
      </c>
      <c r="R159" s="3" t="str">
        <f ca="1">IFERROR(__xludf.DUMMYFUNCTION("""COMPUTED_VALUE"""),"https://drive.google.com/open?id=uno3lPsksK07Y8dC4fHe")</f>
        <v>https://drive.google.com/open?id=uno3lPsksK07Y8dC4fHe</v>
      </c>
      <c r="S159" s="1">
        <f ca="1">IFERROR(__xludf.DUMMYFUNCTION("""COMPUTED_VALUE"""),24000000)</f>
        <v>24000000</v>
      </c>
      <c r="T159" s="1" t="str">
        <f ca="1">IFERROR(__xludf.DUMMYFUNCTION("""COMPUTED_VALUE"""),"Gold")</f>
        <v>Gold</v>
      </c>
      <c r="U159" s="1" t="str">
        <f ca="1">IFERROR(__xludf.DUMMYFUNCTION("""COMPUTED_VALUE"""),"Branch")</f>
        <v>Branch</v>
      </c>
    </row>
    <row r="160" spans="1:21" x14ac:dyDescent="0.25">
      <c r="A160" s="2" t="str">
        <f ca="1">IFERROR(__xludf.DUMMYFUNCTION("""COMPUTED_VALUE"""),"APP0159")</f>
        <v>APP0159</v>
      </c>
      <c r="B160" s="2">
        <f ca="1">IFERROR(__xludf.DUMMYFUNCTION("""COMPUTED_VALUE"""),45906.091724537)</f>
        <v>45906.091724537</v>
      </c>
      <c r="C160" s="1" t="str">
        <f ca="1">IFERROR(__xludf.DUMMYFUNCTION("""COMPUTED_VALUE"""),"Ngô Thị Vy")</f>
        <v>Ngô Thị Vy</v>
      </c>
      <c r="D160" s="1" t="str">
        <f ca="1">IFERROR(__xludf.DUMMYFUNCTION("""COMPUTED_VALUE"""),"29/10/1969")</f>
        <v>29/10/1969</v>
      </c>
      <c r="E160" s="1" t="str">
        <f ca="1">IFERROR(__xludf.DUMMYFUNCTION("""COMPUTED_VALUE"""),"Male")</f>
        <v>Male</v>
      </c>
      <c r="F160" s="1" t="str">
        <f ca="1">IFERROR(__xludf.DUMMYFUNCTION("""COMPUTED_VALUE"""),"Vietnam")</f>
        <v>Vietnam</v>
      </c>
      <c r="G160" s="1" t="str">
        <f ca="1">IFERROR(__xludf.DUMMYFUNCTION("""COMPUTED_VALUE"""),"0844236535")</f>
        <v>0844236535</v>
      </c>
      <c r="H160" s="1" t="str">
        <f ca="1">IFERROR(__xludf.DUMMYFUNCTION("""COMPUTED_VALUE"""),"ngothivy@gmail.com")</f>
        <v>ngothivy@gmail.com</v>
      </c>
      <c r="I160" s="1" t="str">
        <f ca="1">IFERROR(__xludf.DUMMYFUNCTION("""COMPUTED_VALUE"""),"124 Tran Hung Dao, Hoan Kiem, Da Nang, Viet Nam")</f>
        <v>124 Tran Hung Dao, Hoan Kiem, Da Nang, Viet Nam</v>
      </c>
      <c r="J160" s="1" t="str">
        <f ca="1">IFERROR(__xludf.DUMMYFUNCTION("""COMPUTED_VALUE"""),"050381650399")</f>
        <v>050381650399</v>
      </c>
      <c r="K160" s="3" t="str">
        <f ca="1">IFERROR(__xludf.DUMMYFUNCTION("""COMPUTED_VALUE"""),"https://drive.google.com/open?id=gEsXcBv3TZPXQX2UNcT6")</f>
        <v>https://drive.google.com/open?id=gEsXcBv3TZPXQX2UNcT6</v>
      </c>
      <c r="L160" s="3" t="str">
        <f ca="1">IFERROR(__xludf.DUMMYFUNCTION("""COMPUTED_VALUE"""),"https://drive.google.com/open?id=8wJSCkuOPL6Av4sRaVS3")</f>
        <v>https://drive.google.com/open?id=8wJSCkuOPL6Av4sRaVS3</v>
      </c>
      <c r="M160" s="1"/>
      <c r="N160" s="1"/>
      <c r="O160" s="1"/>
      <c r="P160" s="1" t="str">
        <f ca="1">IFERROR(__xludf.DUMMYFUNCTION("""COMPUTED_VALUE"""),"Full-time")</f>
        <v>Full-time</v>
      </c>
      <c r="Q160" s="1">
        <f ca="1">IFERROR(__xludf.DUMMYFUNCTION("""COMPUTED_VALUE"""),50000000)</f>
        <v>50000000</v>
      </c>
      <c r="R160" s="3" t="str">
        <f ca="1">IFERROR(__xludf.DUMMYFUNCTION("""COMPUTED_VALUE"""),"https://drive.google.com/open?id=uCs39aZSbUtiSAKtYhSu")</f>
        <v>https://drive.google.com/open?id=uCs39aZSbUtiSAKtYhSu</v>
      </c>
      <c r="S160" s="1">
        <f ca="1">IFERROR(__xludf.DUMMYFUNCTION("""COMPUTED_VALUE"""),250000000)</f>
        <v>250000000</v>
      </c>
      <c r="T160" s="1" t="str">
        <f ca="1">IFERROR(__xludf.DUMMYFUNCTION("""COMPUTED_VALUE"""),"Classic")</f>
        <v>Classic</v>
      </c>
      <c r="U160" s="1" t="str">
        <f ca="1">IFERROR(__xludf.DUMMYFUNCTION("""COMPUTED_VALUE"""),"Partner")</f>
        <v>Partner</v>
      </c>
    </row>
    <row r="161" spans="1:21" x14ac:dyDescent="0.25">
      <c r="A161" s="2" t="str">
        <f ca="1">IFERROR(__xludf.DUMMYFUNCTION("""COMPUTED_VALUE"""),"APP0160")</f>
        <v>APP0160</v>
      </c>
      <c r="B161" s="2">
        <f ca="1">IFERROR(__xludf.DUMMYFUNCTION("""COMPUTED_VALUE"""),45906.2973379629)</f>
        <v>45906.297337962897</v>
      </c>
      <c r="C161" s="1" t="str">
        <f ca="1">IFERROR(__xludf.DUMMYFUNCTION("""COMPUTED_VALUE"""),"Võ Đức Giang")</f>
        <v>Võ Đức Giang</v>
      </c>
      <c r="D161" s="1" t="str">
        <f ca="1">IFERROR(__xludf.DUMMYFUNCTION("""COMPUTED_VALUE"""),"15/12/1967")</f>
        <v>15/12/1967</v>
      </c>
      <c r="E161" s="1" t="str">
        <f ca="1">IFERROR(__xludf.DUMMYFUNCTION("""COMPUTED_VALUE"""),"Male")</f>
        <v>Male</v>
      </c>
      <c r="F161" s="1" t="str">
        <f ca="1">IFERROR(__xludf.DUMMYFUNCTION("""COMPUTED_VALUE"""),"Vietnam")</f>
        <v>Vietnam</v>
      </c>
      <c r="G161" s="1" t="str">
        <f ca="1">IFERROR(__xludf.DUMMYFUNCTION("""COMPUTED_VALUE"""),"0889812861")</f>
        <v>0889812861</v>
      </c>
      <c r="H161" s="1" t="str">
        <f ca="1">IFERROR(__xludf.DUMMYFUNCTION("""COMPUTED_VALUE"""),"voducgiang@gmail.com")</f>
        <v>voducgiang@gmail.com</v>
      </c>
      <c r="I161" s="1" t="str">
        <f ca="1">IFERROR(__xludf.DUMMYFUNCTION("""COMPUTED_VALUE"""),"181 Tran Hung Dao, Hoan Kiem, Hai Phong, Viet Nam")</f>
        <v>181 Tran Hung Dao, Hoan Kiem, Hai Phong, Viet Nam</v>
      </c>
      <c r="J161" s="1" t="str">
        <f ca="1">IFERROR(__xludf.DUMMYFUNCTION("""COMPUTED_VALUE"""),"055481258728")</f>
        <v>055481258728</v>
      </c>
      <c r="K161" s="3" t="str">
        <f ca="1">IFERROR(__xludf.DUMMYFUNCTION("""COMPUTED_VALUE"""),"https://drive.google.com/open?id=2XOEen7RzTyHqFuLlcui")</f>
        <v>https://drive.google.com/open?id=2XOEen7RzTyHqFuLlcui</v>
      </c>
      <c r="L161" s="3" t="str">
        <f ca="1">IFERROR(__xludf.DUMMYFUNCTION("""COMPUTED_VALUE"""),"https://drive.google.com/open?id=hTBHHhN8KiyLInrPGsXw")</f>
        <v>https://drive.google.com/open?id=hTBHHhN8KiyLInrPGsXw</v>
      </c>
      <c r="M161" s="1"/>
      <c r="N161" s="1"/>
      <c r="O161" s="1"/>
      <c r="P161" s="1" t="str">
        <f ca="1">IFERROR(__xludf.DUMMYFUNCTION("""COMPUTED_VALUE"""),"Contract")</f>
        <v>Contract</v>
      </c>
      <c r="Q161" s="1">
        <f ca="1">IFERROR(__xludf.DUMMYFUNCTION("""COMPUTED_VALUE"""),50000000)</f>
        <v>50000000</v>
      </c>
      <c r="R161" s="3" t="str">
        <f ca="1">IFERROR(__xludf.DUMMYFUNCTION("""COMPUTED_VALUE"""),"https://drive.google.com/open?id=2Ue99QKIl5ltUAQkywiI")</f>
        <v>https://drive.google.com/open?id=2Ue99QKIl5ltUAQkywiI</v>
      </c>
      <c r="S161" s="1">
        <f ca="1">IFERROR(__xludf.DUMMYFUNCTION("""COMPUTED_VALUE"""),250000000)</f>
        <v>250000000</v>
      </c>
      <c r="T161" s="1" t="str">
        <f ca="1">IFERROR(__xludf.DUMMYFUNCTION("""COMPUTED_VALUE"""),"Gold")</f>
        <v>Gold</v>
      </c>
      <c r="U161" s="1" t="str">
        <f ca="1">IFERROR(__xludf.DUMMYFUNCTION("""COMPUTED_VALUE"""),"Partner")</f>
        <v>Partner</v>
      </c>
    </row>
    <row r="162" spans="1:21" x14ac:dyDescent="0.25">
      <c r="A162" s="2" t="str">
        <f ca="1">IFERROR(__xludf.DUMMYFUNCTION("""COMPUTED_VALUE"""),"APP0161")</f>
        <v>APP0161</v>
      </c>
      <c r="B162" s="2">
        <f ca="1">IFERROR(__xludf.DUMMYFUNCTION("""COMPUTED_VALUE"""),45906.3986805555)</f>
        <v>45906.398680555503</v>
      </c>
      <c r="C162" s="1" t="str">
        <f ca="1">IFERROR(__xludf.DUMMYFUNCTION("""COMPUTED_VALUE"""),"Lê Quang Mai")</f>
        <v>Lê Quang Mai</v>
      </c>
      <c r="D162" s="1" t="str">
        <f ca="1">IFERROR(__xludf.DUMMYFUNCTION("""COMPUTED_VALUE"""),"06/07/1998")</f>
        <v>06/07/1998</v>
      </c>
      <c r="E162" s="1" t="str">
        <f ca="1">IFERROR(__xludf.DUMMYFUNCTION("""COMPUTED_VALUE"""),"Female")</f>
        <v>Female</v>
      </c>
      <c r="F162" s="1" t="str">
        <f ca="1">IFERROR(__xludf.DUMMYFUNCTION("""COMPUTED_VALUE"""),"Vietnam")</f>
        <v>Vietnam</v>
      </c>
      <c r="G162" s="1" t="str">
        <f ca="1">IFERROR(__xludf.DUMMYFUNCTION("""COMPUTED_VALUE"""),"0718765983")</f>
        <v>0718765983</v>
      </c>
      <c r="H162" s="1" t="str">
        <f ca="1">IFERROR(__xludf.DUMMYFUNCTION("""COMPUTED_VALUE"""),"lequangmai@gmail.com")</f>
        <v>lequangmai@gmail.com</v>
      </c>
      <c r="I162" s="1" t="str">
        <f ca="1">IFERROR(__xludf.DUMMYFUNCTION("""COMPUTED_VALUE"""),"78 Nguyen Hue, Quan 3, TP Ho Chi Minh, Viet Nam")</f>
        <v>78 Nguyen Hue, Quan 3, TP Ho Chi Minh, Viet Nam</v>
      </c>
      <c r="J162" s="1" t="str">
        <f ca="1">IFERROR(__xludf.DUMMYFUNCTION("""COMPUTED_VALUE"""),"096493473353")</f>
        <v>096493473353</v>
      </c>
      <c r="K162" s="3" t="str">
        <f ca="1">IFERROR(__xludf.DUMMYFUNCTION("""COMPUTED_VALUE"""),"https://drive.google.com/open?id=kdhyhQOue3CEw8evRa8s")</f>
        <v>https://drive.google.com/open?id=kdhyhQOue3CEw8evRa8s</v>
      </c>
      <c r="L162" s="3" t="str">
        <f ca="1">IFERROR(__xludf.DUMMYFUNCTION("""COMPUTED_VALUE"""),"https://drive.google.com/open?id=NP7gk62W4gKX2FXibA34")</f>
        <v>https://drive.google.com/open?id=NP7gk62W4gKX2FXibA34</v>
      </c>
      <c r="M162" s="1"/>
      <c r="N162" s="1"/>
      <c r="O162" s="1"/>
      <c r="P162" s="1" t="str">
        <f ca="1">IFERROR(__xludf.DUMMYFUNCTION("""COMPUTED_VALUE"""),"Part-time")</f>
        <v>Part-time</v>
      </c>
      <c r="Q162" s="1">
        <f ca="1">IFERROR(__xludf.DUMMYFUNCTION("""COMPUTED_VALUE"""),5000000)</f>
        <v>5000000</v>
      </c>
      <c r="R162" s="3" t="str">
        <f ca="1">IFERROR(__xludf.DUMMYFUNCTION("""COMPUTED_VALUE"""),"https://drive.google.com/open?id=q9NGEzcqNYSHGHg4WO8q")</f>
        <v>https://drive.google.com/open?id=q9NGEzcqNYSHGHg4WO8q</v>
      </c>
      <c r="S162" s="1">
        <f ca="1">IFERROR(__xludf.DUMMYFUNCTION("""COMPUTED_VALUE"""),15000000)</f>
        <v>15000000</v>
      </c>
      <c r="T162" s="1" t="str">
        <f ca="1">IFERROR(__xludf.DUMMYFUNCTION("""COMPUTED_VALUE"""),"Classic")</f>
        <v>Classic</v>
      </c>
      <c r="U162" s="1" t="str">
        <f ca="1">IFERROR(__xludf.DUMMYFUNCTION("""COMPUTED_VALUE"""),"Online")</f>
        <v>Online</v>
      </c>
    </row>
    <row r="163" spans="1:21" x14ac:dyDescent="0.25">
      <c r="A163" s="2" t="str">
        <f ca="1">IFERROR(__xludf.DUMMYFUNCTION("""COMPUTED_VALUE"""),"APP0162")</f>
        <v>APP0162</v>
      </c>
      <c r="B163" s="2">
        <f ca="1">IFERROR(__xludf.DUMMYFUNCTION("""COMPUTED_VALUE"""),45906.4613773148)</f>
        <v>45906.461377314801</v>
      </c>
      <c r="C163" s="1" t="str">
        <f ca="1">IFERROR(__xludf.DUMMYFUNCTION("""COMPUTED_VALUE"""),"Võ Đức Vy")</f>
        <v>Võ Đức Vy</v>
      </c>
      <c r="D163" s="1" t="str">
        <f ca="1">IFERROR(__xludf.DUMMYFUNCTION("""COMPUTED_VALUE"""),"14/09/1981")</f>
        <v>14/09/1981</v>
      </c>
      <c r="E163" s="1" t="str">
        <f ca="1">IFERROR(__xludf.DUMMYFUNCTION("""COMPUTED_VALUE"""),"Female")</f>
        <v>Female</v>
      </c>
      <c r="F163" s="1" t="str">
        <f ca="1">IFERROR(__xludf.DUMMYFUNCTION("""COMPUTED_VALUE"""),"Vietnam")</f>
        <v>Vietnam</v>
      </c>
      <c r="G163" s="1" t="str">
        <f ca="1">IFERROR(__xludf.DUMMYFUNCTION("""COMPUTED_VALUE"""),"0733940894")</f>
        <v>0733940894</v>
      </c>
      <c r="H163" s="1" t="str">
        <f ca="1">IFERROR(__xludf.DUMMYFUNCTION("""COMPUTED_VALUE"""),"voducvy@gmail.com")</f>
        <v>voducvy@gmail.com</v>
      </c>
      <c r="I163" s="1" t="str">
        <f ca="1">IFERROR(__xludf.DUMMYFUNCTION("""COMPUTED_VALUE"""),"187 Pham Van Dong, Hoan Kiem, Da Nang, Viet Nam")</f>
        <v>187 Pham Van Dong, Hoan Kiem, Da Nang, Viet Nam</v>
      </c>
      <c r="J163" s="1" t="str">
        <f ca="1">IFERROR(__xludf.DUMMYFUNCTION("""COMPUTED_VALUE"""),"068307376184")</f>
        <v>068307376184</v>
      </c>
      <c r="K163" s="3" t="str">
        <f ca="1">IFERROR(__xludf.DUMMYFUNCTION("""COMPUTED_VALUE"""),"https://drive.google.com/open?id=jxf3Fmr9wwzUdEWTwauJ")</f>
        <v>https://drive.google.com/open?id=jxf3Fmr9wwzUdEWTwauJ</v>
      </c>
      <c r="L163" s="3" t="str">
        <f ca="1">IFERROR(__xludf.DUMMYFUNCTION("""COMPUTED_VALUE"""),"https://drive.google.com/open?id=eCEIxZThJWOsAtHYeveT")</f>
        <v>https://drive.google.com/open?id=eCEIxZThJWOsAtHYeveT</v>
      </c>
      <c r="M163" s="1"/>
      <c r="N163" s="1"/>
      <c r="O163" s="1"/>
      <c r="P163" s="1" t="str">
        <f ca="1">IFERROR(__xludf.DUMMYFUNCTION("""COMPUTED_VALUE"""),"Freelancer")</f>
        <v>Freelancer</v>
      </c>
      <c r="Q163" s="1">
        <f ca="1">IFERROR(__xludf.DUMMYFUNCTION("""COMPUTED_VALUE"""),12000000)</f>
        <v>12000000</v>
      </c>
      <c r="R163" s="3" t="str">
        <f ca="1">IFERROR(__xludf.DUMMYFUNCTION("""COMPUTED_VALUE"""),"https://drive.google.com/open?id=hcQZ0pF2loz7zAc6DhHa")</f>
        <v>https://drive.google.com/open?id=hcQZ0pF2loz7zAc6DhHa</v>
      </c>
      <c r="S163" s="1">
        <f ca="1">IFERROR(__xludf.DUMMYFUNCTION("""COMPUTED_VALUE"""),36000000)</f>
        <v>36000000</v>
      </c>
      <c r="T163" s="1" t="str">
        <f ca="1">IFERROR(__xludf.DUMMYFUNCTION("""COMPUTED_VALUE"""),"Classic")</f>
        <v>Classic</v>
      </c>
      <c r="U163" s="1" t="str">
        <f ca="1">IFERROR(__xludf.DUMMYFUNCTION("""COMPUTED_VALUE"""),"Branch")</f>
        <v>Branch</v>
      </c>
    </row>
    <row r="164" spans="1:21" x14ac:dyDescent="0.25">
      <c r="A164" s="2" t="str">
        <f ca="1">IFERROR(__xludf.DUMMYFUNCTION("""COMPUTED_VALUE"""),"APP0163")</f>
        <v>APP0163</v>
      </c>
      <c r="B164" s="2">
        <f ca="1">IFERROR(__xludf.DUMMYFUNCTION("""COMPUTED_VALUE"""),45906.4614699074)</f>
        <v>45906.461469907401</v>
      </c>
      <c r="C164" s="1" t="str">
        <f ca="1">IFERROR(__xludf.DUMMYFUNCTION("""COMPUTED_VALUE"""),"Huỳnh Minh Nam")</f>
        <v>Huỳnh Minh Nam</v>
      </c>
      <c r="D164" s="1" t="str">
        <f ca="1">IFERROR(__xludf.DUMMYFUNCTION("""COMPUTED_VALUE"""),"02/10/2003")</f>
        <v>02/10/2003</v>
      </c>
      <c r="E164" s="1" t="str">
        <f ca="1">IFERROR(__xludf.DUMMYFUNCTION("""COMPUTED_VALUE"""),"Female")</f>
        <v>Female</v>
      </c>
      <c r="F164" s="1" t="str">
        <f ca="1">IFERROR(__xludf.DUMMYFUNCTION("""COMPUTED_VALUE"""),"Vietnam")</f>
        <v>Vietnam</v>
      </c>
      <c r="G164" s="1" t="str">
        <f ca="1">IFERROR(__xludf.DUMMYFUNCTION("""COMPUTED_VALUE"""),"0781684904")</f>
        <v>0781684904</v>
      </c>
      <c r="H164" s="1" t="str">
        <f ca="1">IFERROR(__xludf.DUMMYFUNCTION("""COMPUTED_VALUE"""),"huynhminhnam@gmail.com")</f>
        <v>huynhminhnam@gmail.com</v>
      </c>
      <c r="I164" s="1" t="str">
        <f ca="1">IFERROR(__xludf.DUMMYFUNCTION("""COMPUTED_VALUE"""),"80 Le Loi, Dong Da, Can Tho, Viet Nam")</f>
        <v>80 Le Loi, Dong Da, Can Tho, Viet Nam</v>
      </c>
      <c r="J164" s="1" t="str">
        <f ca="1">IFERROR(__xludf.DUMMYFUNCTION("""COMPUTED_VALUE"""),"013314063709")</f>
        <v>013314063709</v>
      </c>
      <c r="K164" s="3" t="str">
        <f ca="1">IFERROR(__xludf.DUMMYFUNCTION("""COMPUTED_VALUE"""),"https://drive.google.com/open?id=zDk5f7Neo1KncGGBtgxy")</f>
        <v>https://drive.google.com/open?id=zDk5f7Neo1KncGGBtgxy</v>
      </c>
      <c r="L164" s="3" t="str">
        <f ca="1">IFERROR(__xludf.DUMMYFUNCTION("""COMPUTED_VALUE"""),"https://drive.google.com/open?id=0dYGJlzoxdtTI208tBw6")</f>
        <v>https://drive.google.com/open?id=0dYGJlzoxdtTI208tBw6</v>
      </c>
      <c r="M164" s="1"/>
      <c r="N164" s="1"/>
      <c r="O164" s="1"/>
      <c r="P164" s="1" t="str">
        <f ca="1">IFERROR(__xludf.DUMMYFUNCTION("""COMPUTED_VALUE"""),"Part-time")</f>
        <v>Part-time</v>
      </c>
      <c r="Q164" s="1">
        <f ca="1">IFERROR(__xludf.DUMMYFUNCTION("""COMPUTED_VALUE"""),20000000)</f>
        <v>20000000</v>
      </c>
      <c r="R164" s="3" t="str">
        <f ca="1">IFERROR(__xludf.DUMMYFUNCTION("""COMPUTED_VALUE"""),"https://drive.google.com/open?id=0Xps2LtR09w9v6xv8KE9")</f>
        <v>https://drive.google.com/open?id=0Xps2LtR09w9v6xv8KE9</v>
      </c>
      <c r="S164" s="1">
        <f ca="1">IFERROR(__xludf.DUMMYFUNCTION("""COMPUTED_VALUE"""),100000000)</f>
        <v>100000000</v>
      </c>
      <c r="T164" s="1" t="str">
        <f ca="1">IFERROR(__xludf.DUMMYFUNCTION("""COMPUTED_VALUE"""),"Gold")</f>
        <v>Gold</v>
      </c>
      <c r="U164" s="1" t="str">
        <f ca="1">IFERROR(__xludf.DUMMYFUNCTION("""COMPUTED_VALUE"""),"Online")</f>
        <v>Online</v>
      </c>
    </row>
    <row r="165" spans="1:21" x14ac:dyDescent="0.25">
      <c r="A165" s="2" t="str">
        <f ca="1">IFERROR(__xludf.DUMMYFUNCTION("""COMPUTED_VALUE"""),"APP0164")</f>
        <v>APP0164</v>
      </c>
      <c r="B165" s="2">
        <f ca="1">IFERROR(__xludf.DUMMYFUNCTION("""COMPUTED_VALUE"""),45906.4818171296)</f>
        <v>45906.481817129599</v>
      </c>
      <c r="C165" s="1" t="str">
        <f ca="1">IFERROR(__xludf.DUMMYFUNCTION("""COMPUTED_VALUE"""),"Bùi Ngọc Phúc")</f>
        <v>Bùi Ngọc Phúc</v>
      </c>
      <c r="D165" s="1" t="str">
        <f ca="1">IFERROR(__xludf.DUMMYFUNCTION("""COMPUTED_VALUE"""),"14/12/1980")</f>
        <v>14/12/1980</v>
      </c>
      <c r="E165" s="1" t="str">
        <f ca="1">IFERROR(__xludf.DUMMYFUNCTION("""COMPUTED_VALUE"""),"Male")</f>
        <v>Male</v>
      </c>
      <c r="F165" s="1" t="str">
        <f ca="1">IFERROR(__xludf.DUMMYFUNCTION("""COMPUTED_VALUE"""),"Vietnam")</f>
        <v>Vietnam</v>
      </c>
      <c r="G165" s="1" t="str">
        <f ca="1">IFERROR(__xludf.DUMMYFUNCTION("""COMPUTED_VALUE"""),"0862047515")</f>
        <v>0862047515</v>
      </c>
      <c r="H165" s="1" t="str">
        <f ca="1">IFERROR(__xludf.DUMMYFUNCTION("""COMPUTED_VALUE"""),"buingocphuc@gmail.com")</f>
        <v>buingocphuc@gmail.com</v>
      </c>
      <c r="I165" s="1" t="str">
        <f ca="1">IFERROR(__xludf.DUMMYFUNCTION("""COMPUTED_VALUE"""),"52 Pham Van Dong, Hai Chau, Da Nang, Viet Nam")</f>
        <v>52 Pham Van Dong, Hai Chau, Da Nang, Viet Nam</v>
      </c>
      <c r="J165" s="1" t="str">
        <f ca="1">IFERROR(__xludf.DUMMYFUNCTION("""COMPUTED_VALUE"""),"039150925092")</f>
        <v>039150925092</v>
      </c>
      <c r="K165" s="3" t="str">
        <f ca="1">IFERROR(__xludf.DUMMYFUNCTION("""COMPUTED_VALUE"""),"https://drive.google.com/open?id=ohVjHQscxWdOBOQPRdRY")</f>
        <v>https://drive.google.com/open?id=ohVjHQscxWdOBOQPRdRY</v>
      </c>
      <c r="L165" s="3" t="str">
        <f ca="1">IFERROR(__xludf.DUMMYFUNCTION("""COMPUTED_VALUE"""),"https://drive.google.com/open?id=Tuh1eonUe5gcpwL6QXO0")</f>
        <v>https://drive.google.com/open?id=Tuh1eonUe5gcpwL6QXO0</v>
      </c>
      <c r="M165" s="1"/>
      <c r="N165" s="1"/>
      <c r="O165" s="1"/>
      <c r="P165" s="1" t="str">
        <f ca="1">IFERROR(__xludf.DUMMYFUNCTION("""COMPUTED_VALUE"""),"Full-time")</f>
        <v>Full-time</v>
      </c>
      <c r="Q165" s="1">
        <f ca="1">IFERROR(__xludf.DUMMYFUNCTION("""COMPUTED_VALUE"""),5000000)</f>
        <v>5000000</v>
      </c>
      <c r="R165" s="3" t="str">
        <f ca="1">IFERROR(__xludf.DUMMYFUNCTION("""COMPUTED_VALUE"""),"https://drive.google.com/open?id=gxPgXpmKeEfJb6E6zvSP")</f>
        <v>https://drive.google.com/open?id=gxPgXpmKeEfJb6E6zvSP</v>
      </c>
      <c r="S165" s="1">
        <f ca="1">IFERROR(__xludf.DUMMYFUNCTION("""COMPUTED_VALUE"""),10000000)</f>
        <v>10000000</v>
      </c>
      <c r="T165" s="1" t="str">
        <f ca="1">IFERROR(__xludf.DUMMYFUNCTION("""COMPUTED_VALUE"""),"Platinum")</f>
        <v>Platinum</v>
      </c>
      <c r="U165" s="1" t="str">
        <f ca="1">IFERROR(__xludf.DUMMYFUNCTION("""COMPUTED_VALUE"""),"Online")</f>
        <v>Online</v>
      </c>
    </row>
    <row r="166" spans="1:21" x14ac:dyDescent="0.25">
      <c r="A166" s="2" t="str">
        <f ca="1">IFERROR(__xludf.DUMMYFUNCTION("""COMPUTED_VALUE"""),"APP0165")</f>
        <v>APP0165</v>
      </c>
      <c r="B166" s="2">
        <f ca="1">IFERROR(__xludf.DUMMYFUNCTION("""COMPUTED_VALUE"""),45906.5376851851)</f>
        <v>45906.537685185103</v>
      </c>
      <c r="C166" s="1" t="str">
        <f ca="1">IFERROR(__xludf.DUMMYFUNCTION("""COMPUTED_VALUE"""),"Đặng Anh Trang")</f>
        <v>Đặng Anh Trang</v>
      </c>
      <c r="D166" s="1" t="str">
        <f ca="1">IFERROR(__xludf.DUMMYFUNCTION("""COMPUTED_VALUE"""),"28/08/1999")</f>
        <v>28/08/1999</v>
      </c>
      <c r="E166" s="1" t="str">
        <f ca="1">IFERROR(__xludf.DUMMYFUNCTION("""COMPUTED_VALUE"""),"Female")</f>
        <v>Female</v>
      </c>
      <c r="F166" s="1" t="str">
        <f ca="1">IFERROR(__xludf.DUMMYFUNCTION("""COMPUTED_VALUE"""),"Vietnam")</f>
        <v>Vietnam</v>
      </c>
      <c r="G166" s="1" t="str">
        <f ca="1">IFERROR(__xludf.DUMMYFUNCTION("""COMPUTED_VALUE"""),"0815477028")</f>
        <v>0815477028</v>
      </c>
      <c r="H166" s="1" t="str">
        <f ca="1">IFERROR(__xludf.DUMMYFUNCTION("""COMPUTED_VALUE"""),"danganhtrang@gmail.com")</f>
        <v>danganhtrang@gmail.com</v>
      </c>
      <c r="I166" s="1" t="str">
        <f ca="1">IFERROR(__xludf.DUMMYFUNCTION("""COMPUTED_VALUE"""),"50 Pham Van Dong, Quan 1, Da Nang, Viet Nam")</f>
        <v>50 Pham Van Dong, Quan 1, Da Nang, Viet Nam</v>
      </c>
      <c r="J166" s="1" t="str">
        <f ca="1">IFERROR(__xludf.DUMMYFUNCTION("""COMPUTED_VALUE"""),"029256669803")</f>
        <v>029256669803</v>
      </c>
      <c r="K166" s="3" t="str">
        <f ca="1">IFERROR(__xludf.DUMMYFUNCTION("""COMPUTED_VALUE"""),"https://drive.google.com/open?id=kK9gvbVAgEQIbEFJ73YP")</f>
        <v>https://drive.google.com/open?id=kK9gvbVAgEQIbEFJ73YP</v>
      </c>
      <c r="L166" s="3" t="str">
        <f ca="1">IFERROR(__xludf.DUMMYFUNCTION("""COMPUTED_VALUE"""),"https://drive.google.com/open?id=9nZOFzX0ciaxMEMSrDis")</f>
        <v>https://drive.google.com/open?id=9nZOFzX0ciaxMEMSrDis</v>
      </c>
      <c r="M166" s="1"/>
      <c r="N166" s="1"/>
      <c r="O166" s="1"/>
      <c r="P166" s="1" t="str">
        <f ca="1">IFERROR(__xludf.DUMMYFUNCTION("""COMPUTED_VALUE"""),"Freelancer")</f>
        <v>Freelancer</v>
      </c>
      <c r="Q166" s="1">
        <f ca="1">IFERROR(__xludf.DUMMYFUNCTION("""COMPUTED_VALUE"""),50000000)</f>
        <v>50000000</v>
      </c>
      <c r="R166" s="3" t="str">
        <f ca="1">IFERROR(__xludf.DUMMYFUNCTION("""COMPUTED_VALUE"""),"https://drive.google.com/open?id=tOWZhIR7TOlHo2ByfcUx")</f>
        <v>https://drive.google.com/open?id=tOWZhIR7TOlHo2ByfcUx</v>
      </c>
      <c r="S166" s="1">
        <f ca="1">IFERROR(__xludf.DUMMYFUNCTION("""COMPUTED_VALUE"""),100000000)</f>
        <v>100000000</v>
      </c>
      <c r="T166" s="1" t="str">
        <f ca="1">IFERROR(__xludf.DUMMYFUNCTION("""COMPUTED_VALUE"""),"Classic")</f>
        <v>Classic</v>
      </c>
      <c r="U166" s="1" t="str">
        <f ca="1">IFERROR(__xludf.DUMMYFUNCTION("""COMPUTED_VALUE"""),"Online")</f>
        <v>Online</v>
      </c>
    </row>
    <row r="167" spans="1:21" x14ac:dyDescent="0.25">
      <c r="A167" s="2" t="str">
        <f ca="1">IFERROR(__xludf.DUMMYFUNCTION("""COMPUTED_VALUE"""),"APP0166")</f>
        <v>APP0166</v>
      </c>
      <c r="B167" s="2">
        <f ca="1">IFERROR(__xludf.DUMMYFUNCTION("""COMPUTED_VALUE"""),45906.5558101851)</f>
        <v>45906.555810185098</v>
      </c>
      <c r="C167" s="1" t="str">
        <f ca="1">IFERROR(__xludf.DUMMYFUNCTION("""COMPUTED_VALUE"""),"Võ Ngọc Bình")</f>
        <v>Võ Ngọc Bình</v>
      </c>
      <c r="D167" s="1" t="str">
        <f ca="1">IFERROR(__xludf.DUMMYFUNCTION("""COMPUTED_VALUE"""),"29/01/2006")</f>
        <v>29/01/2006</v>
      </c>
      <c r="E167" s="1" t="str">
        <f ca="1">IFERROR(__xludf.DUMMYFUNCTION("""COMPUTED_VALUE"""),"Male")</f>
        <v>Male</v>
      </c>
      <c r="F167" s="1" t="str">
        <f ca="1">IFERROR(__xludf.DUMMYFUNCTION("""COMPUTED_VALUE"""),"Vietnam")</f>
        <v>Vietnam</v>
      </c>
      <c r="G167" s="1" t="str">
        <f ca="1">IFERROR(__xludf.DUMMYFUNCTION("""COMPUTED_VALUE"""),"0723550461")</f>
        <v>0723550461</v>
      </c>
      <c r="H167" s="1" t="str">
        <f ca="1">IFERROR(__xludf.DUMMYFUNCTION("""COMPUTED_VALUE"""),"vongocbinh@gmail.com")</f>
        <v>vongocbinh@gmail.com</v>
      </c>
      <c r="I167" s="1" t="str">
        <f ca="1">IFERROR(__xludf.DUMMYFUNCTION("""COMPUTED_VALUE"""),"135 Pham Van Dong, Quan 1, Da Nang, Viet Nam")</f>
        <v>135 Pham Van Dong, Quan 1, Da Nang, Viet Nam</v>
      </c>
      <c r="J167" s="1" t="str">
        <f ca="1">IFERROR(__xludf.DUMMYFUNCTION("""COMPUTED_VALUE"""),"0518687362")</f>
        <v>0518687362</v>
      </c>
      <c r="K167" s="3" t="str">
        <f ca="1">IFERROR(__xludf.DUMMYFUNCTION("""COMPUTED_VALUE"""),"https://drive.google.com/open?id=MVz3Jou8tY7YhaxOKTHj")</f>
        <v>https://drive.google.com/open?id=MVz3Jou8tY7YhaxOKTHj</v>
      </c>
      <c r="L167" s="3" t="str">
        <f ca="1">IFERROR(__xludf.DUMMYFUNCTION("""COMPUTED_VALUE"""),"https://drive.google.com/open?id=mJ1Y7dn9apRLZMvpFMUY")</f>
        <v>https://drive.google.com/open?id=mJ1Y7dn9apRLZMvpFMUY</v>
      </c>
      <c r="M167" s="1"/>
      <c r="N167" s="1"/>
      <c r="O167" s="1"/>
      <c r="P167" s="1" t="str">
        <f ca="1">IFERROR(__xludf.DUMMYFUNCTION("""COMPUTED_VALUE"""),"Contract")</f>
        <v>Contract</v>
      </c>
      <c r="Q167" s="1">
        <f ca="1">IFERROR(__xludf.DUMMYFUNCTION("""COMPUTED_VALUE"""),50000000)</f>
        <v>50000000</v>
      </c>
      <c r="R167" s="3" t="str">
        <f ca="1">IFERROR(__xludf.DUMMYFUNCTION("""COMPUTED_VALUE"""),"https://drive.google.com/open?id=OA8hMKUx6b1TkRQXMKH2")</f>
        <v>https://drive.google.com/open?id=OA8hMKUx6b1TkRQXMKH2</v>
      </c>
      <c r="S167" s="1">
        <f ca="1">IFERROR(__xludf.DUMMYFUNCTION("""COMPUTED_VALUE"""),150000000)</f>
        <v>150000000</v>
      </c>
      <c r="T167" s="1" t="str">
        <f ca="1">IFERROR(__xludf.DUMMYFUNCTION("""COMPUTED_VALUE"""),"Platinum")</f>
        <v>Platinum</v>
      </c>
      <c r="U167" s="1" t="str">
        <f ca="1">IFERROR(__xludf.DUMMYFUNCTION("""COMPUTED_VALUE"""),"Branch")</f>
        <v>Branch</v>
      </c>
    </row>
    <row r="168" spans="1:21" x14ac:dyDescent="0.25">
      <c r="A168" s="2" t="str">
        <f ca="1">IFERROR(__xludf.DUMMYFUNCTION("""COMPUTED_VALUE"""),"APP0167")</f>
        <v>APP0167</v>
      </c>
      <c r="B168" s="2">
        <f ca="1">IFERROR(__xludf.DUMMYFUNCTION("""COMPUTED_VALUE"""),45906.5738773148)</f>
        <v>45906.573877314797</v>
      </c>
      <c r="C168" s="1" t="str">
        <f ca="1">IFERROR(__xludf.DUMMYFUNCTION("""COMPUTED_VALUE"""),"Candice Morgan")</f>
        <v>Candice Morgan</v>
      </c>
      <c r="D168" s="1" t="str">
        <f ca="1">IFERROR(__xludf.DUMMYFUNCTION("""COMPUTED_VALUE"""),"08/10/2003")</f>
        <v>08/10/2003</v>
      </c>
      <c r="E168" s="1" t="str">
        <f ca="1">IFERROR(__xludf.DUMMYFUNCTION("""COMPUTED_VALUE"""),"Female")</f>
        <v>Female</v>
      </c>
      <c r="F168" s="1" t="str">
        <f ca="1">IFERROR(__xludf.DUMMYFUNCTION("""COMPUTED_VALUE"""),"Other")</f>
        <v>Other</v>
      </c>
      <c r="G168" s="1" t="str">
        <f ca="1">IFERROR(__xludf.DUMMYFUNCTION("""COMPUTED_VALUE"""),"+91 8134180342")</f>
        <v>+91 8134180342</v>
      </c>
      <c r="H168" s="1" t="str">
        <f ca="1">IFERROR(__xludf.DUMMYFUNCTION("""COMPUTED_VALUE"""),"candicemorgan@gmail.com")</f>
        <v>candicemorgan@gmail.com</v>
      </c>
      <c r="I168" s="1" t="str">
        <f ca="1">IFERROR(__xludf.DUMMYFUNCTION("""COMPUTED_VALUE"""),"06874 John Branch Suite 857, New Kylemouth, OH 23582")</f>
        <v>06874 John Branch Suite 857, New Kylemouth, OH 23582</v>
      </c>
      <c r="J168" s="1"/>
      <c r="K168" s="1"/>
      <c r="L168" s="1"/>
      <c r="M168" s="1" t="str">
        <f ca="1">IFERROR(__xludf.DUMMYFUNCTION("""COMPUTED_VALUE"""),"gc197344")</f>
        <v>gc197344</v>
      </c>
      <c r="N168" s="3" t="str">
        <f ca="1">IFERROR(__xludf.DUMMYFUNCTION("""COMPUTED_VALUE"""),"https://drive.google.com/open?id=3hsxOqJ7HXOIrEFfuwJ2")</f>
        <v>https://drive.google.com/open?id=3hsxOqJ7HXOIrEFfuwJ2</v>
      </c>
      <c r="O168" s="3" t="str">
        <f ca="1">IFERROR(__xludf.DUMMYFUNCTION("""COMPUTED_VALUE"""),"https://drive.google.com/open?id=hu81pEfkDCu1NntTGxcG")</f>
        <v>https://drive.google.com/open?id=hu81pEfkDCu1NntTGxcG</v>
      </c>
      <c r="P168" s="1" t="str">
        <f ca="1">IFERROR(__xludf.DUMMYFUNCTION("""COMPUTED_VALUE"""),"Freelancer")</f>
        <v>Freelancer</v>
      </c>
      <c r="Q168" s="1">
        <f ca="1">IFERROR(__xludf.DUMMYFUNCTION("""COMPUTED_VALUE"""),20000000)</f>
        <v>20000000</v>
      </c>
      <c r="R168" s="3" t="str">
        <f ca="1">IFERROR(__xludf.DUMMYFUNCTION("""COMPUTED_VALUE"""),"https://drive.google.com/open?id=FJ26GZRd8ZHKFhxY7RLO")</f>
        <v>https://drive.google.com/open?id=FJ26GZRd8ZHKFhxY7RLO</v>
      </c>
      <c r="S168" s="1">
        <f ca="1">IFERROR(__xludf.DUMMYFUNCTION("""COMPUTED_VALUE"""),40000000)</f>
        <v>40000000</v>
      </c>
      <c r="T168" s="1" t="str">
        <f ca="1">IFERROR(__xludf.DUMMYFUNCTION("""COMPUTED_VALUE"""),"Gold")</f>
        <v>Gold</v>
      </c>
      <c r="U168" s="1" t="str">
        <f ca="1">IFERROR(__xludf.DUMMYFUNCTION("""COMPUTED_VALUE"""),"Online")</f>
        <v>Online</v>
      </c>
    </row>
    <row r="169" spans="1:21" x14ac:dyDescent="0.25">
      <c r="A169" s="2" t="str">
        <f ca="1">IFERROR(__xludf.DUMMYFUNCTION("""COMPUTED_VALUE"""),"APP0168")</f>
        <v>APP0168</v>
      </c>
      <c r="B169" s="2">
        <f ca="1">IFERROR(__xludf.DUMMYFUNCTION("""COMPUTED_VALUE"""),45906.6261111111)</f>
        <v>45906.626111111102</v>
      </c>
      <c r="C169" s="1" t="str">
        <f ca="1">IFERROR(__xludf.DUMMYFUNCTION("""COMPUTED_VALUE"""),"Hoàng Hữu Quỳnh")</f>
        <v>Hoàng Hữu Quỳnh</v>
      </c>
      <c r="D169" s="1" t="str">
        <f ca="1">IFERROR(__xludf.DUMMYFUNCTION("""COMPUTED_VALUE"""),"30/08/2003")</f>
        <v>30/08/2003</v>
      </c>
      <c r="E169" s="1" t="str">
        <f ca="1">IFERROR(__xludf.DUMMYFUNCTION("""COMPUTED_VALUE"""),"Male")</f>
        <v>Male</v>
      </c>
      <c r="F169" s="1" t="str">
        <f ca="1">IFERROR(__xludf.DUMMYFUNCTION("""COMPUTED_VALUE"""),"Vietnam")</f>
        <v>Vietnam</v>
      </c>
      <c r="G169" s="1" t="str">
        <f ca="1">IFERROR(__xludf.DUMMYFUNCTION("""COMPUTED_VALUE"""),"0796982057")</f>
        <v>0796982057</v>
      </c>
      <c r="H169" s="1" t="str">
        <f ca="1">IFERROR(__xludf.DUMMYFUNCTION("""COMPUTED_VALUE"""),"hoanghuuquynh@gmail.com")</f>
        <v>hoanghuuquynh@gmail.com</v>
      </c>
      <c r="I169" s="1" t="str">
        <f ca="1">IFERROR(__xludf.DUMMYFUNCTION("""COMPUTED_VALUE"""),"186 Le Loi, Hai Chau, Hai Phong, Viet Nam")</f>
        <v>186 Le Loi, Hai Chau, Hai Phong, Viet Nam</v>
      </c>
      <c r="J169" s="1" t="str">
        <f ca="1">IFERROR(__xludf.DUMMYFUNCTION("""COMPUTED_VALUE"""),"059658782247")</f>
        <v>059658782247</v>
      </c>
      <c r="K169" s="3" t="str">
        <f ca="1">IFERROR(__xludf.DUMMYFUNCTION("""COMPUTED_VALUE"""),"https://drive.google.com/open?id=qY0lTu7nbYUadNrOFZJh")</f>
        <v>https://drive.google.com/open?id=qY0lTu7nbYUadNrOFZJh</v>
      </c>
      <c r="L169" s="3" t="str">
        <f ca="1">IFERROR(__xludf.DUMMYFUNCTION("""COMPUTED_VALUE"""),"https://drive.google.com/open?id=ulUzSJiEEWsn9ouYmPKb")</f>
        <v>https://drive.google.com/open?id=ulUzSJiEEWsn9ouYmPKb</v>
      </c>
      <c r="M169" s="1"/>
      <c r="N169" s="1"/>
      <c r="O169" s="1"/>
      <c r="P169" s="1" t="str">
        <f ca="1">IFERROR(__xludf.DUMMYFUNCTION("""COMPUTED_VALUE"""),"Full-time")</f>
        <v>Full-time</v>
      </c>
      <c r="Q169" s="1">
        <f ca="1">IFERROR(__xludf.DUMMYFUNCTION("""COMPUTED_VALUE"""),20000000)</f>
        <v>20000000</v>
      </c>
      <c r="R169" s="3" t="str">
        <f ca="1">IFERROR(__xludf.DUMMYFUNCTION("""COMPUTED_VALUE"""),"https://drive.google.com/open?id=1tHauFOUycdWOVYFNbMC")</f>
        <v>https://drive.google.com/open?id=1tHauFOUycdWOVYFNbMC</v>
      </c>
      <c r="S169" s="1">
        <f ca="1">IFERROR(__xludf.DUMMYFUNCTION("""COMPUTED_VALUE"""),60000000)</f>
        <v>60000000</v>
      </c>
      <c r="T169" s="1" t="str">
        <f ca="1">IFERROR(__xludf.DUMMYFUNCTION("""COMPUTED_VALUE"""),"Platinum")</f>
        <v>Platinum</v>
      </c>
      <c r="U169" s="1" t="str">
        <f ca="1">IFERROR(__xludf.DUMMYFUNCTION("""COMPUTED_VALUE"""),"Online")</f>
        <v>Online</v>
      </c>
    </row>
    <row r="170" spans="1:21" x14ac:dyDescent="0.25">
      <c r="A170" s="2" t="str">
        <f ca="1">IFERROR(__xludf.DUMMYFUNCTION("""COMPUTED_VALUE"""),"APP0169")</f>
        <v>APP0169</v>
      </c>
      <c r="B170" s="2">
        <f ca="1">IFERROR(__xludf.DUMMYFUNCTION("""COMPUTED_VALUE"""),45906.7041435185)</f>
        <v>45906.704143518502</v>
      </c>
      <c r="C170" s="1" t="str">
        <f ca="1">IFERROR(__xludf.DUMMYFUNCTION("""COMPUTED_VALUE"""),"Malik Blackburn")</f>
        <v>Malik Blackburn</v>
      </c>
      <c r="D170" s="1" t="str">
        <f ca="1">IFERROR(__xludf.DUMMYFUNCTION("""COMPUTED_VALUE"""),"28/05/1969")</f>
        <v>28/05/1969</v>
      </c>
      <c r="E170" s="1" t="str">
        <f ca="1">IFERROR(__xludf.DUMMYFUNCTION("""COMPUTED_VALUE"""),"Male")</f>
        <v>Male</v>
      </c>
      <c r="F170" s="1" t="str">
        <f ca="1">IFERROR(__xludf.DUMMYFUNCTION("""COMPUTED_VALUE"""),"Other")</f>
        <v>Other</v>
      </c>
      <c r="G170" s="1" t="str">
        <f ca="1">IFERROR(__xludf.DUMMYFUNCTION("""COMPUTED_VALUE"""),"+852 6301440014")</f>
        <v>+852 6301440014</v>
      </c>
      <c r="H170" s="1" t="str">
        <f ca="1">IFERROR(__xludf.DUMMYFUNCTION("""COMPUTED_VALUE"""),"malikblackburn@gmail.com")</f>
        <v>malikblackburn@gmail.com</v>
      </c>
      <c r="I170" s="1" t="str">
        <f ca="1">IFERROR(__xludf.DUMMYFUNCTION("""COMPUTED_VALUE"""),"724 Wood Track, Amyside, WA 21495")</f>
        <v>724 Wood Track, Amyside, WA 21495</v>
      </c>
      <c r="J170" s="1"/>
      <c r="K170" s="1"/>
      <c r="L170" s="1"/>
      <c r="M170" s="1" t="str">
        <f ca="1">IFERROR(__xludf.DUMMYFUNCTION("""COMPUTED_VALUE"""),"jp002180")</f>
        <v>jp002180</v>
      </c>
      <c r="N170" s="3" t="str">
        <f ca="1">IFERROR(__xludf.DUMMYFUNCTION("""COMPUTED_VALUE"""),"https://drive.google.com/open?id=E4BJXsflxXDVK1ZcoHhq")</f>
        <v>https://drive.google.com/open?id=E4BJXsflxXDVK1ZcoHhq</v>
      </c>
      <c r="O170" s="3" t="str">
        <f ca="1">IFERROR(__xludf.DUMMYFUNCTION("""COMPUTED_VALUE"""),"https://drive.google.com/open?id=snxDCDhx0zeIZqLBHaOY")</f>
        <v>https://drive.google.com/open?id=snxDCDhx0zeIZqLBHaOY</v>
      </c>
      <c r="P170" s="1" t="str">
        <f ca="1">IFERROR(__xludf.DUMMYFUNCTION("""COMPUTED_VALUE"""),"Full-time")</f>
        <v>Full-time</v>
      </c>
      <c r="Q170" s="1">
        <f ca="1">IFERROR(__xludf.DUMMYFUNCTION("""COMPUTED_VALUE"""),12000000)</f>
        <v>12000000</v>
      </c>
      <c r="R170" s="3" t="str">
        <f ca="1">IFERROR(__xludf.DUMMYFUNCTION("""COMPUTED_VALUE"""),"https://drive.google.com/open?id=hZtvOHuiZAQ6vBq2HPDh")</f>
        <v>https://drive.google.com/open?id=hZtvOHuiZAQ6vBq2HPDh</v>
      </c>
      <c r="S170" s="1">
        <f ca="1">IFERROR(__xludf.DUMMYFUNCTION("""COMPUTED_VALUE"""),24000000)</f>
        <v>24000000</v>
      </c>
      <c r="T170" s="1" t="str">
        <f ca="1">IFERROR(__xludf.DUMMYFUNCTION("""COMPUTED_VALUE"""),"Gold")</f>
        <v>Gold</v>
      </c>
      <c r="U170" s="1" t="str">
        <f ca="1">IFERROR(__xludf.DUMMYFUNCTION("""COMPUTED_VALUE"""),"Online")</f>
        <v>Online</v>
      </c>
    </row>
    <row r="171" spans="1:21" x14ac:dyDescent="0.25">
      <c r="A171" s="2" t="str">
        <f ca="1">IFERROR(__xludf.DUMMYFUNCTION("""COMPUTED_VALUE"""),"APP0170")</f>
        <v>APP0170</v>
      </c>
      <c r="B171" s="2">
        <f ca="1">IFERROR(__xludf.DUMMYFUNCTION("""COMPUTED_VALUE"""),45906.7679513888)</f>
        <v>45906.7679513888</v>
      </c>
      <c r="C171" s="1" t="str">
        <f ca="1">IFERROR(__xludf.DUMMYFUNCTION("""COMPUTED_VALUE"""),"Trần Anh Thảo")</f>
        <v>Trần Anh Thảo</v>
      </c>
      <c r="D171" s="1" t="str">
        <f ca="1">IFERROR(__xludf.DUMMYFUNCTION("""COMPUTED_VALUE"""),"04/04/1966")</f>
        <v>04/04/1966</v>
      </c>
      <c r="E171" s="1" t="str">
        <f ca="1">IFERROR(__xludf.DUMMYFUNCTION("""COMPUTED_VALUE"""),"Male")</f>
        <v>Male</v>
      </c>
      <c r="F171" s="1" t="str">
        <f ca="1">IFERROR(__xludf.DUMMYFUNCTION("""COMPUTED_VALUE"""),"Vietnam")</f>
        <v>Vietnam</v>
      </c>
      <c r="G171" s="1" t="str">
        <f ca="1">IFERROR(__xludf.DUMMYFUNCTION("""COMPUTED_VALUE"""),"0747751959")</f>
        <v>0747751959</v>
      </c>
      <c r="H171" s="1" t="str">
        <f ca="1">IFERROR(__xludf.DUMMYFUNCTION("""COMPUTED_VALUE"""),"trananhthao@gmail.com")</f>
        <v>trananhthao@gmail.com</v>
      </c>
      <c r="I171" s="1" t="str">
        <f ca="1">IFERROR(__xludf.DUMMYFUNCTION("""COMPUTED_VALUE"""),"10 Tran Hung Dao, Quan 3, Ha Noi, Viet Nam")</f>
        <v>10 Tran Hung Dao, Quan 3, Ha Noi, Viet Nam</v>
      </c>
      <c r="J171" s="1" t="str">
        <f ca="1">IFERROR(__xludf.DUMMYFUNCTION("""COMPUTED_VALUE"""),"039030652134")</f>
        <v>039030652134</v>
      </c>
      <c r="K171" s="3" t="str">
        <f ca="1">IFERROR(__xludf.DUMMYFUNCTION("""COMPUTED_VALUE"""),"https://drive.google.com/open?id=fWabDWoKr9KnF6tMqMD4")</f>
        <v>https://drive.google.com/open?id=fWabDWoKr9KnF6tMqMD4</v>
      </c>
      <c r="L171" s="3" t="str">
        <f ca="1">IFERROR(__xludf.DUMMYFUNCTION("""COMPUTED_VALUE"""),"https://drive.google.com/open?id=EOCpE8oC2v2pZ4KBwM2c")</f>
        <v>https://drive.google.com/open?id=EOCpE8oC2v2pZ4KBwM2c</v>
      </c>
      <c r="M171" s="1"/>
      <c r="N171" s="1"/>
      <c r="O171" s="1"/>
      <c r="P171" s="1" t="str">
        <f ca="1">IFERROR(__xludf.DUMMYFUNCTION("""COMPUTED_VALUE"""),"Part-time")</f>
        <v>Part-time</v>
      </c>
      <c r="Q171" s="1">
        <f ca="1">IFERROR(__xludf.DUMMYFUNCTION("""COMPUTED_VALUE"""),8000000)</f>
        <v>8000000</v>
      </c>
      <c r="R171" s="3" t="str">
        <f ca="1">IFERROR(__xludf.DUMMYFUNCTION("""COMPUTED_VALUE"""),"https://drive.google.com/open?id=yDGA6R08V1SapgbGoQNx")</f>
        <v>https://drive.google.com/open?id=yDGA6R08V1SapgbGoQNx</v>
      </c>
      <c r="S171" s="1">
        <f ca="1">IFERROR(__xludf.DUMMYFUNCTION("""COMPUTED_VALUE"""),16000000)</f>
        <v>16000000</v>
      </c>
      <c r="T171" s="1" t="str">
        <f ca="1">IFERROR(__xludf.DUMMYFUNCTION("""COMPUTED_VALUE"""),"Gold")</f>
        <v>Gold</v>
      </c>
      <c r="U171" s="1" t="str">
        <f ca="1">IFERROR(__xludf.DUMMYFUNCTION("""COMPUTED_VALUE"""),"Branch")</f>
        <v>Branch</v>
      </c>
    </row>
    <row r="172" spans="1:21" x14ac:dyDescent="0.25">
      <c r="A172" s="2" t="str">
        <f ca="1">IFERROR(__xludf.DUMMYFUNCTION("""COMPUTED_VALUE"""),"APP0171")</f>
        <v>APP0171</v>
      </c>
      <c r="B172" s="2">
        <f ca="1">IFERROR(__xludf.DUMMYFUNCTION("""COMPUTED_VALUE"""),45906.8028009259)</f>
        <v>45906.8028009259</v>
      </c>
      <c r="C172" s="1" t="str">
        <f ca="1">IFERROR(__xludf.DUMMYFUNCTION("""COMPUTED_VALUE"""),"Đỗ Ngọc Hà")</f>
        <v>Đỗ Ngọc Hà</v>
      </c>
      <c r="D172" s="1" t="str">
        <f ca="1">IFERROR(__xludf.DUMMYFUNCTION("""COMPUTED_VALUE"""),"20/06/1984")</f>
        <v>20/06/1984</v>
      </c>
      <c r="E172" s="1" t="str">
        <f ca="1">IFERROR(__xludf.DUMMYFUNCTION("""COMPUTED_VALUE"""),"Female")</f>
        <v>Female</v>
      </c>
      <c r="F172" s="1" t="str">
        <f ca="1">IFERROR(__xludf.DUMMYFUNCTION("""COMPUTED_VALUE"""),"Vietnam")</f>
        <v>Vietnam</v>
      </c>
      <c r="G172" s="1" t="str">
        <f ca="1">IFERROR(__xludf.DUMMYFUNCTION("""COMPUTED_VALUE"""),"0936860787")</f>
        <v>0936860787</v>
      </c>
      <c r="H172" s="1" t="str">
        <f ca="1">IFERROR(__xludf.DUMMYFUNCTION("""COMPUTED_VALUE"""),"dongocha@gmail.com")</f>
        <v>dongocha@gmail.com</v>
      </c>
      <c r="I172" s="1" t="str">
        <f ca="1">IFERROR(__xludf.DUMMYFUNCTION("""COMPUTED_VALUE"""),"152 Ly Thuong Kiet, Quan 7, TP Ho Chi Minh, Viet Nam")</f>
        <v>152 Ly Thuong Kiet, Quan 7, TP Ho Chi Minh, Viet Nam</v>
      </c>
      <c r="J172" s="1" t="str">
        <f ca="1">IFERROR(__xludf.DUMMYFUNCTION("""COMPUTED_VALUE"""),"070850261074")</f>
        <v>070850261074</v>
      </c>
      <c r="K172" s="3" t="str">
        <f ca="1">IFERROR(__xludf.DUMMYFUNCTION("""COMPUTED_VALUE"""),"https://drive.google.com/open?id=JpdCdIXKWbRBkSWfPeOy")</f>
        <v>https://drive.google.com/open?id=JpdCdIXKWbRBkSWfPeOy</v>
      </c>
      <c r="L172" s="3" t="str">
        <f ca="1">IFERROR(__xludf.DUMMYFUNCTION("""COMPUTED_VALUE"""),"https://drive.google.com/open?id=EQR4LhBmwcyKW8SsITj1")</f>
        <v>https://drive.google.com/open?id=EQR4LhBmwcyKW8SsITj1</v>
      </c>
      <c r="M172" s="1"/>
      <c r="N172" s="1"/>
      <c r="O172" s="1"/>
      <c r="P172" s="1" t="str">
        <f ca="1">IFERROR(__xludf.DUMMYFUNCTION("""COMPUTED_VALUE"""),"Self-employed")</f>
        <v>Self-employed</v>
      </c>
      <c r="Q172" s="1">
        <f ca="1">IFERROR(__xludf.DUMMYFUNCTION("""COMPUTED_VALUE"""),20000000)</f>
        <v>20000000</v>
      </c>
      <c r="R172" s="3" t="str">
        <f ca="1">IFERROR(__xludf.DUMMYFUNCTION("""COMPUTED_VALUE"""),"https://drive.google.com/open?id=eAwac5fFDDF2DEHpnJgW")</f>
        <v>https://drive.google.com/open?id=eAwac5fFDDF2DEHpnJgW</v>
      </c>
      <c r="S172" s="1">
        <f ca="1">IFERROR(__xludf.DUMMYFUNCTION("""COMPUTED_VALUE"""),100000000)</f>
        <v>100000000</v>
      </c>
      <c r="T172" s="1" t="str">
        <f ca="1">IFERROR(__xludf.DUMMYFUNCTION("""COMPUTED_VALUE"""),"Gold")</f>
        <v>Gold</v>
      </c>
      <c r="U172" s="1" t="str">
        <f ca="1">IFERROR(__xludf.DUMMYFUNCTION("""COMPUTED_VALUE"""),"Branch")</f>
        <v>Branch</v>
      </c>
    </row>
    <row r="173" spans="1:21" x14ac:dyDescent="0.25">
      <c r="A173" s="2" t="str">
        <f ca="1">IFERROR(__xludf.DUMMYFUNCTION("""COMPUTED_VALUE"""),"APP0172")</f>
        <v>APP0172</v>
      </c>
      <c r="B173" s="2">
        <f ca="1">IFERROR(__xludf.DUMMYFUNCTION("""COMPUTED_VALUE"""),45906.8146180555)</f>
        <v>45906.814618055498</v>
      </c>
      <c r="C173" s="1" t="str">
        <f ca="1">IFERROR(__xludf.DUMMYFUNCTION("""COMPUTED_VALUE"""),"Hoàng Hữu Phong")</f>
        <v>Hoàng Hữu Phong</v>
      </c>
      <c r="D173" s="1" t="str">
        <f ca="1">IFERROR(__xludf.DUMMYFUNCTION("""COMPUTED_VALUE"""),"29/02/1988")</f>
        <v>29/02/1988</v>
      </c>
      <c r="E173" s="1" t="str">
        <f ca="1">IFERROR(__xludf.DUMMYFUNCTION("""COMPUTED_VALUE"""),"Male")</f>
        <v>Male</v>
      </c>
      <c r="F173" s="1" t="str">
        <f ca="1">IFERROR(__xludf.DUMMYFUNCTION("""COMPUTED_VALUE"""),"Vietnam")</f>
        <v>Vietnam</v>
      </c>
      <c r="G173" s="1" t="str">
        <f ca="1">IFERROR(__xludf.DUMMYFUNCTION("""COMPUTED_VALUE"""),"0720924069")</f>
        <v>0720924069</v>
      </c>
      <c r="H173" s="1" t="str">
        <f ca="1">IFERROR(__xludf.DUMMYFUNCTION("""COMPUTED_VALUE"""),"hoanghuuphong@gmail.com")</f>
        <v>hoanghuuphong@gmail.com</v>
      </c>
      <c r="I173" s="1" t="str">
        <f ca="1">IFERROR(__xludf.DUMMYFUNCTION("""COMPUTED_VALUE"""),"109 Nguyen Hue, Hoan Kiem, Da Nang, Viet Nam")</f>
        <v>109 Nguyen Hue, Hoan Kiem, Da Nang, Viet Nam</v>
      </c>
      <c r="J173" s="1" t="str">
        <f ca="1">IFERROR(__xludf.DUMMYFUNCTION("""COMPUTED_VALUE"""),"025077165645")</f>
        <v>025077165645</v>
      </c>
      <c r="K173" s="3" t="str">
        <f ca="1">IFERROR(__xludf.DUMMYFUNCTION("""COMPUTED_VALUE"""),"https://drive.google.com/open?id=ipdAWN4ZZgmvDmxmaSD0")</f>
        <v>https://drive.google.com/open?id=ipdAWN4ZZgmvDmxmaSD0</v>
      </c>
      <c r="L173" s="3" t="str">
        <f ca="1">IFERROR(__xludf.DUMMYFUNCTION("""COMPUTED_VALUE"""),"https://drive.google.com/open?id=ZXpK3TjxMEDXL6gxROG7")</f>
        <v>https://drive.google.com/open?id=ZXpK3TjxMEDXL6gxROG7</v>
      </c>
      <c r="M173" s="1"/>
      <c r="N173" s="1"/>
      <c r="O173" s="1"/>
      <c r="P173" s="1" t="str">
        <f ca="1">IFERROR(__xludf.DUMMYFUNCTION("""COMPUTED_VALUE"""),"Self-employed")</f>
        <v>Self-employed</v>
      </c>
      <c r="Q173" s="1">
        <f ca="1">IFERROR(__xludf.DUMMYFUNCTION("""COMPUTED_VALUE"""),20000000)</f>
        <v>20000000</v>
      </c>
      <c r="R173" s="3" t="str">
        <f ca="1">IFERROR(__xludf.DUMMYFUNCTION("""COMPUTED_VALUE"""),"https://drive.google.com/open?id=ZA2W0e7k4qlAPlYAM4nU")</f>
        <v>https://drive.google.com/open?id=ZA2W0e7k4qlAPlYAM4nU</v>
      </c>
      <c r="S173" s="1">
        <f ca="1">IFERROR(__xludf.DUMMYFUNCTION("""COMPUTED_VALUE"""),60000000)</f>
        <v>60000000</v>
      </c>
      <c r="T173" s="1" t="str">
        <f ca="1">IFERROR(__xludf.DUMMYFUNCTION("""COMPUTED_VALUE"""),"Platinum")</f>
        <v>Platinum</v>
      </c>
      <c r="U173" s="1" t="str">
        <f ca="1">IFERROR(__xludf.DUMMYFUNCTION("""COMPUTED_VALUE"""),"Branch")</f>
        <v>Branch</v>
      </c>
    </row>
    <row r="174" spans="1:21" x14ac:dyDescent="0.25">
      <c r="A174" s="2" t="str">
        <f ca="1">IFERROR(__xludf.DUMMYFUNCTION("""COMPUTED_VALUE"""),"APP0173")</f>
        <v>APP0173</v>
      </c>
      <c r="B174" s="2">
        <f ca="1">IFERROR(__xludf.DUMMYFUNCTION("""COMPUTED_VALUE"""),45906.8985532407)</f>
        <v>45906.898553240702</v>
      </c>
      <c r="C174" s="1" t="str">
        <f ca="1">IFERROR(__xludf.DUMMYFUNCTION("""COMPUTED_VALUE"""),"Lý Thị Hiếu")</f>
        <v>Lý Thị Hiếu</v>
      </c>
      <c r="D174" s="1" t="str">
        <f ca="1">IFERROR(__xludf.DUMMYFUNCTION("""COMPUTED_VALUE"""),"16/10/2006")</f>
        <v>16/10/2006</v>
      </c>
      <c r="E174" s="1" t="str">
        <f ca="1">IFERROR(__xludf.DUMMYFUNCTION("""COMPUTED_VALUE"""),"Female")</f>
        <v>Female</v>
      </c>
      <c r="F174" s="1" t="str">
        <f ca="1">IFERROR(__xludf.DUMMYFUNCTION("""COMPUTED_VALUE"""),"Vietnam")</f>
        <v>Vietnam</v>
      </c>
      <c r="G174" s="1" t="str">
        <f ca="1">IFERROR(__xludf.DUMMYFUNCTION("""COMPUTED_VALUE"""),"0753082604")</f>
        <v>0753082604</v>
      </c>
      <c r="H174" s="1" t="str">
        <f ca="1">IFERROR(__xludf.DUMMYFUNCTION("""COMPUTED_VALUE"""),"lythihieu@gmail.com")</f>
        <v>lythihieu@gmail.com</v>
      </c>
      <c r="I174" s="1" t="str">
        <f ca="1">IFERROR(__xludf.DUMMYFUNCTION("""COMPUTED_VALUE"""),"70 Tran Hung Dao, Quan 7, Hai Phong, Viet Nam")</f>
        <v>70 Tran Hung Dao, Quan 7, Hai Phong, Viet Nam</v>
      </c>
      <c r="J174" s="1" t="str">
        <f ca="1">IFERROR(__xludf.DUMMYFUNCTION("""COMPUTED_VALUE"""),"059854998884")</f>
        <v>059854998884</v>
      </c>
      <c r="K174" s="3" t="str">
        <f ca="1">IFERROR(__xludf.DUMMYFUNCTION("""COMPUTED_VALUE"""),"https://drive.google.com/open?id=MtFn7qCeM7DPdPtYmyWg")</f>
        <v>https://drive.google.com/open?id=MtFn7qCeM7DPdPtYmyWg</v>
      </c>
      <c r="L174" s="3" t="str">
        <f ca="1">IFERROR(__xludf.DUMMYFUNCTION("""COMPUTED_VALUE"""),"https://drive.google.com/open?id=PlqCZixQqyRlEQeOHwIj")</f>
        <v>https://drive.google.com/open?id=PlqCZixQqyRlEQeOHwIj</v>
      </c>
      <c r="M174" s="1"/>
      <c r="N174" s="1"/>
      <c r="O174" s="1"/>
      <c r="P174" s="1" t="str">
        <f ca="1">IFERROR(__xludf.DUMMYFUNCTION("""COMPUTED_VALUE"""),"Contract")</f>
        <v>Contract</v>
      </c>
      <c r="Q174" s="1">
        <f ca="1">IFERROR(__xludf.DUMMYFUNCTION("""COMPUTED_VALUE"""),5000000)</f>
        <v>5000000</v>
      </c>
      <c r="R174" s="3" t="str">
        <f ca="1">IFERROR(__xludf.DUMMYFUNCTION("""COMPUTED_VALUE"""),"https://drive.google.com/open?id=WiuuecSlLwKArGi8lGpt")</f>
        <v>https://drive.google.com/open?id=WiuuecSlLwKArGi8lGpt</v>
      </c>
      <c r="S174" s="1">
        <f ca="1">IFERROR(__xludf.DUMMYFUNCTION("""COMPUTED_VALUE"""),15000000)</f>
        <v>15000000</v>
      </c>
      <c r="T174" s="1" t="str">
        <f ca="1">IFERROR(__xludf.DUMMYFUNCTION("""COMPUTED_VALUE"""),"Gold")</f>
        <v>Gold</v>
      </c>
      <c r="U174" s="1" t="str">
        <f ca="1">IFERROR(__xludf.DUMMYFUNCTION("""COMPUTED_VALUE"""),"Branch")</f>
        <v>Branch</v>
      </c>
    </row>
    <row r="175" spans="1:21" x14ac:dyDescent="0.25">
      <c r="A175" s="2" t="str">
        <f ca="1">IFERROR(__xludf.DUMMYFUNCTION("""COMPUTED_VALUE"""),"APP0174")</f>
        <v>APP0174</v>
      </c>
      <c r="B175" s="2">
        <f ca="1">IFERROR(__xludf.DUMMYFUNCTION("""COMPUTED_VALUE"""),45906.9139236111)</f>
        <v>45906.9139236111</v>
      </c>
      <c r="C175" s="1" t="str">
        <f ca="1">IFERROR(__xludf.DUMMYFUNCTION("""COMPUTED_VALUE"""),"Vũ Minh Linh")</f>
        <v>Vũ Minh Linh</v>
      </c>
      <c r="D175" s="1" t="str">
        <f ca="1">IFERROR(__xludf.DUMMYFUNCTION("""COMPUTED_VALUE"""),"22/10/1985")</f>
        <v>22/10/1985</v>
      </c>
      <c r="E175" s="1" t="str">
        <f ca="1">IFERROR(__xludf.DUMMYFUNCTION("""COMPUTED_VALUE"""),"Female")</f>
        <v>Female</v>
      </c>
      <c r="F175" s="1" t="str">
        <f ca="1">IFERROR(__xludf.DUMMYFUNCTION("""COMPUTED_VALUE"""),"Vietnam")</f>
        <v>Vietnam</v>
      </c>
      <c r="G175" s="1" t="str">
        <f ca="1">IFERROR(__xludf.DUMMYFUNCTION("""COMPUTED_VALUE"""),"0864733109")</f>
        <v>0864733109</v>
      </c>
      <c r="H175" s="1" t="str">
        <f ca="1">IFERROR(__xludf.DUMMYFUNCTION("""COMPUTED_VALUE"""),"vuminhlinh@gmail.com")</f>
        <v>vuminhlinh@gmail.com</v>
      </c>
      <c r="I175" s="1" t="str">
        <f ca="1">IFERROR(__xludf.DUMMYFUNCTION("""COMPUTED_VALUE"""),"122 Nguyen Hue, Dong Da, Hai Phong, Viet Nam")</f>
        <v>122 Nguyen Hue, Dong Da, Hai Phong, Viet Nam</v>
      </c>
      <c r="J175" s="1" t="str">
        <f ca="1">IFERROR(__xludf.DUMMYFUNCTION("""COMPUTED_VALUE"""),"073530476744")</f>
        <v>073530476744</v>
      </c>
      <c r="K175" s="3" t="str">
        <f ca="1">IFERROR(__xludf.DUMMYFUNCTION("""COMPUTED_VALUE"""),"https://drive.google.com/open?id=aPohLgTuCgwSEd7gkyYH")</f>
        <v>https://drive.google.com/open?id=aPohLgTuCgwSEd7gkyYH</v>
      </c>
      <c r="L175" s="3" t="str">
        <f ca="1">IFERROR(__xludf.DUMMYFUNCTION("""COMPUTED_VALUE"""),"https://drive.google.com/open?id=b8Gh4AD5CyTyRZealnuD")</f>
        <v>https://drive.google.com/open?id=b8Gh4AD5CyTyRZealnuD</v>
      </c>
      <c r="M175" s="1"/>
      <c r="N175" s="1"/>
      <c r="O175" s="1"/>
      <c r="P175" s="1" t="str">
        <f ca="1">IFERROR(__xludf.DUMMYFUNCTION("""COMPUTED_VALUE"""),"Part-time")</f>
        <v>Part-time</v>
      </c>
      <c r="Q175" s="1">
        <f ca="1">IFERROR(__xludf.DUMMYFUNCTION("""COMPUTED_VALUE"""),50000000)</f>
        <v>50000000</v>
      </c>
      <c r="R175" s="3" t="str">
        <f ca="1">IFERROR(__xludf.DUMMYFUNCTION("""COMPUTED_VALUE"""),"https://drive.google.com/open?id=vPPezOhAk5vi4XkMcmC2")</f>
        <v>https://drive.google.com/open?id=vPPezOhAk5vi4XkMcmC2</v>
      </c>
      <c r="S175" s="1">
        <f ca="1">IFERROR(__xludf.DUMMYFUNCTION("""COMPUTED_VALUE"""),150000000)</f>
        <v>150000000</v>
      </c>
      <c r="T175" s="1" t="str">
        <f ca="1">IFERROR(__xludf.DUMMYFUNCTION("""COMPUTED_VALUE"""),"Platinum")</f>
        <v>Platinum</v>
      </c>
      <c r="U175" s="1" t="str">
        <f ca="1">IFERROR(__xludf.DUMMYFUNCTION("""COMPUTED_VALUE"""),"Partner")</f>
        <v>Partner</v>
      </c>
    </row>
    <row r="176" spans="1:21" x14ac:dyDescent="0.25">
      <c r="A176" s="2" t="str">
        <f ca="1">IFERROR(__xludf.DUMMYFUNCTION("""COMPUTED_VALUE"""),"APP0175")</f>
        <v>APP0175</v>
      </c>
      <c r="B176" s="2">
        <f ca="1">IFERROR(__xludf.DUMMYFUNCTION("""COMPUTED_VALUE"""),45906.9610185185)</f>
        <v>45906.961018518501</v>
      </c>
      <c r="C176" s="1" t="str">
        <f ca="1">IFERROR(__xludf.DUMMYFUNCTION("""COMPUTED_VALUE"""),"Vũ Thị Dũng")</f>
        <v>Vũ Thị Dũng</v>
      </c>
      <c r="D176" s="1" t="str">
        <f ca="1">IFERROR(__xludf.DUMMYFUNCTION("""COMPUTED_VALUE"""),"13/04/1978")</f>
        <v>13/04/1978</v>
      </c>
      <c r="E176" s="1" t="str">
        <f ca="1">IFERROR(__xludf.DUMMYFUNCTION("""COMPUTED_VALUE"""),"Female")</f>
        <v>Female</v>
      </c>
      <c r="F176" s="1" t="str">
        <f ca="1">IFERROR(__xludf.DUMMYFUNCTION("""COMPUTED_VALUE"""),"Vietnam")</f>
        <v>Vietnam</v>
      </c>
      <c r="G176" s="1" t="str">
        <f ca="1">IFERROR(__xludf.DUMMYFUNCTION("""COMPUTED_VALUE"""),"0974785515")</f>
        <v>0974785515</v>
      </c>
      <c r="H176" s="1" t="str">
        <f ca="1">IFERROR(__xludf.DUMMYFUNCTION("""COMPUTED_VALUE"""),"vuthidung@gmail.com")</f>
        <v>vuthidung@gmail.com</v>
      </c>
      <c r="I176" s="1" t="str">
        <f ca="1">IFERROR(__xludf.DUMMYFUNCTION("""COMPUTED_VALUE"""),"94 Pham Van Dong, Quan 7, TP Ho Chi Minh, Viet Nam")</f>
        <v>94 Pham Van Dong, Quan 7, TP Ho Chi Minh, Viet Nam</v>
      </c>
      <c r="J176" s="1" t="str">
        <f ca="1">IFERROR(__xludf.DUMMYFUNCTION("""COMPUTED_VALUE"""),"024928241487")</f>
        <v>024928241487</v>
      </c>
      <c r="K176" s="3" t="str">
        <f ca="1">IFERROR(__xludf.DUMMYFUNCTION("""COMPUTED_VALUE"""),"https://drive.google.com/open?id=CYNRZZWMQjVkcEA1Ia0T")</f>
        <v>https://drive.google.com/open?id=CYNRZZWMQjVkcEA1Ia0T</v>
      </c>
      <c r="L176" s="3" t="str">
        <f ca="1">IFERROR(__xludf.DUMMYFUNCTION("""COMPUTED_VALUE"""),"https://drive.google.com/open?id=ns1ZB6cdFIaqHyv98q3L")</f>
        <v>https://drive.google.com/open?id=ns1ZB6cdFIaqHyv98q3L</v>
      </c>
      <c r="M176" s="1"/>
      <c r="N176" s="1"/>
      <c r="O176" s="1"/>
      <c r="P176" s="1" t="str">
        <f ca="1">IFERROR(__xludf.DUMMYFUNCTION("""COMPUTED_VALUE"""),"Part-time")</f>
        <v>Part-time</v>
      </c>
      <c r="Q176" s="1">
        <f ca="1">IFERROR(__xludf.DUMMYFUNCTION("""COMPUTED_VALUE"""),5000000)</f>
        <v>5000000</v>
      </c>
      <c r="R176" s="3" t="str">
        <f ca="1">IFERROR(__xludf.DUMMYFUNCTION("""COMPUTED_VALUE"""),"https://drive.google.com/open?id=Pr8QsOwRAvHIC9Xbw92X")</f>
        <v>https://drive.google.com/open?id=Pr8QsOwRAvHIC9Xbw92X</v>
      </c>
      <c r="S176" s="1">
        <f ca="1">IFERROR(__xludf.DUMMYFUNCTION("""COMPUTED_VALUE"""),25000000)</f>
        <v>25000000</v>
      </c>
      <c r="T176" s="1" t="str">
        <f ca="1">IFERROR(__xludf.DUMMYFUNCTION("""COMPUTED_VALUE"""),"Gold")</f>
        <v>Gold</v>
      </c>
      <c r="U176" s="1" t="str">
        <f ca="1">IFERROR(__xludf.DUMMYFUNCTION("""COMPUTED_VALUE"""),"Online")</f>
        <v>Online</v>
      </c>
    </row>
    <row r="177" spans="1:21" x14ac:dyDescent="0.25">
      <c r="A177" s="2" t="str">
        <f ca="1">IFERROR(__xludf.DUMMYFUNCTION("""COMPUTED_VALUE"""),"APP0176")</f>
        <v>APP0176</v>
      </c>
      <c r="B177" s="2">
        <f ca="1">IFERROR(__xludf.DUMMYFUNCTION("""COMPUTED_VALUE"""),45907.0571064814)</f>
        <v>45907.057106481399</v>
      </c>
      <c r="C177" s="1" t="str">
        <f ca="1">IFERROR(__xludf.DUMMYFUNCTION("""COMPUTED_VALUE"""),"Dương Đức Quân")</f>
        <v>Dương Đức Quân</v>
      </c>
      <c r="D177" s="1" t="str">
        <f ca="1">IFERROR(__xludf.DUMMYFUNCTION("""COMPUTED_VALUE"""),"09/09/1985")</f>
        <v>09/09/1985</v>
      </c>
      <c r="E177" s="1" t="str">
        <f ca="1">IFERROR(__xludf.DUMMYFUNCTION("""COMPUTED_VALUE"""),"Female")</f>
        <v>Female</v>
      </c>
      <c r="F177" s="1" t="str">
        <f ca="1">IFERROR(__xludf.DUMMYFUNCTION("""COMPUTED_VALUE"""),"Vietnam")</f>
        <v>Vietnam</v>
      </c>
      <c r="G177" s="1" t="str">
        <f ca="1">IFERROR(__xludf.DUMMYFUNCTION("""COMPUTED_VALUE"""),"0925177768")</f>
        <v>0925177768</v>
      </c>
      <c r="H177" s="1" t="str">
        <f ca="1">IFERROR(__xludf.DUMMYFUNCTION("""COMPUTED_VALUE"""),"duongducquan@gmail.com")</f>
        <v>duongducquan@gmail.com</v>
      </c>
      <c r="I177" s="1" t="str">
        <f ca="1">IFERROR(__xludf.DUMMYFUNCTION("""COMPUTED_VALUE"""),"127 Nguyen Hue, Quan 1, Da Nang, Viet Nam")</f>
        <v>127 Nguyen Hue, Quan 1, Da Nang, Viet Nam</v>
      </c>
      <c r="J177" s="1" t="str">
        <f ca="1">IFERROR(__xludf.DUMMYFUNCTION("""COMPUTED_VALUE"""),"09943230725")</f>
        <v>09943230725</v>
      </c>
      <c r="K177" s="3" t="str">
        <f ca="1">IFERROR(__xludf.DUMMYFUNCTION("""COMPUTED_VALUE"""),"https://drive.google.com/open?id=gD49mbTROqCxSnt4exJM")</f>
        <v>https://drive.google.com/open?id=gD49mbTROqCxSnt4exJM</v>
      </c>
      <c r="L177" s="3" t="str">
        <f ca="1">IFERROR(__xludf.DUMMYFUNCTION("""COMPUTED_VALUE"""),"https://drive.google.com/open?id=oPErvCMU5aJk1dPUrxnE")</f>
        <v>https://drive.google.com/open?id=oPErvCMU5aJk1dPUrxnE</v>
      </c>
      <c r="M177" s="1"/>
      <c r="N177" s="1"/>
      <c r="O177" s="1"/>
      <c r="P177" s="1" t="str">
        <f ca="1">IFERROR(__xludf.DUMMYFUNCTION("""COMPUTED_VALUE"""),"Freelancer")</f>
        <v>Freelancer</v>
      </c>
      <c r="Q177" s="1">
        <f ca="1">IFERROR(__xludf.DUMMYFUNCTION("""COMPUTED_VALUE"""),8000000)</f>
        <v>8000000</v>
      </c>
      <c r="R177" s="3" t="str">
        <f ca="1">IFERROR(__xludf.DUMMYFUNCTION("""COMPUTED_VALUE"""),"https://drive.google.com/open?id=lagM3Kvgejiuec999t9T")</f>
        <v>https://drive.google.com/open?id=lagM3Kvgejiuec999t9T</v>
      </c>
      <c r="S177" s="1">
        <f ca="1">IFERROR(__xludf.DUMMYFUNCTION("""COMPUTED_VALUE"""),40000000)</f>
        <v>40000000</v>
      </c>
      <c r="T177" s="1" t="str">
        <f ca="1">IFERROR(__xludf.DUMMYFUNCTION("""COMPUTED_VALUE"""),"Classic")</f>
        <v>Classic</v>
      </c>
      <c r="U177" s="1" t="str">
        <f ca="1">IFERROR(__xludf.DUMMYFUNCTION("""COMPUTED_VALUE"""),"Online")</f>
        <v>Online</v>
      </c>
    </row>
    <row r="178" spans="1:21" x14ac:dyDescent="0.25">
      <c r="A178" s="2" t="str">
        <f ca="1">IFERROR(__xludf.DUMMYFUNCTION("""COMPUTED_VALUE"""),"APP0177")</f>
        <v>APP0177</v>
      </c>
      <c r="B178" s="2">
        <f ca="1">IFERROR(__xludf.DUMMYFUNCTION("""COMPUTED_VALUE"""),45907.058125)</f>
        <v>45907.058125000003</v>
      </c>
      <c r="C178" s="1" t="str">
        <f ca="1">IFERROR(__xludf.DUMMYFUNCTION("""COMPUTED_VALUE"""),"Hoàng Ngọc Phong")</f>
        <v>Hoàng Ngọc Phong</v>
      </c>
      <c r="D178" s="1" t="str">
        <f ca="1">IFERROR(__xludf.DUMMYFUNCTION("""COMPUTED_VALUE"""),"05/07/1971")</f>
        <v>05/07/1971</v>
      </c>
      <c r="E178" s="1" t="str">
        <f ca="1">IFERROR(__xludf.DUMMYFUNCTION("""COMPUTED_VALUE"""),"Male")</f>
        <v>Male</v>
      </c>
      <c r="F178" s="1" t="str">
        <f ca="1">IFERROR(__xludf.DUMMYFUNCTION("""COMPUTED_VALUE"""),"Vietnam")</f>
        <v>Vietnam</v>
      </c>
      <c r="G178" s="1" t="str">
        <f ca="1">IFERROR(__xludf.DUMMYFUNCTION("""COMPUTED_VALUE"""),"0938634565")</f>
        <v>0938634565</v>
      </c>
      <c r="H178" s="1" t="str">
        <f ca="1">IFERROR(__xludf.DUMMYFUNCTION("""COMPUTED_VALUE"""),"hoangngocphong@gmail.com")</f>
        <v>hoangngocphong@gmail.com</v>
      </c>
      <c r="I178" s="1" t="str">
        <f ca="1">IFERROR(__xludf.DUMMYFUNCTION("""COMPUTED_VALUE"""),"115 Pham Van Dong, Quan 3, Can Tho, Viet Nam")</f>
        <v>115 Pham Van Dong, Quan 3, Can Tho, Viet Nam</v>
      </c>
      <c r="J178" s="1" t="str">
        <f ca="1">IFERROR(__xludf.DUMMYFUNCTION("""COMPUTED_VALUE"""),"08542168722")</f>
        <v>08542168722</v>
      </c>
      <c r="K178" s="3" t="str">
        <f ca="1">IFERROR(__xludf.DUMMYFUNCTION("""COMPUTED_VALUE"""),"https://drive.google.com/open?id=0KBU3dKq1BjgulzyyXg3")</f>
        <v>https://drive.google.com/open?id=0KBU3dKq1BjgulzyyXg3</v>
      </c>
      <c r="L178" s="3" t="str">
        <f ca="1">IFERROR(__xludf.DUMMYFUNCTION("""COMPUTED_VALUE"""),"https://drive.google.com/open?id=n7wuDnSwfK0rkKz0RtHE")</f>
        <v>https://drive.google.com/open?id=n7wuDnSwfK0rkKz0RtHE</v>
      </c>
      <c r="M178" s="1"/>
      <c r="N178" s="1"/>
      <c r="O178" s="1"/>
      <c r="P178" s="1" t="str">
        <f ca="1">IFERROR(__xludf.DUMMYFUNCTION("""COMPUTED_VALUE"""),"Part-time")</f>
        <v>Part-time</v>
      </c>
      <c r="Q178" s="1">
        <f ca="1">IFERROR(__xludf.DUMMYFUNCTION("""COMPUTED_VALUE"""),20000000)</f>
        <v>20000000</v>
      </c>
      <c r="R178" s="3" t="str">
        <f ca="1">IFERROR(__xludf.DUMMYFUNCTION("""COMPUTED_VALUE"""),"https://drive.google.com/open?id=THr0TVaxD1Jc38PO59y7")</f>
        <v>https://drive.google.com/open?id=THr0TVaxD1Jc38PO59y7</v>
      </c>
      <c r="S178" s="1">
        <f ca="1">IFERROR(__xludf.DUMMYFUNCTION("""COMPUTED_VALUE"""),40000000)</f>
        <v>40000000</v>
      </c>
      <c r="T178" s="1" t="str">
        <f ca="1">IFERROR(__xludf.DUMMYFUNCTION("""COMPUTED_VALUE"""),"Classic")</f>
        <v>Classic</v>
      </c>
      <c r="U178" s="1" t="str">
        <f ca="1">IFERROR(__xludf.DUMMYFUNCTION("""COMPUTED_VALUE"""),"Branch")</f>
        <v>Branch</v>
      </c>
    </row>
    <row r="179" spans="1:21" x14ac:dyDescent="0.25">
      <c r="A179" s="2" t="str">
        <f ca="1">IFERROR(__xludf.DUMMYFUNCTION("""COMPUTED_VALUE"""),"APP0178")</f>
        <v>APP0178</v>
      </c>
      <c r="B179" s="2">
        <f ca="1">IFERROR(__xludf.DUMMYFUNCTION("""COMPUTED_VALUE"""),45907.1076388888)</f>
        <v>45907.107638888803</v>
      </c>
      <c r="C179" s="1" t="str">
        <f ca="1">IFERROR(__xludf.DUMMYFUNCTION("""COMPUTED_VALUE"""),"Phan Ngọc Thắng")</f>
        <v>Phan Ngọc Thắng</v>
      </c>
      <c r="D179" s="1" t="str">
        <f ca="1">IFERROR(__xludf.DUMMYFUNCTION("""COMPUTED_VALUE"""),"07/11/1975")</f>
        <v>07/11/1975</v>
      </c>
      <c r="E179" s="1" t="str">
        <f ca="1">IFERROR(__xludf.DUMMYFUNCTION("""COMPUTED_VALUE"""),"Male")</f>
        <v>Male</v>
      </c>
      <c r="F179" s="1" t="str">
        <f ca="1">IFERROR(__xludf.DUMMYFUNCTION("""COMPUTED_VALUE"""),"Vietnam")</f>
        <v>Vietnam</v>
      </c>
      <c r="G179" s="1" t="str">
        <f ca="1">IFERROR(__xludf.DUMMYFUNCTION("""COMPUTED_VALUE"""),"0793465481")</f>
        <v>0793465481</v>
      </c>
      <c r="H179" s="1" t="str">
        <f ca="1">IFERROR(__xludf.DUMMYFUNCTION("""COMPUTED_VALUE"""),"phanngocthang@gmail.com")</f>
        <v>phanngocthang@gmail.com</v>
      </c>
      <c r="I179" s="1" t="str">
        <f ca="1">IFERROR(__xludf.DUMMYFUNCTION("""COMPUTED_VALUE"""),"34 Tran Hung Dao, Hai Chau, TP Ho Chi Minh, Viet Nam")</f>
        <v>34 Tran Hung Dao, Hai Chau, TP Ho Chi Minh, Viet Nam</v>
      </c>
      <c r="J179" s="1" t="str">
        <f ca="1">IFERROR(__xludf.DUMMYFUNCTION("""COMPUTED_VALUE"""),"090463930058")</f>
        <v>090463930058</v>
      </c>
      <c r="K179" s="3" t="str">
        <f ca="1">IFERROR(__xludf.DUMMYFUNCTION("""COMPUTED_VALUE"""),"https://drive.google.com/open?id=iQeVcNZ4GPuLUACl59et")</f>
        <v>https://drive.google.com/open?id=iQeVcNZ4GPuLUACl59et</v>
      </c>
      <c r="L179" s="3" t="str">
        <f ca="1">IFERROR(__xludf.DUMMYFUNCTION("""COMPUTED_VALUE"""),"https://drive.google.com/open?id=1gyxKoBsUwjR67Px4RiD")</f>
        <v>https://drive.google.com/open?id=1gyxKoBsUwjR67Px4RiD</v>
      </c>
      <c r="M179" s="1"/>
      <c r="N179" s="1"/>
      <c r="O179" s="1"/>
      <c r="P179" s="1" t="str">
        <f ca="1">IFERROR(__xludf.DUMMYFUNCTION("""COMPUTED_VALUE"""),"Part-time")</f>
        <v>Part-time</v>
      </c>
      <c r="Q179" s="1">
        <f ca="1">IFERROR(__xludf.DUMMYFUNCTION("""COMPUTED_VALUE"""),20000000)</f>
        <v>20000000</v>
      </c>
      <c r="R179" s="3" t="str">
        <f ca="1">IFERROR(__xludf.DUMMYFUNCTION("""COMPUTED_VALUE"""),"https://drive.google.com/open?id=GnVXMeR0y0CTt52p28St")</f>
        <v>https://drive.google.com/open?id=GnVXMeR0y0CTt52p28St</v>
      </c>
      <c r="S179" s="1">
        <f ca="1">IFERROR(__xludf.DUMMYFUNCTION("""COMPUTED_VALUE"""),60000000)</f>
        <v>60000000</v>
      </c>
      <c r="T179" s="1" t="str">
        <f ca="1">IFERROR(__xludf.DUMMYFUNCTION("""COMPUTED_VALUE"""),"Platinum")</f>
        <v>Platinum</v>
      </c>
      <c r="U179" s="1" t="str">
        <f ca="1">IFERROR(__xludf.DUMMYFUNCTION("""COMPUTED_VALUE"""),"Partner")</f>
        <v>Partner</v>
      </c>
    </row>
    <row r="180" spans="1:21" x14ac:dyDescent="0.25">
      <c r="A180" s="2" t="str">
        <f ca="1">IFERROR(__xludf.DUMMYFUNCTION("""COMPUTED_VALUE"""),"APP0179")</f>
        <v>APP0179</v>
      </c>
      <c r="B180" s="2">
        <f ca="1">IFERROR(__xludf.DUMMYFUNCTION("""COMPUTED_VALUE"""),45907.1352083333)</f>
        <v>45907.135208333297</v>
      </c>
      <c r="C180" s="1" t="str">
        <f ca="1">IFERROR(__xludf.DUMMYFUNCTION("""COMPUTED_VALUE"""),"Trần Anh Lan")</f>
        <v>Trần Anh Lan</v>
      </c>
      <c r="D180" s="1" t="str">
        <f ca="1">IFERROR(__xludf.DUMMYFUNCTION("""COMPUTED_VALUE"""),"16/03/1999")</f>
        <v>16/03/1999</v>
      </c>
      <c r="E180" s="1" t="str">
        <f ca="1">IFERROR(__xludf.DUMMYFUNCTION("""COMPUTED_VALUE"""),"Male")</f>
        <v>Male</v>
      </c>
      <c r="F180" s="1" t="str">
        <f ca="1">IFERROR(__xludf.DUMMYFUNCTION("""COMPUTED_VALUE"""),"Vietnam")</f>
        <v>Vietnam</v>
      </c>
      <c r="G180" s="1" t="str">
        <f ca="1">IFERROR(__xludf.DUMMYFUNCTION("""COMPUTED_VALUE"""),"0936985988")</f>
        <v>0936985988</v>
      </c>
      <c r="H180" s="1" t="str">
        <f ca="1">IFERROR(__xludf.DUMMYFUNCTION("""COMPUTED_VALUE"""),"trananhlan@gmail.com")</f>
        <v>trananhlan@gmail.com</v>
      </c>
      <c r="I180" s="1" t="str">
        <f ca="1">IFERROR(__xludf.DUMMYFUNCTION("""COMPUTED_VALUE"""),"61 Pham Van Dong, Quan 3, Da Nang, Viet Nam")</f>
        <v>61 Pham Van Dong, Quan 3, Da Nang, Viet Nam</v>
      </c>
      <c r="J180" s="1" t="str">
        <f ca="1">IFERROR(__xludf.DUMMYFUNCTION("""COMPUTED_VALUE"""),"014609031878")</f>
        <v>014609031878</v>
      </c>
      <c r="K180" s="3" t="str">
        <f ca="1">IFERROR(__xludf.DUMMYFUNCTION("""COMPUTED_VALUE"""),"https://drive.google.com/open?id=Jyvh8g685ijXmbpH6Dr1")</f>
        <v>https://drive.google.com/open?id=Jyvh8g685ijXmbpH6Dr1</v>
      </c>
      <c r="L180" s="3" t="str">
        <f ca="1">IFERROR(__xludf.DUMMYFUNCTION("""COMPUTED_VALUE"""),"https://drive.google.com/open?id=uv8CNWWmSLauGEJTNpzg")</f>
        <v>https://drive.google.com/open?id=uv8CNWWmSLauGEJTNpzg</v>
      </c>
      <c r="M180" s="1"/>
      <c r="N180" s="1"/>
      <c r="O180" s="1"/>
      <c r="P180" s="1" t="str">
        <f ca="1">IFERROR(__xludf.DUMMYFUNCTION("""COMPUTED_VALUE"""),"Contract")</f>
        <v>Contract</v>
      </c>
      <c r="Q180" s="1">
        <f ca="1">IFERROR(__xludf.DUMMYFUNCTION("""COMPUTED_VALUE"""),50000000)</f>
        <v>50000000</v>
      </c>
      <c r="R180" s="3" t="str">
        <f ca="1">IFERROR(__xludf.DUMMYFUNCTION("""COMPUTED_VALUE"""),"https://drive.google.com/open?id=vFUEyBqv12NpFapeipR7")</f>
        <v>https://drive.google.com/open?id=vFUEyBqv12NpFapeipR7</v>
      </c>
      <c r="S180" s="1">
        <f ca="1">IFERROR(__xludf.DUMMYFUNCTION("""COMPUTED_VALUE"""),150000000)</f>
        <v>150000000</v>
      </c>
      <c r="T180" s="1" t="str">
        <f ca="1">IFERROR(__xludf.DUMMYFUNCTION("""COMPUTED_VALUE"""),"Platinum")</f>
        <v>Platinum</v>
      </c>
      <c r="U180" s="1" t="str">
        <f ca="1">IFERROR(__xludf.DUMMYFUNCTION("""COMPUTED_VALUE"""),"Branch")</f>
        <v>Branch</v>
      </c>
    </row>
    <row r="181" spans="1:21" x14ac:dyDescent="0.25">
      <c r="A181" s="2" t="str">
        <f ca="1">IFERROR(__xludf.DUMMYFUNCTION("""COMPUTED_VALUE"""),"APP0180")</f>
        <v>APP0180</v>
      </c>
      <c r="B181" s="2">
        <f ca="1">IFERROR(__xludf.DUMMYFUNCTION("""COMPUTED_VALUE"""),45907.1495717592)</f>
        <v>45907.149571759197</v>
      </c>
      <c r="C181" s="1" t="str">
        <f ca="1">IFERROR(__xludf.DUMMYFUNCTION("""COMPUTED_VALUE"""),"Lê Quang Dũng")</f>
        <v>Lê Quang Dũng</v>
      </c>
      <c r="D181" s="1" t="str">
        <f ca="1">IFERROR(__xludf.DUMMYFUNCTION("""COMPUTED_VALUE"""),"04/06/1979")</f>
        <v>04/06/1979</v>
      </c>
      <c r="E181" s="1" t="str">
        <f ca="1">IFERROR(__xludf.DUMMYFUNCTION("""COMPUTED_VALUE"""),"Male")</f>
        <v>Male</v>
      </c>
      <c r="F181" s="1" t="str">
        <f ca="1">IFERROR(__xludf.DUMMYFUNCTION("""COMPUTED_VALUE"""),"Vietnam")</f>
        <v>Vietnam</v>
      </c>
      <c r="G181" s="1" t="str">
        <f ca="1">IFERROR(__xludf.DUMMYFUNCTION("""COMPUTED_VALUE"""),"0739609640")</f>
        <v>0739609640</v>
      </c>
      <c r="H181" s="1" t="str">
        <f ca="1">IFERROR(__xludf.DUMMYFUNCTION("""COMPUTED_VALUE"""),"lequangdung@gmail.com")</f>
        <v>lequangdung@gmail.com</v>
      </c>
      <c r="I181" s="1" t="str">
        <f ca="1">IFERROR(__xludf.DUMMYFUNCTION("""COMPUTED_VALUE"""),"164 Le Loi, Dong Da, Hai Phong, Viet Nam")</f>
        <v>164 Le Loi, Dong Da, Hai Phong, Viet Nam</v>
      </c>
      <c r="J181" s="1" t="str">
        <f ca="1">IFERROR(__xludf.DUMMYFUNCTION("""COMPUTED_VALUE"""),"073711225146")</f>
        <v>073711225146</v>
      </c>
      <c r="K181" s="3" t="str">
        <f ca="1">IFERROR(__xludf.DUMMYFUNCTION("""COMPUTED_VALUE"""),"https://drive.google.com/open?id=Ul9sWWPPTXf4hOSuZHVu")</f>
        <v>https://drive.google.com/open?id=Ul9sWWPPTXf4hOSuZHVu</v>
      </c>
      <c r="L181" s="3" t="str">
        <f ca="1">IFERROR(__xludf.DUMMYFUNCTION("""COMPUTED_VALUE"""),"https://drive.google.com/open?id=BKACCV4LORrgOFksXEeA")</f>
        <v>https://drive.google.com/open?id=BKACCV4LORrgOFksXEeA</v>
      </c>
      <c r="M181" s="1"/>
      <c r="N181" s="1"/>
      <c r="O181" s="1"/>
      <c r="P181" s="1" t="str">
        <f ca="1">IFERROR(__xludf.DUMMYFUNCTION("""COMPUTED_VALUE"""),"Freelancer")</f>
        <v>Freelancer</v>
      </c>
      <c r="Q181" s="1">
        <f ca="1">IFERROR(__xludf.DUMMYFUNCTION("""COMPUTED_VALUE"""),12000000)</f>
        <v>12000000</v>
      </c>
      <c r="R181" s="3" t="str">
        <f ca="1">IFERROR(__xludf.DUMMYFUNCTION("""COMPUTED_VALUE"""),"https://drive.google.com/open?id=ioIAsyHm6v4wWFkHpDWH")</f>
        <v>https://drive.google.com/open?id=ioIAsyHm6v4wWFkHpDWH</v>
      </c>
      <c r="S181" s="1">
        <f ca="1">IFERROR(__xludf.DUMMYFUNCTION("""COMPUTED_VALUE"""),60000000)</f>
        <v>60000000</v>
      </c>
      <c r="T181" s="1" t="str">
        <f ca="1">IFERROR(__xludf.DUMMYFUNCTION("""COMPUTED_VALUE"""),"Gold")</f>
        <v>Gold</v>
      </c>
      <c r="U181" s="1" t="str">
        <f ca="1">IFERROR(__xludf.DUMMYFUNCTION("""COMPUTED_VALUE"""),"Online")</f>
        <v>Online</v>
      </c>
    </row>
    <row r="182" spans="1:21" x14ac:dyDescent="0.25">
      <c r="A182" s="2" t="str">
        <f ca="1">IFERROR(__xludf.DUMMYFUNCTION("""COMPUTED_VALUE"""),"APP0181")</f>
        <v>APP0181</v>
      </c>
      <c r="B182" s="2">
        <f ca="1">IFERROR(__xludf.DUMMYFUNCTION("""COMPUTED_VALUE"""),45907.2316898148)</f>
        <v>45907.231689814798</v>
      </c>
      <c r="C182" s="1" t="str">
        <f ca="1">IFERROR(__xludf.DUMMYFUNCTION("""COMPUTED_VALUE"""),"Phan Quang Phúc")</f>
        <v>Phan Quang Phúc</v>
      </c>
      <c r="D182" s="1" t="str">
        <f ca="1">IFERROR(__xludf.DUMMYFUNCTION("""COMPUTED_VALUE"""),"20/01/2007")</f>
        <v>20/01/2007</v>
      </c>
      <c r="E182" s="1" t="str">
        <f ca="1">IFERROR(__xludf.DUMMYFUNCTION("""COMPUTED_VALUE"""),"Female")</f>
        <v>Female</v>
      </c>
      <c r="F182" s="1" t="str">
        <f ca="1">IFERROR(__xludf.DUMMYFUNCTION("""COMPUTED_VALUE"""),"Vietnam")</f>
        <v>Vietnam</v>
      </c>
      <c r="G182" s="1" t="str">
        <f ca="1">IFERROR(__xludf.DUMMYFUNCTION("""COMPUTED_VALUE"""),"0794563725")</f>
        <v>0794563725</v>
      </c>
      <c r="H182" s="1" t="str">
        <f ca="1">IFERROR(__xludf.DUMMYFUNCTION("""COMPUTED_VALUE"""),"phanquangphuc@gmail.com")</f>
        <v>phanquangphuc@gmail.com</v>
      </c>
      <c r="I182" s="1" t="str">
        <f ca="1">IFERROR(__xludf.DUMMYFUNCTION("""COMPUTED_VALUE"""),"184 Tran Hung Dao, Quan 7, Ha Noi, Viet Nam")</f>
        <v>184 Tran Hung Dao, Quan 7, Ha Noi, Viet Nam</v>
      </c>
      <c r="J182" s="1" t="str">
        <f ca="1">IFERROR(__xludf.DUMMYFUNCTION("""COMPUTED_VALUE"""),"020259754336")</f>
        <v>020259754336</v>
      </c>
      <c r="K182" s="3" t="str">
        <f ca="1">IFERROR(__xludf.DUMMYFUNCTION("""COMPUTED_VALUE"""),"https://drive.google.com/open?id=qXKam9EVcDgfzjIPqcaH")</f>
        <v>https://drive.google.com/open?id=qXKam9EVcDgfzjIPqcaH</v>
      </c>
      <c r="L182" s="3" t="str">
        <f ca="1">IFERROR(__xludf.DUMMYFUNCTION("""COMPUTED_VALUE"""),"https://drive.google.com/open?id=7t4JNYRNmfYzLvv6bY9c")</f>
        <v>https://drive.google.com/open?id=7t4JNYRNmfYzLvv6bY9c</v>
      </c>
      <c r="M182" s="1"/>
      <c r="N182" s="1"/>
      <c r="O182" s="1"/>
      <c r="P182" s="1" t="str">
        <f ca="1">IFERROR(__xludf.DUMMYFUNCTION("""COMPUTED_VALUE"""),"Self-employed")</f>
        <v>Self-employed</v>
      </c>
      <c r="Q182" s="1">
        <f ca="1">IFERROR(__xludf.DUMMYFUNCTION("""COMPUTED_VALUE"""),12000000)</f>
        <v>12000000</v>
      </c>
      <c r="R182" s="3" t="str">
        <f ca="1">IFERROR(__xludf.DUMMYFUNCTION("""COMPUTED_VALUE"""),"https://drive.google.com/open?id=0rxKbx9i71Jx5C4k9KAf")</f>
        <v>https://drive.google.com/open?id=0rxKbx9i71Jx5C4k9KAf</v>
      </c>
      <c r="S182" s="1">
        <f ca="1">IFERROR(__xludf.DUMMYFUNCTION("""COMPUTED_VALUE"""),36000000)</f>
        <v>36000000</v>
      </c>
      <c r="T182" s="1" t="str">
        <f ca="1">IFERROR(__xludf.DUMMYFUNCTION("""COMPUTED_VALUE"""),"Platinum")</f>
        <v>Platinum</v>
      </c>
      <c r="U182" s="1" t="str">
        <f ca="1">IFERROR(__xludf.DUMMYFUNCTION("""COMPUTED_VALUE"""),"Online")</f>
        <v>Online</v>
      </c>
    </row>
    <row r="183" spans="1:21" x14ac:dyDescent="0.25">
      <c r="A183" s="2" t="str">
        <f ca="1">IFERROR(__xludf.DUMMYFUNCTION("""COMPUTED_VALUE"""),"APP0182")</f>
        <v>APP0182</v>
      </c>
      <c r="B183" s="2">
        <f ca="1">IFERROR(__xludf.DUMMYFUNCTION("""COMPUTED_VALUE"""),45907.3170023148)</f>
        <v>45907.317002314798</v>
      </c>
      <c r="C183" s="1" t="str">
        <f ca="1">IFERROR(__xludf.DUMMYFUNCTION("""COMPUTED_VALUE"""),"Dương Anh Tú")</f>
        <v>Dương Anh Tú</v>
      </c>
      <c r="D183" s="1" t="str">
        <f ca="1">IFERROR(__xludf.DUMMYFUNCTION("""COMPUTED_VALUE"""),"20/03/1987")</f>
        <v>20/03/1987</v>
      </c>
      <c r="E183" s="1" t="str">
        <f ca="1">IFERROR(__xludf.DUMMYFUNCTION("""COMPUTED_VALUE"""),"Female")</f>
        <v>Female</v>
      </c>
      <c r="F183" s="1" t="str">
        <f ca="1">IFERROR(__xludf.DUMMYFUNCTION("""COMPUTED_VALUE"""),"Vietnam")</f>
        <v>Vietnam</v>
      </c>
      <c r="G183" s="1" t="str">
        <f ca="1">IFERROR(__xludf.DUMMYFUNCTION("""COMPUTED_VALUE"""),"0892639487")</f>
        <v>0892639487</v>
      </c>
      <c r="H183" s="1" t="str">
        <f ca="1">IFERROR(__xludf.DUMMYFUNCTION("""COMPUTED_VALUE"""),"duonganhtu@gmail.com")</f>
        <v>duonganhtu@gmail.com</v>
      </c>
      <c r="I183" s="1" t="str">
        <f ca="1">IFERROR(__xludf.DUMMYFUNCTION("""COMPUTED_VALUE"""),"185 Nguyen Hue, Quan 1, Da Nang, Viet Nam")</f>
        <v>185 Nguyen Hue, Quan 1, Da Nang, Viet Nam</v>
      </c>
      <c r="J183" s="1" t="str">
        <f ca="1">IFERROR(__xludf.DUMMYFUNCTION("""COMPUTED_VALUE"""),"055824829322")</f>
        <v>055824829322</v>
      </c>
      <c r="K183" s="3" t="str">
        <f ca="1">IFERROR(__xludf.DUMMYFUNCTION("""COMPUTED_VALUE"""),"https://drive.google.com/open?id=lxTKLBMiiZzgkNUPlTbm")</f>
        <v>https://drive.google.com/open?id=lxTKLBMiiZzgkNUPlTbm</v>
      </c>
      <c r="L183" s="3" t="str">
        <f ca="1">IFERROR(__xludf.DUMMYFUNCTION("""COMPUTED_VALUE"""),"https://drive.google.com/open?id=WQlTCAdsrZcpvCVt5DQx")</f>
        <v>https://drive.google.com/open?id=WQlTCAdsrZcpvCVt5DQx</v>
      </c>
      <c r="M183" s="1"/>
      <c r="N183" s="1"/>
      <c r="O183" s="1"/>
      <c r="P183" s="1" t="str">
        <f ca="1">IFERROR(__xludf.DUMMYFUNCTION("""COMPUTED_VALUE"""),"Freelancer")</f>
        <v>Freelancer</v>
      </c>
      <c r="Q183" s="1">
        <f ca="1">IFERROR(__xludf.DUMMYFUNCTION("""COMPUTED_VALUE"""),50000000)</f>
        <v>50000000</v>
      </c>
      <c r="R183" s="3" t="str">
        <f ca="1">IFERROR(__xludf.DUMMYFUNCTION("""COMPUTED_VALUE"""),"https://drive.google.com/open?id=pAU5Ijccx2gpOvGhu7s8")</f>
        <v>https://drive.google.com/open?id=pAU5Ijccx2gpOvGhu7s8</v>
      </c>
      <c r="S183" s="1">
        <f ca="1">IFERROR(__xludf.DUMMYFUNCTION("""COMPUTED_VALUE"""),100000000)</f>
        <v>100000000</v>
      </c>
      <c r="T183" s="1" t="str">
        <f ca="1">IFERROR(__xludf.DUMMYFUNCTION("""COMPUTED_VALUE"""),"Gold")</f>
        <v>Gold</v>
      </c>
      <c r="U183" s="1" t="str">
        <f ca="1">IFERROR(__xludf.DUMMYFUNCTION("""COMPUTED_VALUE"""),"Partner")</f>
        <v>Partner</v>
      </c>
    </row>
    <row r="184" spans="1:21" x14ac:dyDescent="0.25">
      <c r="A184" s="2" t="str">
        <f ca="1">IFERROR(__xludf.DUMMYFUNCTION("""COMPUTED_VALUE"""),"APP0183")</f>
        <v>APP0183</v>
      </c>
      <c r="B184" s="2">
        <f ca="1">IFERROR(__xludf.DUMMYFUNCTION("""COMPUTED_VALUE"""),45907.3276273148)</f>
        <v>45907.3276273148</v>
      </c>
      <c r="C184" s="1" t="str">
        <f ca="1">IFERROR(__xludf.DUMMYFUNCTION("""COMPUTED_VALUE"""),"Cynthia Ayers")</f>
        <v>Cynthia Ayers</v>
      </c>
      <c r="D184" s="1" t="str">
        <f ca="1">IFERROR(__xludf.DUMMYFUNCTION("""COMPUTED_VALUE"""),"19/05/1973")</f>
        <v>19/05/1973</v>
      </c>
      <c r="E184" s="1" t="str">
        <f ca="1">IFERROR(__xludf.DUMMYFUNCTION("""COMPUTED_VALUE"""),"Male")</f>
        <v>Male</v>
      </c>
      <c r="F184" s="1" t="str">
        <f ca="1">IFERROR(__xludf.DUMMYFUNCTION("""COMPUTED_VALUE"""),"Other")</f>
        <v>Other</v>
      </c>
      <c r="G184" s="1" t="str">
        <f ca="1">IFERROR(__xludf.DUMMYFUNCTION("""COMPUTED_VALUE"""),"+65 8665820124")</f>
        <v>+65 8665820124</v>
      </c>
      <c r="H184" s="1" t="str">
        <f ca="1">IFERROR(__xludf.DUMMYFUNCTION("""COMPUTED_VALUE"""),"cynthiaayers@gmail.com")</f>
        <v>cynthiaayers@gmail.com</v>
      </c>
      <c r="I184" s="1" t="str">
        <f ca="1">IFERROR(__xludf.DUMMYFUNCTION("""COMPUTED_VALUE"""),"336 Michelle Landing Suite 608, Vickiestad, WV 41416")</f>
        <v>336 Michelle Landing Suite 608, Vickiestad, WV 41416</v>
      </c>
      <c r="J184" s="1"/>
      <c r="K184" s="1"/>
      <c r="L184" s="1"/>
      <c r="M184" s="1" t="str">
        <f ca="1">IFERROR(__xludf.DUMMYFUNCTION("""COMPUTED_VALUE"""),"AF325555")</f>
        <v>AF325555</v>
      </c>
      <c r="N184" s="3" t="str">
        <f ca="1">IFERROR(__xludf.DUMMYFUNCTION("""COMPUTED_VALUE"""),"https://drive.google.com/open?id=UHHJpGLkBDgc9VeGNqCT")</f>
        <v>https://drive.google.com/open?id=UHHJpGLkBDgc9VeGNqCT</v>
      </c>
      <c r="O184" s="3" t="str">
        <f ca="1">IFERROR(__xludf.DUMMYFUNCTION("""COMPUTED_VALUE"""),"https://drive.google.com/open?id=Kq6wml7ZFEqbBjyh04Tn")</f>
        <v>https://drive.google.com/open?id=Kq6wml7ZFEqbBjyh04Tn</v>
      </c>
      <c r="P184" s="1" t="str">
        <f ca="1">IFERROR(__xludf.DUMMYFUNCTION("""COMPUTED_VALUE"""),"Contract")</f>
        <v>Contract</v>
      </c>
      <c r="Q184" s="1">
        <f ca="1">IFERROR(__xludf.DUMMYFUNCTION("""COMPUTED_VALUE"""),8000000)</f>
        <v>8000000</v>
      </c>
      <c r="R184" s="3" t="str">
        <f ca="1">IFERROR(__xludf.DUMMYFUNCTION("""COMPUTED_VALUE"""),"https://drive.google.com/open?id=lhI6tt3kdRTIrnw6Q7Pz")</f>
        <v>https://drive.google.com/open?id=lhI6tt3kdRTIrnw6Q7Pz</v>
      </c>
      <c r="S184" s="1">
        <f ca="1">IFERROR(__xludf.DUMMYFUNCTION("""COMPUTED_VALUE"""),24000000)</f>
        <v>24000000</v>
      </c>
      <c r="T184" s="1" t="str">
        <f ca="1">IFERROR(__xludf.DUMMYFUNCTION("""COMPUTED_VALUE"""),"Gold")</f>
        <v>Gold</v>
      </c>
      <c r="U184" s="1" t="str">
        <f ca="1">IFERROR(__xludf.DUMMYFUNCTION("""COMPUTED_VALUE"""),"Partner")</f>
        <v>Partner</v>
      </c>
    </row>
    <row r="185" spans="1:21" x14ac:dyDescent="0.25">
      <c r="A185" s="2" t="str">
        <f ca="1">IFERROR(__xludf.DUMMYFUNCTION("""COMPUTED_VALUE"""),"APP0184")</f>
        <v>APP0184</v>
      </c>
      <c r="B185" s="2">
        <f ca="1">IFERROR(__xludf.DUMMYFUNCTION("""COMPUTED_VALUE"""),45907.427974537)</f>
        <v>45907.427974537</v>
      </c>
      <c r="C185" s="1" t="str">
        <f ca="1">IFERROR(__xludf.DUMMYFUNCTION("""COMPUTED_VALUE"""),"Hoàng Quang Thảo")</f>
        <v>Hoàng Quang Thảo</v>
      </c>
      <c r="D185" s="1" t="str">
        <f ca="1">IFERROR(__xludf.DUMMYFUNCTION("""COMPUTED_VALUE"""),"21/05/1969")</f>
        <v>21/05/1969</v>
      </c>
      <c r="E185" s="1" t="str">
        <f ca="1">IFERROR(__xludf.DUMMYFUNCTION("""COMPUTED_VALUE"""),"Male")</f>
        <v>Male</v>
      </c>
      <c r="F185" s="1" t="str">
        <f ca="1">IFERROR(__xludf.DUMMYFUNCTION("""COMPUTED_VALUE"""),"Vietnam")</f>
        <v>Vietnam</v>
      </c>
      <c r="G185" s="1" t="str">
        <f ca="1">IFERROR(__xludf.DUMMYFUNCTION("""COMPUTED_VALUE"""),"0823778544")</f>
        <v>0823778544</v>
      </c>
      <c r="H185" s="1" t="str">
        <f ca="1">IFERROR(__xludf.DUMMYFUNCTION("""COMPUTED_VALUE"""),"hoangquangthao@gmail.com")</f>
        <v>hoangquangthao@gmail.com</v>
      </c>
      <c r="I185" s="1" t="str">
        <f ca="1">IFERROR(__xludf.DUMMYFUNCTION("""COMPUTED_VALUE"""),"93 Pham Van Dong, Quan 7, Ha Noi, Viet Nam")</f>
        <v>93 Pham Van Dong, Quan 7, Ha Noi, Viet Nam</v>
      </c>
      <c r="J185" s="1" t="str">
        <f ca="1">IFERROR(__xludf.DUMMYFUNCTION("""COMPUTED_VALUE"""),"075916188493")</f>
        <v>075916188493</v>
      </c>
      <c r="K185" s="3" t="str">
        <f ca="1">IFERROR(__xludf.DUMMYFUNCTION("""COMPUTED_VALUE"""),"https://drive.google.com/open?id=T8RdIWkrA0bhKdLUCmXo")</f>
        <v>https://drive.google.com/open?id=T8RdIWkrA0bhKdLUCmXo</v>
      </c>
      <c r="L185" s="3" t="str">
        <f ca="1">IFERROR(__xludf.DUMMYFUNCTION("""COMPUTED_VALUE"""),"https://drive.google.com/open?id=hN64n5wNBvw8EvDlWmk6")</f>
        <v>https://drive.google.com/open?id=hN64n5wNBvw8EvDlWmk6</v>
      </c>
      <c r="M185" s="1"/>
      <c r="N185" s="1"/>
      <c r="O185" s="1"/>
      <c r="P185" s="1" t="str">
        <f ca="1">IFERROR(__xludf.DUMMYFUNCTION("""COMPUTED_VALUE"""),"Self-employed")</f>
        <v>Self-employed</v>
      </c>
      <c r="Q185" s="1">
        <f ca="1">IFERROR(__xludf.DUMMYFUNCTION("""COMPUTED_VALUE"""),8000000)</f>
        <v>8000000</v>
      </c>
      <c r="R185" s="3" t="str">
        <f ca="1">IFERROR(__xludf.DUMMYFUNCTION("""COMPUTED_VALUE"""),"https://drive.google.com/open?id=CGB265fGSEYrAlm20FbF")</f>
        <v>https://drive.google.com/open?id=CGB265fGSEYrAlm20FbF</v>
      </c>
      <c r="S185" s="1">
        <f ca="1">IFERROR(__xludf.DUMMYFUNCTION("""COMPUTED_VALUE"""),40000000)</f>
        <v>40000000</v>
      </c>
      <c r="T185" s="1" t="str">
        <f ca="1">IFERROR(__xludf.DUMMYFUNCTION("""COMPUTED_VALUE"""),"Classic")</f>
        <v>Classic</v>
      </c>
      <c r="U185" s="1" t="str">
        <f ca="1">IFERROR(__xludf.DUMMYFUNCTION("""COMPUTED_VALUE"""),"Partner")</f>
        <v>Partner</v>
      </c>
    </row>
    <row r="186" spans="1:21" x14ac:dyDescent="0.25">
      <c r="A186" s="2" t="str">
        <f ca="1">IFERROR(__xludf.DUMMYFUNCTION("""COMPUTED_VALUE"""),"APP0185")</f>
        <v>APP0185</v>
      </c>
      <c r="B186" s="2">
        <f ca="1">IFERROR(__xludf.DUMMYFUNCTION("""COMPUTED_VALUE"""),45907.460636574)</f>
        <v>45907.460636573996</v>
      </c>
      <c r="C186" s="1" t="str">
        <f ca="1">IFERROR(__xludf.DUMMYFUNCTION("""COMPUTED_VALUE"""),"Mrs. Emma Mclaughlin")</f>
        <v>Mrs. Emma Mclaughlin</v>
      </c>
      <c r="D186" s="1" t="str">
        <f ca="1">IFERROR(__xludf.DUMMYFUNCTION("""COMPUTED_VALUE"""),"20/05/1989")</f>
        <v>20/05/1989</v>
      </c>
      <c r="E186" s="1" t="str">
        <f ca="1">IFERROR(__xludf.DUMMYFUNCTION("""COMPUTED_VALUE"""),"Male")</f>
        <v>Male</v>
      </c>
      <c r="F186" s="1" t="str">
        <f ca="1">IFERROR(__xludf.DUMMYFUNCTION("""COMPUTED_VALUE"""),"Other")</f>
        <v>Other</v>
      </c>
      <c r="G186" s="1" t="str">
        <f ca="1">IFERROR(__xludf.DUMMYFUNCTION("""COMPUTED_VALUE"""),"+61 625807237")</f>
        <v>+61 625807237</v>
      </c>
      <c r="H186" s="1" t="str">
        <f ca="1">IFERROR(__xludf.DUMMYFUNCTION("""COMPUTED_VALUE"""),"mrs.emmamclaughlin@gmail.com")</f>
        <v>mrs.emmamclaughlin@gmail.com</v>
      </c>
      <c r="I186" s="1" t="str">
        <f ca="1">IFERROR(__xludf.DUMMYFUNCTION("""COMPUTED_VALUE"""),"74188 Smith Causeway, Port Chelsea, AZ 39339")</f>
        <v>74188 Smith Causeway, Port Chelsea, AZ 39339</v>
      </c>
      <c r="J186" s="1"/>
      <c r="K186" s="1"/>
      <c r="L186" s="1"/>
      <c r="M186" s="1" t="str">
        <f ca="1">IFERROR(__xludf.DUMMYFUNCTION("""COMPUTED_VALUE"""),"vI196949")</f>
        <v>vI196949</v>
      </c>
      <c r="N186" s="3" t="str">
        <f ca="1">IFERROR(__xludf.DUMMYFUNCTION("""COMPUTED_VALUE"""),"https://drive.google.com/open?id=ygM2OqVH5lniH61oTD69")</f>
        <v>https://drive.google.com/open?id=ygM2OqVH5lniH61oTD69</v>
      </c>
      <c r="O186" s="3" t="str">
        <f ca="1">IFERROR(__xludf.DUMMYFUNCTION("""COMPUTED_VALUE"""),"https://drive.google.com/open?id=VcWyRQqXiwVT3k1pqIj5")</f>
        <v>https://drive.google.com/open?id=VcWyRQqXiwVT3k1pqIj5</v>
      </c>
      <c r="P186" s="1" t="str">
        <f ca="1">IFERROR(__xludf.DUMMYFUNCTION("""COMPUTED_VALUE"""),"Part-time")</f>
        <v>Part-time</v>
      </c>
      <c r="Q186" s="1">
        <f ca="1">IFERROR(__xludf.DUMMYFUNCTION("""COMPUTED_VALUE"""),5000000)</f>
        <v>5000000</v>
      </c>
      <c r="R186" s="3" t="str">
        <f ca="1">IFERROR(__xludf.DUMMYFUNCTION("""COMPUTED_VALUE"""),"https://drive.google.com/open?id=rhge1ZJW7bmMwz4CaJ18")</f>
        <v>https://drive.google.com/open?id=rhge1ZJW7bmMwz4CaJ18</v>
      </c>
      <c r="S186" s="1">
        <f ca="1">IFERROR(__xludf.DUMMYFUNCTION("""COMPUTED_VALUE"""),25000000)</f>
        <v>25000000</v>
      </c>
      <c r="T186" s="1" t="str">
        <f ca="1">IFERROR(__xludf.DUMMYFUNCTION("""COMPUTED_VALUE"""),"Platinum")</f>
        <v>Platinum</v>
      </c>
      <c r="U186" s="1" t="str">
        <f ca="1">IFERROR(__xludf.DUMMYFUNCTION("""COMPUTED_VALUE"""),"Online")</f>
        <v>Online</v>
      </c>
    </row>
    <row r="187" spans="1:21" x14ac:dyDescent="0.25">
      <c r="A187" s="2" t="str">
        <f ca="1">IFERROR(__xludf.DUMMYFUNCTION("""COMPUTED_VALUE"""),"APP0186")</f>
        <v>APP0186</v>
      </c>
      <c r="B187" s="2">
        <f ca="1">IFERROR(__xludf.DUMMYFUNCTION("""COMPUTED_VALUE"""),45907.5231828703)</f>
        <v>45907.523182870304</v>
      </c>
      <c r="C187" s="1" t="str">
        <f ca="1">IFERROR(__xludf.DUMMYFUNCTION("""COMPUTED_VALUE"""),"Phạm Ngọc Hà")</f>
        <v>Phạm Ngọc Hà</v>
      </c>
      <c r="D187" s="1" t="str">
        <f ca="1">IFERROR(__xludf.DUMMYFUNCTION("""COMPUTED_VALUE"""),"20/10/1973")</f>
        <v>20/10/1973</v>
      </c>
      <c r="E187" s="1" t="str">
        <f ca="1">IFERROR(__xludf.DUMMYFUNCTION("""COMPUTED_VALUE"""),"Female")</f>
        <v>Female</v>
      </c>
      <c r="F187" s="1" t="str">
        <f ca="1">IFERROR(__xludf.DUMMYFUNCTION("""COMPUTED_VALUE"""),"Vietnam")</f>
        <v>Vietnam</v>
      </c>
      <c r="G187" s="1" t="str">
        <f ca="1">IFERROR(__xludf.DUMMYFUNCTION("""COMPUTED_VALUE"""),"0996425796")</f>
        <v>0996425796</v>
      </c>
      <c r="H187" s="1" t="str">
        <f ca="1">IFERROR(__xludf.DUMMYFUNCTION("""COMPUTED_VALUE"""),"phamngocha@gmail.com")</f>
        <v>phamngocha@gmail.com</v>
      </c>
      <c r="I187" s="1" t="str">
        <f ca="1">IFERROR(__xludf.DUMMYFUNCTION("""COMPUTED_VALUE"""),"113 Pham Van Dong, Hoan Kiem, Hai Phong, Viet Nam")</f>
        <v>113 Pham Van Dong, Hoan Kiem, Hai Phong, Viet Nam</v>
      </c>
      <c r="J187" s="1" t="str">
        <f ca="1">IFERROR(__xludf.DUMMYFUNCTION("""COMPUTED_VALUE"""),"064643067074")</f>
        <v>064643067074</v>
      </c>
      <c r="K187" s="3" t="str">
        <f ca="1">IFERROR(__xludf.DUMMYFUNCTION("""COMPUTED_VALUE"""),"https://drive.google.com/open?id=q7gdrjFr71sau5ZOY49S")</f>
        <v>https://drive.google.com/open?id=q7gdrjFr71sau5ZOY49S</v>
      </c>
      <c r="L187" s="3" t="str">
        <f ca="1">IFERROR(__xludf.DUMMYFUNCTION("""COMPUTED_VALUE"""),"https://drive.google.com/open?id=jrHqQz4ebpR8lFOWZHwS")</f>
        <v>https://drive.google.com/open?id=jrHqQz4ebpR8lFOWZHwS</v>
      </c>
      <c r="M187" s="1"/>
      <c r="N187" s="1"/>
      <c r="O187" s="1"/>
      <c r="P187" s="1" t="str">
        <f ca="1">IFERROR(__xludf.DUMMYFUNCTION("""COMPUTED_VALUE"""),"Freelancer")</f>
        <v>Freelancer</v>
      </c>
      <c r="Q187" s="1">
        <f ca="1">IFERROR(__xludf.DUMMYFUNCTION("""COMPUTED_VALUE"""),20000000)</f>
        <v>20000000</v>
      </c>
      <c r="R187" s="3" t="str">
        <f ca="1">IFERROR(__xludf.DUMMYFUNCTION("""COMPUTED_VALUE"""),"https://drive.google.com/open?id=ZzVvqPYrzVcF8eLtw4wF")</f>
        <v>https://drive.google.com/open?id=ZzVvqPYrzVcF8eLtw4wF</v>
      </c>
      <c r="S187" s="1">
        <f ca="1">IFERROR(__xludf.DUMMYFUNCTION("""COMPUTED_VALUE"""),60000000)</f>
        <v>60000000</v>
      </c>
      <c r="T187" s="1" t="str">
        <f ca="1">IFERROR(__xludf.DUMMYFUNCTION("""COMPUTED_VALUE"""),"Platinum")</f>
        <v>Platinum</v>
      </c>
      <c r="U187" s="1" t="str">
        <f ca="1">IFERROR(__xludf.DUMMYFUNCTION("""COMPUTED_VALUE"""),"Online")</f>
        <v>Online</v>
      </c>
    </row>
    <row r="188" spans="1:21" x14ac:dyDescent="0.25">
      <c r="A188" s="2" t="str">
        <f ca="1">IFERROR(__xludf.DUMMYFUNCTION("""COMPUTED_VALUE"""),"APP0187")</f>
        <v>APP0187</v>
      </c>
      <c r="B188" s="2">
        <f ca="1">IFERROR(__xludf.DUMMYFUNCTION("""COMPUTED_VALUE"""),45907.5727314814)</f>
        <v>45907.572731481399</v>
      </c>
      <c r="C188" s="1" t="str">
        <f ca="1">IFERROR(__xludf.DUMMYFUNCTION("""COMPUTED_VALUE"""),"Hồ Ngọc Bình")</f>
        <v>Hồ Ngọc Bình</v>
      </c>
      <c r="D188" s="1" t="str">
        <f ca="1">IFERROR(__xludf.DUMMYFUNCTION("""COMPUTED_VALUE"""),"07/04/1983")</f>
        <v>07/04/1983</v>
      </c>
      <c r="E188" s="1" t="str">
        <f ca="1">IFERROR(__xludf.DUMMYFUNCTION("""COMPUTED_VALUE"""),"Female")</f>
        <v>Female</v>
      </c>
      <c r="F188" s="1" t="str">
        <f ca="1">IFERROR(__xludf.DUMMYFUNCTION("""COMPUTED_VALUE"""),"Vietnam")</f>
        <v>Vietnam</v>
      </c>
      <c r="G188" s="1" t="str">
        <f ca="1">IFERROR(__xludf.DUMMYFUNCTION("""COMPUTED_VALUE"""),"0921653354")</f>
        <v>0921653354</v>
      </c>
      <c r="H188" s="1" t="str">
        <f ca="1">IFERROR(__xludf.DUMMYFUNCTION("""COMPUTED_VALUE"""),"hongocbinh@gmail.com")</f>
        <v>hongocbinh@gmail.com</v>
      </c>
      <c r="I188" s="1" t="str">
        <f ca="1">IFERROR(__xludf.DUMMYFUNCTION("""COMPUTED_VALUE"""),"10 Le Loi, Hoan Kiem, Da Nang, Viet Nam")</f>
        <v>10 Le Loi, Hoan Kiem, Da Nang, Viet Nam</v>
      </c>
      <c r="J188" s="1" t="str">
        <f ca="1">IFERROR(__xludf.DUMMYFUNCTION("""COMPUTED_VALUE"""),"069810684182")</f>
        <v>069810684182</v>
      </c>
      <c r="K188" s="3" t="str">
        <f ca="1">IFERROR(__xludf.DUMMYFUNCTION("""COMPUTED_VALUE"""),"https://drive.google.com/open?id=ScpdWRHVKvvdn649QXaJ")</f>
        <v>https://drive.google.com/open?id=ScpdWRHVKvvdn649QXaJ</v>
      </c>
      <c r="L188" s="3" t="str">
        <f ca="1">IFERROR(__xludf.DUMMYFUNCTION("""COMPUTED_VALUE"""),"https://drive.google.com/open?id=7nVd4aN6LLefDsWAhUzO")</f>
        <v>https://drive.google.com/open?id=7nVd4aN6LLefDsWAhUzO</v>
      </c>
      <c r="M188" s="1"/>
      <c r="N188" s="1"/>
      <c r="O188" s="1"/>
      <c r="P188" s="1" t="str">
        <f ca="1">IFERROR(__xludf.DUMMYFUNCTION("""COMPUTED_VALUE"""),"Self-employed")</f>
        <v>Self-employed</v>
      </c>
      <c r="Q188" s="1">
        <f ca="1">IFERROR(__xludf.DUMMYFUNCTION("""COMPUTED_VALUE"""),8000000)</f>
        <v>8000000</v>
      </c>
      <c r="R188" s="3" t="str">
        <f ca="1">IFERROR(__xludf.DUMMYFUNCTION("""COMPUTED_VALUE"""),"https://drive.google.com/open?id=ImYkUM8lYYk62gX4Zd2B")</f>
        <v>https://drive.google.com/open?id=ImYkUM8lYYk62gX4Zd2B</v>
      </c>
      <c r="S188" s="1">
        <f ca="1">IFERROR(__xludf.DUMMYFUNCTION("""COMPUTED_VALUE"""),24000000)</f>
        <v>24000000</v>
      </c>
      <c r="T188" s="1" t="str">
        <f ca="1">IFERROR(__xludf.DUMMYFUNCTION("""COMPUTED_VALUE"""),"Classic")</f>
        <v>Classic</v>
      </c>
      <c r="U188" s="1" t="str">
        <f ca="1">IFERROR(__xludf.DUMMYFUNCTION("""COMPUTED_VALUE"""),"Partner")</f>
        <v>Partner</v>
      </c>
    </row>
    <row r="189" spans="1:21" x14ac:dyDescent="0.25">
      <c r="A189" s="2" t="str">
        <f ca="1">IFERROR(__xludf.DUMMYFUNCTION("""COMPUTED_VALUE"""),"APP0188")</f>
        <v>APP0188</v>
      </c>
      <c r="B189" s="2">
        <f ca="1">IFERROR(__xludf.DUMMYFUNCTION("""COMPUTED_VALUE"""),45907.7195601851)</f>
        <v>45907.719560185098</v>
      </c>
      <c r="C189" s="1" t="str">
        <f ca="1">IFERROR(__xludf.DUMMYFUNCTION("""COMPUTED_VALUE"""),"Đặng Đức Yến")</f>
        <v>Đặng Đức Yến</v>
      </c>
      <c r="D189" s="1" t="str">
        <f ca="1">IFERROR(__xludf.DUMMYFUNCTION("""COMPUTED_VALUE"""),"07/01/1974")</f>
        <v>07/01/1974</v>
      </c>
      <c r="E189" s="1" t="str">
        <f ca="1">IFERROR(__xludf.DUMMYFUNCTION("""COMPUTED_VALUE"""),"Male")</f>
        <v>Male</v>
      </c>
      <c r="F189" s="1" t="str">
        <f ca="1">IFERROR(__xludf.DUMMYFUNCTION("""COMPUTED_VALUE"""),"Vietnam")</f>
        <v>Vietnam</v>
      </c>
      <c r="G189" s="1" t="str">
        <f ca="1">IFERROR(__xludf.DUMMYFUNCTION("""COMPUTED_VALUE"""),"0830241838")</f>
        <v>0830241838</v>
      </c>
      <c r="H189" s="1" t="str">
        <f ca="1">IFERROR(__xludf.DUMMYFUNCTION("""COMPUTED_VALUE"""),"dangducyen@gmail.com")</f>
        <v>dangducyen@gmail.com</v>
      </c>
      <c r="I189" s="1" t="str">
        <f ca="1">IFERROR(__xludf.DUMMYFUNCTION("""COMPUTED_VALUE"""),"69 Ly Thuong Kiet, Quan 3, Da Nang, Viet Nam")</f>
        <v>69 Ly Thuong Kiet, Quan 3, Da Nang, Viet Nam</v>
      </c>
      <c r="J189" s="1" t="str">
        <f ca="1">IFERROR(__xludf.DUMMYFUNCTION("""COMPUTED_VALUE"""),"024723639127")</f>
        <v>024723639127</v>
      </c>
      <c r="K189" s="3" t="str">
        <f ca="1">IFERROR(__xludf.DUMMYFUNCTION("""COMPUTED_VALUE"""),"https://drive.google.com/open?id=NJzfwKxmk8CCvka7yopL")</f>
        <v>https://drive.google.com/open?id=NJzfwKxmk8CCvka7yopL</v>
      </c>
      <c r="L189" s="3" t="str">
        <f ca="1">IFERROR(__xludf.DUMMYFUNCTION("""COMPUTED_VALUE"""),"https://drive.google.com/open?id=MjgXLyVWpKhLZdgxcMFv")</f>
        <v>https://drive.google.com/open?id=MjgXLyVWpKhLZdgxcMFv</v>
      </c>
      <c r="M189" s="1"/>
      <c r="N189" s="1"/>
      <c r="O189" s="1"/>
      <c r="P189" s="1" t="str">
        <f ca="1">IFERROR(__xludf.DUMMYFUNCTION("""COMPUTED_VALUE"""),"Full-time")</f>
        <v>Full-time</v>
      </c>
      <c r="Q189" s="1">
        <f ca="1">IFERROR(__xludf.DUMMYFUNCTION("""COMPUTED_VALUE"""),5000000)</f>
        <v>5000000</v>
      </c>
      <c r="R189" s="3" t="str">
        <f ca="1">IFERROR(__xludf.DUMMYFUNCTION("""COMPUTED_VALUE"""),"https://drive.google.com/open?id=e6EBdNSakyOI2onojn4A")</f>
        <v>https://drive.google.com/open?id=e6EBdNSakyOI2onojn4A</v>
      </c>
      <c r="S189" s="1">
        <f ca="1">IFERROR(__xludf.DUMMYFUNCTION("""COMPUTED_VALUE"""),15000000)</f>
        <v>15000000</v>
      </c>
      <c r="T189" s="1" t="str">
        <f ca="1">IFERROR(__xludf.DUMMYFUNCTION("""COMPUTED_VALUE"""),"Classic")</f>
        <v>Classic</v>
      </c>
      <c r="U189" s="1" t="str">
        <f ca="1">IFERROR(__xludf.DUMMYFUNCTION("""COMPUTED_VALUE"""),"Partner")</f>
        <v>Partner</v>
      </c>
    </row>
    <row r="190" spans="1:21" x14ac:dyDescent="0.25">
      <c r="A190" s="2" t="str">
        <f ca="1">IFERROR(__xludf.DUMMYFUNCTION("""COMPUTED_VALUE"""),"APP0189")</f>
        <v>APP0189</v>
      </c>
      <c r="B190" s="2">
        <f ca="1">IFERROR(__xludf.DUMMYFUNCTION("""COMPUTED_VALUE"""),45907.9124884259)</f>
        <v>45907.9124884259</v>
      </c>
      <c r="C190" s="1" t="str">
        <f ca="1">IFERROR(__xludf.DUMMYFUNCTION("""COMPUTED_VALUE"""),"Nguyễn Anh Yến")</f>
        <v>Nguyễn Anh Yến</v>
      </c>
      <c r="D190" s="1" t="str">
        <f ca="1">IFERROR(__xludf.DUMMYFUNCTION("""COMPUTED_VALUE"""),"19/09/1969")</f>
        <v>19/09/1969</v>
      </c>
      <c r="E190" s="1" t="str">
        <f ca="1">IFERROR(__xludf.DUMMYFUNCTION("""COMPUTED_VALUE"""),"Female")</f>
        <v>Female</v>
      </c>
      <c r="F190" s="1" t="str">
        <f ca="1">IFERROR(__xludf.DUMMYFUNCTION("""COMPUTED_VALUE"""),"Vietnam")</f>
        <v>Vietnam</v>
      </c>
      <c r="G190" s="1" t="str">
        <f ca="1">IFERROR(__xludf.DUMMYFUNCTION("""COMPUTED_VALUE"""),"0751931330")</f>
        <v>0751931330</v>
      </c>
      <c r="H190" s="1" t="str">
        <f ca="1">IFERROR(__xludf.DUMMYFUNCTION("""COMPUTED_VALUE"""),"nguyenanhyen@gmail.com")</f>
        <v>nguyenanhyen@gmail.com</v>
      </c>
      <c r="I190" s="1" t="str">
        <f ca="1">IFERROR(__xludf.DUMMYFUNCTION("""COMPUTED_VALUE"""),"97 Le Loi, Quan 7, TP Ho Chi Minh, Viet Nam")</f>
        <v>97 Le Loi, Quan 7, TP Ho Chi Minh, Viet Nam</v>
      </c>
      <c r="J190" s="1" t="str">
        <f ca="1">IFERROR(__xludf.DUMMYFUNCTION("""COMPUTED_VALUE"""),"048686230921")</f>
        <v>048686230921</v>
      </c>
      <c r="K190" s="3" t="str">
        <f ca="1">IFERROR(__xludf.DUMMYFUNCTION("""COMPUTED_VALUE"""),"https://drive.google.com/open?id=L1VHan50HrjxvRjUMI2a")</f>
        <v>https://drive.google.com/open?id=L1VHan50HrjxvRjUMI2a</v>
      </c>
      <c r="L190" s="3" t="str">
        <f ca="1">IFERROR(__xludf.DUMMYFUNCTION("""COMPUTED_VALUE"""),"https://drive.google.com/open?id=0ObqI1DSYgtFolVBCxFK")</f>
        <v>https://drive.google.com/open?id=0ObqI1DSYgtFolVBCxFK</v>
      </c>
      <c r="M190" s="1"/>
      <c r="N190" s="1"/>
      <c r="O190" s="1"/>
      <c r="P190" s="1" t="str">
        <f ca="1">IFERROR(__xludf.DUMMYFUNCTION("""COMPUTED_VALUE"""),"Part-time")</f>
        <v>Part-time</v>
      </c>
      <c r="Q190" s="1">
        <f ca="1">IFERROR(__xludf.DUMMYFUNCTION("""COMPUTED_VALUE"""),8000000)</f>
        <v>8000000</v>
      </c>
      <c r="R190" s="3" t="str">
        <f ca="1">IFERROR(__xludf.DUMMYFUNCTION("""COMPUTED_VALUE"""),"https://drive.google.com/open?id=eKPsc3IqVdvg6bEDvH6j")</f>
        <v>https://drive.google.com/open?id=eKPsc3IqVdvg6bEDvH6j</v>
      </c>
      <c r="S190" s="1">
        <f ca="1">IFERROR(__xludf.DUMMYFUNCTION("""COMPUTED_VALUE"""),16000000)</f>
        <v>16000000</v>
      </c>
      <c r="T190" s="1" t="str">
        <f ca="1">IFERROR(__xludf.DUMMYFUNCTION("""COMPUTED_VALUE"""),"Gold")</f>
        <v>Gold</v>
      </c>
      <c r="U190" s="1" t="str">
        <f ca="1">IFERROR(__xludf.DUMMYFUNCTION("""COMPUTED_VALUE"""),"Branch")</f>
        <v>Branch</v>
      </c>
    </row>
    <row r="191" spans="1:21" x14ac:dyDescent="0.25">
      <c r="A191" s="2" t="str">
        <f ca="1">IFERROR(__xludf.DUMMYFUNCTION("""COMPUTED_VALUE"""),"APP0190")</f>
        <v>APP0190</v>
      </c>
      <c r="B191" s="2">
        <f ca="1">IFERROR(__xludf.DUMMYFUNCTION("""COMPUTED_VALUE"""),45907.9760879629)</f>
        <v>45907.976087962903</v>
      </c>
      <c r="C191" s="1" t="str">
        <f ca="1">IFERROR(__xludf.DUMMYFUNCTION("""COMPUTED_VALUE"""),"Phạm Ngọc Châu")</f>
        <v>Phạm Ngọc Châu</v>
      </c>
      <c r="D191" s="1" t="str">
        <f ca="1">IFERROR(__xludf.DUMMYFUNCTION("""COMPUTED_VALUE"""),"21/08/1991")</f>
        <v>21/08/1991</v>
      </c>
      <c r="E191" s="1" t="str">
        <f ca="1">IFERROR(__xludf.DUMMYFUNCTION("""COMPUTED_VALUE"""),"Female")</f>
        <v>Female</v>
      </c>
      <c r="F191" s="1" t="str">
        <f ca="1">IFERROR(__xludf.DUMMYFUNCTION("""COMPUTED_VALUE"""),"Vietnam")</f>
        <v>Vietnam</v>
      </c>
      <c r="G191" s="1" t="str">
        <f ca="1">IFERROR(__xludf.DUMMYFUNCTION("""COMPUTED_VALUE"""),"0859168837")</f>
        <v>0859168837</v>
      </c>
      <c r="H191" s="1" t="str">
        <f ca="1">IFERROR(__xludf.DUMMYFUNCTION("""COMPUTED_VALUE"""),"phamngocchau@gmail.com")</f>
        <v>phamngocchau@gmail.com</v>
      </c>
      <c r="I191" s="1" t="str">
        <f ca="1">IFERROR(__xludf.DUMMYFUNCTION("""COMPUTED_VALUE"""),"38 Ly Thuong Kiet, Hai Chau, Hai Phong, Viet Nam")</f>
        <v>38 Ly Thuong Kiet, Hai Chau, Hai Phong, Viet Nam</v>
      </c>
      <c r="J191" s="1" t="str">
        <f ca="1">IFERROR(__xludf.DUMMYFUNCTION("""COMPUTED_VALUE"""),"091189187156")</f>
        <v>091189187156</v>
      </c>
      <c r="K191" s="3" t="str">
        <f ca="1">IFERROR(__xludf.DUMMYFUNCTION("""COMPUTED_VALUE"""),"https://drive.google.com/open?id=m9iLBWzpmOR12BybqjhP")</f>
        <v>https://drive.google.com/open?id=m9iLBWzpmOR12BybqjhP</v>
      </c>
      <c r="L191" s="3" t="str">
        <f ca="1">IFERROR(__xludf.DUMMYFUNCTION("""COMPUTED_VALUE"""),"https://drive.google.com/open?id=HoECvDt0xVPAEjYKMoCL")</f>
        <v>https://drive.google.com/open?id=HoECvDt0xVPAEjYKMoCL</v>
      </c>
      <c r="M191" s="1"/>
      <c r="N191" s="1"/>
      <c r="O191" s="1"/>
      <c r="P191" s="1" t="str">
        <f ca="1">IFERROR(__xludf.DUMMYFUNCTION("""COMPUTED_VALUE"""),"Self-employed")</f>
        <v>Self-employed</v>
      </c>
      <c r="Q191" s="1">
        <f ca="1">IFERROR(__xludf.DUMMYFUNCTION("""COMPUTED_VALUE"""),20000000)</f>
        <v>20000000</v>
      </c>
      <c r="R191" s="3" t="str">
        <f ca="1">IFERROR(__xludf.DUMMYFUNCTION("""COMPUTED_VALUE"""),"https://drive.google.com/open?id=klVCqGgT9Lipx1w7m2Xz")</f>
        <v>https://drive.google.com/open?id=klVCqGgT9Lipx1w7m2Xz</v>
      </c>
      <c r="S191" s="1">
        <f ca="1">IFERROR(__xludf.DUMMYFUNCTION("""COMPUTED_VALUE"""),40000000)</f>
        <v>40000000</v>
      </c>
      <c r="T191" s="1" t="str">
        <f ca="1">IFERROR(__xludf.DUMMYFUNCTION("""COMPUTED_VALUE"""),"Gold")</f>
        <v>Gold</v>
      </c>
      <c r="U191" s="1" t="str">
        <f ca="1">IFERROR(__xludf.DUMMYFUNCTION("""COMPUTED_VALUE"""),"Branch")</f>
        <v>Branch</v>
      </c>
    </row>
    <row r="192" spans="1:21" x14ac:dyDescent="0.25">
      <c r="A192" s="2" t="str">
        <f ca="1">IFERROR(__xludf.DUMMYFUNCTION("""COMPUTED_VALUE"""),"APP0191")</f>
        <v>APP0191</v>
      </c>
      <c r="B192" s="2">
        <f ca="1">IFERROR(__xludf.DUMMYFUNCTION("""COMPUTED_VALUE"""),45908.03875)</f>
        <v>45908.03875</v>
      </c>
      <c r="C192" s="1" t="str">
        <f ca="1">IFERROR(__xludf.DUMMYFUNCTION("""COMPUTED_VALUE"""),"Christopher Garcia")</f>
        <v>Christopher Garcia</v>
      </c>
      <c r="D192" s="1" t="str">
        <f ca="1">IFERROR(__xludf.DUMMYFUNCTION("""COMPUTED_VALUE"""),"01/01/1983")</f>
        <v>01/01/1983</v>
      </c>
      <c r="E192" s="1" t="str">
        <f ca="1">IFERROR(__xludf.DUMMYFUNCTION("""COMPUTED_VALUE"""),"Male")</f>
        <v>Male</v>
      </c>
      <c r="F192" s="1" t="str">
        <f ca="1">IFERROR(__xludf.DUMMYFUNCTION("""COMPUTED_VALUE"""),"Other")</f>
        <v>Other</v>
      </c>
      <c r="G192" s="1" t="str">
        <f ca="1">IFERROR(__xludf.DUMMYFUNCTION("""COMPUTED_VALUE"""),"+33 7854099363")</f>
        <v>+33 7854099363</v>
      </c>
      <c r="H192" s="1" t="str">
        <f ca="1">IFERROR(__xludf.DUMMYFUNCTION("""COMPUTED_VALUE"""),"christophergarcia@gmail.com")</f>
        <v>christophergarcia@gmail.com</v>
      </c>
      <c r="I192" s="1" t="str">
        <f ca="1">IFERROR(__xludf.DUMMYFUNCTION("""COMPUTED_VALUE"""),"7174 Melinda Heights, Simschester, WY 19791")</f>
        <v>7174 Melinda Heights, Simschester, WY 19791</v>
      </c>
      <c r="J192" s="1"/>
      <c r="K192" s="1"/>
      <c r="L192" s="1"/>
      <c r="M192" s="1" t="str">
        <f ca="1">IFERROR(__xludf.DUMMYFUNCTION("""COMPUTED_VALUE"""),"pV611972")</f>
        <v>pV611972</v>
      </c>
      <c r="N192" s="3" t="str">
        <f ca="1">IFERROR(__xludf.DUMMYFUNCTION("""COMPUTED_VALUE"""),"https://drive.google.com/open?id=pGCWvPrCnxs8ah6nv2Kz")</f>
        <v>https://drive.google.com/open?id=pGCWvPrCnxs8ah6nv2Kz</v>
      </c>
      <c r="O192" s="3" t="str">
        <f ca="1">IFERROR(__xludf.DUMMYFUNCTION("""COMPUTED_VALUE"""),"https://drive.google.com/open?id=g2TBVliLs12GdGGsdtu3")</f>
        <v>https://drive.google.com/open?id=g2TBVliLs12GdGGsdtu3</v>
      </c>
      <c r="P192" s="1" t="str">
        <f ca="1">IFERROR(__xludf.DUMMYFUNCTION("""COMPUTED_VALUE"""),"Part-time")</f>
        <v>Part-time</v>
      </c>
      <c r="Q192" s="1">
        <f ca="1">IFERROR(__xludf.DUMMYFUNCTION("""COMPUTED_VALUE"""),12000000)</f>
        <v>12000000</v>
      </c>
      <c r="R192" s="3" t="str">
        <f ca="1">IFERROR(__xludf.DUMMYFUNCTION("""COMPUTED_VALUE"""),"https://drive.google.com/open?id=XTcHBX5vdjTZHIDPVIQi")</f>
        <v>https://drive.google.com/open?id=XTcHBX5vdjTZHIDPVIQi</v>
      </c>
      <c r="S192" s="1">
        <f ca="1">IFERROR(__xludf.DUMMYFUNCTION("""COMPUTED_VALUE"""),24000000)</f>
        <v>24000000</v>
      </c>
      <c r="T192" s="1" t="str">
        <f ca="1">IFERROR(__xludf.DUMMYFUNCTION("""COMPUTED_VALUE"""),"Gold")</f>
        <v>Gold</v>
      </c>
      <c r="U192" s="1" t="str">
        <f ca="1">IFERROR(__xludf.DUMMYFUNCTION("""COMPUTED_VALUE"""),"Branch")</f>
        <v>Branch</v>
      </c>
    </row>
    <row r="193" spans="1:21" x14ac:dyDescent="0.25">
      <c r="A193" s="2" t="str">
        <f ca="1">IFERROR(__xludf.DUMMYFUNCTION("""COMPUTED_VALUE"""),"APP0192")</f>
        <v>APP0192</v>
      </c>
      <c r="B193" s="2">
        <f ca="1">IFERROR(__xludf.DUMMYFUNCTION("""COMPUTED_VALUE"""),45908.1586921296)</f>
        <v>45908.158692129597</v>
      </c>
      <c r="C193" s="1" t="str">
        <f ca="1">IFERROR(__xludf.DUMMYFUNCTION("""COMPUTED_VALUE"""),"Vũ Ngọc An")</f>
        <v>Vũ Ngọc An</v>
      </c>
      <c r="D193" s="1" t="str">
        <f ca="1">IFERROR(__xludf.DUMMYFUNCTION("""COMPUTED_VALUE"""),"05/02/1984")</f>
        <v>05/02/1984</v>
      </c>
      <c r="E193" s="1" t="str">
        <f ca="1">IFERROR(__xludf.DUMMYFUNCTION("""COMPUTED_VALUE"""),"Female")</f>
        <v>Female</v>
      </c>
      <c r="F193" s="1" t="str">
        <f ca="1">IFERROR(__xludf.DUMMYFUNCTION("""COMPUTED_VALUE"""),"Vietnam")</f>
        <v>Vietnam</v>
      </c>
      <c r="G193" s="1" t="str">
        <f ca="1">IFERROR(__xludf.DUMMYFUNCTION("""COMPUTED_VALUE"""),"0814372224")</f>
        <v>0814372224</v>
      </c>
      <c r="H193" s="1" t="str">
        <f ca="1">IFERROR(__xludf.DUMMYFUNCTION("""COMPUTED_VALUE"""),"vungocan@gmail.com")</f>
        <v>vungocan@gmail.com</v>
      </c>
      <c r="I193" s="1" t="str">
        <f ca="1">IFERROR(__xludf.DUMMYFUNCTION("""COMPUTED_VALUE"""),"158 Le Loi, Quan 7, Hai Phong, Viet Nam")</f>
        <v>158 Le Loi, Quan 7, Hai Phong, Viet Nam</v>
      </c>
      <c r="J193" s="1" t="str">
        <f ca="1">IFERROR(__xludf.DUMMYFUNCTION("""COMPUTED_VALUE"""),"097483039402")</f>
        <v>097483039402</v>
      </c>
      <c r="K193" s="3" t="str">
        <f ca="1">IFERROR(__xludf.DUMMYFUNCTION("""COMPUTED_VALUE"""),"https://drive.google.com/open?id=sVhwcaBJcvvQuEEJK79P")</f>
        <v>https://drive.google.com/open?id=sVhwcaBJcvvQuEEJK79P</v>
      </c>
      <c r="L193" s="3" t="str">
        <f ca="1">IFERROR(__xludf.DUMMYFUNCTION("""COMPUTED_VALUE"""),"https://drive.google.com/open?id=4tv0grQhvxADAl07RUTj")</f>
        <v>https://drive.google.com/open?id=4tv0grQhvxADAl07RUTj</v>
      </c>
      <c r="M193" s="1"/>
      <c r="N193" s="1"/>
      <c r="O193" s="1"/>
      <c r="P193" s="1" t="str">
        <f ca="1">IFERROR(__xludf.DUMMYFUNCTION("""COMPUTED_VALUE"""),"Part-time")</f>
        <v>Part-time</v>
      </c>
      <c r="Q193" s="1">
        <f ca="1">IFERROR(__xludf.DUMMYFUNCTION("""COMPUTED_VALUE"""),5000000)</f>
        <v>5000000</v>
      </c>
      <c r="R193" s="3" t="str">
        <f ca="1">IFERROR(__xludf.DUMMYFUNCTION("""COMPUTED_VALUE"""),"https://drive.google.com/open?id=OBreRfkF2IRoIUR2OMeB")</f>
        <v>https://drive.google.com/open?id=OBreRfkF2IRoIUR2OMeB</v>
      </c>
      <c r="S193" s="1">
        <f ca="1">IFERROR(__xludf.DUMMYFUNCTION("""COMPUTED_VALUE"""),25000000)</f>
        <v>25000000</v>
      </c>
      <c r="T193" s="1" t="str">
        <f ca="1">IFERROR(__xludf.DUMMYFUNCTION("""COMPUTED_VALUE"""),"Classic")</f>
        <v>Classic</v>
      </c>
      <c r="U193" s="1" t="str">
        <f ca="1">IFERROR(__xludf.DUMMYFUNCTION("""COMPUTED_VALUE"""),"Branch")</f>
        <v>Branch</v>
      </c>
    </row>
    <row r="194" spans="1:21" x14ac:dyDescent="0.25">
      <c r="A194" s="2" t="str">
        <f ca="1">IFERROR(__xludf.DUMMYFUNCTION("""COMPUTED_VALUE"""),"APP0193")</f>
        <v>APP0193</v>
      </c>
      <c r="B194" s="2">
        <f ca="1">IFERROR(__xludf.DUMMYFUNCTION("""COMPUTED_VALUE"""),45908.2933564814)</f>
        <v>45908.293356481401</v>
      </c>
      <c r="C194" s="1" t="str">
        <f ca="1">IFERROR(__xludf.DUMMYFUNCTION("""COMPUTED_VALUE"""),"Huỳnh Minh Khánh")</f>
        <v>Huỳnh Minh Khánh</v>
      </c>
      <c r="D194" s="1" t="str">
        <f ca="1">IFERROR(__xludf.DUMMYFUNCTION("""COMPUTED_VALUE"""),"10/08/1982")</f>
        <v>10/08/1982</v>
      </c>
      <c r="E194" s="1" t="str">
        <f ca="1">IFERROR(__xludf.DUMMYFUNCTION("""COMPUTED_VALUE"""),"Female")</f>
        <v>Female</v>
      </c>
      <c r="F194" s="1" t="str">
        <f ca="1">IFERROR(__xludf.DUMMYFUNCTION("""COMPUTED_VALUE"""),"Vietnam")</f>
        <v>Vietnam</v>
      </c>
      <c r="G194" s="1" t="str">
        <f ca="1">IFERROR(__xludf.DUMMYFUNCTION("""COMPUTED_VALUE"""),"0784579051")</f>
        <v>0784579051</v>
      </c>
      <c r="H194" s="1" t="str">
        <f ca="1">IFERROR(__xludf.DUMMYFUNCTION("""COMPUTED_VALUE"""),"huynhminhkhanh@gmail.com")</f>
        <v>huynhminhkhanh@gmail.com</v>
      </c>
      <c r="I194" s="1" t="str">
        <f ca="1">IFERROR(__xludf.DUMMYFUNCTION("""COMPUTED_VALUE"""),"118 Ly Thuong Kiet, Quan 7, Ha Noi, Viet Nam")</f>
        <v>118 Ly Thuong Kiet, Quan 7, Ha Noi, Viet Nam</v>
      </c>
      <c r="J194" s="1" t="str">
        <f ca="1">IFERROR(__xludf.DUMMYFUNCTION("""COMPUTED_VALUE"""),"070223656181")</f>
        <v>070223656181</v>
      </c>
      <c r="K194" s="3" t="str">
        <f ca="1">IFERROR(__xludf.DUMMYFUNCTION("""COMPUTED_VALUE"""),"https://drive.google.com/open?id=hOpezrYFN8xqxOhMm0ho")</f>
        <v>https://drive.google.com/open?id=hOpezrYFN8xqxOhMm0ho</v>
      </c>
      <c r="L194" s="3" t="str">
        <f ca="1">IFERROR(__xludf.DUMMYFUNCTION("""COMPUTED_VALUE"""),"https://drive.google.com/open?id=qhbpTfuWRA273YDjvlyF")</f>
        <v>https://drive.google.com/open?id=qhbpTfuWRA273YDjvlyF</v>
      </c>
      <c r="M194" s="1"/>
      <c r="N194" s="1"/>
      <c r="O194" s="1"/>
      <c r="P194" s="1" t="str">
        <f ca="1">IFERROR(__xludf.DUMMYFUNCTION("""COMPUTED_VALUE"""),"Full-time")</f>
        <v>Full-time</v>
      </c>
      <c r="Q194" s="1">
        <f ca="1">IFERROR(__xludf.DUMMYFUNCTION("""COMPUTED_VALUE"""),20000000)</f>
        <v>20000000</v>
      </c>
      <c r="R194" s="3" t="str">
        <f ca="1">IFERROR(__xludf.DUMMYFUNCTION("""COMPUTED_VALUE"""),"https://drive.google.com/open?id=yqSOHKmSB5y6UkBB13dC")</f>
        <v>https://drive.google.com/open?id=yqSOHKmSB5y6UkBB13dC</v>
      </c>
      <c r="S194" s="1">
        <f ca="1">IFERROR(__xludf.DUMMYFUNCTION("""COMPUTED_VALUE"""),100000000)</f>
        <v>100000000</v>
      </c>
      <c r="T194" s="1" t="str">
        <f ca="1">IFERROR(__xludf.DUMMYFUNCTION("""COMPUTED_VALUE"""),"Platinum")</f>
        <v>Platinum</v>
      </c>
      <c r="U194" s="1" t="str">
        <f ca="1">IFERROR(__xludf.DUMMYFUNCTION("""COMPUTED_VALUE"""),"Online")</f>
        <v>Online</v>
      </c>
    </row>
    <row r="195" spans="1:21" x14ac:dyDescent="0.25">
      <c r="A195" s="2" t="str">
        <f ca="1">IFERROR(__xludf.DUMMYFUNCTION("""COMPUTED_VALUE"""),"APP0194")</f>
        <v>APP0194</v>
      </c>
      <c r="B195" s="2">
        <f ca="1">IFERROR(__xludf.DUMMYFUNCTION("""COMPUTED_VALUE"""),45908.3025462963)</f>
        <v>45908.302546296298</v>
      </c>
      <c r="C195" s="1" t="str">
        <f ca="1">IFERROR(__xludf.DUMMYFUNCTION("""COMPUTED_VALUE"""),"Nicole Chavez")</f>
        <v>Nicole Chavez</v>
      </c>
      <c r="D195" s="1" t="str">
        <f ca="1">IFERROR(__xludf.DUMMYFUNCTION("""COMPUTED_VALUE"""),"10/08/1968")</f>
        <v>10/08/1968</v>
      </c>
      <c r="E195" s="1" t="str">
        <f ca="1">IFERROR(__xludf.DUMMYFUNCTION("""COMPUTED_VALUE"""),"Male")</f>
        <v>Male</v>
      </c>
      <c r="F195" s="1" t="str">
        <f ca="1">IFERROR(__xludf.DUMMYFUNCTION("""COMPUTED_VALUE"""),"Other")</f>
        <v>Other</v>
      </c>
      <c r="G195" s="1" t="str">
        <f ca="1">IFERROR(__xludf.DUMMYFUNCTION("""COMPUTED_VALUE"""),"+81 6770062593")</f>
        <v>+81 6770062593</v>
      </c>
      <c r="H195" s="1" t="str">
        <f ca="1">IFERROR(__xludf.DUMMYFUNCTION("""COMPUTED_VALUE"""),"nicolechavez@gmail.com")</f>
        <v>nicolechavez@gmail.com</v>
      </c>
      <c r="I195" s="1" t="str">
        <f ca="1">IFERROR(__xludf.DUMMYFUNCTION("""COMPUTED_VALUE"""),"7344 Horn Branch Apt. 868, North Valerie, IA 12829")</f>
        <v>7344 Horn Branch Apt. 868, North Valerie, IA 12829</v>
      </c>
      <c r="J195" s="1"/>
      <c r="K195" s="1"/>
      <c r="L195" s="1"/>
      <c r="M195" s="1" t="str">
        <f ca="1">IFERROR(__xludf.DUMMYFUNCTION("""COMPUTED_VALUE"""),"rw659007")</f>
        <v>rw659007</v>
      </c>
      <c r="N195" s="3" t="str">
        <f ca="1">IFERROR(__xludf.DUMMYFUNCTION("""COMPUTED_VALUE"""),"https://drive.google.com/open?id=K6IS0g9XpGgkEJARJ6sb")</f>
        <v>https://drive.google.com/open?id=K6IS0g9XpGgkEJARJ6sb</v>
      </c>
      <c r="O195" s="3" t="str">
        <f ca="1">IFERROR(__xludf.DUMMYFUNCTION("""COMPUTED_VALUE"""),"https://drive.google.com/open?id=cg1avoC80CO3KEDNZ4iE")</f>
        <v>https://drive.google.com/open?id=cg1avoC80CO3KEDNZ4iE</v>
      </c>
      <c r="P195" s="1" t="str">
        <f ca="1">IFERROR(__xludf.DUMMYFUNCTION("""COMPUTED_VALUE"""),"Self-employed")</f>
        <v>Self-employed</v>
      </c>
      <c r="Q195" s="1">
        <f ca="1">IFERROR(__xludf.DUMMYFUNCTION("""COMPUTED_VALUE"""),12000000)</f>
        <v>12000000</v>
      </c>
      <c r="R195" s="3" t="str">
        <f ca="1">IFERROR(__xludf.DUMMYFUNCTION("""COMPUTED_VALUE"""),"https://drive.google.com/open?id=C0A5xYUXaHkUwruAdLGp")</f>
        <v>https://drive.google.com/open?id=C0A5xYUXaHkUwruAdLGp</v>
      </c>
      <c r="S195" s="1">
        <f ca="1">IFERROR(__xludf.DUMMYFUNCTION("""COMPUTED_VALUE"""),60000000)</f>
        <v>60000000</v>
      </c>
      <c r="T195" s="1" t="str">
        <f ca="1">IFERROR(__xludf.DUMMYFUNCTION("""COMPUTED_VALUE"""),"Platinum")</f>
        <v>Platinum</v>
      </c>
      <c r="U195" s="1" t="str">
        <f ca="1">IFERROR(__xludf.DUMMYFUNCTION("""COMPUTED_VALUE"""),"Online")</f>
        <v>Online</v>
      </c>
    </row>
    <row r="196" spans="1:21" x14ac:dyDescent="0.25">
      <c r="A196" s="2" t="str">
        <f ca="1">IFERROR(__xludf.DUMMYFUNCTION("""COMPUTED_VALUE"""),"APP0195")</f>
        <v>APP0195</v>
      </c>
      <c r="B196" s="2">
        <f ca="1">IFERROR(__xludf.DUMMYFUNCTION("""COMPUTED_VALUE"""),45908.4625)</f>
        <v>45908.462500000001</v>
      </c>
      <c r="C196" s="1" t="str">
        <f ca="1">IFERROR(__xludf.DUMMYFUNCTION("""COMPUTED_VALUE"""),"Lý Ngọc Tú")</f>
        <v>Lý Ngọc Tú</v>
      </c>
      <c r="D196" s="1" t="str">
        <f ca="1">IFERROR(__xludf.DUMMYFUNCTION("""COMPUTED_VALUE"""),"17/12/1968")</f>
        <v>17/12/1968</v>
      </c>
      <c r="E196" s="1" t="str">
        <f ca="1">IFERROR(__xludf.DUMMYFUNCTION("""COMPUTED_VALUE"""),"Male")</f>
        <v>Male</v>
      </c>
      <c r="F196" s="1" t="str">
        <f ca="1">IFERROR(__xludf.DUMMYFUNCTION("""COMPUTED_VALUE"""),"Vietnam")</f>
        <v>Vietnam</v>
      </c>
      <c r="G196" s="1" t="str">
        <f ca="1">IFERROR(__xludf.DUMMYFUNCTION("""COMPUTED_VALUE"""),"0761089872")</f>
        <v>0761089872</v>
      </c>
      <c r="H196" s="1" t="str">
        <f ca="1">IFERROR(__xludf.DUMMYFUNCTION("""COMPUTED_VALUE"""),"lyngoctu@gmail.com")</f>
        <v>lyngoctu@gmail.com</v>
      </c>
      <c r="I196" s="1" t="str">
        <f ca="1">IFERROR(__xludf.DUMMYFUNCTION("""COMPUTED_VALUE"""),"9 Tran Hung Dao, Dong Da, Ha Noi, Viet Nam")</f>
        <v>9 Tran Hung Dao, Dong Da, Ha Noi, Viet Nam</v>
      </c>
      <c r="J196" s="1" t="str">
        <f ca="1">IFERROR(__xludf.DUMMYFUNCTION("""COMPUTED_VALUE"""),"063156567726")</f>
        <v>063156567726</v>
      </c>
      <c r="K196" s="3" t="str">
        <f ca="1">IFERROR(__xludf.DUMMYFUNCTION("""COMPUTED_VALUE"""),"https://drive.google.com/open?id=ApEEbDDkvNldxy7FrMyL")</f>
        <v>https://drive.google.com/open?id=ApEEbDDkvNldxy7FrMyL</v>
      </c>
      <c r="L196" s="3" t="str">
        <f ca="1">IFERROR(__xludf.DUMMYFUNCTION("""COMPUTED_VALUE"""),"https://drive.google.com/open?id=6wnJtba9cQat6ZoeRUKD")</f>
        <v>https://drive.google.com/open?id=6wnJtba9cQat6ZoeRUKD</v>
      </c>
      <c r="M196" s="1"/>
      <c r="N196" s="1"/>
      <c r="O196" s="1"/>
      <c r="P196" s="1" t="str">
        <f ca="1">IFERROR(__xludf.DUMMYFUNCTION("""COMPUTED_VALUE"""),"Contract")</f>
        <v>Contract</v>
      </c>
      <c r="Q196" s="1">
        <f ca="1">IFERROR(__xludf.DUMMYFUNCTION("""COMPUTED_VALUE"""),50000000)</f>
        <v>50000000</v>
      </c>
      <c r="R196" s="3" t="str">
        <f ca="1">IFERROR(__xludf.DUMMYFUNCTION("""COMPUTED_VALUE"""),"https://drive.google.com/open?id=sSsSr8mtdtbC4BHRSwsM")</f>
        <v>https://drive.google.com/open?id=sSsSr8mtdtbC4BHRSwsM</v>
      </c>
      <c r="S196" s="1">
        <f ca="1">IFERROR(__xludf.DUMMYFUNCTION("""COMPUTED_VALUE"""),100000000)</f>
        <v>100000000</v>
      </c>
      <c r="T196" s="1" t="str">
        <f ca="1">IFERROR(__xludf.DUMMYFUNCTION("""COMPUTED_VALUE"""),"Gold")</f>
        <v>Gold</v>
      </c>
      <c r="U196" s="1" t="str">
        <f ca="1">IFERROR(__xludf.DUMMYFUNCTION("""COMPUTED_VALUE"""),"Partner")</f>
        <v>Partner</v>
      </c>
    </row>
    <row r="197" spans="1:21" x14ac:dyDescent="0.25">
      <c r="A197" s="2" t="str">
        <f ca="1">IFERROR(__xludf.DUMMYFUNCTION("""COMPUTED_VALUE"""),"APP0196")</f>
        <v>APP0196</v>
      </c>
      <c r="B197" s="2">
        <f ca="1">IFERROR(__xludf.DUMMYFUNCTION("""COMPUTED_VALUE"""),45908.4847569444)</f>
        <v>45908.484756944403</v>
      </c>
      <c r="C197" s="1" t="str">
        <f ca="1">IFERROR(__xludf.DUMMYFUNCTION("""COMPUTED_VALUE"""),"Ngô Minh Yến")</f>
        <v>Ngô Minh Yến</v>
      </c>
      <c r="D197" s="1" t="str">
        <f ca="1">IFERROR(__xludf.DUMMYFUNCTION("""COMPUTED_VALUE"""),"09/12/1994")</f>
        <v>09/12/1994</v>
      </c>
      <c r="E197" s="1" t="str">
        <f ca="1">IFERROR(__xludf.DUMMYFUNCTION("""COMPUTED_VALUE"""),"Male")</f>
        <v>Male</v>
      </c>
      <c r="F197" s="1" t="str">
        <f ca="1">IFERROR(__xludf.DUMMYFUNCTION("""COMPUTED_VALUE"""),"Vietnam")</f>
        <v>Vietnam</v>
      </c>
      <c r="G197" s="1" t="str">
        <f ca="1">IFERROR(__xludf.DUMMYFUNCTION("""COMPUTED_VALUE"""),"0791543328")</f>
        <v>0791543328</v>
      </c>
      <c r="H197" s="1" t="str">
        <f ca="1">IFERROR(__xludf.DUMMYFUNCTION("""COMPUTED_VALUE"""),"ngominhyen@gmail.com")</f>
        <v>ngominhyen@gmail.com</v>
      </c>
      <c r="I197" s="1" t="str">
        <f ca="1">IFERROR(__xludf.DUMMYFUNCTION("""COMPUTED_VALUE"""),"198 Le Loi, Quan 7, Hai Phong, Viet Nam")</f>
        <v>198 Le Loi, Quan 7, Hai Phong, Viet Nam</v>
      </c>
      <c r="J197" s="1" t="str">
        <f ca="1">IFERROR(__xludf.DUMMYFUNCTION("""COMPUTED_VALUE"""),"081080944087")</f>
        <v>081080944087</v>
      </c>
      <c r="K197" s="3" t="str">
        <f ca="1">IFERROR(__xludf.DUMMYFUNCTION("""COMPUTED_VALUE"""),"https://drive.google.com/open?id=0gZzFSQmNPRRzV7pn34k")</f>
        <v>https://drive.google.com/open?id=0gZzFSQmNPRRzV7pn34k</v>
      </c>
      <c r="L197" s="3" t="str">
        <f ca="1">IFERROR(__xludf.DUMMYFUNCTION("""COMPUTED_VALUE"""),"https://drive.google.com/open?id=9CeAkFAkKf36fYDvN1gG")</f>
        <v>https://drive.google.com/open?id=9CeAkFAkKf36fYDvN1gG</v>
      </c>
      <c r="M197" s="1"/>
      <c r="N197" s="1"/>
      <c r="O197" s="1"/>
      <c r="P197" s="1" t="str">
        <f ca="1">IFERROR(__xludf.DUMMYFUNCTION("""COMPUTED_VALUE"""),"Self-employed")</f>
        <v>Self-employed</v>
      </c>
      <c r="Q197" s="1">
        <f ca="1">IFERROR(__xludf.DUMMYFUNCTION("""COMPUTED_VALUE"""),8000000)</f>
        <v>8000000</v>
      </c>
      <c r="R197" s="3" t="str">
        <f ca="1">IFERROR(__xludf.DUMMYFUNCTION("""COMPUTED_VALUE"""),"https://drive.google.com/open?id=mOM7Gv6IBpGYFYEKKKWe")</f>
        <v>https://drive.google.com/open?id=mOM7Gv6IBpGYFYEKKKWe</v>
      </c>
      <c r="S197" s="1">
        <f ca="1">IFERROR(__xludf.DUMMYFUNCTION("""COMPUTED_VALUE"""),16000000)</f>
        <v>16000000</v>
      </c>
      <c r="T197" s="1" t="str">
        <f ca="1">IFERROR(__xludf.DUMMYFUNCTION("""COMPUTED_VALUE"""),"Gold")</f>
        <v>Gold</v>
      </c>
      <c r="U197" s="1" t="str">
        <f ca="1">IFERROR(__xludf.DUMMYFUNCTION("""COMPUTED_VALUE"""),"Branch")</f>
        <v>Branch</v>
      </c>
    </row>
    <row r="198" spans="1:21" x14ac:dyDescent="0.25">
      <c r="A198" s="2" t="str">
        <f ca="1">IFERROR(__xludf.DUMMYFUNCTION("""COMPUTED_VALUE"""),"APP0197")</f>
        <v>APP0197</v>
      </c>
      <c r="B198" s="2">
        <f ca="1">IFERROR(__xludf.DUMMYFUNCTION("""COMPUTED_VALUE"""),45908.5018981481)</f>
        <v>45908.501898148097</v>
      </c>
      <c r="C198" s="1" t="str">
        <f ca="1">IFERROR(__xludf.DUMMYFUNCTION("""COMPUTED_VALUE"""),"Lê Minh Khánh")</f>
        <v>Lê Minh Khánh</v>
      </c>
      <c r="D198" s="1" t="str">
        <f ca="1">IFERROR(__xludf.DUMMYFUNCTION("""COMPUTED_VALUE"""),"30/04/1995")</f>
        <v>30/04/1995</v>
      </c>
      <c r="E198" s="1" t="str">
        <f ca="1">IFERROR(__xludf.DUMMYFUNCTION("""COMPUTED_VALUE"""),"Male")</f>
        <v>Male</v>
      </c>
      <c r="F198" s="1" t="str">
        <f ca="1">IFERROR(__xludf.DUMMYFUNCTION("""COMPUTED_VALUE"""),"Vietnam")</f>
        <v>Vietnam</v>
      </c>
      <c r="G198" s="1" t="str">
        <f ca="1">IFERROR(__xludf.DUMMYFUNCTION("""COMPUTED_VALUE"""),"0821449746")</f>
        <v>0821449746</v>
      </c>
      <c r="H198" s="1" t="str">
        <f ca="1">IFERROR(__xludf.DUMMYFUNCTION("""COMPUTED_VALUE"""),"leminhkhanh@gmail.com")</f>
        <v>leminhkhanh@gmail.com</v>
      </c>
      <c r="I198" s="1" t="str">
        <f ca="1">IFERROR(__xludf.DUMMYFUNCTION("""COMPUTED_VALUE"""),"169 Nguyen Trai, Dong Da, Hai Phong, Viet Nam")</f>
        <v>169 Nguyen Trai, Dong Da, Hai Phong, Viet Nam</v>
      </c>
      <c r="J198" s="1" t="str">
        <f ca="1">IFERROR(__xludf.DUMMYFUNCTION("""COMPUTED_VALUE"""),"074182901446")</f>
        <v>074182901446</v>
      </c>
      <c r="K198" s="3" t="str">
        <f ca="1">IFERROR(__xludf.DUMMYFUNCTION("""COMPUTED_VALUE"""),"https://drive.google.com/open?id=bPFxYos5gpz9tBFEPuyC")</f>
        <v>https://drive.google.com/open?id=bPFxYos5gpz9tBFEPuyC</v>
      </c>
      <c r="L198" s="3" t="str">
        <f ca="1">IFERROR(__xludf.DUMMYFUNCTION("""COMPUTED_VALUE"""),"https://drive.google.com/open?id=FlDQAxRkRL4OGQg1rYju")</f>
        <v>https://drive.google.com/open?id=FlDQAxRkRL4OGQg1rYju</v>
      </c>
      <c r="M198" s="1"/>
      <c r="N198" s="1"/>
      <c r="O198" s="1"/>
      <c r="P198" s="1" t="str">
        <f ca="1">IFERROR(__xludf.DUMMYFUNCTION("""COMPUTED_VALUE"""),"Part-time")</f>
        <v>Part-time</v>
      </c>
      <c r="Q198" s="1">
        <f ca="1">IFERROR(__xludf.DUMMYFUNCTION("""COMPUTED_VALUE"""),12000000)</f>
        <v>12000000</v>
      </c>
      <c r="R198" s="3" t="str">
        <f ca="1">IFERROR(__xludf.DUMMYFUNCTION("""COMPUTED_VALUE"""),"https://drive.google.com/open?id=C2EzLr0eGP8T1fdFbyvE")</f>
        <v>https://drive.google.com/open?id=C2EzLr0eGP8T1fdFbyvE</v>
      </c>
      <c r="S198" s="1">
        <f ca="1">IFERROR(__xludf.DUMMYFUNCTION("""COMPUTED_VALUE"""),36000000)</f>
        <v>36000000</v>
      </c>
      <c r="T198" s="1" t="str">
        <f ca="1">IFERROR(__xludf.DUMMYFUNCTION("""COMPUTED_VALUE"""),"Classic")</f>
        <v>Classic</v>
      </c>
      <c r="U198" s="1" t="str">
        <f ca="1">IFERROR(__xludf.DUMMYFUNCTION("""COMPUTED_VALUE"""),"Branch")</f>
        <v>Branch</v>
      </c>
    </row>
    <row r="199" spans="1:21" x14ac:dyDescent="0.25">
      <c r="A199" s="2" t="str">
        <f ca="1">IFERROR(__xludf.DUMMYFUNCTION("""COMPUTED_VALUE"""),"APP0198")</f>
        <v>APP0198</v>
      </c>
      <c r="B199" s="2">
        <f ca="1">IFERROR(__xludf.DUMMYFUNCTION("""COMPUTED_VALUE"""),45908.5213541666)</f>
        <v>45908.521354166602</v>
      </c>
      <c r="C199" s="1" t="str">
        <f ca="1">IFERROR(__xludf.DUMMYFUNCTION("""COMPUTED_VALUE"""),"Trần Đức Trang")</f>
        <v>Trần Đức Trang</v>
      </c>
      <c r="D199" s="1" t="str">
        <f ca="1">IFERROR(__xludf.DUMMYFUNCTION("""COMPUTED_VALUE"""),"24/06/2003")</f>
        <v>24/06/2003</v>
      </c>
      <c r="E199" s="1" t="str">
        <f ca="1">IFERROR(__xludf.DUMMYFUNCTION("""COMPUTED_VALUE"""),"Female")</f>
        <v>Female</v>
      </c>
      <c r="F199" s="1" t="str">
        <f ca="1">IFERROR(__xludf.DUMMYFUNCTION("""COMPUTED_VALUE"""),"Vietnam")</f>
        <v>Vietnam</v>
      </c>
      <c r="G199" s="1" t="str">
        <f ca="1">IFERROR(__xludf.DUMMYFUNCTION("""COMPUTED_VALUE"""),"0829041708")</f>
        <v>0829041708</v>
      </c>
      <c r="H199" s="1" t="str">
        <f ca="1">IFERROR(__xludf.DUMMYFUNCTION("""COMPUTED_VALUE"""),"tranductrang@gmail.com")</f>
        <v>tranductrang@gmail.com</v>
      </c>
      <c r="I199" s="1" t="str">
        <f ca="1">IFERROR(__xludf.DUMMYFUNCTION("""COMPUTED_VALUE"""),"93 Le Loi, Quan 1, Ha Noi, Viet Nam")</f>
        <v>93 Le Loi, Quan 1, Ha Noi, Viet Nam</v>
      </c>
      <c r="J199" s="1" t="str">
        <f ca="1">IFERROR(__xludf.DUMMYFUNCTION("""COMPUTED_VALUE"""),"082984540236")</f>
        <v>082984540236</v>
      </c>
      <c r="K199" s="3" t="str">
        <f ca="1">IFERROR(__xludf.DUMMYFUNCTION("""COMPUTED_VALUE"""),"https://drive.google.com/open?id=EMPgJ1h1jrWFlXMCyA64")</f>
        <v>https://drive.google.com/open?id=EMPgJ1h1jrWFlXMCyA64</v>
      </c>
      <c r="L199" s="3" t="str">
        <f ca="1">IFERROR(__xludf.DUMMYFUNCTION("""COMPUTED_VALUE"""),"https://drive.google.com/open?id=GyCseV8HlCXhhXPQRGgp")</f>
        <v>https://drive.google.com/open?id=GyCseV8HlCXhhXPQRGgp</v>
      </c>
      <c r="M199" s="1"/>
      <c r="N199" s="1"/>
      <c r="O199" s="1"/>
      <c r="P199" s="1" t="str">
        <f ca="1">IFERROR(__xludf.DUMMYFUNCTION("""COMPUTED_VALUE"""),"Self-employed")</f>
        <v>Self-employed</v>
      </c>
      <c r="Q199" s="1">
        <f ca="1">IFERROR(__xludf.DUMMYFUNCTION("""COMPUTED_VALUE"""),12000000)</f>
        <v>12000000</v>
      </c>
      <c r="R199" s="3" t="str">
        <f ca="1">IFERROR(__xludf.DUMMYFUNCTION("""COMPUTED_VALUE"""),"https://drive.google.com/open?id=B5SZ841lWwJdTEeXHkqr")</f>
        <v>https://drive.google.com/open?id=B5SZ841lWwJdTEeXHkqr</v>
      </c>
      <c r="S199" s="1">
        <f ca="1">IFERROR(__xludf.DUMMYFUNCTION("""COMPUTED_VALUE"""),60000000)</f>
        <v>60000000</v>
      </c>
      <c r="T199" s="1" t="str">
        <f ca="1">IFERROR(__xludf.DUMMYFUNCTION("""COMPUTED_VALUE"""),"Classic")</f>
        <v>Classic</v>
      </c>
      <c r="U199" s="1" t="str">
        <f ca="1">IFERROR(__xludf.DUMMYFUNCTION("""COMPUTED_VALUE"""),"Branch")</f>
        <v>Branch</v>
      </c>
    </row>
    <row r="200" spans="1:21" x14ac:dyDescent="0.25">
      <c r="A200" s="2" t="str">
        <f ca="1">IFERROR(__xludf.DUMMYFUNCTION("""COMPUTED_VALUE"""),"APP0199")</f>
        <v>APP0199</v>
      </c>
      <c r="B200" s="2">
        <f ca="1">IFERROR(__xludf.DUMMYFUNCTION("""COMPUTED_VALUE"""),45908.547974537)</f>
        <v>45908.547974537003</v>
      </c>
      <c r="C200" s="1" t="str">
        <f ca="1">IFERROR(__xludf.DUMMYFUNCTION("""COMPUTED_VALUE"""),"Sara Heath")</f>
        <v>Sara Heath</v>
      </c>
      <c r="D200" s="1" t="str">
        <f ca="1">IFERROR(__xludf.DUMMYFUNCTION("""COMPUTED_VALUE"""),"02/04/1976")</f>
        <v>02/04/1976</v>
      </c>
      <c r="E200" s="1" t="str">
        <f ca="1">IFERROR(__xludf.DUMMYFUNCTION("""COMPUTED_VALUE"""),"Female")</f>
        <v>Female</v>
      </c>
      <c r="F200" s="1" t="str">
        <f ca="1">IFERROR(__xludf.DUMMYFUNCTION("""COMPUTED_VALUE"""),"Other")</f>
        <v>Other</v>
      </c>
      <c r="G200" s="1" t="str">
        <f ca="1">IFERROR(__xludf.DUMMYFUNCTION("""COMPUTED_VALUE"""),"+65 3751980771")</f>
        <v>+65 3751980771</v>
      </c>
      <c r="H200" s="1" t="str">
        <f ca="1">IFERROR(__xludf.DUMMYFUNCTION("""COMPUTED_VALUE"""),"saraheath@gmail.com")</f>
        <v>saraheath@gmail.com</v>
      </c>
      <c r="I200" s="1" t="str">
        <f ca="1">IFERROR(__xludf.DUMMYFUNCTION("""COMPUTED_VALUE"""),"4321 Matthew Roads Suite 382, Clintonland, MA 21202")</f>
        <v>4321 Matthew Roads Suite 382, Clintonland, MA 21202</v>
      </c>
      <c r="J200" s="1"/>
      <c r="K200" s="1"/>
      <c r="L200" s="1"/>
      <c r="M200" s="1" t="str">
        <f ca="1">IFERROR(__xludf.DUMMYFUNCTION("""COMPUTED_VALUE"""),"eR741881")</f>
        <v>eR741881</v>
      </c>
      <c r="N200" s="3" t="str">
        <f ca="1">IFERROR(__xludf.DUMMYFUNCTION("""COMPUTED_VALUE"""),"https://drive.google.com/open?id=73gwnJGUyyTvMr8iCm8y")</f>
        <v>https://drive.google.com/open?id=73gwnJGUyyTvMr8iCm8y</v>
      </c>
      <c r="O200" s="3" t="str">
        <f ca="1">IFERROR(__xludf.DUMMYFUNCTION("""COMPUTED_VALUE"""),"https://drive.google.com/open?id=Yf4NCn7bCEr79TcAbTac")</f>
        <v>https://drive.google.com/open?id=Yf4NCn7bCEr79TcAbTac</v>
      </c>
      <c r="P200" s="1" t="str">
        <f ca="1">IFERROR(__xludf.DUMMYFUNCTION("""COMPUTED_VALUE"""),"Contract")</f>
        <v>Contract</v>
      </c>
      <c r="Q200" s="1">
        <f ca="1">IFERROR(__xludf.DUMMYFUNCTION("""COMPUTED_VALUE"""),5000000)</f>
        <v>5000000</v>
      </c>
      <c r="R200" s="3" t="str">
        <f ca="1">IFERROR(__xludf.DUMMYFUNCTION("""COMPUTED_VALUE"""),"https://drive.google.com/open?id=DaKaiXlPGL8brBJUOov7")</f>
        <v>https://drive.google.com/open?id=DaKaiXlPGL8brBJUOov7</v>
      </c>
      <c r="S200" s="1">
        <f ca="1">IFERROR(__xludf.DUMMYFUNCTION("""COMPUTED_VALUE"""),15000000)</f>
        <v>15000000</v>
      </c>
      <c r="T200" s="1" t="str">
        <f ca="1">IFERROR(__xludf.DUMMYFUNCTION("""COMPUTED_VALUE"""),"Gold")</f>
        <v>Gold</v>
      </c>
      <c r="U200" s="1" t="str">
        <f ca="1">IFERROR(__xludf.DUMMYFUNCTION("""COMPUTED_VALUE"""),"Online")</f>
        <v>Online</v>
      </c>
    </row>
    <row r="201" spans="1:21" x14ac:dyDescent="0.25">
      <c r="A201" s="2" t="str">
        <f ca="1">IFERROR(__xludf.DUMMYFUNCTION("""COMPUTED_VALUE"""),"APP0200")</f>
        <v>APP0200</v>
      </c>
      <c r="B201" s="2">
        <f ca="1">IFERROR(__xludf.DUMMYFUNCTION("""COMPUTED_VALUE"""),45908.5562268518)</f>
        <v>45908.556226851797</v>
      </c>
      <c r="C201" s="1" t="str">
        <f ca="1">IFERROR(__xludf.DUMMYFUNCTION("""COMPUTED_VALUE"""),"Trần Anh Mai")</f>
        <v>Trần Anh Mai</v>
      </c>
      <c r="D201" s="1" t="str">
        <f ca="1">IFERROR(__xludf.DUMMYFUNCTION("""COMPUTED_VALUE"""),"19/01/1991")</f>
        <v>19/01/1991</v>
      </c>
      <c r="E201" s="1" t="str">
        <f ca="1">IFERROR(__xludf.DUMMYFUNCTION("""COMPUTED_VALUE"""),"Male")</f>
        <v>Male</v>
      </c>
      <c r="F201" s="1" t="str">
        <f ca="1">IFERROR(__xludf.DUMMYFUNCTION("""COMPUTED_VALUE"""),"Vietnam")</f>
        <v>Vietnam</v>
      </c>
      <c r="G201" s="1" t="str">
        <f ca="1">IFERROR(__xludf.DUMMYFUNCTION("""COMPUTED_VALUE"""),"0946599976")</f>
        <v>0946599976</v>
      </c>
      <c r="H201" s="1" t="str">
        <f ca="1">IFERROR(__xludf.DUMMYFUNCTION("""COMPUTED_VALUE"""),"trananhmai@gmail.com")</f>
        <v>trananhmai@gmail.com</v>
      </c>
      <c r="I201" s="1" t="str">
        <f ca="1">IFERROR(__xludf.DUMMYFUNCTION("""COMPUTED_VALUE"""),"142 Le Loi, Hoan Kiem, Can Tho, Viet Nam")</f>
        <v>142 Le Loi, Hoan Kiem, Can Tho, Viet Nam</v>
      </c>
      <c r="J201" s="1" t="str">
        <f ca="1">IFERROR(__xludf.DUMMYFUNCTION("""COMPUTED_VALUE"""),"039677913753")</f>
        <v>039677913753</v>
      </c>
      <c r="K201" s="3" t="str">
        <f ca="1">IFERROR(__xludf.DUMMYFUNCTION("""COMPUTED_VALUE"""),"https://drive.google.com/open?id=6d7xcpfHvR5jEg4jAnZa")</f>
        <v>https://drive.google.com/open?id=6d7xcpfHvR5jEg4jAnZa</v>
      </c>
      <c r="L201" s="3" t="str">
        <f ca="1">IFERROR(__xludf.DUMMYFUNCTION("""COMPUTED_VALUE"""),"https://drive.google.com/open?id=By0H9QwxW5LS8KPHVMeI")</f>
        <v>https://drive.google.com/open?id=By0H9QwxW5LS8KPHVMeI</v>
      </c>
      <c r="M201" s="1"/>
      <c r="N201" s="1"/>
      <c r="O201" s="1"/>
      <c r="P201" s="1" t="str">
        <f ca="1">IFERROR(__xludf.DUMMYFUNCTION("""COMPUTED_VALUE"""),"Part-time")</f>
        <v>Part-time</v>
      </c>
      <c r="Q201" s="1">
        <f ca="1">IFERROR(__xludf.DUMMYFUNCTION("""COMPUTED_VALUE"""),20000000)</f>
        <v>20000000</v>
      </c>
      <c r="R201" s="3" t="str">
        <f ca="1">IFERROR(__xludf.DUMMYFUNCTION("""COMPUTED_VALUE"""),"https://drive.google.com/open?id=hLCzjKRGVxFvxXPh8q8x")</f>
        <v>https://drive.google.com/open?id=hLCzjKRGVxFvxXPh8q8x</v>
      </c>
      <c r="S201" s="1">
        <f ca="1">IFERROR(__xludf.DUMMYFUNCTION("""COMPUTED_VALUE"""),100000000)</f>
        <v>100000000</v>
      </c>
      <c r="T201" s="1" t="str">
        <f ca="1">IFERROR(__xludf.DUMMYFUNCTION("""COMPUTED_VALUE"""),"Platinum")</f>
        <v>Platinum</v>
      </c>
      <c r="U201" s="1" t="str">
        <f ca="1">IFERROR(__xludf.DUMMYFUNCTION("""COMPUTED_VALUE"""),"Partner")</f>
        <v>Partner</v>
      </c>
    </row>
    <row r="202" spans="1:21" x14ac:dyDescent="0.25">
      <c r="A202" s="2" t="str">
        <f ca="1">IFERROR(__xludf.DUMMYFUNCTION("""COMPUTED_VALUE"""),"APP0201")</f>
        <v>APP0201</v>
      </c>
      <c r="B202" s="2">
        <f ca="1">IFERROR(__xludf.DUMMYFUNCTION("""COMPUTED_VALUE"""),45908.6320138888)</f>
        <v>45908.632013888797</v>
      </c>
      <c r="C202" s="1" t="str">
        <f ca="1">IFERROR(__xludf.DUMMYFUNCTION("""COMPUTED_VALUE"""),"Lý Hữu Châu")</f>
        <v>Lý Hữu Châu</v>
      </c>
      <c r="D202" s="1" t="str">
        <f ca="1">IFERROR(__xludf.DUMMYFUNCTION("""COMPUTED_VALUE"""),"17/10/1988")</f>
        <v>17/10/1988</v>
      </c>
      <c r="E202" s="1" t="str">
        <f ca="1">IFERROR(__xludf.DUMMYFUNCTION("""COMPUTED_VALUE"""),"Male")</f>
        <v>Male</v>
      </c>
      <c r="F202" s="1" t="str">
        <f ca="1">IFERROR(__xludf.DUMMYFUNCTION("""COMPUTED_VALUE"""),"Vietnam")</f>
        <v>Vietnam</v>
      </c>
      <c r="G202" s="1" t="str">
        <f ca="1">IFERROR(__xludf.DUMMYFUNCTION("""COMPUTED_VALUE"""),"0915732560")</f>
        <v>0915732560</v>
      </c>
      <c r="H202" s="1" t="str">
        <f ca="1">IFERROR(__xludf.DUMMYFUNCTION("""COMPUTED_VALUE"""),"lyhuuchau@gmail.com")</f>
        <v>lyhuuchau@gmail.com</v>
      </c>
      <c r="I202" s="1" t="str">
        <f ca="1">IFERROR(__xludf.DUMMYFUNCTION("""COMPUTED_VALUE"""),"86 Nguyen Hue, Quan 7, Ha Noi, Viet Nam")</f>
        <v>86 Nguyen Hue, Quan 7, Ha Noi, Viet Nam</v>
      </c>
      <c r="J202" s="1" t="str">
        <f ca="1">IFERROR(__xludf.DUMMYFUNCTION("""COMPUTED_VALUE"""),"020460451970")</f>
        <v>020460451970</v>
      </c>
      <c r="K202" s="3" t="str">
        <f ca="1">IFERROR(__xludf.DUMMYFUNCTION("""COMPUTED_VALUE"""),"https://drive.google.com/open?id=CPIDQzyC7ktG342gwxYc")</f>
        <v>https://drive.google.com/open?id=CPIDQzyC7ktG342gwxYc</v>
      </c>
      <c r="L202" s="3" t="str">
        <f ca="1">IFERROR(__xludf.DUMMYFUNCTION("""COMPUTED_VALUE"""),"https://drive.google.com/open?id=IhDcJW3KzHpXwDQziybk")</f>
        <v>https://drive.google.com/open?id=IhDcJW3KzHpXwDQziybk</v>
      </c>
      <c r="M202" s="1"/>
      <c r="N202" s="1"/>
      <c r="O202" s="1"/>
      <c r="P202" s="1" t="str">
        <f ca="1">IFERROR(__xludf.DUMMYFUNCTION("""COMPUTED_VALUE"""),"Full-time")</f>
        <v>Full-time</v>
      </c>
      <c r="Q202" s="1">
        <f ca="1">IFERROR(__xludf.DUMMYFUNCTION("""COMPUTED_VALUE"""),12000000)</f>
        <v>12000000</v>
      </c>
      <c r="R202" s="3" t="str">
        <f ca="1">IFERROR(__xludf.DUMMYFUNCTION("""COMPUTED_VALUE"""),"https://drive.google.com/open?id=CqLErZzcwsAqX8bNJumR")</f>
        <v>https://drive.google.com/open?id=CqLErZzcwsAqX8bNJumR</v>
      </c>
      <c r="S202" s="1">
        <f ca="1">IFERROR(__xludf.DUMMYFUNCTION("""COMPUTED_VALUE"""),36000000)</f>
        <v>36000000</v>
      </c>
      <c r="T202" s="1" t="str">
        <f ca="1">IFERROR(__xludf.DUMMYFUNCTION("""COMPUTED_VALUE"""),"Classic")</f>
        <v>Classic</v>
      </c>
      <c r="U202" s="1" t="str">
        <f ca="1">IFERROR(__xludf.DUMMYFUNCTION("""COMPUTED_VALUE"""),"Branch")</f>
        <v>Branch</v>
      </c>
    </row>
    <row r="203" spans="1:21" x14ac:dyDescent="0.25">
      <c r="A203" s="2" t="str">
        <f ca="1">IFERROR(__xludf.DUMMYFUNCTION("""COMPUTED_VALUE"""),"APP0202")</f>
        <v>APP0202</v>
      </c>
      <c r="B203" s="2">
        <f ca="1">IFERROR(__xludf.DUMMYFUNCTION("""COMPUTED_VALUE"""),45908.7829398148)</f>
        <v>45908.782939814802</v>
      </c>
      <c r="C203" s="1" t="str">
        <f ca="1">IFERROR(__xludf.DUMMYFUNCTION("""COMPUTED_VALUE"""),"Vũ Đức Phúc")</f>
        <v>Vũ Đức Phúc</v>
      </c>
      <c r="D203" s="1" t="str">
        <f ca="1">IFERROR(__xludf.DUMMYFUNCTION("""COMPUTED_VALUE"""),"05/02/1998")</f>
        <v>05/02/1998</v>
      </c>
      <c r="E203" s="1" t="str">
        <f ca="1">IFERROR(__xludf.DUMMYFUNCTION("""COMPUTED_VALUE"""),"Male")</f>
        <v>Male</v>
      </c>
      <c r="F203" s="1" t="str">
        <f ca="1">IFERROR(__xludf.DUMMYFUNCTION("""COMPUTED_VALUE"""),"Vietnam")</f>
        <v>Vietnam</v>
      </c>
      <c r="G203" s="1" t="str">
        <f ca="1">IFERROR(__xludf.DUMMYFUNCTION("""COMPUTED_VALUE"""),"0838243012")</f>
        <v>0838243012</v>
      </c>
      <c r="H203" s="1" t="str">
        <f ca="1">IFERROR(__xludf.DUMMYFUNCTION("""COMPUTED_VALUE"""),"vuducphuc@gmail.com")</f>
        <v>vuducphuc@gmail.com</v>
      </c>
      <c r="I203" s="1" t="str">
        <f ca="1">IFERROR(__xludf.DUMMYFUNCTION("""COMPUTED_VALUE"""),"69 Ly Thuong Kiet, Hai Chau, Hai Phong, Viet Nam")</f>
        <v>69 Ly Thuong Kiet, Hai Chau, Hai Phong, Viet Nam</v>
      </c>
      <c r="J203" s="1" t="str">
        <f ca="1">IFERROR(__xludf.DUMMYFUNCTION("""COMPUTED_VALUE"""),"041654583761")</f>
        <v>041654583761</v>
      </c>
      <c r="K203" s="3" t="str">
        <f ca="1">IFERROR(__xludf.DUMMYFUNCTION("""COMPUTED_VALUE"""),"https://drive.google.com/open?id=TZDFfAXplNZNc2BWlNrv")</f>
        <v>https://drive.google.com/open?id=TZDFfAXplNZNc2BWlNrv</v>
      </c>
      <c r="L203" s="3" t="str">
        <f ca="1">IFERROR(__xludf.DUMMYFUNCTION("""COMPUTED_VALUE"""),"https://drive.google.com/open?id=Nsqh2gbF7NsUrgScM9Dy")</f>
        <v>https://drive.google.com/open?id=Nsqh2gbF7NsUrgScM9Dy</v>
      </c>
      <c r="M203" s="1"/>
      <c r="N203" s="1"/>
      <c r="O203" s="1"/>
      <c r="P203" s="1" t="str">
        <f ca="1">IFERROR(__xludf.DUMMYFUNCTION("""COMPUTED_VALUE"""),"Self-employed")</f>
        <v>Self-employed</v>
      </c>
      <c r="Q203" s="1">
        <f ca="1">IFERROR(__xludf.DUMMYFUNCTION("""COMPUTED_VALUE"""),8000000)</f>
        <v>8000000</v>
      </c>
      <c r="R203" s="3" t="str">
        <f ca="1">IFERROR(__xludf.DUMMYFUNCTION("""COMPUTED_VALUE"""),"https://drive.google.com/open?id=bGH8zhBvDrp6QpDtMS17")</f>
        <v>https://drive.google.com/open?id=bGH8zhBvDrp6QpDtMS17</v>
      </c>
      <c r="S203" s="1">
        <f ca="1">IFERROR(__xludf.DUMMYFUNCTION("""COMPUTED_VALUE"""),16000000)</f>
        <v>16000000</v>
      </c>
      <c r="T203" s="1" t="str">
        <f ca="1">IFERROR(__xludf.DUMMYFUNCTION("""COMPUTED_VALUE"""),"Classic")</f>
        <v>Classic</v>
      </c>
      <c r="U203" s="1" t="str">
        <f ca="1">IFERROR(__xludf.DUMMYFUNCTION("""COMPUTED_VALUE"""),"Partner")</f>
        <v>Partner</v>
      </c>
    </row>
    <row r="204" spans="1:21" x14ac:dyDescent="0.25">
      <c r="A204" s="2" t="str">
        <f ca="1">IFERROR(__xludf.DUMMYFUNCTION("""COMPUTED_VALUE"""),"APP0203")</f>
        <v>APP0203</v>
      </c>
      <c r="B204" s="2">
        <f ca="1">IFERROR(__xludf.DUMMYFUNCTION("""COMPUTED_VALUE"""),45908.8067592592)</f>
        <v>45908.806759259198</v>
      </c>
      <c r="C204" s="1" t="str">
        <f ca="1">IFERROR(__xludf.DUMMYFUNCTION("""COMPUTED_VALUE"""),"Đỗ Minh Hải")</f>
        <v>Đỗ Minh Hải</v>
      </c>
      <c r="D204" s="1" t="str">
        <f ca="1">IFERROR(__xludf.DUMMYFUNCTION("""COMPUTED_VALUE"""),"18/07/1989")</f>
        <v>18/07/1989</v>
      </c>
      <c r="E204" s="1" t="str">
        <f ca="1">IFERROR(__xludf.DUMMYFUNCTION("""COMPUTED_VALUE"""),"Male")</f>
        <v>Male</v>
      </c>
      <c r="F204" s="1" t="str">
        <f ca="1">IFERROR(__xludf.DUMMYFUNCTION("""COMPUTED_VALUE"""),"Vietnam")</f>
        <v>Vietnam</v>
      </c>
      <c r="G204" s="1" t="str">
        <f ca="1">IFERROR(__xludf.DUMMYFUNCTION("""COMPUTED_VALUE"""),"0915443596")</f>
        <v>0915443596</v>
      </c>
      <c r="H204" s="1" t="str">
        <f ca="1">IFERROR(__xludf.DUMMYFUNCTION("""COMPUTED_VALUE"""),"dominhhai@gmail.com")</f>
        <v>dominhhai@gmail.com</v>
      </c>
      <c r="I204" s="1" t="str">
        <f ca="1">IFERROR(__xludf.DUMMYFUNCTION("""COMPUTED_VALUE"""),"88 Nguyen Hue, Hoan Kiem, Can Tho, Viet Nam")</f>
        <v>88 Nguyen Hue, Hoan Kiem, Can Tho, Viet Nam</v>
      </c>
      <c r="J204" s="1" t="str">
        <f ca="1">IFERROR(__xludf.DUMMYFUNCTION("""COMPUTED_VALUE"""),"039783536099")</f>
        <v>039783536099</v>
      </c>
      <c r="K204" s="3" t="str">
        <f ca="1">IFERROR(__xludf.DUMMYFUNCTION("""COMPUTED_VALUE"""),"https://drive.google.com/open?id=NQynupCFzOYOy9A75UHq")</f>
        <v>https://drive.google.com/open?id=NQynupCFzOYOy9A75UHq</v>
      </c>
      <c r="L204" s="3" t="str">
        <f ca="1">IFERROR(__xludf.DUMMYFUNCTION("""COMPUTED_VALUE"""),"https://drive.google.com/open?id=UdpNJy6smsF12uHE7xJb")</f>
        <v>https://drive.google.com/open?id=UdpNJy6smsF12uHE7xJb</v>
      </c>
      <c r="M204" s="1"/>
      <c r="N204" s="1"/>
      <c r="O204" s="1"/>
      <c r="P204" s="1" t="str">
        <f ca="1">IFERROR(__xludf.DUMMYFUNCTION("""COMPUTED_VALUE"""),"Freelancer")</f>
        <v>Freelancer</v>
      </c>
      <c r="Q204" s="1">
        <f ca="1">IFERROR(__xludf.DUMMYFUNCTION("""COMPUTED_VALUE"""),8000000)</f>
        <v>8000000</v>
      </c>
      <c r="R204" s="3" t="str">
        <f ca="1">IFERROR(__xludf.DUMMYFUNCTION("""COMPUTED_VALUE"""),"https://drive.google.com/open?id=XAQbfVutF9k7hKbkUxh0")</f>
        <v>https://drive.google.com/open?id=XAQbfVutF9k7hKbkUxh0</v>
      </c>
      <c r="S204" s="1">
        <f ca="1">IFERROR(__xludf.DUMMYFUNCTION("""COMPUTED_VALUE"""),16000000)</f>
        <v>16000000</v>
      </c>
      <c r="T204" s="1" t="str">
        <f ca="1">IFERROR(__xludf.DUMMYFUNCTION("""COMPUTED_VALUE"""),"Gold")</f>
        <v>Gold</v>
      </c>
      <c r="U204" s="1" t="str">
        <f ca="1">IFERROR(__xludf.DUMMYFUNCTION("""COMPUTED_VALUE"""),"Partner")</f>
        <v>Partner</v>
      </c>
    </row>
    <row r="205" spans="1:21" x14ac:dyDescent="0.25">
      <c r="A205" s="2" t="str">
        <f ca="1">IFERROR(__xludf.DUMMYFUNCTION("""COMPUTED_VALUE"""),"APP0204")</f>
        <v>APP0204</v>
      </c>
      <c r="B205" s="2">
        <f ca="1">IFERROR(__xludf.DUMMYFUNCTION("""COMPUTED_VALUE"""),45908.8563888888)</f>
        <v>45908.856388888802</v>
      </c>
      <c r="C205" s="1" t="str">
        <f ca="1">IFERROR(__xludf.DUMMYFUNCTION("""COMPUTED_VALUE"""),"Đặng Đức Hải")</f>
        <v>Đặng Đức Hải</v>
      </c>
      <c r="D205" s="1" t="str">
        <f ca="1">IFERROR(__xludf.DUMMYFUNCTION("""COMPUTED_VALUE"""),"25/06/1991")</f>
        <v>25/06/1991</v>
      </c>
      <c r="E205" s="1" t="str">
        <f ca="1">IFERROR(__xludf.DUMMYFUNCTION("""COMPUTED_VALUE"""),"Male")</f>
        <v>Male</v>
      </c>
      <c r="F205" s="1" t="str">
        <f ca="1">IFERROR(__xludf.DUMMYFUNCTION("""COMPUTED_VALUE"""),"Vietnam")</f>
        <v>Vietnam</v>
      </c>
      <c r="G205" s="1" t="str">
        <f ca="1">IFERROR(__xludf.DUMMYFUNCTION("""COMPUTED_VALUE"""),"0755248333")</f>
        <v>0755248333</v>
      </c>
      <c r="H205" s="1" t="str">
        <f ca="1">IFERROR(__xludf.DUMMYFUNCTION("""COMPUTED_VALUE"""),"dangduchai@gmail.com")</f>
        <v>dangduchai@gmail.com</v>
      </c>
      <c r="I205" s="1" t="str">
        <f ca="1">IFERROR(__xludf.DUMMYFUNCTION("""COMPUTED_VALUE"""),"21 Nguyen Hue, Hoan Kiem, TP Ho Chi Minh, Viet Nam")</f>
        <v>21 Nguyen Hue, Hoan Kiem, TP Ho Chi Minh, Viet Nam</v>
      </c>
      <c r="J205" s="1" t="str">
        <f ca="1">IFERROR(__xludf.DUMMYFUNCTION("""COMPUTED_VALUE"""),"063201236782")</f>
        <v>063201236782</v>
      </c>
      <c r="K205" s="3" t="str">
        <f ca="1">IFERROR(__xludf.DUMMYFUNCTION("""COMPUTED_VALUE"""),"https://drive.google.com/open?id=TKII9tiDnl9xVfB1gZ8a")</f>
        <v>https://drive.google.com/open?id=TKII9tiDnl9xVfB1gZ8a</v>
      </c>
      <c r="L205" s="3" t="str">
        <f ca="1">IFERROR(__xludf.DUMMYFUNCTION("""COMPUTED_VALUE"""),"https://drive.google.com/open?id=ODPVzMjjYQ9dSWsQy3JB")</f>
        <v>https://drive.google.com/open?id=ODPVzMjjYQ9dSWsQy3JB</v>
      </c>
      <c r="M205" s="1"/>
      <c r="N205" s="1"/>
      <c r="O205" s="1"/>
      <c r="P205" s="1" t="str">
        <f ca="1">IFERROR(__xludf.DUMMYFUNCTION("""COMPUTED_VALUE"""),"Full-time")</f>
        <v>Full-time</v>
      </c>
      <c r="Q205" s="1">
        <f ca="1">IFERROR(__xludf.DUMMYFUNCTION("""COMPUTED_VALUE"""),8000000)</f>
        <v>8000000</v>
      </c>
      <c r="R205" s="3" t="str">
        <f ca="1">IFERROR(__xludf.DUMMYFUNCTION("""COMPUTED_VALUE"""),"https://drive.google.com/open?id=U8FTxGROQJVboI1vrVfT")</f>
        <v>https://drive.google.com/open?id=U8FTxGROQJVboI1vrVfT</v>
      </c>
      <c r="S205" s="1">
        <f ca="1">IFERROR(__xludf.DUMMYFUNCTION("""COMPUTED_VALUE"""),16000000)</f>
        <v>16000000</v>
      </c>
      <c r="T205" s="1" t="str">
        <f ca="1">IFERROR(__xludf.DUMMYFUNCTION("""COMPUTED_VALUE"""),"Gold")</f>
        <v>Gold</v>
      </c>
      <c r="U205" s="1" t="str">
        <f ca="1">IFERROR(__xludf.DUMMYFUNCTION("""COMPUTED_VALUE"""),"Branch")</f>
        <v>Branch</v>
      </c>
    </row>
    <row r="206" spans="1:21" x14ac:dyDescent="0.25">
      <c r="A206" s="2" t="str">
        <f ca="1">IFERROR(__xludf.DUMMYFUNCTION("""COMPUTED_VALUE"""),"APP0205")</f>
        <v>APP0205</v>
      </c>
      <c r="B206" s="2">
        <f ca="1">IFERROR(__xludf.DUMMYFUNCTION("""COMPUTED_VALUE"""),45909.0759143518)</f>
        <v>45909.075914351801</v>
      </c>
      <c r="C206" s="1" t="str">
        <f ca="1">IFERROR(__xludf.DUMMYFUNCTION("""COMPUTED_VALUE"""),"Ngô Ngọc Trang")</f>
        <v>Ngô Ngọc Trang</v>
      </c>
      <c r="D206" s="1" t="str">
        <f ca="1">IFERROR(__xludf.DUMMYFUNCTION("""COMPUTED_VALUE"""),"26/04/1981")</f>
        <v>26/04/1981</v>
      </c>
      <c r="E206" s="1" t="str">
        <f ca="1">IFERROR(__xludf.DUMMYFUNCTION("""COMPUTED_VALUE"""),"Female")</f>
        <v>Female</v>
      </c>
      <c r="F206" s="1" t="str">
        <f ca="1">IFERROR(__xludf.DUMMYFUNCTION("""COMPUTED_VALUE"""),"Vietnam")</f>
        <v>Vietnam</v>
      </c>
      <c r="G206" s="1" t="str">
        <f ca="1">IFERROR(__xludf.DUMMYFUNCTION("""COMPUTED_VALUE"""),"0947257975")</f>
        <v>0947257975</v>
      </c>
      <c r="H206" s="1" t="str">
        <f ca="1">IFERROR(__xludf.DUMMYFUNCTION("""COMPUTED_VALUE"""),"ngongoctrang@gmail.com")</f>
        <v>ngongoctrang@gmail.com</v>
      </c>
      <c r="I206" s="1" t="str">
        <f ca="1">IFERROR(__xludf.DUMMYFUNCTION("""COMPUTED_VALUE"""),"158 Pham Van Dong, Hai Chau, Da Nang, Viet Nam")</f>
        <v>158 Pham Van Dong, Hai Chau, Da Nang, Viet Nam</v>
      </c>
      <c r="J206" s="1" t="str">
        <f ca="1">IFERROR(__xludf.DUMMYFUNCTION("""COMPUTED_VALUE"""),"021704848756")</f>
        <v>021704848756</v>
      </c>
      <c r="K206" s="3" t="str">
        <f ca="1">IFERROR(__xludf.DUMMYFUNCTION("""COMPUTED_VALUE"""),"https://drive.google.com/open?id=M6j9veieM5BSf4W0LPkv")</f>
        <v>https://drive.google.com/open?id=M6j9veieM5BSf4W0LPkv</v>
      </c>
      <c r="L206" s="3" t="str">
        <f ca="1">IFERROR(__xludf.DUMMYFUNCTION("""COMPUTED_VALUE"""),"https://drive.google.com/open?id=i0BeJsvYNDYxw7hU2QgJ")</f>
        <v>https://drive.google.com/open?id=i0BeJsvYNDYxw7hU2QgJ</v>
      </c>
      <c r="M206" s="1"/>
      <c r="N206" s="1"/>
      <c r="O206" s="1"/>
      <c r="P206" s="1" t="str">
        <f ca="1">IFERROR(__xludf.DUMMYFUNCTION("""COMPUTED_VALUE"""),"Freelancer")</f>
        <v>Freelancer</v>
      </c>
      <c r="Q206" s="1">
        <f ca="1">IFERROR(__xludf.DUMMYFUNCTION("""COMPUTED_VALUE"""),50000000)</f>
        <v>50000000</v>
      </c>
      <c r="R206" s="3" t="str">
        <f ca="1">IFERROR(__xludf.DUMMYFUNCTION("""COMPUTED_VALUE"""),"https://drive.google.com/open?id=wIbji6dkGTgNYlUd8D5t")</f>
        <v>https://drive.google.com/open?id=wIbji6dkGTgNYlUd8D5t</v>
      </c>
      <c r="S206" s="1">
        <f ca="1">IFERROR(__xludf.DUMMYFUNCTION("""COMPUTED_VALUE"""),150000000)</f>
        <v>150000000</v>
      </c>
      <c r="T206" s="1" t="str">
        <f ca="1">IFERROR(__xludf.DUMMYFUNCTION("""COMPUTED_VALUE"""),"Classic")</f>
        <v>Classic</v>
      </c>
      <c r="U206" s="1" t="str">
        <f ca="1">IFERROR(__xludf.DUMMYFUNCTION("""COMPUTED_VALUE"""),"Partner")</f>
        <v>Partner</v>
      </c>
    </row>
    <row r="207" spans="1:21" x14ac:dyDescent="0.25">
      <c r="A207" s="2" t="str">
        <f ca="1">IFERROR(__xludf.DUMMYFUNCTION("""COMPUTED_VALUE"""),"APP0206")</f>
        <v>APP0206</v>
      </c>
      <c r="B207" s="2">
        <f ca="1">IFERROR(__xludf.DUMMYFUNCTION("""COMPUTED_VALUE"""),45909.1394560185)</f>
        <v>45909.1394560185</v>
      </c>
      <c r="C207" s="1" t="str">
        <f ca="1">IFERROR(__xludf.DUMMYFUNCTION("""COMPUTED_VALUE"""),"Bùi Quang Dũng")</f>
        <v>Bùi Quang Dũng</v>
      </c>
      <c r="D207" s="1" t="str">
        <f ca="1">IFERROR(__xludf.DUMMYFUNCTION("""COMPUTED_VALUE"""),"12/01/1970")</f>
        <v>12/01/1970</v>
      </c>
      <c r="E207" s="1" t="str">
        <f ca="1">IFERROR(__xludf.DUMMYFUNCTION("""COMPUTED_VALUE"""),"Male")</f>
        <v>Male</v>
      </c>
      <c r="F207" s="1" t="str">
        <f ca="1">IFERROR(__xludf.DUMMYFUNCTION("""COMPUTED_VALUE"""),"Vietnam")</f>
        <v>Vietnam</v>
      </c>
      <c r="G207" s="1" t="str">
        <f ca="1">IFERROR(__xludf.DUMMYFUNCTION("""COMPUTED_VALUE"""),"0886710604")</f>
        <v>0886710604</v>
      </c>
      <c r="H207" s="1" t="str">
        <f ca="1">IFERROR(__xludf.DUMMYFUNCTION("""COMPUTED_VALUE"""),"buiquangdung@gmail.com")</f>
        <v>buiquangdung@gmail.com</v>
      </c>
      <c r="I207" s="1" t="str">
        <f ca="1">IFERROR(__xludf.DUMMYFUNCTION("""COMPUTED_VALUE"""),"124 Le Loi, Hoan Kiem, Da Nang, Viet Nam")</f>
        <v>124 Le Loi, Hoan Kiem, Da Nang, Viet Nam</v>
      </c>
      <c r="J207" s="1" t="str">
        <f ca="1">IFERROR(__xludf.DUMMYFUNCTION("""COMPUTED_VALUE"""),"067749080029")</f>
        <v>067749080029</v>
      </c>
      <c r="K207" s="3" t="str">
        <f ca="1">IFERROR(__xludf.DUMMYFUNCTION("""COMPUTED_VALUE"""),"https://drive.google.com/open?id=v3h0dPfARXUjQUTib0XV")</f>
        <v>https://drive.google.com/open?id=v3h0dPfARXUjQUTib0XV</v>
      </c>
      <c r="L207" s="3" t="str">
        <f ca="1">IFERROR(__xludf.DUMMYFUNCTION("""COMPUTED_VALUE"""),"https://drive.google.com/open?id=BmgNUaA7gkODZ5GcoWux")</f>
        <v>https://drive.google.com/open?id=BmgNUaA7gkODZ5GcoWux</v>
      </c>
      <c r="M207" s="1"/>
      <c r="N207" s="1"/>
      <c r="O207" s="1"/>
      <c r="P207" s="1" t="str">
        <f ca="1">IFERROR(__xludf.DUMMYFUNCTION("""COMPUTED_VALUE"""),"Self-employed")</f>
        <v>Self-employed</v>
      </c>
      <c r="Q207" s="1">
        <f ca="1">IFERROR(__xludf.DUMMYFUNCTION("""COMPUTED_VALUE"""),20000000)</f>
        <v>20000000</v>
      </c>
      <c r="R207" s="3" t="str">
        <f ca="1">IFERROR(__xludf.DUMMYFUNCTION("""COMPUTED_VALUE"""),"https://drive.google.com/open?id=V3Lu8biDio2tZbpLfPtW")</f>
        <v>https://drive.google.com/open?id=V3Lu8biDio2tZbpLfPtW</v>
      </c>
      <c r="S207" s="1">
        <f ca="1">IFERROR(__xludf.DUMMYFUNCTION("""COMPUTED_VALUE"""),100000000)</f>
        <v>100000000</v>
      </c>
      <c r="T207" s="1" t="str">
        <f ca="1">IFERROR(__xludf.DUMMYFUNCTION("""COMPUTED_VALUE"""),"Platinum")</f>
        <v>Platinum</v>
      </c>
      <c r="U207" s="1" t="str">
        <f ca="1">IFERROR(__xludf.DUMMYFUNCTION("""COMPUTED_VALUE"""),"Online")</f>
        <v>Online</v>
      </c>
    </row>
    <row r="208" spans="1:21" x14ac:dyDescent="0.25">
      <c r="A208" s="2" t="str">
        <f ca="1">IFERROR(__xludf.DUMMYFUNCTION("""COMPUTED_VALUE"""),"APP0207")</f>
        <v>APP0207</v>
      </c>
      <c r="B208" s="2">
        <f ca="1">IFERROR(__xludf.DUMMYFUNCTION("""COMPUTED_VALUE"""),45909.1828009259)</f>
        <v>45909.182800925897</v>
      </c>
      <c r="C208" s="1" t="str">
        <f ca="1">IFERROR(__xludf.DUMMYFUNCTION("""COMPUTED_VALUE"""),"Dương Ngọc Quân")</f>
        <v>Dương Ngọc Quân</v>
      </c>
      <c r="D208" s="1" t="str">
        <f ca="1">IFERROR(__xludf.DUMMYFUNCTION("""COMPUTED_VALUE"""),"17/12/1969")</f>
        <v>17/12/1969</v>
      </c>
      <c r="E208" s="1" t="str">
        <f ca="1">IFERROR(__xludf.DUMMYFUNCTION("""COMPUTED_VALUE"""),"Male")</f>
        <v>Male</v>
      </c>
      <c r="F208" s="1" t="str">
        <f ca="1">IFERROR(__xludf.DUMMYFUNCTION("""COMPUTED_VALUE"""),"Vietnam")</f>
        <v>Vietnam</v>
      </c>
      <c r="G208" s="1" t="str">
        <f ca="1">IFERROR(__xludf.DUMMYFUNCTION("""COMPUTED_VALUE"""),"0983180748")</f>
        <v>0983180748</v>
      </c>
      <c r="H208" s="1" t="str">
        <f ca="1">IFERROR(__xludf.DUMMYFUNCTION("""COMPUTED_VALUE"""),"duongngocquan@gmail.com")</f>
        <v>duongngocquan@gmail.com</v>
      </c>
      <c r="I208" s="1" t="str">
        <f ca="1">IFERROR(__xludf.DUMMYFUNCTION("""COMPUTED_VALUE"""),"48 Pham Van Dong, Dong Da, Hai Phong, Viet Nam")</f>
        <v>48 Pham Van Dong, Dong Da, Hai Phong, Viet Nam</v>
      </c>
      <c r="J208" s="1" t="str">
        <f ca="1">IFERROR(__xludf.DUMMYFUNCTION("""COMPUTED_VALUE"""),"062889992005")</f>
        <v>062889992005</v>
      </c>
      <c r="K208" s="3" t="str">
        <f ca="1">IFERROR(__xludf.DUMMYFUNCTION("""COMPUTED_VALUE"""),"https://drive.google.com/open?id=bmJYQhLVCBAyXw41owrw")</f>
        <v>https://drive.google.com/open?id=bmJYQhLVCBAyXw41owrw</v>
      </c>
      <c r="L208" s="3" t="str">
        <f ca="1">IFERROR(__xludf.DUMMYFUNCTION("""COMPUTED_VALUE"""),"https://drive.google.com/open?id=ygdaL7M1BpiV9P1nYRz2")</f>
        <v>https://drive.google.com/open?id=ygdaL7M1BpiV9P1nYRz2</v>
      </c>
      <c r="M208" s="1"/>
      <c r="N208" s="1"/>
      <c r="O208" s="1"/>
      <c r="P208" s="1" t="str">
        <f ca="1">IFERROR(__xludf.DUMMYFUNCTION("""COMPUTED_VALUE"""),"Full-time")</f>
        <v>Full-time</v>
      </c>
      <c r="Q208" s="1">
        <f ca="1">IFERROR(__xludf.DUMMYFUNCTION("""COMPUTED_VALUE"""),5000000)</f>
        <v>5000000</v>
      </c>
      <c r="R208" s="3" t="str">
        <f ca="1">IFERROR(__xludf.DUMMYFUNCTION("""COMPUTED_VALUE"""),"https://drive.google.com/open?id=wz5Ymlm8BTjRFpbICeuN")</f>
        <v>https://drive.google.com/open?id=wz5Ymlm8BTjRFpbICeuN</v>
      </c>
      <c r="S208" s="1">
        <f ca="1">IFERROR(__xludf.DUMMYFUNCTION("""COMPUTED_VALUE"""),10000000)</f>
        <v>10000000</v>
      </c>
      <c r="T208" s="1" t="str">
        <f ca="1">IFERROR(__xludf.DUMMYFUNCTION("""COMPUTED_VALUE"""),"Platinum")</f>
        <v>Platinum</v>
      </c>
      <c r="U208" s="1" t="str">
        <f ca="1">IFERROR(__xludf.DUMMYFUNCTION("""COMPUTED_VALUE"""),"Partner")</f>
        <v>Partner</v>
      </c>
    </row>
    <row r="209" spans="1:21" x14ac:dyDescent="0.25">
      <c r="A209" s="2" t="str">
        <f ca="1">IFERROR(__xludf.DUMMYFUNCTION("""COMPUTED_VALUE"""),"APP0208")</f>
        <v>APP0208</v>
      </c>
      <c r="B209" s="2">
        <f ca="1">IFERROR(__xludf.DUMMYFUNCTION("""COMPUTED_VALUE"""),45909.2053356481)</f>
        <v>45909.205335648097</v>
      </c>
      <c r="C209" s="1" t="str">
        <f ca="1">IFERROR(__xludf.DUMMYFUNCTION("""COMPUTED_VALUE"""),"Võ Minh Hà")</f>
        <v>Võ Minh Hà</v>
      </c>
      <c r="D209" s="1" t="str">
        <f ca="1">IFERROR(__xludf.DUMMYFUNCTION("""COMPUTED_VALUE"""),"17/08/2006")</f>
        <v>17/08/2006</v>
      </c>
      <c r="E209" s="1" t="str">
        <f ca="1">IFERROR(__xludf.DUMMYFUNCTION("""COMPUTED_VALUE"""),"Male")</f>
        <v>Male</v>
      </c>
      <c r="F209" s="1" t="str">
        <f ca="1">IFERROR(__xludf.DUMMYFUNCTION("""COMPUTED_VALUE"""),"Vietnam")</f>
        <v>Vietnam</v>
      </c>
      <c r="G209" s="1" t="str">
        <f ca="1">IFERROR(__xludf.DUMMYFUNCTION("""COMPUTED_VALUE"""),"0842307974")</f>
        <v>0842307974</v>
      </c>
      <c r="H209" s="1" t="str">
        <f ca="1">IFERROR(__xludf.DUMMYFUNCTION("""COMPUTED_VALUE"""),"vominhha@gmail.com")</f>
        <v>vominhha@gmail.com</v>
      </c>
      <c r="I209" s="1" t="str">
        <f ca="1">IFERROR(__xludf.DUMMYFUNCTION("""COMPUTED_VALUE"""),"1 Pham Van Dong, Hoan Kiem, Da Nang, Viet Nam")</f>
        <v>1 Pham Van Dong, Hoan Kiem, Da Nang, Viet Nam</v>
      </c>
      <c r="J209" s="1" t="str">
        <f ca="1">IFERROR(__xludf.DUMMYFUNCTION("""COMPUTED_VALUE"""),"080233514671")</f>
        <v>080233514671</v>
      </c>
      <c r="K209" s="3" t="str">
        <f ca="1">IFERROR(__xludf.DUMMYFUNCTION("""COMPUTED_VALUE"""),"https://drive.google.com/open?id=FaqmDSBSsAnU9hWwW7Au")</f>
        <v>https://drive.google.com/open?id=FaqmDSBSsAnU9hWwW7Au</v>
      </c>
      <c r="L209" s="3" t="str">
        <f ca="1">IFERROR(__xludf.DUMMYFUNCTION("""COMPUTED_VALUE"""),"https://drive.google.com/open?id=osUfEigWkd0YRZxDGJhY")</f>
        <v>https://drive.google.com/open?id=osUfEigWkd0YRZxDGJhY</v>
      </c>
      <c r="M209" s="1"/>
      <c r="N209" s="1"/>
      <c r="O209" s="1"/>
      <c r="P209" s="1" t="str">
        <f ca="1">IFERROR(__xludf.DUMMYFUNCTION("""COMPUTED_VALUE"""),"Full-time")</f>
        <v>Full-time</v>
      </c>
      <c r="Q209" s="1">
        <f ca="1">IFERROR(__xludf.DUMMYFUNCTION("""COMPUTED_VALUE"""),12000000)</f>
        <v>12000000</v>
      </c>
      <c r="R209" s="3" t="str">
        <f ca="1">IFERROR(__xludf.DUMMYFUNCTION("""COMPUTED_VALUE"""),"https://drive.google.com/open?id=k3e9tHbdtdJmHe3Haagk")</f>
        <v>https://drive.google.com/open?id=k3e9tHbdtdJmHe3Haagk</v>
      </c>
      <c r="S209" s="1">
        <f ca="1">IFERROR(__xludf.DUMMYFUNCTION("""COMPUTED_VALUE"""),36000000)</f>
        <v>36000000</v>
      </c>
      <c r="T209" s="1" t="str">
        <f ca="1">IFERROR(__xludf.DUMMYFUNCTION("""COMPUTED_VALUE"""),"Platinum")</f>
        <v>Platinum</v>
      </c>
      <c r="U209" s="1" t="str">
        <f ca="1">IFERROR(__xludf.DUMMYFUNCTION("""COMPUTED_VALUE"""),"Partner")</f>
        <v>Partner</v>
      </c>
    </row>
    <row r="210" spans="1:21" x14ac:dyDescent="0.25">
      <c r="A210" s="2" t="str">
        <f ca="1">IFERROR(__xludf.DUMMYFUNCTION("""COMPUTED_VALUE"""),"APP0209")</f>
        <v>APP0209</v>
      </c>
      <c r="B210" s="2">
        <f ca="1">IFERROR(__xludf.DUMMYFUNCTION("""COMPUTED_VALUE"""),45909.2218402777)</f>
        <v>45909.2218402777</v>
      </c>
      <c r="C210" s="1" t="str">
        <f ca="1">IFERROR(__xludf.DUMMYFUNCTION("""COMPUTED_VALUE"""),"Vũ Minh An")</f>
        <v>Vũ Minh An</v>
      </c>
      <c r="D210" s="1" t="str">
        <f ca="1">IFERROR(__xludf.DUMMYFUNCTION("""COMPUTED_VALUE"""),"04/02/1974")</f>
        <v>04/02/1974</v>
      </c>
      <c r="E210" s="1" t="str">
        <f ca="1">IFERROR(__xludf.DUMMYFUNCTION("""COMPUTED_VALUE"""),"Male")</f>
        <v>Male</v>
      </c>
      <c r="F210" s="1" t="str">
        <f ca="1">IFERROR(__xludf.DUMMYFUNCTION("""COMPUTED_VALUE"""),"Vietnam")</f>
        <v>Vietnam</v>
      </c>
      <c r="G210" s="1" t="str">
        <f ca="1">IFERROR(__xludf.DUMMYFUNCTION("""COMPUTED_VALUE"""),"0986327612")</f>
        <v>0986327612</v>
      </c>
      <c r="H210" s="1" t="str">
        <f ca="1">IFERROR(__xludf.DUMMYFUNCTION("""COMPUTED_VALUE"""),"vuminhan@gmail.com")</f>
        <v>vuminhan@gmail.com</v>
      </c>
      <c r="I210" s="1" t="str">
        <f ca="1">IFERROR(__xludf.DUMMYFUNCTION("""COMPUTED_VALUE"""),"159 Tran Hung Dao, Hai Chau, Hai Phong, Viet Nam")</f>
        <v>159 Tran Hung Dao, Hai Chau, Hai Phong, Viet Nam</v>
      </c>
      <c r="J210" s="1" t="str">
        <f ca="1">IFERROR(__xludf.DUMMYFUNCTION("""COMPUTED_VALUE"""),"086504103181")</f>
        <v>086504103181</v>
      </c>
      <c r="K210" s="3" t="str">
        <f ca="1">IFERROR(__xludf.DUMMYFUNCTION("""COMPUTED_VALUE"""),"https://drive.google.com/open?id=4mgL8C7h8miCt7jG9INJ")</f>
        <v>https://drive.google.com/open?id=4mgL8C7h8miCt7jG9INJ</v>
      </c>
      <c r="L210" s="3" t="str">
        <f ca="1">IFERROR(__xludf.DUMMYFUNCTION("""COMPUTED_VALUE"""),"https://drive.google.com/open?id=MXkVVvxr0oN31oYqlHrq")</f>
        <v>https://drive.google.com/open?id=MXkVVvxr0oN31oYqlHrq</v>
      </c>
      <c r="M210" s="1"/>
      <c r="N210" s="1"/>
      <c r="O210" s="1"/>
      <c r="P210" s="1" t="str">
        <f ca="1">IFERROR(__xludf.DUMMYFUNCTION("""COMPUTED_VALUE"""),"Full-time")</f>
        <v>Full-time</v>
      </c>
      <c r="Q210" s="1">
        <f ca="1">IFERROR(__xludf.DUMMYFUNCTION("""COMPUTED_VALUE"""),50000000)</f>
        <v>50000000</v>
      </c>
      <c r="R210" s="3" t="str">
        <f ca="1">IFERROR(__xludf.DUMMYFUNCTION("""COMPUTED_VALUE"""),"https://drive.google.com/open?id=h7KpQkONgOz9fTpjk2nM")</f>
        <v>https://drive.google.com/open?id=h7KpQkONgOz9fTpjk2nM</v>
      </c>
      <c r="S210" s="1">
        <f ca="1">IFERROR(__xludf.DUMMYFUNCTION("""COMPUTED_VALUE"""),250000000)</f>
        <v>250000000</v>
      </c>
      <c r="T210" s="1" t="str">
        <f ca="1">IFERROR(__xludf.DUMMYFUNCTION("""COMPUTED_VALUE"""),"Gold")</f>
        <v>Gold</v>
      </c>
      <c r="U210" s="1" t="str">
        <f ca="1">IFERROR(__xludf.DUMMYFUNCTION("""COMPUTED_VALUE"""),"Branch")</f>
        <v>Branch</v>
      </c>
    </row>
    <row r="211" spans="1:21" x14ac:dyDescent="0.25">
      <c r="A211" s="2" t="str">
        <f ca="1">IFERROR(__xludf.DUMMYFUNCTION("""COMPUTED_VALUE"""),"APP0210")</f>
        <v>APP0210</v>
      </c>
      <c r="B211" s="2">
        <f ca="1">IFERROR(__xludf.DUMMYFUNCTION("""COMPUTED_VALUE"""),45909.2386226851)</f>
        <v>45909.238622685101</v>
      </c>
      <c r="C211" s="1" t="str">
        <f ca="1">IFERROR(__xludf.DUMMYFUNCTION("""COMPUTED_VALUE"""),"Vũ Ngọc Lan")</f>
        <v>Vũ Ngọc Lan</v>
      </c>
      <c r="D211" s="1" t="str">
        <f ca="1">IFERROR(__xludf.DUMMYFUNCTION("""COMPUTED_VALUE"""),"04/10/1976")</f>
        <v>04/10/1976</v>
      </c>
      <c r="E211" s="1" t="str">
        <f ca="1">IFERROR(__xludf.DUMMYFUNCTION("""COMPUTED_VALUE"""),"Female")</f>
        <v>Female</v>
      </c>
      <c r="F211" s="1" t="str">
        <f ca="1">IFERROR(__xludf.DUMMYFUNCTION("""COMPUTED_VALUE"""),"Vietnam")</f>
        <v>Vietnam</v>
      </c>
      <c r="G211" s="1" t="str">
        <f ca="1">IFERROR(__xludf.DUMMYFUNCTION("""COMPUTED_VALUE"""),"0835527936")</f>
        <v>0835527936</v>
      </c>
      <c r="H211" s="1" t="str">
        <f ca="1">IFERROR(__xludf.DUMMYFUNCTION("""COMPUTED_VALUE"""),"vungoclan@gmail.com")</f>
        <v>vungoclan@gmail.com</v>
      </c>
      <c r="I211" s="1" t="str">
        <f ca="1">IFERROR(__xludf.DUMMYFUNCTION("""COMPUTED_VALUE"""),"35 Nguyen Trai, Quan 7, Can Tho, Viet Nam")</f>
        <v>35 Nguyen Trai, Quan 7, Can Tho, Viet Nam</v>
      </c>
      <c r="J211" s="1" t="str">
        <f ca="1">IFERROR(__xludf.DUMMYFUNCTION("""COMPUTED_VALUE"""),"024787848675")</f>
        <v>024787848675</v>
      </c>
      <c r="K211" s="3" t="str">
        <f ca="1">IFERROR(__xludf.DUMMYFUNCTION("""COMPUTED_VALUE"""),"https://drive.google.com/open?id=p8Ua7mGRqwTSJK6z83bF")</f>
        <v>https://drive.google.com/open?id=p8Ua7mGRqwTSJK6z83bF</v>
      </c>
      <c r="L211" s="3" t="str">
        <f ca="1">IFERROR(__xludf.DUMMYFUNCTION("""COMPUTED_VALUE"""),"https://drive.google.com/open?id=c1gyrXv8YAwMTlF7e3LZ")</f>
        <v>https://drive.google.com/open?id=c1gyrXv8YAwMTlF7e3LZ</v>
      </c>
      <c r="M211" s="1"/>
      <c r="N211" s="1"/>
      <c r="O211" s="1"/>
      <c r="P211" s="1" t="str">
        <f ca="1">IFERROR(__xludf.DUMMYFUNCTION("""COMPUTED_VALUE"""),"Full-time")</f>
        <v>Full-time</v>
      </c>
      <c r="Q211" s="1">
        <f ca="1">IFERROR(__xludf.DUMMYFUNCTION("""COMPUTED_VALUE"""),50000000)</f>
        <v>50000000</v>
      </c>
      <c r="R211" s="3" t="str">
        <f ca="1">IFERROR(__xludf.DUMMYFUNCTION("""COMPUTED_VALUE"""),"https://drive.google.com/open?id=e9dQeHI7fRbv1cuzrCMf")</f>
        <v>https://drive.google.com/open?id=e9dQeHI7fRbv1cuzrCMf</v>
      </c>
      <c r="S211" s="1">
        <f ca="1">IFERROR(__xludf.DUMMYFUNCTION("""COMPUTED_VALUE"""),250000000)</f>
        <v>250000000</v>
      </c>
      <c r="T211" s="1" t="str">
        <f ca="1">IFERROR(__xludf.DUMMYFUNCTION("""COMPUTED_VALUE"""),"Gold")</f>
        <v>Gold</v>
      </c>
      <c r="U211" s="1" t="str">
        <f ca="1">IFERROR(__xludf.DUMMYFUNCTION("""COMPUTED_VALUE"""),"Partner")</f>
        <v>Partner</v>
      </c>
    </row>
    <row r="212" spans="1:21" x14ac:dyDescent="0.25">
      <c r="A212" s="2" t="str">
        <f ca="1">IFERROR(__xludf.DUMMYFUNCTION("""COMPUTED_VALUE"""),"APP0211")</f>
        <v>APP0211</v>
      </c>
      <c r="B212" s="2">
        <f ca="1">IFERROR(__xludf.DUMMYFUNCTION("""COMPUTED_VALUE"""),45909.3003009259)</f>
        <v>45909.300300925897</v>
      </c>
      <c r="C212" s="1" t="str">
        <f ca="1">IFERROR(__xludf.DUMMYFUNCTION("""COMPUTED_VALUE"""),"Phan Thị Dũng")</f>
        <v>Phan Thị Dũng</v>
      </c>
      <c r="D212" s="1" t="str">
        <f ca="1">IFERROR(__xludf.DUMMYFUNCTION("""COMPUTED_VALUE"""),"23/01/1987")</f>
        <v>23/01/1987</v>
      </c>
      <c r="E212" s="1" t="str">
        <f ca="1">IFERROR(__xludf.DUMMYFUNCTION("""COMPUTED_VALUE"""),"Female")</f>
        <v>Female</v>
      </c>
      <c r="F212" s="1" t="str">
        <f ca="1">IFERROR(__xludf.DUMMYFUNCTION("""COMPUTED_VALUE"""),"Vietnam")</f>
        <v>Vietnam</v>
      </c>
      <c r="G212" s="1" t="str">
        <f ca="1">IFERROR(__xludf.DUMMYFUNCTION("""COMPUTED_VALUE"""),"0771332849")</f>
        <v>0771332849</v>
      </c>
      <c r="H212" s="1" t="str">
        <f ca="1">IFERROR(__xludf.DUMMYFUNCTION("""COMPUTED_VALUE"""),"phanthidung@gmail.com")</f>
        <v>phanthidung@gmail.com</v>
      </c>
      <c r="I212" s="1" t="str">
        <f ca="1">IFERROR(__xludf.DUMMYFUNCTION("""COMPUTED_VALUE"""),"112 Tran Hung Dao, Dong Da, Can Tho, Viet Nam")</f>
        <v>112 Tran Hung Dao, Dong Da, Can Tho, Viet Nam</v>
      </c>
      <c r="J212" s="1" t="str">
        <f ca="1">IFERROR(__xludf.DUMMYFUNCTION("""COMPUTED_VALUE"""),"027851839324")</f>
        <v>027851839324</v>
      </c>
      <c r="K212" s="3" t="str">
        <f ca="1">IFERROR(__xludf.DUMMYFUNCTION("""COMPUTED_VALUE"""),"https://drive.google.com/open?id=8Y5B2UkRDibiBnIiIMIH")</f>
        <v>https://drive.google.com/open?id=8Y5B2UkRDibiBnIiIMIH</v>
      </c>
      <c r="L212" s="3" t="str">
        <f ca="1">IFERROR(__xludf.DUMMYFUNCTION("""COMPUTED_VALUE"""),"https://drive.google.com/open?id=4e26KaTPEveW6lfyPwvO")</f>
        <v>https://drive.google.com/open?id=4e26KaTPEveW6lfyPwvO</v>
      </c>
      <c r="M212" s="1"/>
      <c r="N212" s="1"/>
      <c r="O212" s="1"/>
      <c r="P212" s="1" t="str">
        <f ca="1">IFERROR(__xludf.DUMMYFUNCTION("""COMPUTED_VALUE"""),"Part-time")</f>
        <v>Part-time</v>
      </c>
      <c r="Q212" s="1">
        <f ca="1">IFERROR(__xludf.DUMMYFUNCTION("""COMPUTED_VALUE"""),12000000)</f>
        <v>12000000</v>
      </c>
      <c r="R212" s="3" t="str">
        <f ca="1">IFERROR(__xludf.DUMMYFUNCTION("""COMPUTED_VALUE"""),"https://drive.google.com/open?id=Ib4xEouUzECxK10IV1tc")</f>
        <v>https://drive.google.com/open?id=Ib4xEouUzECxK10IV1tc</v>
      </c>
      <c r="S212" s="1">
        <f ca="1">IFERROR(__xludf.DUMMYFUNCTION("""COMPUTED_VALUE"""),24000000)</f>
        <v>24000000</v>
      </c>
      <c r="T212" s="1" t="str">
        <f ca="1">IFERROR(__xludf.DUMMYFUNCTION("""COMPUTED_VALUE"""),"Platinum")</f>
        <v>Platinum</v>
      </c>
      <c r="U212" s="1" t="str">
        <f ca="1">IFERROR(__xludf.DUMMYFUNCTION("""COMPUTED_VALUE"""),"Online")</f>
        <v>Online</v>
      </c>
    </row>
    <row r="213" spans="1:21" x14ac:dyDescent="0.25">
      <c r="A213" s="2" t="str">
        <f ca="1">IFERROR(__xludf.DUMMYFUNCTION("""COMPUTED_VALUE"""),"APP0212")</f>
        <v>APP0212</v>
      </c>
      <c r="B213" s="2">
        <f ca="1">IFERROR(__xludf.DUMMYFUNCTION("""COMPUTED_VALUE"""),45909.3245138888)</f>
        <v>45909.324513888801</v>
      </c>
      <c r="C213" s="1" t="str">
        <f ca="1">IFERROR(__xludf.DUMMYFUNCTION("""COMPUTED_VALUE"""),"Ngô Văn Linh")</f>
        <v>Ngô Văn Linh</v>
      </c>
      <c r="D213" s="1" t="str">
        <f ca="1">IFERROR(__xludf.DUMMYFUNCTION("""COMPUTED_VALUE"""),"02/10/1983")</f>
        <v>02/10/1983</v>
      </c>
      <c r="E213" s="1" t="str">
        <f ca="1">IFERROR(__xludf.DUMMYFUNCTION("""COMPUTED_VALUE"""),"Female")</f>
        <v>Female</v>
      </c>
      <c r="F213" s="1" t="str">
        <f ca="1">IFERROR(__xludf.DUMMYFUNCTION("""COMPUTED_VALUE"""),"Vietnam")</f>
        <v>Vietnam</v>
      </c>
      <c r="G213" s="1" t="str">
        <f ca="1">IFERROR(__xludf.DUMMYFUNCTION("""COMPUTED_VALUE"""),"0714136914")</f>
        <v>0714136914</v>
      </c>
      <c r="H213" s="1" t="str">
        <f ca="1">IFERROR(__xludf.DUMMYFUNCTION("""COMPUTED_VALUE"""),"ngovanlinh@gmail.com")</f>
        <v>ngovanlinh@gmail.com</v>
      </c>
      <c r="I213" s="1" t="str">
        <f ca="1">IFERROR(__xludf.DUMMYFUNCTION("""COMPUTED_VALUE"""),"67 Nguyen Trai, Hoan Kiem, Can Tho, Viet Nam")</f>
        <v>67 Nguyen Trai, Hoan Kiem, Can Tho, Viet Nam</v>
      </c>
      <c r="J213" s="1" t="str">
        <f ca="1">IFERROR(__xludf.DUMMYFUNCTION("""COMPUTED_VALUE"""),"018983644246")</f>
        <v>018983644246</v>
      </c>
      <c r="K213" s="3" t="str">
        <f ca="1">IFERROR(__xludf.DUMMYFUNCTION("""COMPUTED_VALUE"""),"https://drive.google.com/open?id=dG4XxswFXA22yCzTzBVD")</f>
        <v>https://drive.google.com/open?id=dG4XxswFXA22yCzTzBVD</v>
      </c>
      <c r="L213" s="3" t="str">
        <f ca="1">IFERROR(__xludf.DUMMYFUNCTION("""COMPUTED_VALUE"""),"https://drive.google.com/open?id=FYm3rwPQ823Stw6DmYd0")</f>
        <v>https://drive.google.com/open?id=FYm3rwPQ823Stw6DmYd0</v>
      </c>
      <c r="M213" s="1"/>
      <c r="N213" s="1"/>
      <c r="O213" s="1"/>
      <c r="P213" s="1" t="str">
        <f ca="1">IFERROR(__xludf.DUMMYFUNCTION("""COMPUTED_VALUE"""),"Part-time")</f>
        <v>Part-time</v>
      </c>
      <c r="Q213" s="1">
        <f ca="1">IFERROR(__xludf.DUMMYFUNCTION("""COMPUTED_VALUE"""),50000000)</f>
        <v>50000000</v>
      </c>
      <c r="R213" s="3" t="str">
        <f ca="1">IFERROR(__xludf.DUMMYFUNCTION("""COMPUTED_VALUE"""),"https://drive.google.com/open?id=i3DARLqmfoxPlSsnYYvt")</f>
        <v>https://drive.google.com/open?id=i3DARLqmfoxPlSsnYYvt</v>
      </c>
      <c r="S213" s="1">
        <f ca="1">IFERROR(__xludf.DUMMYFUNCTION("""COMPUTED_VALUE"""),250000000)</f>
        <v>250000000</v>
      </c>
      <c r="T213" s="1" t="str">
        <f ca="1">IFERROR(__xludf.DUMMYFUNCTION("""COMPUTED_VALUE"""),"Classic")</f>
        <v>Classic</v>
      </c>
      <c r="U213" s="1" t="str">
        <f ca="1">IFERROR(__xludf.DUMMYFUNCTION("""COMPUTED_VALUE"""),"Online")</f>
        <v>Online</v>
      </c>
    </row>
    <row r="214" spans="1:21" x14ac:dyDescent="0.25">
      <c r="A214" s="2" t="str">
        <f ca="1">IFERROR(__xludf.DUMMYFUNCTION("""COMPUTED_VALUE"""),"APP0213")</f>
        <v>APP0213</v>
      </c>
      <c r="B214" s="2">
        <f ca="1">IFERROR(__xludf.DUMMYFUNCTION("""COMPUTED_VALUE"""),45909.3779398148)</f>
        <v>45909.377939814804</v>
      </c>
      <c r="C214" s="1" t="str">
        <f ca="1">IFERROR(__xludf.DUMMYFUNCTION("""COMPUTED_VALUE"""),"Ashley Owens")</f>
        <v>Ashley Owens</v>
      </c>
      <c r="D214" s="1" t="str">
        <f ca="1">IFERROR(__xludf.DUMMYFUNCTION("""COMPUTED_VALUE"""),"24/04/1966")</f>
        <v>24/04/1966</v>
      </c>
      <c r="E214" s="1" t="str">
        <f ca="1">IFERROR(__xludf.DUMMYFUNCTION("""COMPUTED_VALUE"""),"Female")</f>
        <v>Female</v>
      </c>
      <c r="F214" s="1" t="str">
        <f ca="1">IFERROR(__xludf.DUMMYFUNCTION("""COMPUTED_VALUE"""),"Other")</f>
        <v>Other</v>
      </c>
      <c r="G214" s="1" t="str">
        <f ca="1">IFERROR(__xludf.DUMMYFUNCTION("""COMPUTED_VALUE"""),"+49 8862682693")</f>
        <v>+49 8862682693</v>
      </c>
      <c r="H214" s="1" t="str">
        <f ca="1">IFERROR(__xludf.DUMMYFUNCTION("""COMPUTED_VALUE"""),"ashleyowens@gmail.com")</f>
        <v>ashleyowens@gmail.com</v>
      </c>
      <c r="I214" s="1" t="str">
        <f ca="1">IFERROR(__xludf.DUMMYFUNCTION("""COMPUTED_VALUE"""),"PSC 7927, Box 5276, APO AE 25028")</f>
        <v>PSC 7927, Box 5276, APO AE 25028</v>
      </c>
      <c r="J214" s="1"/>
      <c r="K214" s="1"/>
      <c r="L214" s="1"/>
      <c r="M214" s="1" t="str">
        <f ca="1">IFERROR(__xludf.DUMMYFUNCTION("""COMPUTED_VALUE"""),"UX957012")</f>
        <v>UX957012</v>
      </c>
      <c r="N214" s="3" t="str">
        <f ca="1">IFERROR(__xludf.DUMMYFUNCTION("""COMPUTED_VALUE"""),"https://drive.google.com/open?id=SxRkG0KXxlgzY5axV6OJ")</f>
        <v>https://drive.google.com/open?id=SxRkG0KXxlgzY5axV6OJ</v>
      </c>
      <c r="O214" s="3" t="str">
        <f ca="1">IFERROR(__xludf.DUMMYFUNCTION("""COMPUTED_VALUE"""),"https://drive.google.com/open?id=Np5owYp8tQIErq06hFme")</f>
        <v>https://drive.google.com/open?id=Np5owYp8tQIErq06hFme</v>
      </c>
      <c r="P214" s="1" t="str">
        <f ca="1">IFERROR(__xludf.DUMMYFUNCTION("""COMPUTED_VALUE"""),"Freelancer")</f>
        <v>Freelancer</v>
      </c>
      <c r="Q214" s="1">
        <f ca="1">IFERROR(__xludf.DUMMYFUNCTION("""COMPUTED_VALUE"""),12000000)</f>
        <v>12000000</v>
      </c>
      <c r="R214" s="3" t="str">
        <f ca="1">IFERROR(__xludf.DUMMYFUNCTION("""COMPUTED_VALUE"""),"https://drive.google.com/open?id=dRGmfZyrEp9WCQLC4pDA")</f>
        <v>https://drive.google.com/open?id=dRGmfZyrEp9WCQLC4pDA</v>
      </c>
      <c r="S214" s="1">
        <f ca="1">IFERROR(__xludf.DUMMYFUNCTION("""COMPUTED_VALUE"""),36000000)</f>
        <v>36000000</v>
      </c>
      <c r="T214" s="1" t="str">
        <f ca="1">IFERROR(__xludf.DUMMYFUNCTION("""COMPUTED_VALUE"""),"Classic")</f>
        <v>Classic</v>
      </c>
      <c r="U214" s="1" t="str">
        <f ca="1">IFERROR(__xludf.DUMMYFUNCTION("""COMPUTED_VALUE"""),"Online")</f>
        <v>Online</v>
      </c>
    </row>
    <row r="215" spans="1:21" x14ac:dyDescent="0.25">
      <c r="A215" s="2" t="str">
        <f ca="1">IFERROR(__xludf.DUMMYFUNCTION("""COMPUTED_VALUE"""),"APP0214")</f>
        <v>APP0214</v>
      </c>
      <c r="B215" s="2">
        <f ca="1">IFERROR(__xludf.DUMMYFUNCTION("""COMPUTED_VALUE"""),45909.4035069444)</f>
        <v>45909.4035069444</v>
      </c>
      <c r="C215" s="1" t="str">
        <f ca="1">IFERROR(__xludf.DUMMYFUNCTION("""COMPUTED_VALUE"""),"Hồ Thanh Nam")</f>
        <v>Hồ Thanh Nam</v>
      </c>
      <c r="D215" s="1" t="str">
        <f ca="1">IFERROR(__xludf.DUMMYFUNCTION("""COMPUTED_VALUE"""),"03/04/1975")</f>
        <v>03/04/1975</v>
      </c>
      <c r="E215" s="1" t="str">
        <f ca="1">IFERROR(__xludf.DUMMYFUNCTION("""COMPUTED_VALUE"""),"Male")</f>
        <v>Male</v>
      </c>
      <c r="F215" s="1" t="str">
        <f ca="1">IFERROR(__xludf.DUMMYFUNCTION("""COMPUTED_VALUE"""),"Vietnam")</f>
        <v>Vietnam</v>
      </c>
      <c r="G215" s="1" t="str">
        <f ca="1">IFERROR(__xludf.DUMMYFUNCTION("""COMPUTED_VALUE"""),"0834941570")</f>
        <v>0834941570</v>
      </c>
      <c r="H215" s="1" t="str">
        <f ca="1">IFERROR(__xludf.DUMMYFUNCTION("""COMPUTED_VALUE"""),"hothanhnam@gmail.com")</f>
        <v>hothanhnam@gmail.com</v>
      </c>
      <c r="I215" s="1" t="str">
        <f ca="1">IFERROR(__xludf.DUMMYFUNCTION("""COMPUTED_VALUE"""),"84 Ly Thuong Kiet, Quan 3, Ha Noi, Viet Nam")</f>
        <v>84 Ly Thuong Kiet, Quan 3, Ha Noi, Viet Nam</v>
      </c>
      <c r="J215" s="1" t="str">
        <f ca="1">IFERROR(__xludf.DUMMYFUNCTION("""COMPUTED_VALUE"""),"045496893548")</f>
        <v>045496893548</v>
      </c>
      <c r="K215" s="3" t="str">
        <f ca="1">IFERROR(__xludf.DUMMYFUNCTION("""COMPUTED_VALUE"""),"https://drive.google.com/open?id=RmBIWuBbgziuXdeboRCR")</f>
        <v>https://drive.google.com/open?id=RmBIWuBbgziuXdeboRCR</v>
      </c>
      <c r="L215" s="3" t="str">
        <f ca="1">IFERROR(__xludf.DUMMYFUNCTION("""COMPUTED_VALUE"""),"https://drive.google.com/open?id=xbR7kSmtD7bHjx9AcDuY")</f>
        <v>https://drive.google.com/open?id=xbR7kSmtD7bHjx9AcDuY</v>
      </c>
      <c r="M215" s="1"/>
      <c r="N215" s="1"/>
      <c r="O215" s="1"/>
      <c r="P215" s="1" t="str">
        <f ca="1">IFERROR(__xludf.DUMMYFUNCTION("""COMPUTED_VALUE"""),"Part-time")</f>
        <v>Part-time</v>
      </c>
      <c r="Q215" s="1">
        <f ca="1">IFERROR(__xludf.DUMMYFUNCTION("""COMPUTED_VALUE"""),8000000)</f>
        <v>8000000</v>
      </c>
      <c r="R215" s="3" t="str">
        <f ca="1">IFERROR(__xludf.DUMMYFUNCTION("""COMPUTED_VALUE"""),"https://drive.google.com/open?id=Qh4iHiONbuffgGP6LoPr")</f>
        <v>https://drive.google.com/open?id=Qh4iHiONbuffgGP6LoPr</v>
      </c>
      <c r="S215" s="1">
        <f ca="1">IFERROR(__xludf.DUMMYFUNCTION("""COMPUTED_VALUE"""),40000000)</f>
        <v>40000000</v>
      </c>
      <c r="T215" s="1" t="str">
        <f ca="1">IFERROR(__xludf.DUMMYFUNCTION("""COMPUTED_VALUE"""),"Platinum")</f>
        <v>Platinum</v>
      </c>
      <c r="U215" s="1" t="str">
        <f ca="1">IFERROR(__xludf.DUMMYFUNCTION("""COMPUTED_VALUE"""),"Partner")</f>
        <v>Partner</v>
      </c>
    </row>
    <row r="216" spans="1:21" x14ac:dyDescent="0.25">
      <c r="A216" s="2" t="str">
        <f ca="1">IFERROR(__xludf.DUMMYFUNCTION("""COMPUTED_VALUE"""),"APP0215")</f>
        <v>APP0215</v>
      </c>
      <c r="B216" s="2">
        <f ca="1">IFERROR(__xludf.DUMMYFUNCTION("""COMPUTED_VALUE"""),45909.4137268518)</f>
        <v>45909.413726851802</v>
      </c>
      <c r="C216" s="1" t="str">
        <f ca="1">IFERROR(__xludf.DUMMYFUNCTION("""COMPUTED_VALUE"""),"Emily Wallace")</f>
        <v>Emily Wallace</v>
      </c>
      <c r="D216" s="1" t="str">
        <f ca="1">IFERROR(__xludf.DUMMYFUNCTION("""COMPUTED_VALUE"""),"15/10/1998")</f>
        <v>15/10/1998</v>
      </c>
      <c r="E216" s="1" t="str">
        <f ca="1">IFERROR(__xludf.DUMMYFUNCTION("""COMPUTED_VALUE"""),"Male")</f>
        <v>Male</v>
      </c>
      <c r="F216" s="1" t="str">
        <f ca="1">IFERROR(__xludf.DUMMYFUNCTION("""COMPUTED_VALUE"""),"Other")</f>
        <v>Other</v>
      </c>
      <c r="G216" s="1" t="str">
        <f ca="1">IFERROR(__xludf.DUMMYFUNCTION("""COMPUTED_VALUE"""),"+44 1471433931")</f>
        <v>+44 1471433931</v>
      </c>
      <c r="H216" s="1" t="str">
        <f ca="1">IFERROR(__xludf.DUMMYFUNCTION("""COMPUTED_VALUE"""),"emilywallace@gmail.com")</f>
        <v>emilywallace@gmail.com</v>
      </c>
      <c r="I216" s="1" t="str">
        <f ca="1">IFERROR(__xludf.DUMMYFUNCTION("""COMPUTED_VALUE"""),"15908 Michael Port Suite 270, East Jimmyhaven, WY 53600")</f>
        <v>15908 Michael Port Suite 270, East Jimmyhaven, WY 53600</v>
      </c>
      <c r="J216" s="1"/>
      <c r="K216" s="1"/>
      <c r="L216" s="1"/>
      <c r="M216" s="1" t="str">
        <f ca="1">IFERROR(__xludf.DUMMYFUNCTION("""COMPUTED_VALUE"""),"Gs428647")</f>
        <v>Gs428647</v>
      </c>
      <c r="N216" s="3" t="str">
        <f ca="1">IFERROR(__xludf.DUMMYFUNCTION("""COMPUTED_VALUE"""),"https://drive.google.com/open?id=JBfn1EMpr3eGHWKsltmr")</f>
        <v>https://drive.google.com/open?id=JBfn1EMpr3eGHWKsltmr</v>
      </c>
      <c r="O216" s="3" t="str">
        <f ca="1">IFERROR(__xludf.DUMMYFUNCTION("""COMPUTED_VALUE"""),"https://drive.google.com/open?id=Wm2i2GH2emKzCI8egtuP")</f>
        <v>https://drive.google.com/open?id=Wm2i2GH2emKzCI8egtuP</v>
      </c>
      <c r="P216" s="1" t="str">
        <f ca="1">IFERROR(__xludf.DUMMYFUNCTION("""COMPUTED_VALUE"""),"Self-employed")</f>
        <v>Self-employed</v>
      </c>
      <c r="Q216" s="1">
        <f ca="1">IFERROR(__xludf.DUMMYFUNCTION("""COMPUTED_VALUE"""),12000000)</f>
        <v>12000000</v>
      </c>
      <c r="R216" s="3" t="str">
        <f ca="1">IFERROR(__xludf.DUMMYFUNCTION("""COMPUTED_VALUE"""),"https://drive.google.com/open?id=8emxDnDMznYc3xIQasI8")</f>
        <v>https://drive.google.com/open?id=8emxDnDMznYc3xIQasI8</v>
      </c>
      <c r="S216" s="1">
        <f ca="1">IFERROR(__xludf.DUMMYFUNCTION("""COMPUTED_VALUE"""),60000000)</f>
        <v>60000000</v>
      </c>
      <c r="T216" s="1" t="str">
        <f ca="1">IFERROR(__xludf.DUMMYFUNCTION("""COMPUTED_VALUE"""),"Gold")</f>
        <v>Gold</v>
      </c>
      <c r="U216" s="1" t="str">
        <f ca="1">IFERROR(__xludf.DUMMYFUNCTION("""COMPUTED_VALUE"""),"Branch")</f>
        <v>Branch</v>
      </c>
    </row>
    <row r="217" spans="1:21" x14ac:dyDescent="0.25">
      <c r="A217" s="2" t="str">
        <f ca="1">IFERROR(__xludf.DUMMYFUNCTION("""COMPUTED_VALUE"""),"APP0216")</f>
        <v>APP0216</v>
      </c>
      <c r="B217" s="2">
        <f ca="1">IFERROR(__xludf.DUMMYFUNCTION("""COMPUTED_VALUE"""),45909.4857407407)</f>
        <v>45909.485740740703</v>
      </c>
      <c r="C217" s="1" t="str">
        <f ca="1">IFERROR(__xludf.DUMMYFUNCTION("""COMPUTED_VALUE"""),"Lê Ngọc Yến")</f>
        <v>Lê Ngọc Yến</v>
      </c>
      <c r="D217" s="1" t="str">
        <f ca="1">IFERROR(__xludf.DUMMYFUNCTION("""COMPUTED_VALUE"""),"29/04/1991")</f>
        <v>29/04/1991</v>
      </c>
      <c r="E217" s="1" t="str">
        <f ca="1">IFERROR(__xludf.DUMMYFUNCTION("""COMPUTED_VALUE"""),"Female")</f>
        <v>Female</v>
      </c>
      <c r="F217" s="1" t="str">
        <f ca="1">IFERROR(__xludf.DUMMYFUNCTION("""COMPUTED_VALUE"""),"Vietnam")</f>
        <v>Vietnam</v>
      </c>
      <c r="G217" s="1" t="str">
        <f ca="1">IFERROR(__xludf.DUMMYFUNCTION("""COMPUTED_VALUE"""),"0994405935")</f>
        <v>0994405935</v>
      </c>
      <c r="H217" s="1" t="str">
        <f ca="1">IFERROR(__xludf.DUMMYFUNCTION("""COMPUTED_VALUE"""),"lengocyen@gmail.com")</f>
        <v>lengocyen@gmail.com</v>
      </c>
      <c r="I217" s="1" t="str">
        <f ca="1">IFERROR(__xludf.DUMMYFUNCTION("""COMPUTED_VALUE"""),"186 Nguyen Hue, Quan 1, Da Nang, Viet Nam")</f>
        <v>186 Nguyen Hue, Quan 1, Da Nang, Viet Nam</v>
      </c>
      <c r="J217" s="1" t="str">
        <f ca="1">IFERROR(__xludf.DUMMYFUNCTION("""COMPUTED_VALUE"""),"08756393441")</f>
        <v>08756393441</v>
      </c>
      <c r="K217" s="3" t="str">
        <f ca="1">IFERROR(__xludf.DUMMYFUNCTION("""COMPUTED_VALUE"""),"https://drive.google.com/open?id=wCy4zCYWw5sRJ9v5SVxM")</f>
        <v>https://drive.google.com/open?id=wCy4zCYWw5sRJ9v5SVxM</v>
      </c>
      <c r="L217" s="3" t="str">
        <f ca="1">IFERROR(__xludf.DUMMYFUNCTION("""COMPUTED_VALUE"""),"https://drive.google.com/open?id=LxtZyakBlD1mVmRY2Gfy")</f>
        <v>https://drive.google.com/open?id=LxtZyakBlD1mVmRY2Gfy</v>
      </c>
      <c r="M217" s="1"/>
      <c r="N217" s="1"/>
      <c r="O217" s="1"/>
      <c r="P217" s="1" t="str">
        <f ca="1">IFERROR(__xludf.DUMMYFUNCTION("""COMPUTED_VALUE"""),"Full-time")</f>
        <v>Full-time</v>
      </c>
      <c r="Q217" s="1">
        <f ca="1">IFERROR(__xludf.DUMMYFUNCTION("""COMPUTED_VALUE"""),50000000)</f>
        <v>50000000</v>
      </c>
      <c r="R217" s="3" t="str">
        <f ca="1">IFERROR(__xludf.DUMMYFUNCTION("""COMPUTED_VALUE"""),"https://drive.google.com/open?id=2wooCXPiK52knVh5ADwE")</f>
        <v>https://drive.google.com/open?id=2wooCXPiK52knVh5ADwE</v>
      </c>
      <c r="S217" s="1">
        <f ca="1">IFERROR(__xludf.DUMMYFUNCTION("""COMPUTED_VALUE"""),150000000)</f>
        <v>150000000</v>
      </c>
      <c r="T217" s="1" t="str">
        <f ca="1">IFERROR(__xludf.DUMMYFUNCTION("""COMPUTED_VALUE"""),"Classic")</f>
        <v>Classic</v>
      </c>
      <c r="U217" s="1" t="str">
        <f ca="1">IFERROR(__xludf.DUMMYFUNCTION("""COMPUTED_VALUE"""),"Online")</f>
        <v>Online</v>
      </c>
    </row>
    <row r="218" spans="1:21" x14ac:dyDescent="0.25">
      <c r="A218" s="2" t="str">
        <f ca="1">IFERROR(__xludf.DUMMYFUNCTION("""COMPUTED_VALUE"""),"APP0217")</f>
        <v>APP0217</v>
      </c>
      <c r="B218" s="2">
        <f ca="1">IFERROR(__xludf.DUMMYFUNCTION("""COMPUTED_VALUE"""),45909.4903935185)</f>
        <v>45909.490393518499</v>
      </c>
      <c r="C218" s="1" t="str">
        <f ca="1">IFERROR(__xludf.DUMMYFUNCTION("""COMPUTED_VALUE"""),"Bùi Văn Hùng")</f>
        <v>Bùi Văn Hùng</v>
      </c>
      <c r="D218" s="1" t="str">
        <f ca="1">IFERROR(__xludf.DUMMYFUNCTION("""COMPUTED_VALUE"""),"17/03/1974")</f>
        <v>17/03/1974</v>
      </c>
      <c r="E218" s="1" t="str">
        <f ca="1">IFERROR(__xludf.DUMMYFUNCTION("""COMPUTED_VALUE"""),"Female")</f>
        <v>Female</v>
      </c>
      <c r="F218" s="1" t="str">
        <f ca="1">IFERROR(__xludf.DUMMYFUNCTION("""COMPUTED_VALUE"""),"Vietnam")</f>
        <v>Vietnam</v>
      </c>
      <c r="G218" s="1" t="str">
        <f ca="1">IFERROR(__xludf.DUMMYFUNCTION("""COMPUTED_VALUE"""),"0869970543")</f>
        <v>0869970543</v>
      </c>
      <c r="H218" s="1" t="str">
        <f ca="1">IFERROR(__xludf.DUMMYFUNCTION("""COMPUTED_VALUE"""),"buivanhung@gmail.com")</f>
        <v>buivanhung@gmail.com</v>
      </c>
      <c r="I218" s="1" t="str">
        <f ca="1">IFERROR(__xludf.DUMMYFUNCTION("""COMPUTED_VALUE"""),"157 Le Loi, Quan 1, Can Tho, Viet Nam")</f>
        <v>157 Le Loi, Quan 1, Can Tho, Viet Nam</v>
      </c>
      <c r="J218" s="1" t="str">
        <f ca="1">IFERROR(__xludf.DUMMYFUNCTION("""COMPUTED_VALUE"""),"068770023992")</f>
        <v>068770023992</v>
      </c>
      <c r="K218" s="3" t="str">
        <f ca="1">IFERROR(__xludf.DUMMYFUNCTION("""COMPUTED_VALUE"""),"https://drive.google.com/open?id=H42hDNidGXJYLU8mvC1o")</f>
        <v>https://drive.google.com/open?id=H42hDNidGXJYLU8mvC1o</v>
      </c>
      <c r="L218" s="3" t="str">
        <f ca="1">IFERROR(__xludf.DUMMYFUNCTION("""COMPUTED_VALUE"""),"https://drive.google.com/open?id=AYYwTbeBIllmzdj97ONB")</f>
        <v>https://drive.google.com/open?id=AYYwTbeBIllmzdj97ONB</v>
      </c>
      <c r="M218" s="1"/>
      <c r="N218" s="1"/>
      <c r="O218" s="1"/>
      <c r="P218" s="1" t="str">
        <f ca="1">IFERROR(__xludf.DUMMYFUNCTION("""COMPUTED_VALUE"""),"Part-time")</f>
        <v>Part-time</v>
      </c>
      <c r="Q218" s="1">
        <f ca="1">IFERROR(__xludf.DUMMYFUNCTION("""COMPUTED_VALUE"""),20000000)</f>
        <v>20000000</v>
      </c>
      <c r="R218" s="3" t="str">
        <f ca="1">IFERROR(__xludf.DUMMYFUNCTION("""COMPUTED_VALUE"""),"https://drive.google.com/open?id=eOBeGVig9AMDNA22xgiF")</f>
        <v>https://drive.google.com/open?id=eOBeGVig9AMDNA22xgiF</v>
      </c>
      <c r="S218" s="1">
        <f ca="1">IFERROR(__xludf.DUMMYFUNCTION("""COMPUTED_VALUE"""),100000000)</f>
        <v>100000000</v>
      </c>
      <c r="T218" s="1" t="str">
        <f ca="1">IFERROR(__xludf.DUMMYFUNCTION("""COMPUTED_VALUE"""),"Platinum")</f>
        <v>Platinum</v>
      </c>
      <c r="U218" s="1" t="str">
        <f ca="1">IFERROR(__xludf.DUMMYFUNCTION("""COMPUTED_VALUE"""),"Branch")</f>
        <v>Branch</v>
      </c>
    </row>
    <row r="219" spans="1:21" x14ac:dyDescent="0.25">
      <c r="A219" s="2" t="str">
        <f ca="1">IFERROR(__xludf.DUMMYFUNCTION("""COMPUTED_VALUE"""),"APP0218")</f>
        <v>APP0218</v>
      </c>
      <c r="B219" s="2">
        <f ca="1">IFERROR(__xludf.DUMMYFUNCTION("""COMPUTED_VALUE"""),45909.5031828703)</f>
        <v>45909.503182870299</v>
      </c>
      <c r="C219" s="1" t="str">
        <f ca="1">IFERROR(__xludf.DUMMYFUNCTION("""COMPUTED_VALUE"""),"Huỳnh Ngọc Hiếu")</f>
        <v>Huỳnh Ngọc Hiếu</v>
      </c>
      <c r="D219" s="1" t="str">
        <f ca="1">IFERROR(__xludf.DUMMYFUNCTION("""COMPUTED_VALUE"""),"09/05/1976")</f>
        <v>09/05/1976</v>
      </c>
      <c r="E219" s="1" t="str">
        <f ca="1">IFERROR(__xludf.DUMMYFUNCTION("""COMPUTED_VALUE"""),"Female")</f>
        <v>Female</v>
      </c>
      <c r="F219" s="1" t="str">
        <f ca="1">IFERROR(__xludf.DUMMYFUNCTION("""COMPUTED_VALUE"""),"Vietnam")</f>
        <v>Vietnam</v>
      </c>
      <c r="G219" s="1" t="str">
        <f ca="1">IFERROR(__xludf.DUMMYFUNCTION("""COMPUTED_VALUE"""),"0878886016")</f>
        <v>0878886016</v>
      </c>
      <c r="H219" s="1" t="str">
        <f ca="1">IFERROR(__xludf.DUMMYFUNCTION("""COMPUTED_VALUE"""),"huynhngochieu@gmail.com")</f>
        <v>huynhngochieu@gmail.com</v>
      </c>
      <c r="I219" s="1" t="str">
        <f ca="1">IFERROR(__xludf.DUMMYFUNCTION("""COMPUTED_VALUE"""),"97 Ly Thuong Kiet, Quan 3, Can Tho, Viet Nam")</f>
        <v>97 Ly Thuong Kiet, Quan 3, Can Tho, Viet Nam</v>
      </c>
      <c r="J219" s="1" t="str">
        <f ca="1">IFERROR(__xludf.DUMMYFUNCTION("""COMPUTED_VALUE"""),"018665297423")</f>
        <v>018665297423</v>
      </c>
      <c r="K219" s="3" t="str">
        <f ca="1">IFERROR(__xludf.DUMMYFUNCTION("""COMPUTED_VALUE"""),"https://drive.google.com/open?id=TsDpJChVRTQwrFZ88Unx")</f>
        <v>https://drive.google.com/open?id=TsDpJChVRTQwrFZ88Unx</v>
      </c>
      <c r="L219" s="3" t="str">
        <f ca="1">IFERROR(__xludf.DUMMYFUNCTION("""COMPUTED_VALUE"""),"https://drive.google.com/open?id=cwq8ci0xIie9IVxGQk5n")</f>
        <v>https://drive.google.com/open?id=cwq8ci0xIie9IVxGQk5n</v>
      </c>
      <c r="M219" s="1"/>
      <c r="N219" s="1"/>
      <c r="O219" s="1"/>
      <c r="P219" s="1" t="str">
        <f ca="1">IFERROR(__xludf.DUMMYFUNCTION("""COMPUTED_VALUE"""),"Freelancer")</f>
        <v>Freelancer</v>
      </c>
      <c r="Q219" s="1">
        <f ca="1">IFERROR(__xludf.DUMMYFUNCTION("""COMPUTED_VALUE"""),12000000)</f>
        <v>12000000</v>
      </c>
      <c r="R219" s="3" t="str">
        <f ca="1">IFERROR(__xludf.DUMMYFUNCTION("""COMPUTED_VALUE"""),"https://drive.google.com/open?id=7TxPEDwrugSsGdmIm8RI")</f>
        <v>https://drive.google.com/open?id=7TxPEDwrugSsGdmIm8RI</v>
      </c>
      <c r="S219" s="1">
        <f ca="1">IFERROR(__xludf.DUMMYFUNCTION("""COMPUTED_VALUE"""),24000000)</f>
        <v>24000000</v>
      </c>
      <c r="T219" s="1" t="str">
        <f ca="1">IFERROR(__xludf.DUMMYFUNCTION("""COMPUTED_VALUE"""),"Classic")</f>
        <v>Classic</v>
      </c>
      <c r="U219" s="1" t="str">
        <f ca="1">IFERROR(__xludf.DUMMYFUNCTION("""COMPUTED_VALUE"""),"Branch")</f>
        <v>Branch</v>
      </c>
    </row>
    <row r="220" spans="1:21" x14ac:dyDescent="0.25">
      <c r="A220" s="2" t="str">
        <f ca="1">IFERROR(__xludf.DUMMYFUNCTION("""COMPUTED_VALUE"""),"APP0219")</f>
        <v>APP0219</v>
      </c>
      <c r="B220" s="2">
        <f ca="1">IFERROR(__xludf.DUMMYFUNCTION("""COMPUTED_VALUE"""),45909.5452083333)</f>
        <v>45909.5452083333</v>
      </c>
      <c r="C220" s="1" t="str">
        <f ca="1">IFERROR(__xludf.DUMMYFUNCTION("""COMPUTED_VALUE"""),"Vũ Văn Mai")</f>
        <v>Vũ Văn Mai</v>
      </c>
      <c r="D220" s="1" t="str">
        <f ca="1">IFERROR(__xludf.DUMMYFUNCTION("""COMPUTED_VALUE"""),"23/01/1982")</f>
        <v>23/01/1982</v>
      </c>
      <c r="E220" s="1" t="str">
        <f ca="1">IFERROR(__xludf.DUMMYFUNCTION("""COMPUTED_VALUE"""),"Male")</f>
        <v>Male</v>
      </c>
      <c r="F220" s="1" t="str">
        <f ca="1">IFERROR(__xludf.DUMMYFUNCTION("""COMPUTED_VALUE"""),"Vietnam")</f>
        <v>Vietnam</v>
      </c>
      <c r="G220" s="1" t="str">
        <f ca="1">IFERROR(__xludf.DUMMYFUNCTION("""COMPUTED_VALUE"""),"0975797146")</f>
        <v>0975797146</v>
      </c>
      <c r="H220" s="1" t="str">
        <f ca="1">IFERROR(__xludf.DUMMYFUNCTION("""COMPUTED_VALUE"""),"vuvanmai@gmail.com")</f>
        <v>vuvanmai@gmail.com</v>
      </c>
      <c r="I220" s="1" t="str">
        <f ca="1">IFERROR(__xludf.DUMMYFUNCTION("""COMPUTED_VALUE"""),"171 Le Loi, Hoan Kiem, TP Ho Chi Minh, Viet Nam")</f>
        <v>171 Le Loi, Hoan Kiem, TP Ho Chi Minh, Viet Nam</v>
      </c>
      <c r="J220" s="1" t="str">
        <f ca="1">IFERROR(__xludf.DUMMYFUNCTION("""COMPUTED_VALUE"""),"021154365348")</f>
        <v>021154365348</v>
      </c>
      <c r="K220" s="3" t="str">
        <f ca="1">IFERROR(__xludf.DUMMYFUNCTION("""COMPUTED_VALUE"""),"https://drive.google.com/open?id=m6tJBbqlzkHT2DK4cUPb")</f>
        <v>https://drive.google.com/open?id=m6tJBbqlzkHT2DK4cUPb</v>
      </c>
      <c r="L220" s="3" t="str">
        <f ca="1">IFERROR(__xludf.DUMMYFUNCTION("""COMPUTED_VALUE"""),"https://drive.google.com/open?id=11h6BXnmS284UMqDSCIe")</f>
        <v>https://drive.google.com/open?id=11h6BXnmS284UMqDSCIe</v>
      </c>
      <c r="M220" s="1"/>
      <c r="N220" s="1"/>
      <c r="O220" s="1"/>
      <c r="P220" s="1" t="str">
        <f ca="1">IFERROR(__xludf.DUMMYFUNCTION("""COMPUTED_VALUE"""),"Full-time")</f>
        <v>Full-time</v>
      </c>
      <c r="Q220" s="1">
        <f ca="1">IFERROR(__xludf.DUMMYFUNCTION("""COMPUTED_VALUE"""),8000000)</f>
        <v>8000000</v>
      </c>
      <c r="R220" s="3" t="str">
        <f ca="1">IFERROR(__xludf.DUMMYFUNCTION("""COMPUTED_VALUE"""),"https://drive.google.com/open?id=CdRAPFEnDOJCP8Viwm3Q")</f>
        <v>https://drive.google.com/open?id=CdRAPFEnDOJCP8Viwm3Q</v>
      </c>
      <c r="S220" s="1">
        <f ca="1">IFERROR(__xludf.DUMMYFUNCTION("""COMPUTED_VALUE"""),40000000)</f>
        <v>40000000</v>
      </c>
      <c r="T220" s="1" t="str">
        <f ca="1">IFERROR(__xludf.DUMMYFUNCTION("""COMPUTED_VALUE"""),"Classic")</f>
        <v>Classic</v>
      </c>
      <c r="U220" s="1" t="str">
        <f ca="1">IFERROR(__xludf.DUMMYFUNCTION("""COMPUTED_VALUE"""),"Partner")</f>
        <v>Partner</v>
      </c>
    </row>
    <row r="221" spans="1:21" x14ac:dyDescent="0.25">
      <c r="A221" s="2" t="str">
        <f ca="1">IFERROR(__xludf.DUMMYFUNCTION("""COMPUTED_VALUE"""),"APP0220")</f>
        <v>APP0220</v>
      </c>
      <c r="B221" s="2">
        <f ca="1">IFERROR(__xludf.DUMMYFUNCTION("""COMPUTED_VALUE"""),45909.5578125)</f>
        <v>45909.557812500003</v>
      </c>
      <c r="C221" s="1" t="str">
        <f ca="1">IFERROR(__xludf.DUMMYFUNCTION("""COMPUTED_VALUE"""),"Betty Martin")</f>
        <v>Betty Martin</v>
      </c>
      <c r="D221" s="1" t="str">
        <f ca="1">IFERROR(__xludf.DUMMYFUNCTION("""COMPUTED_VALUE"""),"26/04/1976")</f>
        <v>26/04/1976</v>
      </c>
      <c r="E221" s="1" t="str">
        <f ca="1">IFERROR(__xludf.DUMMYFUNCTION("""COMPUTED_VALUE"""),"Female")</f>
        <v>Female</v>
      </c>
      <c r="F221" s="1" t="str">
        <f ca="1">IFERROR(__xludf.DUMMYFUNCTION("""COMPUTED_VALUE"""),"Other")</f>
        <v>Other</v>
      </c>
      <c r="G221" s="1" t="str">
        <f ca="1">IFERROR(__xludf.DUMMYFUNCTION("""COMPUTED_VALUE"""),"+65 6360424118")</f>
        <v>+65 6360424118</v>
      </c>
      <c r="H221" s="1" t="str">
        <f ca="1">IFERROR(__xludf.DUMMYFUNCTION("""COMPUTED_VALUE"""),"bettymartin@gmail.com")</f>
        <v>bettymartin@gmail.com</v>
      </c>
      <c r="I221" s="1" t="str">
        <f ca="1">IFERROR(__xludf.DUMMYFUNCTION("""COMPUTED_VALUE"""),"5969 Sara Courts, Port Rachaelstad, HI 08018")</f>
        <v>5969 Sara Courts, Port Rachaelstad, HI 08018</v>
      </c>
      <c r="J221" s="1"/>
      <c r="K221" s="1"/>
      <c r="L221" s="1"/>
      <c r="M221" s="1" t="str">
        <f ca="1">IFERROR(__xludf.DUMMYFUNCTION("""COMPUTED_VALUE"""),"Hx960288")</f>
        <v>Hx960288</v>
      </c>
      <c r="N221" s="3" t="str">
        <f ca="1">IFERROR(__xludf.DUMMYFUNCTION("""COMPUTED_VALUE"""),"https://drive.google.com/open?id=ujB3U1qAjRzSTZLhZc98")</f>
        <v>https://drive.google.com/open?id=ujB3U1qAjRzSTZLhZc98</v>
      </c>
      <c r="O221" s="3" t="str">
        <f ca="1">IFERROR(__xludf.DUMMYFUNCTION("""COMPUTED_VALUE"""),"https://drive.google.com/open?id=eYGJsYYgxorrhgOxkTkO")</f>
        <v>https://drive.google.com/open?id=eYGJsYYgxorrhgOxkTkO</v>
      </c>
      <c r="P221" s="1" t="str">
        <f ca="1">IFERROR(__xludf.DUMMYFUNCTION("""COMPUTED_VALUE"""),"Freelancer")</f>
        <v>Freelancer</v>
      </c>
      <c r="Q221" s="1">
        <f ca="1">IFERROR(__xludf.DUMMYFUNCTION("""COMPUTED_VALUE"""),50000000)</f>
        <v>50000000</v>
      </c>
      <c r="R221" s="3" t="str">
        <f ca="1">IFERROR(__xludf.DUMMYFUNCTION("""COMPUTED_VALUE"""),"https://drive.google.com/open?id=nhhr4144feXx3nsdyTSN")</f>
        <v>https://drive.google.com/open?id=nhhr4144feXx3nsdyTSN</v>
      </c>
      <c r="S221" s="1">
        <f ca="1">IFERROR(__xludf.DUMMYFUNCTION("""COMPUTED_VALUE"""),250000000)</f>
        <v>250000000</v>
      </c>
      <c r="T221" s="1" t="str">
        <f ca="1">IFERROR(__xludf.DUMMYFUNCTION("""COMPUTED_VALUE"""),"Gold")</f>
        <v>Gold</v>
      </c>
      <c r="U221" s="1" t="str">
        <f ca="1">IFERROR(__xludf.DUMMYFUNCTION("""COMPUTED_VALUE"""),"Branch")</f>
        <v>Branch</v>
      </c>
    </row>
    <row r="222" spans="1:21" x14ac:dyDescent="0.25">
      <c r="A222" s="2" t="str">
        <f ca="1">IFERROR(__xludf.DUMMYFUNCTION("""COMPUTED_VALUE"""),"APP0221")</f>
        <v>APP0221</v>
      </c>
      <c r="B222" s="2">
        <f ca="1">IFERROR(__xludf.DUMMYFUNCTION("""COMPUTED_VALUE"""),45909.5851504629)</f>
        <v>45909.585150462903</v>
      </c>
      <c r="C222" s="1" t="str">
        <f ca="1">IFERROR(__xludf.DUMMYFUNCTION("""COMPUTED_VALUE"""),"Matthew Francis")</f>
        <v>Matthew Francis</v>
      </c>
      <c r="D222" s="1" t="str">
        <f ca="1">IFERROR(__xludf.DUMMYFUNCTION("""COMPUTED_VALUE"""),"14/08/1994")</f>
        <v>14/08/1994</v>
      </c>
      <c r="E222" s="1" t="str">
        <f ca="1">IFERROR(__xludf.DUMMYFUNCTION("""COMPUTED_VALUE"""),"Female")</f>
        <v>Female</v>
      </c>
      <c r="F222" s="1" t="str">
        <f ca="1">IFERROR(__xludf.DUMMYFUNCTION("""COMPUTED_VALUE"""),"Other")</f>
        <v>Other</v>
      </c>
      <c r="G222" s="1" t="str">
        <f ca="1">IFERROR(__xludf.DUMMYFUNCTION("""COMPUTED_VALUE"""),"+1 5048103840")</f>
        <v>+1 5048103840</v>
      </c>
      <c r="H222" s="1" t="str">
        <f ca="1">IFERROR(__xludf.DUMMYFUNCTION("""COMPUTED_VALUE"""),"matthewfrancis@gmail.com")</f>
        <v>matthewfrancis@gmail.com</v>
      </c>
      <c r="I222" s="1" t="str">
        <f ca="1">IFERROR(__xludf.DUMMYFUNCTION("""COMPUTED_VALUE"""),"321 Mcgrath Overpass Suite 321, Victorview, MN 21477")</f>
        <v>321 Mcgrath Overpass Suite 321, Victorview, MN 21477</v>
      </c>
      <c r="J222" s="1"/>
      <c r="K222" s="1"/>
      <c r="L222" s="1"/>
      <c r="M222" s="1" t="str">
        <f ca="1">IFERROR(__xludf.DUMMYFUNCTION("""COMPUTED_VALUE"""),"FN929372")</f>
        <v>FN929372</v>
      </c>
      <c r="N222" s="3" t="str">
        <f ca="1">IFERROR(__xludf.DUMMYFUNCTION("""COMPUTED_VALUE"""),"https://drive.google.com/open?id=ynNOOnkbcc1A651gAymY")</f>
        <v>https://drive.google.com/open?id=ynNOOnkbcc1A651gAymY</v>
      </c>
      <c r="O222" s="3" t="str">
        <f ca="1">IFERROR(__xludf.DUMMYFUNCTION("""COMPUTED_VALUE"""),"https://drive.google.com/open?id=oRce2we1izhzDMyi6OTH")</f>
        <v>https://drive.google.com/open?id=oRce2we1izhzDMyi6OTH</v>
      </c>
      <c r="P222" s="1" t="str">
        <f ca="1">IFERROR(__xludf.DUMMYFUNCTION("""COMPUTED_VALUE"""),"Self-employed")</f>
        <v>Self-employed</v>
      </c>
      <c r="Q222" s="1">
        <f ca="1">IFERROR(__xludf.DUMMYFUNCTION("""COMPUTED_VALUE"""),5000000)</f>
        <v>5000000</v>
      </c>
      <c r="R222" s="3" t="str">
        <f ca="1">IFERROR(__xludf.DUMMYFUNCTION("""COMPUTED_VALUE"""),"https://drive.google.com/open?id=H9iNEXSH4L36vorhCXkd")</f>
        <v>https://drive.google.com/open?id=H9iNEXSH4L36vorhCXkd</v>
      </c>
      <c r="S222" s="1">
        <f ca="1">IFERROR(__xludf.DUMMYFUNCTION("""COMPUTED_VALUE"""),10000000)</f>
        <v>10000000</v>
      </c>
      <c r="T222" s="1" t="str">
        <f ca="1">IFERROR(__xludf.DUMMYFUNCTION("""COMPUTED_VALUE"""),"Classic")</f>
        <v>Classic</v>
      </c>
      <c r="U222" s="1" t="str">
        <f ca="1">IFERROR(__xludf.DUMMYFUNCTION("""COMPUTED_VALUE"""),"Branch")</f>
        <v>Branch</v>
      </c>
    </row>
    <row r="223" spans="1:21" x14ac:dyDescent="0.25">
      <c r="A223" s="2" t="str">
        <f ca="1">IFERROR(__xludf.DUMMYFUNCTION("""COMPUTED_VALUE"""),"APP0222")</f>
        <v>APP0222</v>
      </c>
      <c r="B223" s="2">
        <f ca="1">IFERROR(__xludf.DUMMYFUNCTION("""COMPUTED_VALUE"""),45909.5983564814)</f>
        <v>45909.598356481401</v>
      </c>
      <c r="C223" s="1" t="str">
        <f ca="1">IFERROR(__xludf.DUMMYFUNCTION("""COMPUTED_VALUE"""),"Huỳnh Hữu Linh")</f>
        <v>Huỳnh Hữu Linh</v>
      </c>
      <c r="D223" s="1" t="str">
        <f ca="1">IFERROR(__xludf.DUMMYFUNCTION("""COMPUTED_VALUE"""),"12/03/1990")</f>
        <v>12/03/1990</v>
      </c>
      <c r="E223" s="1" t="str">
        <f ca="1">IFERROR(__xludf.DUMMYFUNCTION("""COMPUTED_VALUE"""),"Female")</f>
        <v>Female</v>
      </c>
      <c r="F223" s="1" t="str">
        <f ca="1">IFERROR(__xludf.DUMMYFUNCTION("""COMPUTED_VALUE"""),"Vietnam")</f>
        <v>Vietnam</v>
      </c>
      <c r="G223" s="1" t="str">
        <f ca="1">IFERROR(__xludf.DUMMYFUNCTION("""COMPUTED_VALUE"""),"0957996703")</f>
        <v>0957996703</v>
      </c>
      <c r="H223" s="1" t="str">
        <f ca="1">IFERROR(__xludf.DUMMYFUNCTION("""COMPUTED_VALUE"""),"huynhhuulinh@gmail.com")</f>
        <v>huynhhuulinh@gmail.com</v>
      </c>
      <c r="I223" s="1" t="str">
        <f ca="1">IFERROR(__xludf.DUMMYFUNCTION("""COMPUTED_VALUE"""),"163 Le Loi, Dong Da, Da Nang, Viet Nam")</f>
        <v>163 Le Loi, Dong Da, Da Nang, Viet Nam</v>
      </c>
      <c r="J223" s="1" t="str">
        <f ca="1">IFERROR(__xludf.DUMMYFUNCTION("""COMPUTED_VALUE"""),"048754606322")</f>
        <v>048754606322</v>
      </c>
      <c r="K223" s="3" t="str">
        <f ca="1">IFERROR(__xludf.DUMMYFUNCTION("""COMPUTED_VALUE"""),"https://drive.google.com/open?id=3j5sh4OClkEo6CNOKNSs")</f>
        <v>https://drive.google.com/open?id=3j5sh4OClkEo6CNOKNSs</v>
      </c>
      <c r="L223" s="3" t="str">
        <f ca="1">IFERROR(__xludf.DUMMYFUNCTION("""COMPUTED_VALUE"""),"https://drive.google.com/open?id=I4hoQWymkK0deGKBIava")</f>
        <v>https://drive.google.com/open?id=I4hoQWymkK0deGKBIava</v>
      </c>
      <c r="M223" s="1"/>
      <c r="N223" s="1"/>
      <c r="O223" s="1"/>
      <c r="P223" s="1" t="str">
        <f ca="1">IFERROR(__xludf.DUMMYFUNCTION("""COMPUTED_VALUE"""),"Self-employed")</f>
        <v>Self-employed</v>
      </c>
      <c r="Q223" s="1">
        <f ca="1">IFERROR(__xludf.DUMMYFUNCTION("""COMPUTED_VALUE"""),8000000)</f>
        <v>8000000</v>
      </c>
      <c r="R223" s="3" t="str">
        <f ca="1">IFERROR(__xludf.DUMMYFUNCTION("""COMPUTED_VALUE"""),"https://drive.google.com/open?id=nDKQSZxPifx073AaQDBz")</f>
        <v>https://drive.google.com/open?id=nDKQSZxPifx073AaQDBz</v>
      </c>
      <c r="S223" s="1">
        <f ca="1">IFERROR(__xludf.DUMMYFUNCTION("""COMPUTED_VALUE"""),16000000)</f>
        <v>16000000</v>
      </c>
      <c r="T223" s="1" t="str">
        <f ca="1">IFERROR(__xludf.DUMMYFUNCTION("""COMPUTED_VALUE"""),"Platinum")</f>
        <v>Platinum</v>
      </c>
      <c r="U223" s="1" t="str">
        <f ca="1">IFERROR(__xludf.DUMMYFUNCTION("""COMPUTED_VALUE"""),"Partner")</f>
        <v>Partner</v>
      </c>
    </row>
    <row r="224" spans="1:21" x14ac:dyDescent="0.25">
      <c r="A224" s="2" t="str">
        <f ca="1">IFERROR(__xludf.DUMMYFUNCTION("""COMPUTED_VALUE"""),"APP0223")</f>
        <v>APP0223</v>
      </c>
      <c r="B224" s="2">
        <f ca="1">IFERROR(__xludf.DUMMYFUNCTION("""COMPUTED_VALUE"""),45909.6240162037)</f>
        <v>45909.624016203699</v>
      </c>
      <c r="C224" s="1" t="str">
        <f ca="1">IFERROR(__xludf.DUMMYFUNCTION("""COMPUTED_VALUE"""),"Phan Minh Mai")</f>
        <v>Phan Minh Mai</v>
      </c>
      <c r="D224" s="1" t="str">
        <f ca="1">IFERROR(__xludf.DUMMYFUNCTION("""COMPUTED_VALUE"""),"16/08/1981")</f>
        <v>16/08/1981</v>
      </c>
      <c r="E224" s="1" t="str">
        <f ca="1">IFERROR(__xludf.DUMMYFUNCTION("""COMPUTED_VALUE"""),"Female")</f>
        <v>Female</v>
      </c>
      <c r="F224" s="1" t="str">
        <f ca="1">IFERROR(__xludf.DUMMYFUNCTION("""COMPUTED_VALUE"""),"Vietnam")</f>
        <v>Vietnam</v>
      </c>
      <c r="G224" s="1" t="str">
        <f ca="1">IFERROR(__xludf.DUMMYFUNCTION("""COMPUTED_VALUE"""),"0780212648")</f>
        <v>0780212648</v>
      </c>
      <c r="H224" s="1" t="str">
        <f ca="1">IFERROR(__xludf.DUMMYFUNCTION("""COMPUTED_VALUE"""),"phanminhmai@gmail.com")</f>
        <v>phanminhmai@gmail.com</v>
      </c>
      <c r="I224" s="1" t="str">
        <f ca="1">IFERROR(__xludf.DUMMYFUNCTION("""COMPUTED_VALUE"""),"7 Le Loi, Hai Chau, Hai Phong, Viet Nam")</f>
        <v>7 Le Loi, Hai Chau, Hai Phong, Viet Nam</v>
      </c>
      <c r="J224" s="1" t="str">
        <f ca="1">IFERROR(__xludf.DUMMYFUNCTION("""COMPUTED_VALUE"""),"098766460322")</f>
        <v>098766460322</v>
      </c>
      <c r="K224" s="3" t="str">
        <f ca="1">IFERROR(__xludf.DUMMYFUNCTION("""COMPUTED_VALUE"""),"https://drive.google.com/open?id=myTdK8elZ5UNi7biFWSG")</f>
        <v>https://drive.google.com/open?id=myTdK8elZ5UNi7biFWSG</v>
      </c>
      <c r="L224" s="3" t="str">
        <f ca="1">IFERROR(__xludf.DUMMYFUNCTION("""COMPUTED_VALUE"""),"https://drive.google.com/open?id=YoIqtJqEILo1zUeF0VgK")</f>
        <v>https://drive.google.com/open?id=YoIqtJqEILo1zUeF0VgK</v>
      </c>
      <c r="M224" s="1"/>
      <c r="N224" s="1"/>
      <c r="O224" s="1"/>
      <c r="P224" s="1" t="str">
        <f ca="1">IFERROR(__xludf.DUMMYFUNCTION("""COMPUTED_VALUE"""),"Full-time")</f>
        <v>Full-time</v>
      </c>
      <c r="Q224" s="1">
        <f ca="1">IFERROR(__xludf.DUMMYFUNCTION("""COMPUTED_VALUE"""),20000000)</f>
        <v>20000000</v>
      </c>
      <c r="R224" s="3" t="str">
        <f ca="1">IFERROR(__xludf.DUMMYFUNCTION("""COMPUTED_VALUE"""),"https://drive.google.com/open?id=mr5z2VrCGIA9qsQbYH09")</f>
        <v>https://drive.google.com/open?id=mr5z2VrCGIA9qsQbYH09</v>
      </c>
      <c r="S224" s="1">
        <f ca="1">IFERROR(__xludf.DUMMYFUNCTION("""COMPUTED_VALUE"""),100000000)</f>
        <v>100000000</v>
      </c>
      <c r="T224" s="1" t="str">
        <f ca="1">IFERROR(__xludf.DUMMYFUNCTION("""COMPUTED_VALUE"""),"Classic")</f>
        <v>Classic</v>
      </c>
      <c r="U224" s="1" t="str">
        <f ca="1">IFERROR(__xludf.DUMMYFUNCTION("""COMPUTED_VALUE"""),"Online")</f>
        <v>Online</v>
      </c>
    </row>
    <row r="225" spans="1:21" x14ac:dyDescent="0.25">
      <c r="A225" s="2" t="str">
        <f ca="1">IFERROR(__xludf.DUMMYFUNCTION("""COMPUTED_VALUE"""),"APP0224")</f>
        <v>APP0224</v>
      </c>
      <c r="B225" s="2">
        <f ca="1">IFERROR(__xludf.DUMMYFUNCTION("""COMPUTED_VALUE"""),45909.7101041666)</f>
        <v>45909.710104166603</v>
      </c>
      <c r="C225" s="1" t="str">
        <f ca="1">IFERROR(__xludf.DUMMYFUNCTION("""COMPUTED_VALUE"""),"Lý Thị Quỳnh")</f>
        <v>Lý Thị Quỳnh</v>
      </c>
      <c r="D225" s="1" t="str">
        <f ca="1">IFERROR(__xludf.DUMMYFUNCTION("""COMPUTED_VALUE"""),"11/04/1966")</f>
        <v>11/04/1966</v>
      </c>
      <c r="E225" s="1" t="str">
        <f ca="1">IFERROR(__xludf.DUMMYFUNCTION("""COMPUTED_VALUE"""),"Male")</f>
        <v>Male</v>
      </c>
      <c r="F225" s="1" t="str">
        <f ca="1">IFERROR(__xludf.DUMMYFUNCTION("""COMPUTED_VALUE"""),"Vietnam")</f>
        <v>Vietnam</v>
      </c>
      <c r="G225" s="1" t="str">
        <f ca="1">IFERROR(__xludf.DUMMYFUNCTION("""COMPUTED_VALUE"""),"0757824114")</f>
        <v>0757824114</v>
      </c>
      <c r="H225" s="1" t="str">
        <f ca="1">IFERROR(__xludf.DUMMYFUNCTION("""COMPUTED_VALUE"""),"lythiquynh@gmail.com")</f>
        <v>lythiquynh@gmail.com</v>
      </c>
      <c r="I225" s="1" t="str">
        <f ca="1">IFERROR(__xludf.DUMMYFUNCTION("""COMPUTED_VALUE"""),"177 Ly Thuong Kiet, Hai Chau, Ha Noi, Viet Nam")</f>
        <v>177 Ly Thuong Kiet, Hai Chau, Ha Noi, Viet Nam</v>
      </c>
      <c r="J225" s="1" t="str">
        <f ca="1">IFERROR(__xludf.DUMMYFUNCTION("""COMPUTED_VALUE"""),"090356141972")</f>
        <v>090356141972</v>
      </c>
      <c r="K225" s="3" t="str">
        <f ca="1">IFERROR(__xludf.DUMMYFUNCTION("""COMPUTED_VALUE"""),"https://drive.google.com/open?id=a3IJ4zUxdv38tou3K0Gu")</f>
        <v>https://drive.google.com/open?id=a3IJ4zUxdv38tou3K0Gu</v>
      </c>
      <c r="L225" s="3" t="str">
        <f ca="1">IFERROR(__xludf.DUMMYFUNCTION("""COMPUTED_VALUE"""),"https://drive.google.com/open?id=OOggrdusOwEcMi3ti8xe")</f>
        <v>https://drive.google.com/open?id=OOggrdusOwEcMi3ti8xe</v>
      </c>
      <c r="M225" s="1"/>
      <c r="N225" s="1"/>
      <c r="O225" s="1"/>
      <c r="P225" s="1" t="str">
        <f ca="1">IFERROR(__xludf.DUMMYFUNCTION("""COMPUTED_VALUE"""),"Full-time")</f>
        <v>Full-time</v>
      </c>
      <c r="Q225" s="1">
        <f ca="1">IFERROR(__xludf.DUMMYFUNCTION("""COMPUTED_VALUE"""),8000000)</f>
        <v>8000000</v>
      </c>
      <c r="R225" s="3" t="str">
        <f ca="1">IFERROR(__xludf.DUMMYFUNCTION("""COMPUTED_VALUE"""),"https://drive.google.com/open?id=OJfZvV7bViAdM2N925kg")</f>
        <v>https://drive.google.com/open?id=OJfZvV7bViAdM2N925kg</v>
      </c>
      <c r="S225" s="1">
        <f ca="1">IFERROR(__xludf.DUMMYFUNCTION("""COMPUTED_VALUE"""),24000000)</f>
        <v>24000000</v>
      </c>
      <c r="T225" s="1" t="str">
        <f ca="1">IFERROR(__xludf.DUMMYFUNCTION("""COMPUTED_VALUE"""),"Classic")</f>
        <v>Classic</v>
      </c>
      <c r="U225" s="1" t="str">
        <f ca="1">IFERROR(__xludf.DUMMYFUNCTION("""COMPUTED_VALUE"""),"Partner")</f>
        <v>Partner</v>
      </c>
    </row>
    <row r="226" spans="1:21" x14ac:dyDescent="0.25">
      <c r="A226" s="2" t="str">
        <f ca="1">IFERROR(__xludf.DUMMYFUNCTION("""COMPUTED_VALUE"""),"APP0225")</f>
        <v>APP0225</v>
      </c>
      <c r="B226" s="2">
        <f ca="1">IFERROR(__xludf.DUMMYFUNCTION("""COMPUTED_VALUE"""),45909.7170138888)</f>
        <v>45909.717013888803</v>
      </c>
      <c r="C226" s="1" t="str">
        <f ca="1">IFERROR(__xludf.DUMMYFUNCTION("""COMPUTED_VALUE"""),"Vũ Văn Hà")</f>
        <v>Vũ Văn Hà</v>
      </c>
      <c r="D226" s="1" t="str">
        <f ca="1">IFERROR(__xludf.DUMMYFUNCTION("""COMPUTED_VALUE"""),"15/03/1983")</f>
        <v>15/03/1983</v>
      </c>
      <c r="E226" s="1" t="str">
        <f ca="1">IFERROR(__xludf.DUMMYFUNCTION("""COMPUTED_VALUE"""),"Female")</f>
        <v>Female</v>
      </c>
      <c r="F226" s="1" t="str">
        <f ca="1">IFERROR(__xludf.DUMMYFUNCTION("""COMPUTED_VALUE"""),"Vietnam")</f>
        <v>Vietnam</v>
      </c>
      <c r="G226" s="1" t="str">
        <f ca="1">IFERROR(__xludf.DUMMYFUNCTION("""COMPUTED_VALUE"""),"0898642397")</f>
        <v>0898642397</v>
      </c>
      <c r="H226" s="1" t="str">
        <f ca="1">IFERROR(__xludf.DUMMYFUNCTION("""COMPUTED_VALUE"""),"vuvanha@gmail.com")</f>
        <v>vuvanha@gmail.com</v>
      </c>
      <c r="I226" s="1" t="str">
        <f ca="1">IFERROR(__xludf.DUMMYFUNCTION("""COMPUTED_VALUE"""),"37 Tran Hung Dao, Quan 3, TP Ho Chi Minh, Viet Nam")</f>
        <v>37 Tran Hung Dao, Quan 3, TP Ho Chi Minh, Viet Nam</v>
      </c>
      <c r="J226" s="1" t="str">
        <f ca="1">IFERROR(__xludf.DUMMYFUNCTION("""COMPUTED_VALUE"""),"034102284490")</f>
        <v>034102284490</v>
      </c>
      <c r="K226" s="3" t="str">
        <f ca="1">IFERROR(__xludf.DUMMYFUNCTION("""COMPUTED_VALUE"""),"https://drive.google.com/open?id=jmRwzu0iMlG9mHipVHRq")</f>
        <v>https://drive.google.com/open?id=jmRwzu0iMlG9mHipVHRq</v>
      </c>
      <c r="L226" s="3" t="str">
        <f ca="1">IFERROR(__xludf.DUMMYFUNCTION("""COMPUTED_VALUE"""),"https://drive.google.com/open?id=Pdb2lvRn0mFnkIE9KxrJ")</f>
        <v>https://drive.google.com/open?id=Pdb2lvRn0mFnkIE9KxrJ</v>
      </c>
      <c r="M226" s="1"/>
      <c r="N226" s="1"/>
      <c r="O226" s="1"/>
      <c r="P226" s="1" t="str">
        <f ca="1">IFERROR(__xludf.DUMMYFUNCTION("""COMPUTED_VALUE"""),"Contract")</f>
        <v>Contract</v>
      </c>
      <c r="Q226" s="1">
        <f ca="1">IFERROR(__xludf.DUMMYFUNCTION("""COMPUTED_VALUE"""),50000000)</f>
        <v>50000000</v>
      </c>
      <c r="R226" s="3" t="str">
        <f ca="1">IFERROR(__xludf.DUMMYFUNCTION("""COMPUTED_VALUE"""),"https://drive.google.com/open?id=qzopqW4FIKunwtzuUic5")</f>
        <v>https://drive.google.com/open?id=qzopqW4FIKunwtzuUic5</v>
      </c>
      <c r="S226" s="1">
        <f ca="1">IFERROR(__xludf.DUMMYFUNCTION("""COMPUTED_VALUE"""),150000000)</f>
        <v>150000000</v>
      </c>
      <c r="T226" s="1" t="str">
        <f ca="1">IFERROR(__xludf.DUMMYFUNCTION("""COMPUTED_VALUE"""),"Gold")</f>
        <v>Gold</v>
      </c>
      <c r="U226" s="1" t="str">
        <f ca="1">IFERROR(__xludf.DUMMYFUNCTION("""COMPUTED_VALUE"""),"Online")</f>
        <v>Online</v>
      </c>
    </row>
    <row r="227" spans="1:21" x14ac:dyDescent="0.25">
      <c r="A227" s="2" t="str">
        <f ca="1">IFERROR(__xludf.DUMMYFUNCTION("""COMPUTED_VALUE"""),"APP0226")</f>
        <v>APP0226</v>
      </c>
      <c r="B227" s="2">
        <f ca="1">IFERROR(__xludf.DUMMYFUNCTION("""COMPUTED_VALUE"""),45909.7293981481)</f>
        <v>45909.729398148098</v>
      </c>
      <c r="C227" s="1" t="str">
        <f ca="1">IFERROR(__xludf.DUMMYFUNCTION("""COMPUTED_VALUE"""),"Đỗ Minh Phong")</f>
        <v>Đỗ Minh Phong</v>
      </c>
      <c r="D227" s="1" t="str">
        <f ca="1">IFERROR(__xludf.DUMMYFUNCTION("""COMPUTED_VALUE"""),"06/12/1964")</f>
        <v>06/12/1964</v>
      </c>
      <c r="E227" s="1" t="str">
        <f ca="1">IFERROR(__xludf.DUMMYFUNCTION("""COMPUTED_VALUE"""),"Female")</f>
        <v>Female</v>
      </c>
      <c r="F227" s="1" t="str">
        <f ca="1">IFERROR(__xludf.DUMMYFUNCTION("""COMPUTED_VALUE"""),"Vietnam")</f>
        <v>Vietnam</v>
      </c>
      <c r="G227" s="1" t="str">
        <f ca="1">IFERROR(__xludf.DUMMYFUNCTION("""COMPUTED_VALUE"""),"0721591823")</f>
        <v>0721591823</v>
      </c>
      <c r="H227" s="1" t="str">
        <f ca="1">IFERROR(__xludf.DUMMYFUNCTION("""COMPUTED_VALUE"""),"dominhphong@gmail.com")</f>
        <v>dominhphong@gmail.com</v>
      </c>
      <c r="I227" s="1" t="str">
        <f ca="1">IFERROR(__xludf.DUMMYFUNCTION("""COMPUTED_VALUE"""),"74 Le Loi, Hoan Kiem, TP Ho Chi Minh, Viet Nam")</f>
        <v>74 Le Loi, Hoan Kiem, TP Ho Chi Minh, Viet Nam</v>
      </c>
      <c r="J227" s="1" t="str">
        <f ca="1">IFERROR(__xludf.DUMMYFUNCTION("""COMPUTED_VALUE"""),"098593190099")</f>
        <v>098593190099</v>
      </c>
      <c r="K227" s="3" t="str">
        <f ca="1">IFERROR(__xludf.DUMMYFUNCTION("""COMPUTED_VALUE"""),"https://drive.google.com/open?id=LQJ4lkbKGWFmm1m5UKc3")</f>
        <v>https://drive.google.com/open?id=LQJ4lkbKGWFmm1m5UKc3</v>
      </c>
      <c r="L227" s="3" t="str">
        <f ca="1">IFERROR(__xludf.DUMMYFUNCTION("""COMPUTED_VALUE"""),"https://drive.google.com/open?id=9OyXwBtega1we1ESwBOD")</f>
        <v>https://drive.google.com/open?id=9OyXwBtega1we1ESwBOD</v>
      </c>
      <c r="M227" s="1"/>
      <c r="N227" s="1"/>
      <c r="O227" s="1"/>
      <c r="P227" s="1" t="str">
        <f ca="1">IFERROR(__xludf.DUMMYFUNCTION("""COMPUTED_VALUE"""),"Part-time")</f>
        <v>Part-time</v>
      </c>
      <c r="Q227" s="1">
        <f ca="1">IFERROR(__xludf.DUMMYFUNCTION("""COMPUTED_VALUE"""),50000000)</f>
        <v>50000000</v>
      </c>
      <c r="R227" s="3" t="str">
        <f ca="1">IFERROR(__xludf.DUMMYFUNCTION("""COMPUTED_VALUE"""),"https://drive.google.com/open?id=javtmzOGhxf1BBScXpf5")</f>
        <v>https://drive.google.com/open?id=javtmzOGhxf1BBScXpf5</v>
      </c>
      <c r="S227" s="1">
        <f ca="1">IFERROR(__xludf.DUMMYFUNCTION("""COMPUTED_VALUE"""),100000000)</f>
        <v>100000000</v>
      </c>
      <c r="T227" s="1" t="str">
        <f ca="1">IFERROR(__xludf.DUMMYFUNCTION("""COMPUTED_VALUE"""),"Gold")</f>
        <v>Gold</v>
      </c>
      <c r="U227" s="1" t="str">
        <f ca="1">IFERROR(__xludf.DUMMYFUNCTION("""COMPUTED_VALUE"""),"Online")</f>
        <v>Online</v>
      </c>
    </row>
    <row r="228" spans="1:21" x14ac:dyDescent="0.25">
      <c r="A228" s="2" t="str">
        <f ca="1">IFERROR(__xludf.DUMMYFUNCTION("""COMPUTED_VALUE"""),"APP0227")</f>
        <v>APP0227</v>
      </c>
      <c r="B228" s="2">
        <f ca="1">IFERROR(__xludf.DUMMYFUNCTION("""COMPUTED_VALUE"""),45909.786574074)</f>
        <v>45909.786574074002</v>
      </c>
      <c r="C228" s="1" t="str">
        <f ca="1">IFERROR(__xludf.DUMMYFUNCTION("""COMPUTED_VALUE"""),"Andrew Hebert")</f>
        <v>Andrew Hebert</v>
      </c>
      <c r="D228" s="1" t="str">
        <f ca="1">IFERROR(__xludf.DUMMYFUNCTION("""COMPUTED_VALUE"""),"06/05/2007")</f>
        <v>06/05/2007</v>
      </c>
      <c r="E228" s="1" t="str">
        <f ca="1">IFERROR(__xludf.DUMMYFUNCTION("""COMPUTED_VALUE"""),"Female")</f>
        <v>Female</v>
      </c>
      <c r="F228" s="1" t="str">
        <f ca="1">IFERROR(__xludf.DUMMYFUNCTION("""COMPUTED_VALUE"""),"Other")</f>
        <v>Other</v>
      </c>
      <c r="G228" s="1" t="str">
        <f ca="1">IFERROR(__xludf.DUMMYFUNCTION("""COMPUTED_VALUE"""),"+49 5809486758")</f>
        <v>+49 5809486758</v>
      </c>
      <c r="H228" s="1" t="str">
        <f ca="1">IFERROR(__xludf.DUMMYFUNCTION("""COMPUTED_VALUE"""),"andrewhebert@gmail.com")</f>
        <v>andrewhebert@gmail.com</v>
      </c>
      <c r="I228" s="1" t="str">
        <f ca="1">IFERROR(__xludf.DUMMYFUNCTION("""COMPUTED_VALUE"""),"82781 Elizabeth Skyway, Johnsonchester, MI 95908")</f>
        <v>82781 Elizabeth Skyway, Johnsonchester, MI 95908</v>
      </c>
      <c r="J228" s="1"/>
      <c r="K228" s="1"/>
      <c r="L228" s="1"/>
      <c r="M228" s="1" t="str">
        <f ca="1">IFERROR(__xludf.DUMMYFUNCTION("""COMPUTED_VALUE"""),"Qn241573")</f>
        <v>Qn241573</v>
      </c>
      <c r="N228" s="3" t="str">
        <f ca="1">IFERROR(__xludf.DUMMYFUNCTION("""COMPUTED_VALUE"""),"https://drive.google.com/open?id=JpL7bBHS9GSSBABr86JR")</f>
        <v>https://drive.google.com/open?id=JpL7bBHS9GSSBABr86JR</v>
      </c>
      <c r="O228" s="3" t="str">
        <f ca="1">IFERROR(__xludf.DUMMYFUNCTION("""COMPUTED_VALUE"""),"https://drive.google.com/open?id=p4BKpfX4fGq4LTRqT7c7")</f>
        <v>https://drive.google.com/open?id=p4BKpfX4fGq4LTRqT7c7</v>
      </c>
      <c r="P228" s="1" t="str">
        <f ca="1">IFERROR(__xludf.DUMMYFUNCTION("""COMPUTED_VALUE"""),"Self-employed")</f>
        <v>Self-employed</v>
      </c>
      <c r="Q228" s="1">
        <f ca="1">IFERROR(__xludf.DUMMYFUNCTION("""COMPUTED_VALUE"""),50000000)</f>
        <v>50000000</v>
      </c>
      <c r="R228" s="3" t="str">
        <f ca="1">IFERROR(__xludf.DUMMYFUNCTION("""COMPUTED_VALUE"""),"https://drive.google.com/open?id=m8PL3HFAAsczs4QnZydq")</f>
        <v>https://drive.google.com/open?id=m8PL3HFAAsczs4QnZydq</v>
      </c>
      <c r="S228" s="1">
        <f ca="1">IFERROR(__xludf.DUMMYFUNCTION("""COMPUTED_VALUE"""),250000000)</f>
        <v>250000000</v>
      </c>
      <c r="T228" s="1" t="str">
        <f ca="1">IFERROR(__xludf.DUMMYFUNCTION("""COMPUTED_VALUE"""),"Gold")</f>
        <v>Gold</v>
      </c>
      <c r="U228" s="1" t="str">
        <f ca="1">IFERROR(__xludf.DUMMYFUNCTION("""COMPUTED_VALUE"""),"Partner")</f>
        <v>Partner</v>
      </c>
    </row>
    <row r="229" spans="1:21" x14ac:dyDescent="0.25">
      <c r="A229" s="2" t="str">
        <f ca="1">IFERROR(__xludf.DUMMYFUNCTION("""COMPUTED_VALUE"""),"APP0228")</f>
        <v>APP0228</v>
      </c>
      <c r="B229" s="2">
        <f ca="1">IFERROR(__xludf.DUMMYFUNCTION("""COMPUTED_VALUE"""),45909.8004629629)</f>
        <v>45909.800462962899</v>
      </c>
      <c r="C229" s="1" t="str">
        <f ca="1">IFERROR(__xludf.DUMMYFUNCTION("""COMPUTED_VALUE"""),"Phan Văn Linh")</f>
        <v>Phan Văn Linh</v>
      </c>
      <c r="D229" s="1" t="str">
        <f ca="1">IFERROR(__xludf.DUMMYFUNCTION("""COMPUTED_VALUE"""),"16/02/1973")</f>
        <v>16/02/1973</v>
      </c>
      <c r="E229" s="1" t="str">
        <f ca="1">IFERROR(__xludf.DUMMYFUNCTION("""COMPUTED_VALUE"""),"Female")</f>
        <v>Female</v>
      </c>
      <c r="F229" s="1" t="str">
        <f ca="1">IFERROR(__xludf.DUMMYFUNCTION("""COMPUTED_VALUE"""),"Vietnam")</f>
        <v>Vietnam</v>
      </c>
      <c r="G229" s="1" t="str">
        <f ca="1">IFERROR(__xludf.DUMMYFUNCTION("""COMPUTED_VALUE"""),"0780500768")</f>
        <v>0780500768</v>
      </c>
      <c r="H229" s="1" t="str">
        <f ca="1">IFERROR(__xludf.DUMMYFUNCTION("""COMPUTED_VALUE"""),"phanvanlinh@gmail.com")</f>
        <v>phanvanlinh@gmail.com</v>
      </c>
      <c r="I229" s="1" t="str">
        <f ca="1">IFERROR(__xludf.DUMMYFUNCTION("""COMPUTED_VALUE"""),"128 Le Loi, Quan 7, TP Ho Chi Minh, Viet Nam")</f>
        <v>128 Le Loi, Quan 7, TP Ho Chi Minh, Viet Nam</v>
      </c>
      <c r="J229" s="1" t="str">
        <f ca="1">IFERROR(__xludf.DUMMYFUNCTION("""COMPUTED_VALUE"""),"090367070667")</f>
        <v>090367070667</v>
      </c>
      <c r="K229" s="3" t="str">
        <f ca="1">IFERROR(__xludf.DUMMYFUNCTION("""COMPUTED_VALUE"""),"https://drive.google.com/open?id=CC3FuG5ra9BiRtbeH4Te")</f>
        <v>https://drive.google.com/open?id=CC3FuG5ra9BiRtbeH4Te</v>
      </c>
      <c r="L229" s="3" t="str">
        <f ca="1">IFERROR(__xludf.DUMMYFUNCTION("""COMPUTED_VALUE"""),"https://drive.google.com/open?id=a10qPp0guZrljqiri3x2")</f>
        <v>https://drive.google.com/open?id=a10qPp0guZrljqiri3x2</v>
      </c>
      <c r="M229" s="1"/>
      <c r="N229" s="1"/>
      <c r="O229" s="1"/>
      <c r="P229" s="1" t="str">
        <f ca="1">IFERROR(__xludf.DUMMYFUNCTION("""COMPUTED_VALUE"""),"Part-time")</f>
        <v>Part-time</v>
      </c>
      <c r="Q229" s="1">
        <f ca="1">IFERROR(__xludf.DUMMYFUNCTION("""COMPUTED_VALUE"""),5000000)</f>
        <v>5000000</v>
      </c>
      <c r="R229" s="3" t="str">
        <f ca="1">IFERROR(__xludf.DUMMYFUNCTION("""COMPUTED_VALUE"""),"https://drive.google.com/open?id=COYiPYA7eX1DSfbFC3wT")</f>
        <v>https://drive.google.com/open?id=COYiPYA7eX1DSfbFC3wT</v>
      </c>
      <c r="S229" s="1">
        <f ca="1">IFERROR(__xludf.DUMMYFUNCTION("""COMPUTED_VALUE"""),25000000)</f>
        <v>25000000</v>
      </c>
      <c r="T229" s="1" t="str">
        <f ca="1">IFERROR(__xludf.DUMMYFUNCTION("""COMPUTED_VALUE"""),"Platinum")</f>
        <v>Platinum</v>
      </c>
      <c r="U229" s="1" t="str">
        <f ca="1">IFERROR(__xludf.DUMMYFUNCTION("""COMPUTED_VALUE"""),"Partner")</f>
        <v>Partner</v>
      </c>
    </row>
    <row r="230" spans="1:21" x14ac:dyDescent="0.25">
      <c r="A230" s="2" t="str">
        <f ca="1">IFERROR(__xludf.DUMMYFUNCTION("""COMPUTED_VALUE"""),"APP0229")</f>
        <v>APP0229</v>
      </c>
      <c r="B230" s="2">
        <f ca="1">IFERROR(__xludf.DUMMYFUNCTION("""COMPUTED_VALUE"""),45909.9886458333)</f>
        <v>45909.988645833299</v>
      </c>
      <c r="C230" s="1" t="str">
        <f ca="1">IFERROR(__xludf.DUMMYFUNCTION("""COMPUTED_VALUE"""),"Lê Thanh Khánh")</f>
        <v>Lê Thanh Khánh</v>
      </c>
      <c r="D230" s="1" t="str">
        <f ca="1">IFERROR(__xludf.DUMMYFUNCTION("""COMPUTED_VALUE"""),"04/08/1966")</f>
        <v>04/08/1966</v>
      </c>
      <c r="E230" s="1" t="str">
        <f ca="1">IFERROR(__xludf.DUMMYFUNCTION("""COMPUTED_VALUE"""),"Female")</f>
        <v>Female</v>
      </c>
      <c r="F230" s="1" t="str">
        <f ca="1">IFERROR(__xludf.DUMMYFUNCTION("""COMPUTED_VALUE"""),"Vietnam")</f>
        <v>Vietnam</v>
      </c>
      <c r="G230" s="1" t="str">
        <f ca="1">IFERROR(__xludf.DUMMYFUNCTION("""COMPUTED_VALUE"""),"0979728559")</f>
        <v>0979728559</v>
      </c>
      <c r="H230" s="1" t="str">
        <f ca="1">IFERROR(__xludf.DUMMYFUNCTION("""COMPUTED_VALUE"""),"lethanhkhanh@gmail.com")</f>
        <v>lethanhkhanh@gmail.com</v>
      </c>
      <c r="I230" s="1" t="str">
        <f ca="1">IFERROR(__xludf.DUMMYFUNCTION("""COMPUTED_VALUE"""),"115 Nguyen Trai, Quan 3, Da Nang, Viet Nam")</f>
        <v>115 Nguyen Trai, Quan 3, Da Nang, Viet Nam</v>
      </c>
      <c r="J230" s="1" t="str">
        <f ca="1">IFERROR(__xludf.DUMMYFUNCTION("""COMPUTED_VALUE"""),"086642961349")</f>
        <v>086642961349</v>
      </c>
      <c r="K230" s="3" t="str">
        <f ca="1">IFERROR(__xludf.DUMMYFUNCTION("""COMPUTED_VALUE"""),"https://drive.google.com/open?id=Yibt0dhbJRjPsnMAiK0n")</f>
        <v>https://drive.google.com/open?id=Yibt0dhbJRjPsnMAiK0n</v>
      </c>
      <c r="L230" s="3" t="str">
        <f ca="1">IFERROR(__xludf.DUMMYFUNCTION("""COMPUTED_VALUE"""),"https://drive.google.com/open?id=gqviTdHLxoLpiSfix7nO")</f>
        <v>https://drive.google.com/open?id=gqviTdHLxoLpiSfix7nO</v>
      </c>
      <c r="M230" s="1"/>
      <c r="N230" s="1"/>
      <c r="O230" s="1"/>
      <c r="P230" s="1" t="str">
        <f ca="1">IFERROR(__xludf.DUMMYFUNCTION("""COMPUTED_VALUE"""),"Freelancer")</f>
        <v>Freelancer</v>
      </c>
      <c r="Q230" s="1">
        <f ca="1">IFERROR(__xludf.DUMMYFUNCTION("""COMPUTED_VALUE"""),20000000)</f>
        <v>20000000</v>
      </c>
      <c r="R230" s="3" t="str">
        <f ca="1">IFERROR(__xludf.DUMMYFUNCTION("""COMPUTED_VALUE"""),"https://drive.google.com/open?id=wcckV7AO4HYY2fpbl5SN")</f>
        <v>https://drive.google.com/open?id=wcckV7AO4HYY2fpbl5SN</v>
      </c>
      <c r="S230" s="1">
        <f ca="1">IFERROR(__xludf.DUMMYFUNCTION("""COMPUTED_VALUE"""),100000000)</f>
        <v>100000000</v>
      </c>
      <c r="T230" s="1" t="str">
        <f ca="1">IFERROR(__xludf.DUMMYFUNCTION("""COMPUTED_VALUE"""),"Gold")</f>
        <v>Gold</v>
      </c>
      <c r="U230" s="1" t="str">
        <f ca="1">IFERROR(__xludf.DUMMYFUNCTION("""COMPUTED_VALUE"""),"Online")</f>
        <v>Online</v>
      </c>
    </row>
    <row r="231" spans="1:21" x14ac:dyDescent="0.25">
      <c r="A231" s="2" t="str">
        <f ca="1">IFERROR(__xludf.DUMMYFUNCTION("""COMPUTED_VALUE"""),"APP0230")</f>
        <v>APP0230</v>
      </c>
      <c r="B231" s="2">
        <f ca="1">IFERROR(__xludf.DUMMYFUNCTION("""COMPUTED_VALUE"""),45910.0077430555)</f>
        <v>45910.007743055503</v>
      </c>
      <c r="C231" s="1" t="str">
        <f ca="1">IFERROR(__xludf.DUMMYFUNCTION("""COMPUTED_VALUE"""),"Hoàng Hữu Quỳnh")</f>
        <v>Hoàng Hữu Quỳnh</v>
      </c>
      <c r="D231" s="1" t="str">
        <f ca="1">IFERROR(__xludf.DUMMYFUNCTION("""COMPUTED_VALUE"""),"18/08/1983")</f>
        <v>18/08/1983</v>
      </c>
      <c r="E231" s="1" t="str">
        <f ca="1">IFERROR(__xludf.DUMMYFUNCTION("""COMPUTED_VALUE"""),"Male")</f>
        <v>Male</v>
      </c>
      <c r="F231" s="1" t="str">
        <f ca="1">IFERROR(__xludf.DUMMYFUNCTION("""COMPUTED_VALUE"""),"Vietnam")</f>
        <v>Vietnam</v>
      </c>
      <c r="G231" s="1" t="str">
        <f ca="1">IFERROR(__xludf.DUMMYFUNCTION("""COMPUTED_VALUE"""),"0896684406")</f>
        <v>0896684406</v>
      </c>
      <c r="H231" s="1" t="str">
        <f ca="1">IFERROR(__xludf.DUMMYFUNCTION("""COMPUTED_VALUE"""),"hoanghuuquynh@gmail.com")</f>
        <v>hoanghuuquynh@gmail.com</v>
      </c>
      <c r="I231" s="1" t="str">
        <f ca="1">IFERROR(__xludf.DUMMYFUNCTION("""COMPUTED_VALUE"""),"113 Nguyen Hue, Hai Chau, Can Tho, Viet Nam")</f>
        <v>113 Nguyen Hue, Hai Chau, Can Tho, Viet Nam</v>
      </c>
      <c r="J231" s="1" t="str">
        <f ca="1">IFERROR(__xludf.DUMMYFUNCTION("""COMPUTED_VALUE"""),"034306496239")</f>
        <v>034306496239</v>
      </c>
      <c r="K231" s="3" t="str">
        <f ca="1">IFERROR(__xludf.DUMMYFUNCTION("""COMPUTED_VALUE"""),"https://drive.google.com/open?id=eIyPCWatjX3vA18DiEAz")</f>
        <v>https://drive.google.com/open?id=eIyPCWatjX3vA18DiEAz</v>
      </c>
      <c r="L231" s="3" t="str">
        <f ca="1">IFERROR(__xludf.DUMMYFUNCTION("""COMPUTED_VALUE"""),"https://drive.google.com/open?id=pl14ivK8I78T2j6qHUo5")</f>
        <v>https://drive.google.com/open?id=pl14ivK8I78T2j6qHUo5</v>
      </c>
      <c r="M231" s="1"/>
      <c r="N231" s="1"/>
      <c r="O231" s="1"/>
      <c r="P231" s="1" t="str">
        <f ca="1">IFERROR(__xludf.DUMMYFUNCTION("""COMPUTED_VALUE"""),"Self-employed")</f>
        <v>Self-employed</v>
      </c>
      <c r="Q231" s="1">
        <f ca="1">IFERROR(__xludf.DUMMYFUNCTION("""COMPUTED_VALUE"""),20000000)</f>
        <v>20000000</v>
      </c>
      <c r="R231" s="3" t="str">
        <f ca="1">IFERROR(__xludf.DUMMYFUNCTION("""COMPUTED_VALUE"""),"https://drive.google.com/open?id=Sylrmt91D5tLKpf11h0X")</f>
        <v>https://drive.google.com/open?id=Sylrmt91D5tLKpf11h0X</v>
      </c>
      <c r="S231" s="1">
        <f ca="1">IFERROR(__xludf.DUMMYFUNCTION("""COMPUTED_VALUE"""),40000000)</f>
        <v>40000000</v>
      </c>
      <c r="T231" s="1" t="str">
        <f ca="1">IFERROR(__xludf.DUMMYFUNCTION("""COMPUTED_VALUE"""),"Platinum")</f>
        <v>Platinum</v>
      </c>
      <c r="U231" s="1" t="str">
        <f ca="1">IFERROR(__xludf.DUMMYFUNCTION("""COMPUTED_VALUE"""),"Online")</f>
        <v>Online</v>
      </c>
    </row>
    <row r="232" spans="1:21" x14ac:dyDescent="0.25">
      <c r="A232" s="2" t="str">
        <f ca="1">IFERROR(__xludf.DUMMYFUNCTION("""COMPUTED_VALUE"""),"APP0231")</f>
        <v>APP0231</v>
      </c>
      <c r="B232" s="2">
        <f ca="1">IFERROR(__xludf.DUMMYFUNCTION("""COMPUTED_VALUE"""),45910.0606828703)</f>
        <v>45910.060682870302</v>
      </c>
      <c r="C232" s="1" t="str">
        <f ca="1">IFERROR(__xludf.DUMMYFUNCTION("""COMPUTED_VALUE"""),"Đỗ Đức Thảo")</f>
        <v>Đỗ Đức Thảo</v>
      </c>
      <c r="D232" s="1" t="str">
        <f ca="1">IFERROR(__xludf.DUMMYFUNCTION("""COMPUTED_VALUE"""),"03/05/1983")</f>
        <v>03/05/1983</v>
      </c>
      <c r="E232" s="1" t="str">
        <f ca="1">IFERROR(__xludf.DUMMYFUNCTION("""COMPUTED_VALUE"""),"Female")</f>
        <v>Female</v>
      </c>
      <c r="F232" s="1" t="str">
        <f ca="1">IFERROR(__xludf.DUMMYFUNCTION("""COMPUTED_VALUE"""),"Vietnam")</f>
        <v>Vietnam</v>
      </c>
      <c r="G232" s="1" t="str">
        <f ca="1">IFERROR(__xludf.DUMMYFUNCTION("""COMPUTED_VALUE"""),"0825343495")</f>
        <v>0825343495</v>
      </c>
      <c r="H232" s="1" t="str">
        <f ca="1">IFERROR(__xludf.DUMMYFUNCTION("""COMPUTED_VALUE"""),"doducthao@gmail.com")</f>
        <v>doducthao@gmail.com</v>
      </c>
      <c r="I232" s="1" t="str">
        <f ca="1">IFERROR(__xludf.DUMMYFUNCTION("""COMPUTED_VALUE"""),"112 Ly Thuong Kiet, Dong Da, TP Ho Chi Minh, Viet Nam")</f>
        <v>112 Ly Thuong Kiet, Dong Da, TP Ho Chi Minh, Viet Nam</v>
      </c>
      <c r="J232" s="1" t="str">
        <f ca="1">IFERROR(__xludf.DUMMYFUNCTION("""COMPUTED_VALUE"""),"069198311009")</f>
        <v>069198311009</v>
      </c>
      <c r="K232" s="3" t="str">
        <f ca="1">IFERROR(__xludf.DUMMYFUNCTION("""COMPUTED_VALUE"""),"https://drive.google.com/open?id=xw9ZyPtMPYj2KD3UJFCr")</f>
        <v>https://drive.google.com/open?id=xw9ZyPtMPYj2KD3UJFCr</v>
      </c>
      <c r="L232" s="3" t="str">
        <f ca="1">IFERROR(__xludf.DUMMYFUNCTION("""COMPUTED_VALUE"""),"https://drive.google.com/open?id=cKzUtSYeQezbV2BelOh4")</f>
        <v>https://drive.google.com/open?id=cKzUtSYeQezbV2BelOh4</v>
      </c>
      <c r="M232" s="1"/>
      <c r="N232" s="1"/>
      <c r="O232" s="1"/>
      <c r="P232" s="1" t="str">
        <f ca="1">IFERROR(__xludf.DUMMYFUNCTION("""COMPUTED_VALUE"""),"Contract")</f>
        <v>Contract</v>
      </c>
      <c r="Q232" s="1">
        <f ca="1">IFERROR(__xludf.DUMMYFUNCTION("""COMPUTED_VALUE"""),12000000)</f>
        <v>12000000</v>
      </c>
      <c r="R232" s="3" t="str">
        <f ca="1">IFERROR(__xludf.DUMMYFUNCTION("""COMPUTED_VALUE"""),"https://drive.google.com/open?id=QSTM85cPltgQQvYaefsX")</f>
        <v>https://drive.google.com/open?id=QSTM85cPltgQQvYaefsX</v>
      </c>
      <c r="S232" s="1">
        <f ca="1">IFERROR(__xludf.DUMMYFUNCTION("""COMPUTED_VALUE"""),60000000)</f>
        <v>60000000</v>
      </c>
      <c r="T232" s="1" t="str">
        <f ca="1">IFERROR(__xludf.DUMMYFUNCTION("""COMPUTED_VALUE"""),"Gold")</f>
        <v>Gold</v>
      </c>
      <c r="U232" s="1" t="str">
        <f ca="1">IFERROR(__xludf.DUMMYFUNCTION("""COMPUTED_VALUE"""),"Branch")</f>
        <v>Branch</v>
      </c>
    </row>
    <row r="233" spans="1:21" x14ac:dyDescent="0.25">
      <c r="A233" s="2" t="str">
        <f ca="1">IFERROR(__xludf.DUMMYFUNCTION("""COMPUTED_VALUE"""),"APP0232")</f>
        <v>APP0232</v>
      </c>
      <c r="B233" s="2">
        <f ca="1">IFERROR(__xludf.DUMMYFUNCTION("""COMPUTED_VALUE"""),45910.0899189814)</f>
        <v>45910.089918981401</v>
      </c>
      <c r="C233" s="1" t="str">
        <f ca="1">IFERROR(__xludf.DUMMYFUNCTION("""COMPUTED_VALUE"""),"Trần Anh Thảo")</f>
        <v>Trần Anh Thảo</v>
      </c>
      <c r="D233" s="1" t="str">
        <f ca="1">IFERROR(__xludf.DUMMYFUNCTION("""COMPUTED_VALUE"""),"10/12/2000")</f>
        <v>10/12/2000</v>
      </c>
      <c r="E233" s="1" t="str">
        <f ca="1">IFERROR(__xludf.DUMMYFUNCTION("""COMPUTED_VALUE"""),"Male")</f>
        <v>Male</v>
      </c>
      <c r="F233" s="1" t="str">
        <f ca="1">IFERROR(__xludf.DUMMYFUNCTION("""COMPUTED_VALUE"""),"Vietnam")</f>
        <v>Vietnam</v>
      </c>
      <c r="G233" s="1" t="str">
        <f ca="1">IFERROR(__xludf.DUMMYFUNCTION("""COMPUTED_VALUE"""),"0863240479")</f>
        <v>0863240479</v>
      </c>
      <c r="H233" s="1" t="str">
        <f ca="1">IFERROR(__xludf.DUMMYFUNCTION("""COMPUTED_VALUE"""),"trananhthao@gmail.com")</f>
        <v>trananhthao@gmail.com</v>
      </c>
      <c r="I233" s="1" t="str">
        <f ca="1">IFERROR(__xludf.DUMMYFUNCTION("""COMPUTED_VALUE"""),"104 Nguyen Trai, Hoan Kiem, Ha Noi, Viet Nam")</f>
        <v>104 Nguyen Trai, Hoan Kiem, Ha Noi, Viet Nam</v>
      </c>
      <c r="J233" s="1" t="str">
        <f ca="1">IFERROR(__xludf.DUMMYFUNCTION("""COMPUTED_VALUE"""),"043079752287")</f>
        <v>043079752287</v>
      </c>
      <c r="K233" s="3" t="str">
        <f ca="1">IFERROR(__xludf.DUMMYFUNCTION("""COMPUTED_VALUE"""),"https://drive.google.com/open?id=m9OPjv2Ppy78fhPZUm2r")</f>
        <v>https://drive.google.com/open?id=m9OPjv2Ppy78fhPZUm2r</v>
      </c>
      <c r="L233" s="3" t="str">
        <f ca="1">IFERROR(__xludf.DUMMYFUNCTION("""COMPUTED_VALUE"""),"https://drive.google.com/open?id=vqU83gnD7HJWSgnJGHPN")</f>
        <v>https://drive.google.com/open?id=vqU83gnD7HJWSgnJGHPN</v>
      </c>
      <c r="M233" s="1"/>
      <c r="N233" s="1"/>
      <c r="O233" s="1"/>
      <c r="P233" s="1" t="str">
        <f ca="1">IFERROR(__xludf.DUMMYFUNCTION("""COMPUTED_VALUE"""),"Freelancer")</f>
        <v>Freelancer</v>
      </c>
      <c r="Q233" s="1">
        <f ca="1">IFERROR(__xludf.DUMMYFUNCTION("""COMPUTED_VALUE"""),20000000)</f>
        <v>20000000</v>
      </c>
      <c r="R233" s="3" t="str">
        <f ca="1">IFERROR(__xludf.DUMMYFUNCTION("""COMPUTED_VALUE"""),"https://drive.google.com/open?id=MUvFjhHBTQiG9Z23kMWp")</f>
        <v>https://drive.google.com/open?id=MUvFjhHBTQiG9Z23kMWp</v>
      </c>
      <c r="S233" s="1">
        <f ca="1">IFERROR(__xludf.DUMMYFUNCTION("""COMPUTED_VALUE"""),100000000)</f>
        <v>100000000</v>
      </c>
      <c r="T233" s="1" t="str">
        <f ca="1">IFERROR(__xludf.DUMMYFUNCTION("""COMPUTED_VALUE"""),"Gold")</f>
        <v>Gold</v>
      </c>
      <c r="U233" s="1" t="str">
        <f ca="1">IFERROR(__xludf.DUMMYFUNCTION("""COMPUTED_VALUE"""),"Online")</f>
        <v>Online</v>
      </c>
    </row>
    <row r="234" spans="1:21" x14ac:dyDescent="0.25">
      <c r="A234" s="2" t="str">
        <f ca="1">IFERROR(__xludf.DUMMYFUNCTION("""COMPUTED_VALUE"""),"APP0233")</f>
        <v>APP0233</v>
      </c>
      <c r="B234" s="2">
        <f ca="1">IFERROR(__xludf.DUMMYFUNCTION("""COMPUTED_VALUE"""),45910.1750347222)</f>
        <v>45910.175034722197</v>
      </c>
      <c r="C234" s="1" t="str">
        <f ca="1">IFERROR(__xludf.DUMMYFUNCTION("""COMPUTED_VALUE"""),"Đặng Ngọc Vy")</f>
        <v>Đặng Ngọc Vy</v>
      </c>
      <c r="D234" s="1" t="str">
        <f ca="1">IFERROR(__xludf.DUMMYFUNCTION("""COMPUTED_VALUE"""),"01/11/2003")</f>
        <v>01/11/2003</v>
      </c>
      <c r="E234" s="1" t="str">
        <f ca="1">IFERROR(__xludf.DUMMYFUNCTION("""COMPUTED_VALUE"""),"Male")</f>
        <v>Male</v>
      </c>
      <c r="F234" s="1" t="str">
        <f ca="1">IFERROR(__xludf.DUMMYFUNCTION("""COMPUTED_VALUE"""),"Vietnam")</f>
        <v>Vietnam</v>
      </c>
      <c r="G234" s="1" t="str">
        <f ca="1">IFERROR(__xludf.DUMMYFUNCTION("""COMPUTED_VALUE"""),"0859873652")</f>
        <v>0859873652</v>
      </c>
      <c r="H234" s="1" t="str">
        <f ca="1">IFERROR(__xludf.DUMMYFUNCTION("""COMPUTED_VALUE"""),"dangngocvy@gmail.com")</f>
        <v>dangngocvy@gmail.com</v>
      </c>
      <c r="I234" s="1" t="str">
        <f ca="1">IFERROR(__xludf.DUMMYFUNCTION("""COMPUTED_VALUE"""),"171 Ly Thuong Kiet, Quan 1, TP Ho Chi Minh, Viet Nam")</f>
        <v>171 Ly Thuong Kiet, Quan 1, TP Ho Chi Minh, Viet Nam</v>
      </c>
      <c r="J234" s="1" t="str">
        <f ca="1">IFERROR(__xludf.DUMMYFUNCTION("""COMPUTED_VALUE"""),"085109300772")</f>
        <v>085109300772</v>
      </c>
      <c r="K234" s="3" t="str">
        <f ca="1">IFERROR(__xludf.DUMMYFUNCTION("""COMPUTED_VALUE"""),"https://drive.google.com/open?id=yrMmOrJRPbcJHtNPiAUw")</f>
        <v>https://drive.google.com/open?id=yrMmOrJRPbcJHtNPiAUw</v>
      </c>
      <c r="L234" s="3" t="str">
        <f ca="1">IFERROR(__xludf.DUMMYFUNCTION("""COMPUTED_VALUE"""),"https://drive.google.com/open?id=mGcRh4ZYmGeZMytSL3cN")</f>
        <v>https://drive.google.com/open?id=mGcRh4ZYmGeZMytSL3cN</v>
      </c>
      <c r="M234" s="1"/>
      <c r="N234" s="1"/>
      <c r="O234" s="1"/>
      <c r="P234" s="1" t="str">
        <f ca="1">IFERROR(__xludf.DUMMYFUNCTION("""COMPUTED_VALUE"""),"Contract")</f>
        <v>Contract</v>
      </c>
      <c r="Q234" s="1">
        <f ca="1">IFERROR(__xludf.DUMMYFUNCTION("""COMPUTED_VALUE"""),20000000)</f>
        <v>20000000</v>
      </c>
      <c r="R234" s="3" t="str">
        <f ca="1">IFERROR(__xludf.DUMMYFUNCTION("""COMPUTED_VALUE"""),"https://drive.google.com/open?id=LByuG3BnvEYOoo8TLoG7")</f>
        <v>https://drive.google.com/open?id=LByuG3BnvEYOoo8TLoG7</v>
      </c>
      <c r="S234" s="1">
        <f ca="1">IFERROR(__xludf.DUMMYFUNCTION("""COMPUTED_VALUE"""),100000000)</f>
        <v>100000000</v>
      </c>
      <c r="T234" s="1" t="str">
        <f ca="1">IFERROR(__xludf.DUMMYFUNCTION("""COMPUTED_VALUE"""),"Classic")</f>
        <v>Classic</v>
      </c>
      <c r="U234" s="1" t="str">
        <f ca="1">IFERROR(__xludf.DUMMYFUNCTION("""COMPUTED_VALUE"""),"Branch")</f>
        <v>Branch</v>
      </c>
    </row>
    <row r="235" spans="1:21" x14ac:dyDescent="0.25">
      <c r="A235" s="2" t="str">
        <f ca="1">IFERROR(__xludf.DUMMYFUNCTION("""COMPUTED_VALUE"""),"APP0234")</f>
        <v>APP0234</v>
      </c>
      <c r="B235" s="2">
        <f ca="1">IFERROR(__xludf.DUMMYFUNCTION("""COMPUTED_VALUE"""),45910.248912037)</f>
        <v>45910.248912037001</v>
      </c>
      <c r="C235" s="1" t="str">
        <f ca="1">IFERROR(__xludf.DUMMYFUNCTION("""COMPUTED_VALUE"""),"Jessica Crawford")</f>
        <v>Jessica Crawford</v>
      </c>
      <c r="D235" s="1" t="str">
        <f ca="1">IFERROR(__xludf.DUMMYFUNCTION("""COMPUTED_VALUE"""),"11/04/1970")</f>
        <v>11/04/1970</v>
      </c>
      <c r="E235" s="1" t="str">
        <f ca="1">IFERROR(__xludf.DUMMYFUNCTION("""COMPUTED_VALUE"""),"Female")</f>
        <v>Female</v>
      </c>
      <c r="F235" s="1" t="str">
        <f ca="1">IFERROR(__xludf.DUMMYFUNCTION("""COMPUTED_VALUE"""),"Other")</f>
        <v>Other</v>
      </c>
      <c r="G235" s="1" t="str">
        <f ca="1">IFERROR(__xludf.DUMMYFUNCTION("""COMPUTED_VALUE"""),"+1 4388058206")</f>
        <v>+1 4388058206</v>
      </c>
      <c r="H235" s="1" t="str">
        <f ca="1">IFERROR(__xludf.DUMMYFUNCTION("""COMPUTED_VALUE"""),"jessicacrawford@gmail.com")</f>
        <v>jessicacrawford@gmail.com</v>
      </c>
      <c r="I235" s="1" t="str">
        <f ca="1">IFERROR(__xludf.DUMMYFUNCTION("""COMPUTED_VALUE"""),"549 Lawrence Fords Suite 190, West Erik, MO 45444")</f>
        <v>549 Lawrence Fords Suite 190, West Erik, MO 45444</v>
      </c>
      <c r="J235" s="1"/>
      <c r="K235" s="1"/>
      <c r="L235" s="1"/>
      <c r="M235" s="1" t="str">
        <f ca="1">IFERROR(__xludf.DUMMYFUNCTION("""COMPUTED_VALUE"""),"dS429882")</f>
        <v>dS429882</v>
      </c>
      <c r="N235" s="3" t="str">
        <f ca="1">IFERROR(__xludf.DUMMYFUNCTION("""COMPUTED_VALUE"""),"https://drive.google.com/open?id=H9h9M4b9V9JYP1eHdH1G")</f>
        <v>https://drive.google.com/open?id=H9h9M4b9V9JYP1eHdH1G</v>
      </c>
      <c r="O235" s="3" t="str">
        <f ca="1">IFERROR(__xludf.DUMMYFUNCTION("""COMPUTED_VALUE"""),"https://drive.google.com/open?id=C9B8oo0dsKuJ4rNnuAM9")</f>
        <v>https://drive.google.com/open?id=C9B8oo0dsKuJ4rNnuAM9</v>
      </c>
      <c r="P235" s="1" t="str">
        <f ca="1">IFERROR(__xludf.DUMMYFUNCTION("""COMPUTED_VALUE"""),"Self-employed")</f>
        <v>Self-employed</v>
      </c>
      <c r="Q235" s="1">
        <f ca="1">IFERROR(__xludf.DUMMYFUNCTION("""COMPUTED_VALUE"""),8000000)</f>
        <v>8000000</v>
      </c>
      <c r="R235" s="3" t="str">
        <f ca="1">IFERROR(__xludf.DUMMYFUNCTION("""COMPUTED_VALUE"""),"https://drive.google.com/open?id=Ei6LCXcdUXSzWBeiaxJV")</f>
        <v>https://drive.google.com/open?id=Ei6LCXcdUXSzWBeiaxJV</v>
      </c>
      <c r="S235" s="1">
        <f ca="1">IFERROR(__xludf.DUMMYFUNCTION("""COMPUTED_VALUE"""),16000000)</f>
        <v>16000000</v>
      </c>
      <c r="T235" s="1" t="str">
        <f ca="1">IFERROR(__xludf.DUMMYFUNCTION("""COMPUTED_VALUE"""),"Classic")</f>
        <v>Classic</v>
      </c>
      <c r="U235" s="1" t="str">
        <f ca="1">IFERROR(__xludf.DUMMYFUNCTION("""COMPUTED_VALUE"""),"Online")</f>
        <v>Online</v>
      </c>
    </row>
    <row r="236" spans="1:21" x14ac:dyDescent="0.25">
      <c r="A236" s="2" t="str">
        <f ca="1">IFERROR(__xludf.DUMMYFUNCTION("""COMPUTED_VALUE"""),"APP0235")</f>
        <v>APP0235</v>
      </c>
      <c r="B236" s="2">
        <f ca="1">IFERROR(__xludf.DUMMYFUNCTION("""COMPUTED_VALUE"""),45910.3860763888)</f>
        <v>45910.386076388801</v>
      </c>
      <c r="C236" s="1" t="str">
        <f ca="1">IFERROR(__xludf.DUMMYFUNCTION("""COMPUTED_VALUE"""),"Võ Văn Phúc")</f>
        <v>Võ Văn Phúc</v>
      </c>
      <c r="D236" s="1" t="str">
        <f ca="1">IFERROR(__xludf.DUMMYFUNCTION("""COMPUTED_VALUE"""),"07/06/1969")</f>
        <v>07/06/1969</v>
      </c>
      <c r="E236" s="1" t="str">
        <f ca="1">IFERROR(__xludf.DUMMYFUNCTION("""COMPUTED_VALUE"""),"Female")</f>
        <v>Female</v>
      </c>
      <c r="F236" s="1" t="str">
        <f ca="1">IFERROR(__xludf.DUMMYFUNCTION("""COMPUTED_VALUE"""),"Vietnam")</f>
        <v>Vietnam</v>
      </c>
      <c r="G236" s="1" t="str">
        <f ca="1">IFERROR(__xludf.DUMMYFUNCTION("""COMPUTED_VALUE"""),"0772543782")</f>
        <v>0772543782</v>
      </c>
      <c r="H236" s="1" t="str">
        <f ca="1">IFERROR(__xludf.DUMMYFUNCTION("""COMPUTED_VALUE"""),"vovanphuc@gmail.com")</f>
        <v>vovanphuc@gmail.com</v>
      </c>
      <c r="I236" s="1" t="str">
        <f ca="1">IFERROR(__xludf.DUMMYFUNCTION("""COMPUTED_VALUE"""),"95 Pham Van Dong, Quan 1, Da Nang, Viet Nam")</f>
        <v>95 Pham Van Dong, Quan 1, Da Nang, Viet Nam</v>
      </c>
      <c r="J236" s="1" t="str">
        <f ca="1">IFERROR(__xludf.DUMMYFUNCTION("""COMPUTED_VALUE"""),"032354063640")</f>
        <v>032354063640</v>
      </c>
      <c r="K236" s="3" t="str">
        <f ca="1">IFERROR(__xludf.DUMMYFUNCTION("""COMPUTED_VALUE"""),"https://drive.google.com/open?id=ePNbEP3ZuL4LN9Cb0deB")</f>
        <v>https://drive.google.com/open?id=ePNbEP3ZuL4LN9Cb0deB</v>
      </c>
      <c r="L236" s="3" t="str">
        <f ca="1">IFERROR(__xludf.DUMMYFUNCTION("""COMPUTED_VALUE"""),"https://drive.google.com/open?id=Rr9U6TrQ3JH3LjBew6lZ")</f>
        <v>https://drive.google.com/open?id=Rr9U6TrQ3JH3LjBew6lZ</v>
      </c>
      <c r="M236" s="1"/>
      <c r="N236" s="1"/>
      <c r="O236" s="1"/>
      <c r="P236" s="1" t="str">
        <f ca="1">IFERROR(__xludf.DUMMYFUNCTION("""COMPUTED_VALUE"""),"Freelancer")</f>
        <v>Freelancer</v>
      </c>
      <c r="Q236" s="1">
        <f ca="1">IFERROR(__xludf.DUMMYFUNCTION("""COMPUTED_VALUE"""),5000000)</f>
        <v>5000000</v>
      </c>
      <c r="R236" s="3" t="str">
        <f ca="1">IFERROR(__xludf.DUMMYFUNCTION("""COMPUTED_VALUE"""),"https://drive.google.com/open?id=z3XtZuT8OsxlZzFlxZ9m")</f>
        <v>https://drive.google.com/open?id=z3XtZuT8OsxlZzFlxZ9m</v>
      </c>
      <c r="S236" s="1">
        <f ca="1">IFERROR(__xludf.DUMMYFUNCTION("""COMPUTED_VALUE"""),25000000)</f>
        <v>25000000</v>
      </c>
      <c r="T236" s="1" t="str">
        <f ca="1">IFERROR(__xludf.DUMMYFUNCTION("""COMPUTED_VALUE"""),"Classic")</f>
        <v>Classic</v>
      </c>
      <c r="U236" s="1" t="str">
        <f ca="1">IFERROR(__xludf.DUMMYFUNCTION("""COMPUTED_VALUE"""),"Branch")</f>
        <v>Branch</v>
      </c>
    </row>
    <row r="237" spans="1:21" x14ac:dyDescent="0.25">
      <c r="A237" s="2" t="str">
        <f ca="1">IFERROR(__xludf.DUMMYFUNCTION("""COMPUTED_VALUE"""),"APP0236")</f>
        <v>APP0236</v>
      </c>
      <c r="B237" s="2">
        <f ca="1">IFERROR(__xludf.DUMMYFUNCTION("""COMPUTED_VALUE"""),45910.4530902777)</f>
        <v>45910.453090277697</v>
      </c>
      <c r="C237" s="1" t="str">
        <f ca="1">IFERROR(__xludf.DUMMYFUNCTION("""COMPUTED_VALUE"""),"Võ Quang Phúc")</f>
        <v>Võ Quang Phúc</v>
      </c>
      <c r="D237" s="1" t="str">
        <f ca="1">IFERROR(__xludf.DUMMYFUNCTION("""COMPUTED_VALUE"""),"27/08/1982")</f>
        <v>27/08/1982</v>
      </c>
      <c r="E237" s="1" t="str">
        <f ca="1">IFERROR(__xludf.DUMMYFUNCTION("""COMPUTED_VALUE"""),"Male")</f>
        <v>Male</v>
      </c>
      <c r="F237" s="1" t="str">
        <f ca="1">IFERROR(__xludf.DUMMYFUNCTION("""COMPUTED_VALUE"""),"Vietnam")</f>
        <v>Vietnam</v>
      </c>
      <c r="G237" s="1" t="str">
        <f ca="1">IFERROR(__xludf.DUMMYFUNCTION("""COMPUTED_VALUE"""),"0764178904")</f>
        <v>0764178904</v>
      </c>
      <c r="H237" s="1" t="str">
        <f ca="1">IFERROR(__xludf.DUMMYFUNCTION("""COMPUTED_VALUE"""),"voquangphuc@gmail.com")</f>
        <v>voquangphuc@gmail.com</v>
      </c>
      <c r="I237" s="1" t="str">
        <f ca="1">IFERROR(__xludf.DUMMYFUNCTION("""COMPUTED_VALUE"""),"116 Le Loi, Quan 3, Hai Phong, Viet Nam")</f>
        <v>116 Le Loi, Quan 3, Hai Phong, Viet Nam</v>
      </c>
      <c r="J237" s="1" t="str">
        <f ca="1">IFERROR(__xludf.DUMMYFUNCTION("""COMPUTED_VALUE"""),"019742530011")</f>
        <v>019742530011</v>
      </c>
      <c r="K237" s="3" t="str">
        <f ca="1">IFERROR(__xludf.DUMMYFUNCTION("""COMPUTED_VALUE"""),"https://drive.google.com/open?id=gAWvDXMuV3ffUjfcH6hA")</f>
        <v>https://drive.google.com/open?id=gAWvDXMuV3ffUjfcH6hA</v>
      </c>
      <c r="L237" s="3" t="str">
        <f ca="1">IFERROR(__xludf.DUMMYFUNCTION("""COMPUTED_VALUE"""),"https://drive.google.com/open?id=O8O7CC2xqQRIZr8aSow0")</f>
        <v>https://drive.google.com/open?id=O8O7CC2xqQRIZr8aSow0</v>
      </c>
      <c r="M237" s="1"/>
      <c r="N237" s="1"/>
      <c r="O237" s="1"/>
      <c r="P237" s="1" t="str">
        <f ca="1">IFERROR(__xludf.DUMMYFUNCTION("""COMPUTED_VALUE"""),"Contract")</f>
        <v>Contract</v>
      </c>
      <c r="Q237" s="1">
        <f ca="1">IFERROR(__xludf.DUMMYFUNCTION("""COMPUTED_VALUE"""),8000000)</f>
        <v>8000000</v>
      </c>
      <c r="R237" s="3" t="str">
        <f ca="1">IFERROR(__xludf.DUMMYFUNCTION("""COMPUTED_VALUE"""),"https://drive.google.com/open?id=eY01PTfpT6OHGXnm29RG")</f>
        <v>https://drive.google.com/open?id=eY01PTfpT6OHGXnm29RG</v>
      </c>
      <c r="S237" s="1">
        <f ca="1">IFERROR(__xludf.DUMMYFUNCTION("""COMPUTED_VALUE"""),16000000)</f>
        <v>16000000</v>
      </c>
      <c r="T237" s="1" t="str">
        <f ca="1">IFERROR(__xludf.DUMMYFUNCTION("""COMPUTED_VALUE"""),"Platinum")</f>
        <v>Platinum</v>
      </c>
      <c r="U237" s="1" t="str">
        <f ca="1">IFERROR(__xludf.DUMMYFUNCTION("""COMPUTED_VALUE"""),"Online")</f>
        <v>Online</v>
      </c>
    </row>
    <row r="238" spans="1:21" x14ac:dyDescent="0.25">
      <c r="A238" s="2" t="str">
        <f ca="1">IFERROR(__xludf.DUMMYFUNCTION("""COMPUTED_VALUE"""),"APP0237")</f>
        <v>APP0237</v>
      </c>
      <c r="B238" s="2">
        <f ca="1">IFERROR(__xludf.DUMMYFUNCTION("""COMPUTED_VALUE"""),45910.5069907407)</f>
        <v>45910.506990740701</v>
      </c>
      <c r="C238" s="1" t="str">
        <f ca="1">IFERROR(__xludf.DUMMYFUNCTION("""COMPUTED_VALUE"""),"Kelsey Barnes")</f>
        <v>Kelsey Barnes</v>
      </c>
      <c r="D238" s="1" t="str">
        <f ca="1">IFERROR(__xludf.DUMMYFUNCTION("""COMPUTED_VALUE"""),"13/06/2000")</f>
        <v>13/06/2000</v>
      </c>
      <c r="E238" s="1" t="str">
        <f ca="1">IFERROR(__xludf.DUMMYFUNCTION("""COMPUTED_VALUE"""),"Male")</f>
        <v>Male</v>
      </c>
      <c r="F238" s="1" t="str">
        <f ca="1">IFERROR(__xludf.DUMMYFUNCTION("""COMPUTED_VALUE"""),"Other")</f>
        <v>Other</v>
      </c>
      <c r="G238" s="1" t="str">
        <f ca="1">IFERROR(__xludf.DUMMYFUNCTION("""COMPUTED_VALUE"""),"+1 8667306102")</f>
        <v>+1 8667306102</v>
      </c>
      <c r="H238" s="1" t="str">
        <f ca="1">IFERROR(__xludf.DUMMYFUNCTION("""COMPUTED_VALUE"""),"kelseybarnes@gmail.com")</f>
        <v>kelseybarnes@gmail.com</v>
      </c>
      <c r="I238" s="1" t="str">
        <f ca="1">IFERROR(__xludf.DUMMYFUNCTION("""COMPUTED_VALUE"""),"Unit 1114 Box 0123, DPO AP 63387")</f>
        <v>Unit 1114 Box 0123, DPO AP 63387</v>
      </c>
      <c r="J238" s="1"/>
      <c r="K238" s="1"/>
      <c r="L238" s="1"/>
      <c r="M238" s="1" t="str">
        <f ca="1">IFERROR(__xludf.DUMMYFUNCTION("""COMPUTED_VALUE"""),"nH364633")</f>
        <v>nH364633</v>
      </c>
      <c r="N238" s="3" t="str">
        <f ca="1">IFERROR(__xludf.DUMMYFUNCTION("""COMPUTED_VALUE"""),"https://drive.google.com/open?id=4w6gQxEkn9QBzJPDOlRT")</f>
        <v>https://drive.google.com/open?id=4w6gQxEkn9QBzJPDOlRT</v>
      </c>
      <c r="O238" s="3" t="str">
        <f ca="1">IFERROR(__xludf.DUMMYFUNCTION("""COMPUTED_VALUE"""),"https://drive.google.com/open?id=ib02lSdG6V4bljFBmNnZ")</f>
        <v>https://drive.google.com/open?id=ib02lSdG6V4bljFBmNnZ</v>
      </c>
      <c r="P238" s="1" t="str">
        <f ca="1">IFERROR(__xludf.DUMMYFUNCTION("""COMPUTED_VALUE"""),"Freelancer")</f>
        <v>Freelancer</v>
      </c>
      <c r="Q238" s="1">
        <f ca="1">IFERROR(__xludf.DUMMYFUNCTION("""COMPUTED_VALUE"""),12000000)</f>
        <v>12000000</v>
      </c>
      <c r="R238" s="3" t="str">
        <f ca="1">IFERROR(__xludf.DUMMYFUNCTION("""COMPUTED_VALUE"""),"https://drive.google.com/open?id=qpUzRsqm5KpQwYueWLau")</f>
        <v>https://drive.google.com/open?id=qpUzRsqm5KpQwYueWLau</v>
      </c>
      <c r="S238" s="1">
        <f ca="1">IFERROR(__xludf.DUMMYFUNCTION("""COMPUTED_VALUE"""),24000000)</f>
        <v>24000000</v>
      </c>
      <c r="T238" s="1" t="str">
        <f ca="1">IFERROR(__xludf.DUMMYFUNCTION("""COMPUTED_VALUE"""),"Gold")</f>
        <v>Gold</v>
      </c>
      <c r="U238" s="1" t="str">
        <f ca="1">IFERROR(__xludf.DUMMYFUNCTION("""COMPUTED_VALUE"""),"Partner")</f>
        <v>Partner</v>
      </c>
    </row>
    <row r="239" spans="1:21" x14ac:dyDescent="0.25">
      <c r="A239" s="2" t="str">
        <f ca="1">IFERROR(__xludf.DUMMYFUNCTION("""COMPUTED_VALUE"""),"APP0238")</f>
        <v>APP0238</v>
      </c>
      <c r="B239" s="2">
        <f ca="1">IFERROR(__xludf.DUMMYFUNCTION("""COMPUTED_VALUE"""),45910.6750810185)</f>
        <v>45910.675081018497</v>
      </c>
      <c r="C239" s="1" t="str">
        <f ca="1">IFERROR(__xludf.DUMMYFUNCTION("""COMPUTED_VALUE"""),"Võ Thị Giang")</f>
        <v>Võ Thị Giang</v>
      </c>
      <c r="D239" s="1" t="str">
        <f ca="1">IFERROR(__xludf.DUMMYFUNCTION("""COMPUTED_VALUE"""),"11/11/1981")</f>
        <v>11/11/1981</v>
      </c>
      <c r="E239" s="1" t="str">
        <f ca="1">IFERROR(__xludf.DUMMYFUNCTION("""COMPUTED_VALUE"""),"Male")</f>
        <v>Male</v>
      </c>
      <c r="F239" s="1" t="str">
        <f ca="1">IFERROR(__xludf.DUMMYFUNCTION("""COMPUTED_VALUE"""),"Vietnam")</f>
        <v>Vietnam</v>
      </c>
      <c r="G239" s="1" t="str">
        <f ca="1">IFERROR(__xludf.DUMMYFUNCTION("""COMPUTED_VALUE"""),"0810708569")</f>
        <v>0810708569</v>
      </c>
      <c r="H239" s="1" t="str">
        <f ca="1">IFERROR(__xludf.DUMMYFUNCTION("""COMPUTED_VALUE"""),"vothigiang@gmail.com")</f>
        <v>vothigiang@gmail.com</v>
      </c>
      <c r="I239" s="1" t="str">
        <f ca="1">IFERROR(__xludf.DUMMYFUNCTION("""COMPUTED_VALUE"""),"151 Ly Thuong Kiet, Quan 3, TP Ho Chi Minh, Viet Nam")</f>
        <v>151 Ly Thuong Kiet, Quan 3, TP Ho Chi Minh, Viet Nam</v>
      </c>
      <c r="J239" s="1" t="str">
        <f ca="1">IFERROR(__xludf.DUMMYFUNCTION("""COMPUTED_VALUE"""),"033949755799")</f>
        <v>033949755799</v>
      </c>
      <c r="K239" s="3" t="str">
        <f ca="1">IFERROR(__xludf.DUMMYFUNCTION("""COMPUTED_VALUE"""),"https://drive.google.com/open?id=IPS72iGiFkJxw591jeB9")</f>
        <v>https://drive.google.com/open?id=IPS72iGiFkJxw591jeB9</v>
      </c>
      <c r="L239" s="3" t="str">
        <f ca="1">IFERROR(__xludf.DUMMYFUNCTION("""COMPUTED_VALUE"""),"https://drive.google.com/open?id=KrORd0RvLpt5m3N4hrE3")</f>
        <v>https://drive.google.com/open?id=KrORd0RvLpt5m3N4hrE3</v>
      </c>
      <c r="M239" s="1"/>
      <c r="N239" s="1"/>
      <c r="O239" s="1"/>
      <c r="P239" s="1" t="str">
        <f ca="1">IFERROR(__xludf.DUMMYFUNCTION("""COMPUTED_VALUE"""),"Self-employed")</f>
        <v>Self-employed</v>
      </c>
      <c r="Q239" s="1">
        <f ca="1">IFERROR(__xludf.DUMMYFUNCTION("""COMPUTED_VALUE"""),8000000)</f>
        <v>8000000</v>
      </c>
      <c r="R239" s="3" t="str">
        <f ca="1">IFERROR(__xludf.DUMMYFUNCTION("""COMPUTED_VALUE"""),"https://drive.google.com/open?id=Am7dgFXBWhAkc4frS7Xg")</f>
        <v>https://drive.google.com/open?id=Am7dgFXBWhAkc4frS7Xg</v>
      </c>
      <c r="S239" s="1">
        <f ca="1">IFERROR(__xludf.DUMMYFUNCTION("""COMPUTED_VALUE"""),16000000)</f>
        <v>16000000</v>
      </c>
      <c r="T239" s="1" t="str">
        <f ca="1">IFERROR(__xludf.DUMMYFUNCTION("""COMPUTED_VALUE"""),"Classic")</f>
        <v>Classic</v>
      </c>
      <c r="U239" s="1" t="str">
        <f ca="1">IFERROR(__xludf.DUMMYFUNCTION("""COMPUTED_VALUE"""),"Partner")</f>
        <v>Partner</v>
      </c>
    </row>
    <row r="240" spans="1:21" x14ac:dyDescent="0.25">
      <c r="A240" s="2" t="str">
        <f ca="1">IFERROR(__xludf.DUMMYFUNCTION("""COMPUTED_VALUE"""),"APP0239")</f>
        <v>APP0239</v>
      </c>
      <c r="B240" s="2">
        <f ca="1">IFERROR(__xludf.DUMMYFUNCTION("""COMPUTED_VALUE"""),45910.7655787037)</f>
        <v>45910.7655787037</v>
      </c>
      <c r="C240" s="1" t="str">
        <f ca="1">IFERROR(__xludf.DUMMYFUNCTION("""COMPUTED_VALUE"""),"Dương Anh An")</f>
        <v>Dương Anh An</v>
      </c>
      <c r="D240" s="1" t="str">
        <f ca="1">IFERROR(__xludf.DUMMYFUNCTION("""COMPUTED_VALUE"""),"28/07/1978")</f>
        <v>28/07/1978</v>
      </c>
      <c r="E240" s="1" t="str">
        <f ca="1">IFERROR(__xludf.DUMMYFUNCTION("""COMPUTED_VALUE"""),"Female")</f>
        <v>Female</v>
      </c>
      <c r="F240" s="1" t="str">
        <f ca="1">IFERROR(__xludf.DUMMYFUNCTION("""COMPUTED_VALUE"""),"Vietnam")</f>
        <v>Vietnam</v>
      </c>
      <c r="G240" s="1" t="str">
        <f ca="1">IFERROR(__xludf.DUMMYFUNCTION("""COMPUTED_VALUE"""),"0733110904")</f>
        <v>0733110904</v>
      </c>
      <c r="H240" s="1" t="str">
        <f ca="1">IFERROR(__xludf.DUMMYFUNCTION("""COMPUTED_VALUE"""),"duonganhan@gmail.com")</f>
        <v>duonganhan@gmail.com</v>
      </c>
      <c r="I240" s="1" t="str">
        <f ca="1">IFERROR(__xludf.DUMMYFUNCTION("""COMPUTED_VALUE"""),"39 Nguyen Hue, Quan 3, Da Nang, Viet Nam")</f>
        <v>39 Nguyen Hue, Quan 3, Da Nang, Viet Nam</v>
      </c>
      <c r="J240" s="1" t="str">
        <f ca="1">IFERROR(__xludf.DUMMYFUNCTION("""COMPUTED_VALUE"""),"091321667469")</f>
        <v>091321667469</v>
      </c>
      <c r="K240" s="3" t="str">
        <f ca="1">IFERROR(__xludf.DUMMYFUNCTION("""COMPUTED_VALUE"""),"https://drive.google.com/open?id=6IQK67mc04GN7wTyYx59")</f>
        <v>https://drive.google.com/open?id=6IQK67mc04GN7wTyYx59</v>
      </c>
      <c r="L240" s="3" t="str">
        <f ca="1">IFERROR(__xludf.DUMMYFUNCTION("""COMPUTED_VALUE"""),"https://drive.google.com/open?id=yHRkkGgXMkpbGbQBfnMU")</f>
        <v>https://drive.google.com/open?id=yHRkkGgXMkpbGbQBfnMU</v>
      </c>
      <c r="M240" s="1"/>
      <c r="N240" s="1"/>
      <c r="O240" s="1"/>
      <c r="P240" s="1" t="str">
        <f ca="1">IFERROR(__xludf.DUMMYFUNCTION("""COMPUTED_VALUE"""),"Contract")</f>
        <v>Contract</v>
      </c>
      <c r="Q240" s="1">
        <f ca="1">IFERROR(__xludf.DUMMYFUNCTION("""COMPUTED_VALUE"""),12000000)</f>
        <v>12000000</v>
      </c>
      <c r="R240" s="3" t="str">
        <f ca="1">IFERROR(__xludf.DUMMYFUNCTION("""COMPUTED_VALUE"""),"https://drive.google.com/open?id=tgzfHgHE4vTxFVzcvEzj")</f>
        <v>https://drive.google.com/open?id=tgzfHgHE4vTxFVzcvEzj</v>
      </c>
      <c r="S240" s="1">
        <f ca="1">IFERROR(__xludf.DUMMYFUNCTION("""COMPUTED_VALUE"""),36000000)</f>
        <v>36000000</v>
      </c>
      <c r="T240" s="1" t="str">
        <f ca="1">IFERROR(__xludf.DUMMYFUNCTION("""COMPUTED_VALUE"""),"Gold")</f>
        <v>Gold</v>
      </c>
      <c r="U240" s="1" t="str">
        <f ca="1">IFERROR(__xludf.DUMMYFUNCTION("""COMPUTED_VALUE"""),"Online")</f>
        <v>Online</v>
      </c>
    </row>
    <row r="241" spans="1:21" x14ac:dyDescent="0.25">
      <c r="A241" s="2" t="str">
        <f ca="1">IFERROR(__xludf.DUMMYFUNCTION("""COMPUTED_VALUE"""),"APP0240")</f>
        <v>APP0240</v>
      </c>
      <c r="B241" s="2">
        <f ca="1">IFERROR(__xludf.DUMMYFUNCTION("""COMPUTED_VALUE"""),45910.7878009259)</f>
        <v>45910.7878009259</v>
      </c>
      <c r="C241" s="1" t="str">
        <f ca="1">IFERROR(__xludf.DUMMYFUNCTION("""COMPUTED_VALUE"""),"Hoàng Thanh Châu")</f>
        <v>Hoàng Thanh Châu</v>
      </c>
      <c r="D241" s="1" t="str">
        <f ca="1">IFERROR(__xludf.DUMMYFUNCTION("""COMPUTED_VALUE"""),"26/08/1972")</f>
        <v>26/08/1972</v>
      </c>
      <c r="E241" s="1" t="str">
        <f ca="1">IFERROR(__xludf.DUMMYFUNCTION("""COMPUTED_VALUE"""),"Female")</f>
        <v>Female</v>
      </c>
      <c r="F241" s="1" t="str">
        <f ca="1">IFERROR(__xludf.DUMMYFUNCTION("""COMPUTED_VALUE"""),"Vietnam")</f>
        <v>Vietnam</v>
      </c>
      <c r="G241" s="1" t="str">
        <f ca="1">IFERROR(__xludf.DUMMYFUNCTION("""COMPUTED_VALUE"""),"0749112156")</f>
        <v>0749112156</v>
      </c>
      <c r="H241" s="1" t="str">
        <f ca="1">IFERROR(__xludf.DUMMYFUNCTION("""COMPUTED_VALUE"""),"hoangthanhchau@gmail.com")</f>
        <v>hoangthanhchau@gmail.com</v>
      </c>
      <c r="I241" s="1" t="str">
        <f ca="1">IFERROR(__xludf.DUMMYFUNCTION("""COMPUTED_VALUE"""),"190 Ly Thuong Kiet, Hoan Kiem, Can Tho, Viet Nam")</f>
        <v>190 Ly Thuong Kiet, Hoan Kiem, Can Tho, Viet Nam</v>
      </c>
      <c r="J241" s="1" t="str">
        <f ca="1">IFERROR(__xludf.DUMMYFUNCTION("""COMPUTED_VALUE"""),"018348680442")</f>
        <v>018348680442</v>
      </c>
      <c r="K241" s="3" t="str">
        <f ca="1">IFERROR(__xludf.DUMMYFUNCTION("""COMPUTED_VALUE"""),"https://drive.google.com/open?id=nK2iokKrimdDMBOulE5m")</f>
        <v>https://drive.google.com/open?id=nK2iokKrimdDMBOulE5m</v>
      </c>
      <c r="L241" s="3" t="str">
        <f ca="1">IFERROR(__xludf.DUMMYFUNCTION("""COMPUTED_VALUE"""),"https://drive.google.com/open?id=QMnezz8jiHlcgmcC3jKj")</f>
        <v>https://drive.google.com/open?id=QMnezz8jiHlcgmcC3jKj</v>
      </c>
      <c r="M241" s="1"/>
      <c r="N241" s="1"/>
      <c r="O241" s="1"/>
      <c r="P241" s="1" t="str">
        <f ca="1">IFERROR(__xludf.DUMMYFUNCTION("""COMPUTED_VALUE"""),"Self-employed")</f>
        <v>Self-employed</v>
      </c>
      <c r="Q241" s="1">
        <f ca="1">IFERROR(__xludf.DUMMYFUNCTION("""COMPUTED_VALUE"""),12000000)</f>
        <v>12000000</v>
      </c>
      <c r="R241" s="3" t="str">
        <f ca="1">IFERROR(__xludf.DUMMYFUNCTION("""COMPUTED_VALUE"""),"https://drive.google.com/open?id=CyO3zSWr4R5SxiM7qmwV")</f>
        <v>https://drive.google.com/open?id=CyO3zSWr4R5SxiM7qmwV</v>
      </c>
      <c r="S241" s="1">
        <f ca="1">IFERROR(__xludf.DUMMYFUNCTION("""COMPUTED_VALUE"""),24000000)</f>
        <v>24000000</v>
      </c>
      <c r="T241" s="1" t="str">
        <f ca="1">IFERROR(__xludf.DUMMYFUNCTION("""COMPUTED_VALUE"""),"Platinum")</f>
        <v>Platinum</v>
      </c>
      <c r="U241" s="1" t="str">
        <f ca="1">IFERROR(__xludf.DUMMYFUNCTION("""COMPUTED_VALUE"""),"Branch")</f>
        <v>Branch</v>
      </c>
    </row>
    <row r="242" spans="1:21" x14ac:dyDescent="0.25">
      <c r="A242" s="2" t="str">
        <f ca="1">IFERROR(__xludf.DUMMYFUNCTION("""COMPUTED_VALUE"""),"APP0241")</f>
        <v>APP0241</v>
      </c>
      <c r="B242" s="2">
        <f ca="1">IFERROR(__xludf.DUMMYFUNCTION("""COMPUTED_VALUE"""),45910.7915162037)</f>
        <v>45910.791516203702</v>
      </c>
      <c r="C242" s="1" t="str">
        <f ca="1">IFERROR(__xludf.DUMMYFUNCTION("""COMPUTED_VALUE"""),"Curtis Davis")</f>
        <v>Curtis Davis</v>
      </c>
      <c r="D242" s="1" t="str">
        <f ca="1">IFERROR(__xludf.DUMMYFUNCTION("""COMPUTED_VALUE"""),"30/05/1992")</f>
        <v>30/05/1992</v>
      </c>
      <c r="E242" s="1" t="str">
        <f ca="1">IFERROR(__xludf.DUMMYFUNCTION("""COMPUTED_VALUE"""),"Female")</f>
        <v>Female</v>
      </c>
      <c r="F242" s="1" t="str">
        <f ca="1">IFERROR(__xludf.DUMMYFUNCTION("""COMPUTED_VALUE"""),"Other")</f>
        <v>Other</v>
      </c>
      <c r="G242" s="1" t="str">
        <f ca="1">IFERROR(__xludf.DUMMYFUNCTION("""COMPUTED_VALUE"""),"+65 9954703754")</f>
        <v>+65 9954703754</v>
      </c>
      <c r="H242" s="1" t="str">
        <f ca="1">IFERROR(__xludf.DUMMYFUNCTION("""COMPUTED_VALUE"""),"curtisdavis@gmail.com")</f>
        <v>curtisdavis@gmail.com</v>
      </c>
      <c r="I242" s="1" t="str">
        <f ca="1">IFERROR(__xludf.DUMMYFUNCTION("""COMPUTED_VALUE"""),"63746 Dominique Meadow, Port Kimberlyview, GU 55474")</f>
        <v>63746 Dominique Meadow, Port Kimberlyview, GU 55474</v>
      </c>
      <c r="J242" s="1"/>
      <c r="K242" s="1"/>
      <c r="L242" s="1"/>
      <c r="M242" s="1" t="str">
        <f ca="1">IFERROR(__xludf.DUMMYFUNCTION("""COMPUTED_VALUE"""),"lA523935")</f>
        <v>lA523935</v>
      </c>
      <c r="N242" s="3" t="str">
        <f ca="1">IFERROR(__xludf.DUMMYFUNCTION("""COMPUTED_VALUE"""),"https://drive.google.com/open?id=0dNQSSiTGfAM8FF4RKAD")</f>
        <v>https://drive.google.com/open?id=0dNQSSiTGfAM8FF4RKAD</v>
      </c>
      <c r="O242" s="3" t="str">
        <f ca="1">IFERROR(__xludf.DUMMYFUNCTION("""COMPUTED_VALUE"""),"https://drive.google.com/open?id=sIuNOh8RpmqM6ji7ViZF")</f>
        <v>https://drive.google.com/open?id=sIuNOh8RpmqM6ji7ViZF</v>
      </c>
      <c r="P242" s="1" t="str">
        <f ca="1">IFERROR(__xludf.DUMMYFUNCTION("""COMPUTED_VALUE"""),"Part-time")</f>
        <v>Part-time</v>
      </c>
      <c r="Q242" s="1">
        <f ca="1">IFERROR(__xludf.DUMMYFUNCTION("""COMPUTED_VALUE"""),20000000)</f>
        <v>20000000</v>
      </c>
      <c r="R242" s="3" t="str">
        <f ca="1">IFERROR(__xludf.DUMMYFUNCTION("""COMPUTED_VALUE"""),"https://drive.google.com/open?id=ANEpAXCdu302KEGBfDYd")</f>
        <v>https://drive.google.com/open?id=ANEpAXCdu302KEGBfDYd</v>
      </c>
      <c r="S242" s="1">
        <f ca="1">IFERROR(__xludf.DUMMYFUNCTION("""COMPUTED_VALUE"""),60000000)</f>
        <v>60000000</v>
      </c>
      <c r="T242" s="1" t="str">
        <f ca="1">IFERROR(__xludf.DUMMYFUNCTION("""COMPUTED_VALUE"""),"Platinum")</f>
        <v>Platinum</v>
      </c>
      <c r="U242" s="1" t="str">
        <f ca="1">IFERROR(__xludf.DUMMYFUNCTION("""COMPUTED_VALUE"""),"Branch")</f>
        <v>Branch</v>
      </c>
    </row>
    <row r="243" spans="1:21" x14ac:dyDescent="0.25">
      <c r="A243" s="2" t="str">
        <f ca="1">IFERROR(__xludf.DUMMYFUNCTION("""COMPUTED_VALUE"""),"APP0242")</f>
        <v>APP0242</v>
      </c>
      <c r="B243" s="2">
        <f ca="1">IFERROR(__xludf.DUMMYFUNCTION("""COMPUTED_VALUE"""),45910.8886226851)</f>
        <v>45910.888622685103</v>
      </c>
      <c r="C243" s="1" t="str">
        <f ca="1">IFERROR(__xludf.DUMMYFUNCTION("""COMPUTED_VALUE"""),"Timothy Johnson")</f>
        <v>Timothy Johnson</v>
      </c>
      <c r="D243" s="1" t="str">
        <f ca="1">IFERROR(__xludf.DUMMYFUNCTION("""COMPUTED_VALUE"""),"26/07/1986")</f>
        <v>26/07/1986</v>
      </c>
      <c r="E243" s="1" t="str">
        <f ca="1">IFERROR(__xludf.DUMMYFUNCTION("""COMPUTED_VALUE"""),"Male")</f>
        <v>Male</v>
      </c>
      <c r="F243" s="1" t="str">
        <f ca="1">IFERROR(__xludf.DUMMYFUNCTION("""COMPUTED_VALUE"""),"Other")</f>
        <v>Other</v>
      </c>
      <c r="G243" s="1" t="str">
        <f ca="1">IFERROR(__xludf.DUMMYFUNCTION("""COMPUTED_VALUE"""),"+49 4013660271")</f>
        <v>+49 4013660271</v>
      </c>
      <c r="H243" s="1" t="str">
        <f ca="1">IFERROR(__xludf.DUMMYFUNCTION("""COMPUTED_VALUE"""),"timothyjohnson@gmail.com")</f>
        <v>timothyjohnson@gmail.com</v>
      </c>
      <c r="I243" s="1" t="str">
        <f ca="1">IFERROR(__xludf.DUMMYFUNCTION("""COMPUTED_VALUE"""),"205 Williams Heights Apt. 031, Port Kelly, VA 55015")</f>
        <v>205 Williams Heights Apt. 031, Port Kelly, VA 55015</v>
      </c>
      <c r="J243" s="1"/>
      <c r="K243" s="1"/>
      <c r="L243" s="1"/>
      <c r="M243" s="1" t="str">
        <f ca="1">IFERROR(__xludf.DUMMYFUNCTION("""COMPUTED_VALUE"""),"tP899122")</f>
        <v>tP899122</v>
      </c>
      <c r="N243" s="3" t="str">
        <f ca="1">IFERROR(__xludf.DUMMYFUNCTION("""COMPUTED_VALUE"""),"https://drive.google.com/open?id=6T6PIPKNzgo8seAWgtnv")</f>
        <v>https://drive.google.com/open?id=6T6PIPKNzgo8seAWgtnv</v>
      </c>
      <c r="O243" s="3" t="str">
        <f ca="1">IFERROR(__xludf.DUMMYFUNCTION("""COMPUTED_VALUE"""),"https://drive.google.com/open?id=4DowSL2fJvuaFT1owxG5")</f>
        <v>https://drive.google.com/open?id=4DowSL2fJvuaFT1owxG5</v>
      </c>
      <c r="P243" s="1" t="str">
        <f ca="1">IFERROR(__xludf.DUMMYFUNCTION("""COMPUTED_VALUE"""),"Part-time")</f>
        <v>Part-time</v>
      </c>
      <c r="Q243" s="1">
        <f ca="1">IFERROR(__xludf.DUMMYFUNCTION("""COMPUTED_VALUE"""),20000000)</f>
        <v>20000000</v>
      </c>
      <c r="R243" s="3" t="str">
        <f ca="1">IFERROR(__xludf.DUMMYFUNCTION("""COMPUTED_VALUE"""),"https://drive.google.com/open?id=iQL8scsjX8V4q4G1n74h")</f>
        <v>https://drive.google.com/open?id=iQL8scsjX8V4q4G1n74h</v>
      </c>
      <c r="S243" s="1">
        <f ca="1">IFERROR(__xludf.DUMMYFUNCTION("""COMPUTED_VALUE"""),40000000)</f>
        <v>40000000</v>
      </c>
      <c r="T243" s="1" t="str">
        <f ca="1">IFERROR(__xludf.DUMMYFUNCTION("""COMPUTED_VALUE"""),"Classic")</f>
        <v>Classic</v>
      </c>
      <c r="U243" s="1" t="str">
        <f ca="1">IFERROR(__xludf.DUMMYFUNCTION("""COMPUTED_VALUE"""),"Branch")</f>
        <v>Branch</v>
      </c>
    </row>
    <row r="244" spans="1:21" x14ac:dyDescent="0.25">
      <c r="A244" s="2" t="str">
        <f ca="1">IFERROR(__xludf.DUMMYFUNCTION("""COMPUTED_VALUE"""),"APP0243")</f>
        <v>APP0243</v>
      </c>
      <c r="B244" s="2">
        <f ca="1">IFERROR(__xludf.DUMMYFUNCTION("""COMPUTED_VALUE"""),45910.9118287037)</f>
        <v>45910.911828703698</v>
      </c>
      <c r="C244" s="1" t="str">
        <f ca="1">IFERROR(__xludf.DUMMYFUNCTION("""COMPUTED_VALUE"""),"Dương Quang Phúc")</f>
        <v>Dương Quang Phúc</v>
      </c>
      <c r="D244" s="1" t="str">
        <f ca="1">IFERROR(__xludf.DUMMYFUNCTION("""COMPUTED_VALUE"""),"31/07/1995")</f>
        <v>31/07/1995</v>
      </c>
      <c r="E244" s="1" t="str">
        <f ca="1">IFERROR(__xludf.DUMMYFUNCTION("""COMPUTED_VALUE"""),"Female")</f>
        <v>Female</v>
      </c>
      <c r="F244" s="1" t="str">
        <f ca="1">IFERROR(__xludf.DUMMYFUNCTION("""COMPUTED_VALUE"""),"Vietnam")</f>
        <v>Vietnam</v>
      </c>
      <c r="G244" s="1" t="str">
        <f ca="1">IFERROR(__xludf.DUMMYFUNCTION("""COMPUTED_VALUE"""),"0962495111")</f>
        <v>0962495111</v>
      </c>
      <c r="H244" s="1" t="str">
        <f ca="1">IFERROR(__xludf.DUMMYFUNCTION("""COMPUTED_VALUE"""),"duongquangphuc@gmail.com")</f>
        <v>duongquangphuc@gmail.com</v>
      </c>
      <c r="I244" s="1" t="str">
        <f ca="1">IFERROR(__xludf.DUMMYFUNCTION("""COMPUTED_VALUE"""),"157 Pham Van Dong, Quan 1, Can Tho, Viet Nam")</f>
        <v>157 Pham Van Dong, Quan 1, Can Tho, Viet Nam</v>
      </c>
      <c r="J244" s="1" t="str">
        <f ca="1">IFERROR(__xludf.DUMMYFUNCTION("""COMPUTED_VALUE"""),"091489494139")</f>
        <v>091489494139</v>
      </c>
      <c r="K244" s="3" t="str">
        <f ca="1">IFERROR(__xludf.DUMMYFUNCTION("""COMPUTED_VALUE"""),"https://drive.google.com/open?id=D4jwHTWJjeFhlJcT8peB")</f>
        <v>https://drive.google.com/open?id=D4jwHTWJjeFhlJcT8peB</v>
      </c>
      <c r="L244" s="3" t="str">
        <f ca="1">IFERROR(__xludf.DUMMYFUNCTION("""COMPUTED_VALUE"""),"https://drive.google.com/open?id=kFYlWBZTYI99jyaH3jMd")</f>
        <v>https://drive.google.com/open?id=kFYlWBZTYI99jyaH3jMd</v>
      </c>
      <c r="M244" s="1"/>
      <c r="N244" s="1"/>
      <c r="O244" s="1"/>
      <c r="P244" s="1" t="str">
        <f ca="1">IFERROR(__xludf.DUMMYFUNCTION("""COMPUTED_VALUE"""),"Part-time")</f>
        <v>Part-time</v>
      </c>
      <c r="Q244" s="1">
        <f ca="1">IFERROR(__xludf.DUMMYFUNCTION("""COMPUTED_VALUE"""),12000000)</f>
        <v>12000000</v>
      </c>
      <c r="R244" s="3" t="str">
        <f ca="1">IFERROR(__xludf.DUMMYFUNCTION("""COMPUTED_VALUE"""),"https://drive.google.com/open?id=RRN0E8HatI9MECqCLZm6")</f>
        <v>https://drive.google.com/open?id=RRN0E8HatI9MECqCLZm6</v>
      </c>
      <c r="S244" s="1">
        <f ca="1">IFERROR(__xludf.DUMMYFUNCTION("""COMPUTED_VALUE"""),36000000)</f>
        <v>36000000</v>
      </c>
      <c r="T244" s="1" t="str">
        <f ca="1">IFERROR(__xludf.DUMMYFUNCTION("""COMPUTED_VALUE"""),"Gold")</f>
        <v>Gold</v>
      </c>
      <c r="U244" s="1" t="str">
        <f ca="1">IFERROR(__xludf.DUMMYFUNCTION("""COMPUTED_VALUE"""),"Branch")</f>
        <v>Branch</v>
      </c>
    </row>
    <row r="245" spans="1:21" x14ac:dyDescent="0.25">
      <c r="A245" s="2" t="str">
        <f ca="1">IFERROR(__xludf.DUMMYFUNCTION("""COMPUTED_VALUE"""),"APP0244")</f>
        <v>APP0244</v>
      </c>
      <c r="B245" s="2">
        <f ca="1">IFERROR(__xludf.DUMMYFUNCTION("""COMPUTED_VALUE"""),45911.1829398148)</f>
        <v>45911.182939814797</v>
      </c>
      <c r="C245" s="1" t="str">
        <f ca="1">IFERROR(__xludf.DUMMYFUNCTION("""COMPUTED_VALUE"""),"Phạm Minh Hà")</f>
        <v>Phạm Minh Hà</v>
      </c>
      <c r="D245" s="1" t="str">
        <f ca="1">IFERROR(__xludf.DUMMYFUNCTION("""COMPUTED_VALUE"""),"27/10/1972")</f>
        <v>27/10/1972</v>
      </c>
      <c r="E245" s="1" t="str">
        <f ca="1">IFERROR(__xludf.DUMMYFUNCTION("""COMPUTED_VALUE"""),"Female")</f>
        <v>Female</v>
      </c>
      <c r="F245" s="1" t="str">
        <f ca="1">IFERROR(__xludf.DUMMYFUNCTION("""COMPUTED_VALUE"""),"Vietnam")</f>
        <v>Vietnam</v>
      </c>
      <c r="G245" s="1" t="str">
        <f ca="1">IFERROR(__xludf.DUMMYFUNCTION("""COMPUTED_VALUE"""),"0793132002")</f>
        <v>0793132002</v>
      </c>
      <c r="H245" s="1" t="str">
        <f ca="1">IFERROR(__xludf.DUMMYFUNCTION("""COMPUTED_VALUE"""),"phamminhha@gmail.com")</f>
        <v>phamminhha@gmail.com</v>
      </c>
      <c r="I245" s="1" t="str">
        <f ca="1">IFERROR(__xludf.DUMMYFUNCTION("""COMPUTED_VALUE"""),"178 Nguyen Trai, Quan 7, Da Nang, Viet Nam")</f>
        <v>178 Nguyen Trai, Quan 7, Da Nang, Viet Nam</v>
      </c>
      <c r="J245" s="1" t="str">
        <f ca="1">IFERROR(__xludf.DUMMYFUNCTION("""COMPUTED_VALUE"""),"077019526497")</f>
        <v>077019526497</v>
      </c>
      <c r="K245" s="3" t="str">
        <f ca="1">IFERROR(__xludf.DUMMYFUNCTION("""COMPUTED_VALUE"""),"https://drive.google.com/open?id=CvqStLYts7bVZA4X8bGu")</f>
        <v>https://drive.google.com/open?id=CvqStLYts7bVZA4X8bGu</v>
      </c>
      <c r="L245" s="3" t="str">
        <f ca="1">IFERROR(__xludf.DUMMYFUNCTION("""COMPUTED_VALUE"""),"https://drive.google.com/open?id=p2oLbhW1bDiOYCqthb8g")</f>
        <v>https://drive.google.com/open?id=p2oLbhW1bDiOYCqthb8g</v>
      </c>
      <c r="M245" s="1"/>
      <c r="N245" s="1"/>
      <c r="O245" s="1"/>
      <c r="P245" s="1" t="str">
        <f ca="1">IFERROR(__xludf.DUMMYFUNCTION("""COMPUTED_VALUE"""),"Freelancer")</f>
        <v>Freelancer</v>
      </c>
      <c r="Q245" s="1">
        <f ca="1">IFERROR(__xludf.DUMMYFUNCTION("""COMPUTED_VALUE"""),8000000)</f>
        <v>8000000</v>
      </c>
      <c r="R245" s="3" t="str">
        <f ca="1">IFERROR(__xludf.DUMMYFUNCTION("""COMPUTED_VALUE"""),"https://drive.google.com/open?id=jOJ9ePuNHjkiFbyEKcpC")</f>
        <v>https://drive.google.com/open?id=jOJ9ePuNHjkiFbyEKcpC</v>
      </c>
      <c r="S245" s="1">
        <f ca="1">IFERROR(__xludf.DUMMYFUNCTION("""COMPUTED_VALUE"""),24000000)</f>
        <v>24000000</v>
      </c>
      <c r="T245" s="1" t="str">
        <f ca="1">IFERROR(__xludf.DUMMYFUNCTION("""COMPUTED_VALUE"""),"Platinum")</f>
        <v>Platinum</v>
      </c>
      <c r="U245" s="1" t="str">
        <f ca="1">IFERROR(__xludf.DUMMYFUNCTION("""COMPUTED_VALUE"""),"Partner")</f>
        <v>Partner</v>
      </c>
    </row>
    <row r="246" spans="1:21" x14ac:dyDescent="0.25">
      <c r="A246" s="2" t="str">
        <f ca="1">IFERROR(__xludf.DUMMYFUNCTION("""COMPUTED_VALUE"""),"APP0245")</f>
        <v>APP0245</v>
      </c>
      <c r="B246" s="2">
        <f ca="1">IFERROR(__xludf.DUMMYFUNCTION("""COMPUTED_VALUE"""),45911.2083912037)</f>
        <v>45911.208391203698</v>
      </c>
      <c r="C246" s="1" t="str">
        <f ca="1">IFERROR(__xludf.DUMMYFUNCTION("""COMPUTED_VALUE"""),"Ngô Ngọc Lan")</f>
        <v>Ngô Ngọc Lan</v>
      </c>
      <c r="D246" s="1" t="str">
        <f ca="1">IFERROR(__xludf.DUMMYFUNCTION("""COMPUTED_VALUE"""),"13/02/1998")</f>
        <v>13/02/1998</v>
      </c>
      <c r="E246" s="1" t="str">
        <f ca="1">IFERROR(__xludf.DUMMYFUNCTION("""COMPUTED_VALUE"""),"Female")</f>
        <v>Female</v>
      </c>
      <c r="F246" s="1" t="str">
        <f ca="1">IFERROR(__xludf.DUMMYFUNCTION("""COMPUTED_VALUE"""),"Vietnam")</f>
        <v>Vietnam</v>
      </c>
      <c r="G246" s="1" t="str">
        <f ca="1">IFERROR(__xludf.DUMMYFUNCTION("""COMPUTED_VALUE"""),"0786709779")</f>
        <v>0786709779</v>
      </c>
      <c r="H246" s="1" t="str">
        <f ca="1">IFERROR(__xludf.DUMMYFUNCTION("""COMPUTED_VALUE"""),"ngongoclan@gmail.com")</f>
        <v>ngongoclan@gmail.com</v>
      </c>
      <c r="I246" s="1" t="str">
        <f ca="1">IFERROR(__xludf.DUMMYFUNCTION("""COMPUTED_VALUE"""),"79 Ly Thuong Kiet, Quan 7, Can Tho, Viet Nam")</f>
        <v>79 Ly Thuong Kiet, Quan 7, Can Tho, Viet Nam</v>
      </c>
      <c r="J246" s="1" t="str">
        <f ca="1">IFERROR(__xludf.DUMMYFUNCTION("""COMPUTED_VALUE"""),"09271253496")</f>
        <v>09271253496</v>
      </c>
      <c r="K246" s="3" t="str">
        <f ca="1">IFERROR(__xludf.DUMMYFUNCTION("""COMPUTED_VALUE"""),"https://drive.google.com/open?id=dSjkms1EyK966e0pRWqN")</f>
        <v>https://drive.google.com/open?id=dSjkms1EyK966e0pRWqN</v>
      </c>
      <c r="L246" s="3" t="str">
        <f ca="1">IFERROR(__xludf.DUMMYFUNCTION("""COMPUTED_VALUE"""),"https://drive.google.com/open?id=vw08KQFfiZT7rBPVsUMi")</f>
        <v>https://drive.google.com/open?id=vw08KQFfiZT7rBPVsUMi</v>
      </c>
      <c r="M246" s="1"/>
      <c r="N246" s="1"/>
      <c r="O246" s="1"/>
      <c r="P246" s="1" t="str">
        <f ca="1">IFERROR(__xludf.DUMMYFUNCTION("""COMPUTED_VALUE"""),"Freelancer")</f>
        <v>Freelancer</v>
      </c>
      <c r="Q246" s="1">
        <f ca="1">IFERROR(__xludf.DUMMYFUNCTION("""COMPUTED_VALUE"""),20000000)</f>
        <v>20000000</v>
      </c>
      <c r="R246" s="3" t="str">
        <f ca="1">IFERROR(__xludf.DUMMYFUNCTION("""COMPUTED_VALUE"""),"https://drive.google.com/open?id=6BmR5NGb6L0A5K80feUX")</f>
        <v>https://drive.google.com/open?id=6BmR5NGb6L0A5K80feUX</v>
      </c>
      <c r="S246" s="1">
        <f ca="1">IFERROR(__xludf.DUMMYFUNCTION("""COMPUTED_VALUE"""),100000000)</f>
        <v>100000000</v>
      </c>
      <c r="T246" s="1" t="str">
        <f ca="1">IFERROR(__xludf.DUMMYFUNCTION("""COMPUTED_VALUE"""),"Platinum")</f>
        <v>Platinum</v>
      </c>
      <c r="U246" s="1" t="str">
        <f ca="1">IFERROR(__xludf.DUMMYFUNCTION("""COMPUTED_VALUE"""),"Online")</f>
        <v>Online</v>
      </c>
    </row>
    <row r="247" spans="1:21" x14ac:dyDescent="0.25">
      <c r="A247" s="2" t="str">
        <f ca="1">IFERROR(__xludf.DUMMYFUNCTION("""COMPUTED_VALUE"""),"APP0246")</f>
        <v>APP0246</v>
      </c>
      <c r="B247" s="2">
        <f ca="1">IFERROR(__xludf.DUMMYFUNCTION("""COMPUTED_VALUE"""),45911.2202893518)</f>
        <v>45911.220289351797</v>
      </c>
      <c r="C247" s="1" t="str">
        <f ca="1">IFERROR(__xludf.DUMMYFUNCTION("""COMPUTED_VALUE"""),"Huỳnh Anh Trang")</f>
        <v>Huỳnh Anh Trang</v>
      </c>
      <c r="D247" s="1" t="str">
        <f ca="1">IFERROR(__xludf.DUMMYFUNCTION("""COMPUTED_VALUE"""),"16/09/1996")</f>
        <v>16/09/1996</v>
      </c>
      <c r="E247" s="1" t="str">
        <f ca="1">IFERROR(__xludf.DUMMYFUNCTION("""COMPUTED_VALUE"""),"Male")</f>
        <v>Male</v>
      </c>
      <c r="F247" s="1" t="str">
        <f ca="1">IFERROR(__xludf.DUMMYFUNCTION("""COMPUTED_VALUE"""),"Vietnam")</f>
        <v>Vietnam</v>
      </c>
      <c r="G247" s="1" t="str">
        <f ca="1">IFERROR(__xludf.DUMMYFUNCTION("""COMPUTED_VALUE"""),"0918661110")</f>
        <v>0918661110</v>
      </c>
      <c r="H247" s="1" t="str">
        <f ca="1">IFERROR(__xludf.DUMMYFUNCTION("""COMPUTED_VALUE"""),"huynhanhtrang@gmail.com")</f>
        <v>huynhanhtrang@gmail.com</v>
      </c>
      <c r="I247" s="1" t="str">
        <f ca="1">IFERROR(__xludf.DUMMYFUNCTION("""COMPUTED_VALUE"""),"26 Le Loi, Quan 7, Can Tho, Viet Nam")</f>
        <v>26 Le Loi, Quan 7, Can Tho, Viet Nam</v>
      </c>
      <c r="J247" s="1" t="str">
        <f ca="1">IFERROR(__xludf.DUMMYFUNCTION("""COMPUTED_VALUE"""),"052606482426")</f>
        <v>052606482426</v>
      </c>
      <c r="K247" s="3" t="str">
        <f ca="1">IFERROR(__xludf.DUMMYFUNCTION("""COMPUTED_VALUE"""),"https://drive.google.com/open?id=BGIr5aCINc2hTAoNYgzr")</f>
        <v>https://drive.google.com/open?id=BGIr5aCINc2hTAoNYgzr</v>
      </c>
      <c r="L247" s="3" t="str">
        <f ca="1">IFERROR(__xludf.DUMMYFUNCTION("""COMPUTED_VALUE"""),"https://drive.google.com/open?id=TiQK8BEL3ZEvOzMOxI4H")</f>
        <v>https://drive.google.com/open?id=TiQK8BEL3ZEvOzMOxI4H</v>
      </c>
      <c r="M247" s="1"/>
      <c r="N247" s="1"/>
      <c r="O247" s="1"/>
      <c r="P247" s="1" t="str">
        <f ca="1">IFERROR(__xludf.DUMMYFUNCTION("""COMPUTED_VALUE"""),"Self-employed")</f>
        <v>Self-employed</v>
      </c>
      <c r="Q247" s="1">
        <f ca="1">IFERROR(__xludf.DUMMYFUNCTION("""COMPUTED_VALUE"""),50000000)</f>
        <v>50000000</v>
      </c>
      <c r="R247" s="3" t="str">
        <f ca="1">IFERROR(__xludf.DUMMYFUNCTION("""COMPUTED_VALUE"""),"https://drive.google.com/open?id=rtkZNQUPkMxMK8YaLWhE")</f>
        <v>https://drive.google.com/open?id=rtkZNQUPkMxMK8YaLWhE</v>
      </c>
      <c r="S247" s="1">
        <f ca="1">IFERROR(__xludf.DUMMYFUNCTION("""COMPUTED_VALUE"""),250000000)</f>
        <v>250000000</v>
      </c>
      <c r="T247" s="1" t="str">
        <f ca="1">IFERROR(__xludf.DUMMYFUNCTION("""COMPUTED_VALUE"""),"Classic")</f>
        <v>Classic</v>
      </c>
      <c r="U247" s="1" t="str">
        <f ca="1">IFERROR(__xludf.DUMMYFUNCTION("""COMPUTED_VALUE"""),"Partner")</f>
        <v>Partner</v>
      </c>
    </row>
    <row r="248" spans="1:21" x14ac:dyDescent="0.25">
      <c r="A248" s="2" t="str">
        <f ca="1">IFERROR(__xludf.DUMMYFUNCTION("""COMPUTED_VALUE"""),"APP0247")</f>
        <v>APP0247</v>
      </c>
      <c r="B248" s="2">
        <f ca="1">IFERROR(__xludf.DUMMYFUNCTION("""COMPUTED_VALUE"""),45911.2259837963)</f>
        <v>45911.225983796299</v>
      </c>
      <c r="C248" s="1" t="str">
        <f ca="1">IFERROR(__xludf.DUMMYFUNCTION("""COMPUTED_VALUE"""),"Phan Thị Yến")</f>
        <v>Phan Thị Yến</v>
      </c>
      <c r="D248" s="1" t="str">
        <f ca="1">IFERROR(__xludf.DUMMYFUNCTION("""COMPUTED_VALUE"""),"27/11/1992")</f>
        <v>27/11/1992</v>
      </c>
      <c r="E248" s="1" t="str">
        <f ca="1">IFERROR(__xludf.DUMMYFUNCTION("""COMPUTED_VALUE"""),"Female")</f>
        <v>Female</v>
      </c>
      <c r="F248" s="1" t="str">
        <f ca="1">IFERROR(__xludf.DUMMYFUNCTION("""COMPUTED_VALUE"""),"Vietnam")</f>
        <v>Vietnam</v>
      </c>
      <c r="G248" s="1" t="str">
        <f ca="1">IFERROR(__xludf.DUMMYFUNCTION("""COMPUTED_VALUE"""),"0737144578")</f>
        <v>0737144578</v>
      </c>
      <c r="H248" s="1" t="str">
        <f ca="1">IFERROR(__xludf.DUMMYFUNCTION("""COMPUTED_VALUE"""),"phanthiyen@gmail.com")</f>
        <v>phanthiyen@gmail.com</v>
      </c>
      <c r="I248" s="1" t="str">
        <f ca="1">IFERROR(__xludf.DUMMYFUNCTION("""COMPUTED_VALUE"""),"196 Tran Hung Dao, Quan 1, Ha Noi, Viet Nam")</f>
        <v>196 Tran Hung Dao, Quan 1, Ha Noi, Viet Nam</v>
      </c>
      <c r="J248" s="1" t="str">
        <f ca="1">IFERROR(__xludf.DUMMYFUNCTION("""COMPUTED_VALUE"""),"045326065288")</f>
        <v>045326065288</v>
      </c>
      <c r="K248" s="3" t="str">
        <f ca="1">IFERROR(__xludf.DUMMYFUNCTION("""COMPUTED_VALUE"""),"https://drive.google.com/open?id=Ubsl6pAusII8joD0I8kJ")</f>
        <v>https://drive.google.com/open?id=Ubsl6pAusII8joD0I8kJ</v>
      </c>
      <c r="L248" s="3" t="str">
        <f ca="1">IFERROR(__xludf.DUMMYFUNCTION("""COMPUTED_VALUE"""),"https://drive.google.com/open?id=rX07SECUJJuWNww50Zy0")</f>
        <v>https://drive.google.com/open?id=rX07SECUJJuWNww50Zy0</v>
      </c>
      <c r="M248" s="1"/>
      <c r="N248" s="1"/>
      <c r="O248" s="1"/>
      <c r="P248" s="1" t="str">
        <f ca="1">IFERROR(__xludf.DUMMYFUNCTION("""COMPUTED_VALUE"""),"Self-employed")</f>
        <v>Self-employed</v>
      </c>
      <c r="Q248" s="1">
        <f ca="1">IFERROR(__xludf.DUMMYFUNCTION("""COMPUTED_VALUE"""),50000000)</f>
        <v>50000000</v>
      </c>
      <c r="R248" s="3" t="str">
        <f ca="1">IFERROR(__xludf.DUMMYFUNCTION("""COMPUTED_VALUE"""),"https://drive.google.com/open?id=t9MbXWqwBCI2pbRGdjJe")</f>
        <v>https://drive.google.com/open?id=t9MbXWqwBCI2pbRGdjJe</v>
      </c>
      <c r="S248" s="1">
        <f ca="1">IFERROR(__xludf.DUMMYFUNCTION("""COMPUTED_VALUE"""),150000000)</f>
        <v>150000000</v>
      </c>
      <c r="T248" s="1" t="str">
        <f ca="1">IFERROR(__xludf.DUMMYFUNCTION("""COMPUTED_VALUE"""),"Gold")</f>
        <v>Gold</v>
      </c>
      <c r="U248" s="1" t="str">
        <f ca="1">IFERROR(__xludf.DUMMYFUNCTION("""COMPUTED_VALUE"""),"Partner")</f>
        <v>Partner</v>
      </c>
    </row>
    <row r="249" spans="1:21" x14ac:dyDescent="0.25">
      <c r="A249" s="2" t="str">
        <f ca="1">IFERROR(__xludf.DUMMYFUNCTION("""COMPUTED_VALUE"""),"APP0248")</f>
        <v>APP0248</v>
      </c>
      <c r="B249" s="2">
        <f ca="1">IFERROR(__xludf.DUMMYFUNCTION("""COMPUTED_VALUE"""),45911.344386574)</f>
        <v>45911.344386573997</v>
      </c>
      <c r="C249" s="1" t="str">
        <f ca="1">IFERROR(__xludf.DUMMYFUNCTION("""COMPUTED_VALUE"""),"Bùi Ngọc Phong")</f>
        <v>Bùi Ngọc Phong</v>
      </c>
      <c r="D249" s="1" t="str">
        <f ca="1">IFERROR(__xludf.DUMMYFUNCTION("""COMPUTED_VALUE"""),"26/02/1966")</f>
        <v>26/02/1966</v>
      </c>
      <c r="E249" s="1" t="str">
        <f ca="1">IFERROR(__xludf.DUMMYFUNCTION("""COMPUTED_VALUE"""),"Female")</f>
        <v>Female</v>
      </c>
      <c r="F249" s="1" t="str">
        <f ca="1">IFERROR(__xludf.DUMMYFUNCTION("""COMPUTED_VALUE"""),"Vietnam")</f>
        <v>Vietnam</v>
      </c>
      <c r="G249" s="1" t="str">
        <f ca="1">IFERROR(__xludf.DUMMYFUNCTION("""COMPUTED_VALUE"""),"0779393445")</f>
        <v>0779393445</v>
      </c>
      <c r="H249" s="1" t="str">
        <f ca="1">IFERROR(__xludf.DUMMYFUNCTION("""COMPUTED_VALUE"""),"buingocphong@gmail.com")</f>
        <v>buingocphong@gmail.com</v>
      </c>
      <c r="I249" s="1" t="str">
        <f ca="1">IFERROR(__xludf.DUMMYFUNCTION("""COMPUTED_VALUE"""),"16 Le Loi, Quan 3, Can Tho, Viet Nam")</f>
        <v>16 Le Loi, Quan 3, Can Tho, Viet Nam</v>
      </c>
      <c r="J249" s="1" t="str">
        <f ca="1">IFERROR(__xludf.DUMMYFUNCTION("""COMPUTED_VALUE"""),"077568968432")</f>
        <v>077568968432</v>
      </c>
      <c r="K249" s="3" t="str">
        <f ca="1">IFERROR(__xludf.DUMMYFUNCTION("""COMPUTED_VALUE"""),"https://drive.google.com/open?id=7lyhOBao8t0wM5mewdCF")</f>
        <v>https://drive.google.com/open?id=7lyhOBao8t0wM5mewdCF</v>
      </c>
      <c r="L249" s="3" t="str">
        <f ca="1">IFERROR(__xludf.DUMMYFUNCTION("""COMPUTED_VALUE"""),"https://drive.google.com/open?id=5HWmVyXt5cS2XPJDU8H8")</f>
        <v>https://drive.google.com/open?id=5HWmVyXt5cS2XPJDU8H8</v>
      </c>
      <c r="M249" s="1"/>
      <c r="N249" s="1"/>
      <c r="O249" s="1"/>
      <c r="P249" s="1" t="str">
        <f ca="1">IFERROR(__xludf.DUMMYFUNCTION("""COMPUTED_VALUE"""),"Contract")</f>
        <v>Contract</v>
      </c>
      <c r="Q249" s="1">
        <f ca="1">IFERROR(__xludf.DUMMYFUNCTION("""COMPUTED_VALUE"""),12000000)</f>
        <v>12000000</v>
      </c>
      <c r="R249" s="3" t="str">
        <f ca="1">IFERROR(__xludf.DUMMYFUNCTION("""COMPUTED_VALUE"""),"https://drive.google.com/open?id=1MvX4H6zaAqnQchXRlXs")</f>
        <v>https://drive.google.com/open?id=1MvX4H6zaAqnQchXRlXs</v>
      </c>
      <c r="S249" s="1">
        <f ca="1">IFERROR(__xludf.DUMMYFUNCTION("""COMPUTED_VALUE"""),36000000)</f>
        <v>36000000</v>
      </c>
      <c r="T249" s="1" t="str">
        <f ca="1">IFERROR(__xludf.DUMMYFUNCTION("""COMPUTED_VALUE"""),"Gold")</f>
        <v>Gold</v>
      </c>
      <c r="U249" s="1" t="str">
        <f ca="1">IFERROR(__xludf.DUMMYFUNCTION("""COMPUTED_VALUE"""),"Partner")</f>
        <v>Partner</v>
      </c>
    </row>
    <row r="250" spans="1:21" x14ac:dyDescent="0.25">
      <c r="A250" s="2" t="str">
        <f ca="1">IFERROR(__xludf.DUMMYFUNCTION("""COMPUTED_VALUE"""),"APP0249")</f>
        <v>APP0249</v>
      </c>
      <c r="B250" s="2">
        <f ca="1">IFERROR(__xludf.DUMMYFUNCTION("""COMPUTED_VALUE"""),45911.4240509259)</f>
        <v>45911.424050925903</v>
      </c>
      <c r="C250" s="1" t="str">
        <f ca="1">IFERROR(__xludf.DUMMYFUNCTION("""COMPUTED_VALUE"""),"Phan Minh Linh")</f>
        <v>Phan Minh Linh</v>
      </c>
      <c r="D250" s="1" t="str">
        <f ca="1">IFERROR(__xludf.DUMMYFUNCTION("""COMPUTED_VALUE"""),"05/03/1971")</f>
        <v>05/03/1971</v>
      </c>
      <c r="E250" s="1" t="str">
        <f ca="1">IFERROR(__xludf.DUMMYFUNCTION("""COMPUTED_VALUE"""),"Female")</f>
        <v>Female</v>
      </c>
      <c r="F250" s="1" t="str">
        <f ca="1">IFERROR(__xludf.DUMMYFUNCTION("""COMPUTED_VALUE"""),"Vietnam")</f>
        <v>Vietnam</v>
      </c>
      <c r="G250" s="1" t="str">
        <f ca="1">IFERROR(__xludf.DUMMYFUNCTION("""COMPUTED_VALUE"""),"0717488117")</f>
        <v>0717488117</v>
      </c>
      <c r="H250" s="1" t="str">
        <f ca="1">IFERROR(__xludf.DUMMYFUNCTION("""COMPUTED_VALUE"""),"phanminhlinh@gmail.com")</f>
        <v>phanminhlinh@gmail.com</v>
      </c>
      <c r="I250" s="1" t="str">
        <f ca="1">IFERROR(__xludf.DUMMYFUNCTION("""COMPUTED_VALUE"""),"100 Nguyen Hue, Quan 1, TP Ho Chi Minh, Viet Nam")</f>
        <v>100 Nguyen Hue, Quan 1, TP Ho Chi Minh, Viet Nam</v>
      </c>
      <c r="J250" s="1" t="str">
        <f ca="1">IFERROR(__xludf.DUMMYFUNCTION("""COMPUTED_VALUE"""),"034860215178")</f>
        <v>034860215178</v>
      </c>
      <c r="K250" s="3" t="str">
        <f ca="1">IFERROR(__xludf.DUMMYFUNCTION("""COMPUTED_VALUE"""),"https://drive.google.com/open?id=GX7VgHePWUFBYBvUg4aW")</f>
        <v>https://drive.google.com/open?id=GX7VgHePWUFBYBvUg4aW</v>
      </c>
      <c r="L250" s="3" t="str">
        <f ca="1">IFERROR(__xludf.DUMMYFUNCTION("""COMPUTED_VALUE"""),"https://drive.google.com/open?id=TtTiyFu0d1wFNyiiakW0")</f>
        <v>https://drive.google.com/open?id=TtTiyFu0d1wFNyiiakW0</v>
      </c>
      <c r="M250" s="1"/>
      <c r="N250" s="1"/>
      <c r="O250" s="1"/>
      <c r="P250" s="1" t="str">
        <f ca="1">IFERROR(__xludf.DUMMYFUNCTION("""COMPUTED_VALUE"""),"Freelancer")</f>
        <v>Freelancer</v>
      </c>
      <c r="Q250" s="1">
        <f ca="1">IFERROR(__xludf.DUMMYFUNCTION("""COMPUTED_VALUE"""),8000000)</f>
        <v>8000000</v>
      </c>
      <c r="R250" s="3" t="str">
        <f ca="1">IFERROR(__xludf.DUMMYFUNCTION("""COMPUTED_VALUE"""),"https://drive.google.com/open?id=12hVdm8ywe92LUTqAyqc")</f>
        <v>https://drive.google.com/open?id=12hVdm8ywe92LUTqAyqc</v>
      </c>
      <c r="S250" s="1">
        <f ca="1">IFERROR(__xludf.DUMMYFUNCTION("""COMPUTED_VALUE"""),24000000)</f>
        <v>24000000</v>
      </c>
      <c r="T250" s="1" t="str">
        <f ca="1">IFERROR(__xludf.DUMMYFUNCTION("""COMPUTED_VALUE"""),"Classic")</f>
        <v>Classic</v>
      </c>
      <c r="U250" s="1" t="str">
        <f ca="1">IFERROR(__xludf.DUMMYFUNCTION("""COMPUTED_VALUE"""),"Partner")</f>
        <v>Partner</v>
      </c>
    </row>
    <row r="251" spans="1:21" x14ac:dyDescent="0.25">
      <c r="A251" s="2" t="str">
        <f ca="1">IFERROR(__xludf.DUMMYFUNCTION("""COMPUTED_VALUE"""),"APP0250")</f>
        <v>APP0250</v>
      </c>
      <c r="B251" s="2">
        <f ca="1">IFERROR(__xludf.DUMMYFUNCTION("""COMPUTED_VALUE"""),45911.5821180555)</f>
        <v>45911.582118055499</v>
      </c>
      <c r="C251" s="1" t="str">
        <f ca="1">IFERROR(__xludf.DUMMYFUNCTION("""COMPUTED_VALUE"""),"Bùi Hữu Hải")</f>
        <v>Bùi Hữu Hải</v>
      </c>
      <c r="D251" s="1" t="str">
        <f ca="1">IFERROR(__xludf.DUMMYFUNCTION("""COMPUTED_VALUE"""),"08/08/1978")</f>
        <v>08/08/1978</v>
      </c>
      <c r="E251" s="1" t="str">
        <f ca="1">IFERROR(__xludf.DUMMYFUNCTION("""COMPUTED_VALUE"""),"Male")</f>
        <v>Male</v>
      </c>
      <c r="F251" s="1" t="str">
        <f ca="1">IFERROR(__xludf.DUMMYFUNCTION("""COMPUTED_VALUE"""),"Vietnam")</f>
        <v>Vietnam</v>
      </c>
      <c r="G251" s="1" t="str">
        <f ca="1">IFERROR(__xludf.DUMMYFUNCTION("""COMPUTED_VALUE"""),"0842177335")</f>
        <v>0842177335</v>
      </c>
      <c r="H251" s="1" t="str">
        <f ca="1">IFERROR(__xludf.DUMMYFUNCTION("""COMPUTED_VALUE"""),"buihuuhai@gmail.com")</f>
        <v>buihuuhai@gmail.com</v>
      </c>
      <c r="I251" s="1" t="str">
        <f ca="1">IFERROR(__xludf.DUMMYFUNCTION("""COMPUTED_VALUE"""),"34 Nguyen Trai, Dong Da, TP Ho Chi Minh, Viet Nam")</f>
        <v>34 Nguyen Trai, Dong Da, TP Ho Chi Minh, Viet Nam</v>
      </c>
      <c r="J251" s="1" t="str">
        <f ca="1">IFERROR(__xludf.DUMMYFUNCTION("""COMPUTED_VALUE"""),"087667995343")</f>
        <v>087667995343</v>
      </c>
      <c r="K251" s="3" t="str">
        <f ca="1">IFERROR(__xludf.DUMMYFUNCTION("""COMPUTED_VALUE"""),"https://drive.google.com/open?id=5I3RtXJJhEIFzLZLAdJ3")</f>
        <v>https://drive.google.com/open?id=5I3RtXJJhEIFzLZLAdJ3</v>
      </c>
      <c r="L251" s="3" t="str">
        <f ca="1">IFERROR(__xludf.DUMMYFUNCTION("""COMPUTED_VALUE"""),"https://drive.google.com/open?id=LTjN3iXVDCO7MokFz4HX")</f>
        <v>https://drive.google.com/open?id=LTjN3iXVDCO7MokFz4HX</v>
      </c>
      <c r="M251" s="1"/>
      <c r="N251" s="1"/>
      <c r="O251" s="1"/>
      <c r="P251" s="1" t="str">
        <f ca="1">IFERROR(__xludf.DUMMYFUNCTION("""COMPUTED_VALUE"""),"Self-employed")</f>
        <v>Self-employed</v>
      </c>
      <c r="Q251" s="1">
        <f ca="1">IFERROR(__xludf.DUMMYFUNCTION("""COMPUTED_VALUE"""),50000000)</f>
        <v>50000000</v>
      </c>
      <c r="R251" s="3" t="str">
        <f ca="1">IFERROR(__xludf.DUMMYFUNCTION("""COMPUTED_VALUE"""),"https://drive.google.com/open?id=90IXpCSBAg9NYmsLVd7E")</f>
        <v>https://drive.google.com/open?id=90IXpCSBAg9NYmsLVd7E</v>
      </c>
      <c r="S251" s="1">
        <f ca="1">IFERROR(__xludf.DUMMYFUNCTION("""COMPUTED_VALUE"""),250000000)</f>
        <v>250000000</v>
      </c>
      <c r="T251" s="1" t="str">
        <f ca="1">IFERROR(__xludf.DUMMYFUNCTION("""COMPUTED_VALUE"""),"Gold")</f>
        <v>Gold</v>
      </c>
      <c r="U251" s="1" t="str">
        <f ca="1">IFERROR(__xludf.DUMMYFUNCTION("""COMPUTED_VALUE"""),"Online")</f>
        <v>Online</v>
      </c>
    </row>
    <row r="252" spans="1:21" x14ac:dyDescent="0.25">
      <c r="A252" s="2" t="str">
        <f ca="1">IFERROR(__xludf.DUMMYFUNCTION("""COMPUTED_VALUE"""),"APP0251")</f>
        <v>APP0251</v>
      </c>
      <c r="B252" s="2">
        <f ca="1">IFERROR(__xludf.DUMMYFUNCTION("""COMPUTED_VALUE"""),45911.6356134259)</f>
        <v>45911.635613425897</v>
      </c>
      <c r="C252" s="1" t="str">
        <f ca="1">IFERROR(__xludf.DUMMYFUNCTION("""COMPUTED_VALUE"""),"Lý Hữu Châu")</f>
        <v>Lý Hữu Châu</v>
      </c>
      <c r="D252" s="1" t="str">
        <f ca="1">IFERROR(__xludf.DUMMYFUNCTION("""COMPUTED_VALUE"""),"14/09/1986")</f>
        <v>14/09/1986</v>
      </c>
      <c r="E252" s="1" t="str">
        <f ca="1">IFERROR(__xludf.DUMMYFUNCTION("""COMPUTED_VALUE"""),"Female")</f>
        <v>Female</v>
      </c>
      <c r="F252" s="1" t="str">
        <f ca="1">IFERROR(__xludf.DUMMYFUNCTION("""COMPUTED_VALUE"""),"Vietnam")</f>
        <v>Vietnam</v>
      </c>
      <c r="G252" s="1" t="str">
        <f ca="1">IFERROR(__xludf.DUMMYFUNCTION("""COMPUTED_VALUE"""),"0977684109")</f>
        <v>0977684109</v>
      </c>
      <c r="H252" s="1" t="str">
        <f ca="1">IFERROR(__xludf.DUMMYFUNCTION("""COMPUTED_VALUE"""),"lyhuuchau@gmail.com")</f>
        <v>lyhuuchau@gmail.com</v>
      </c>
      <c r="I252" s="1" t="str">
        <f ca="1">IFERROR(__xludf.DUMMYFUNCTION("""COMPUTED_VALUE"""),"88 Nguyen Trai, Quan 3, TP Ho Chi Minh, Viet Nam")</f>
        <v>88 Nguyen Trai, Quan 3, TP Ho Chi Minh, Viet Nam</v>
      </c>
      <c r="J252" s="1" t="str">
        <f ca="1">IFERROR(__xludf.DUMMYFUNCTION("""COMPUTED_VALUE"""),"03485594050")</f>
        <v>03485594050</v>
      </c>
      <c r="K252" s="3" t="str">
        <f ca="1">IFERROR(__xludf.DUMMYFUNCTION("""COMPUTED_VALUE"""),"https://drive.google.com/open?id=6T62DzbKv6pLwmKur1xI")</f>
        <v>https://drive.google.com/open?id=6T62DzbKv6pLwmKur1xI</v>
      </c>
      <c r="L252" s="3" t="str">
        <f ca="1">IFERROR(__xludf.DUMMYFUNCTION("""COMPUTED_VALUE"""),"https://drive.google.com/open?id=yKO6Mds2oiGEgRuYFpSK")</f>
        <v>https://drive.google.com/open?id=yKO6Mds2oiGEgRuYFpSK</v>
      </c>
      <c r="M252" s="1"/>
      <c r="N252" s="1"/>
      <c r="O252" s="1"/>
      <c r="P252" s="1" t="str">
        <f ca="1">IFERROR(__xludf.DUMMYFUNCTION("""COMPUTED_VALUE"""),"Self-employed")</f>
        <v>Self-employed</v>
      </c>
      <c r="Q252" s="1">
        <f ca="1">IFERROR(__xludf.DUMMYFUNCTION("""COMPUTED_VALUE"""),20000000)</f>
        <v>20000000</v>
      </c>
      <c r="R252" s="3" t="str">
        <f ca="1">IFERROR(__xludf.DUMMYFUNCTION("""COMPUTED_VALUE"""),"https://drive.google.com/open?id=G2frW46SS7ZyBrmpqAoL")</f>
        <v>https://drive.google.com/open?id=G2frW46SS7ZyBrmpqAoL</v>
      </c>
      <c r="S252" s="1">
        <f ca="1">IFERROR(__xludf.DUMMYFUNCTION("""COMPUTED_VALUE"""),60000000)</f>
        <v>60000000</v>
      </c>
      <c r="T252" s="1" t="str">
        <f ca="1">IFERROR(__xludf.DUMMYFUNCTION("""COMPUTED_VALUE"""),"Platinum")</f>
        <v>Platinum</v>
      </c>
      <c r="U252" s="1" t="str">
        <f ca="1">IFERROR(__xludf.DUMMYFUNCTION("""COMPUTED_VALUE"""),"Branch")</f>
        <v>Branch</v>
      </c>
    </row>
    <row r="253" spans="1:21" x14ac:dyDescent="0.25">
      <c r="A253" s="2" t="str">
        <f ca="1">IFERROR(__xludf.DUMMYFUNCTION("""COMPUTED_VALUE"""),"APP0252")</f>
        <v>APP0252</v>
      </c>
      <c r="B253" s="2">
        <f ca="1">IFERROR(__xludf.DUMMYFUNCTION("""COMPUTED_VALUE"""),45911.7048958333)</f>
        <v>45911.704895833303</v>
      </c>
      <c r="C253" s="1" t="str">
        <f ca="1">IFERROR(__xludf.DUMMYFUNCTION("""COMPUTED_VALUE"""),"Phạm Quang Tuấn")</f>
        <v>Phạm Quang Tuấn</v>
      </c>
      <c r="D253" s="1" t="str">
        <f ca="1">IFERROR(__xludf.DUMMYFUNCTION("""COMPUTED_VALUE"""),"10/11/1978")</f>
        <v>10/11/1978</v>
      </c>
      <c r="E253" s="1" t="str">
        <f ca="1">IFERROR(__xludf.DUMMYFUNCTION("""COMPUTED_VALUE"""),"Female")</f>
        <v>Female</v>
      </c>
      <c r="F253" s="1" t="str">
        <f ca="1">IFERROR(__xludf.DUMMYFUNCTION("""COMPUTED_VALUE"""),"Vietnam")</f>
        <v>Vietnam</v>
      </c>
      <c r="G253" s="1" t="str">
        <f ca="1">IFERROR(__xludf.DUMMYFUNCTION("""COMPUTED_VALUE"""),"0736709133")</f>
        <v>0736709133</v>
      </c>
      <c r="H253" s="1" t="str">
        <f ca="1">IFERROR(__xludf.DUMMYFUNCTION("""COMPUTED_VALUE"""),"phamquangtuan@gmail.com")</f>
        <v>phamquangtuan@gmail.com</v>
      </c>
      <c r="I253" s="1" t="str">
        <f ca="1">IFERROR(__xludf.DUMMYFUNCTION("""COMPUTED_VALUE"""),"170 Nguyen Trai, Quan 1, Can Tho, Viet Nam")</f>
        <v>170 Nguyen Trai, Quan 1, Can Tho, Viet Nam</v>
      </c>
      <c r="J253" s="1" t="str">
        <f ca="1">IFERROR(__xludf.DUMMYFUNCTION("""COMPUTED_VALUE"""),"052285025852")</f>
        <v>052285025852</v>
      </c>
      <c r="K253" s="3" t="str">
        <f ca="1">IFERROR(__xludf.DUMMYFUNCTION("""COMPUTED_VALUE"""),"https://drive.google.com/open?id=B2oYWgO9JlQH8JtTUUCs")</f>
        <v>https://drive.google.com/open?id=B2oYWgO9JlQH8JtTUUCs</v>
      </c>
      <c r="L253" s="3" t="str">
        <f ca="1">IFERROR(__xludf.DUMMYFUNCTION("""COMPUTED_VALUE"""),"https://drive.google.com/open?id=ZAqWOeYcRCbfp5uvDqlt")</f>
        <v>https://drive.google.com/open?id=ZAqWOeYcRCbfp5uvDqlt</v>
      </c>
      <c r="M253" s="1"/>
      <c r="N253" s="1"/>
      <c r="O253" s="1"/>
      <c r="P253" s="1" t="str">
        <f ca="1">IFERROR(__xludf.DUMMYFUNCTION("""COMPUTED_VALUE"""),"Full-time")</f>
        <v>Full-time</v>
      </c>
      <c r="Q253" s="1">
        <f ca="1">IFERROR(__xludf.DUMMYFUNCTION("""COMPUTED_VALUE"""),12000000)</f>
        <v>12000000</v>
      </c>
      <c r="R253" s="3" t="str">
        <f ca="1">IFERROR(__xludf.DUMMYFUNCTION("""COMPUTED_VALUE"""),"https://drive.google.com/open?id=srmhQbMH55WL3LEC19Jz")</f>
        <v>https://drive.google.com/open?id=srmhQbMH55WL3LEC19Jz</v>
      </c>
      <c r="S253" s="1">
        <f ca="1">IFERROR(__xludf.DUMMYFUNCTION("""COMPUTED_VALUE"""),24000000)</f>
        <v>24000000</v>
      </c>
      <c r="T253" s="1" t="str">
        <f ca="1">IFERROR(__xludf.DUMMYFUNCTION("""COMPUTED_VALUE"""),"Gold")</f>
        <v>Gold</v>
      </c>
      <c r="U253" s="1" t="str">
        <f ca="1">IFERROR(__xludf.DUMMYFUNCTION("""COMPUTED_VALUE"""),"Branch")</f>
        <v>Branch</v>
      </c>
    </row>
    <row r="254" spans="1:21" x14ac:dyDescent="0.25">
      <c r="A254" s="2" t="str">
        <f ca="1">IFERROR(__xludf.DUMMYFUNCTION("""COMPUTED_VALUE"""),"APP0253")</f>
        <v>APP0253</v>
      </c>
      <c r="B254" s="2">
        <f ca="1">IFERROR(__xludf.DUMMYFUNCTION("""COMPUTED_VALUE"""),45911.7111111111)</f>
        <v>45911.711111111101</v>
      </c>
      <c r="C254" s="1" t="str">
        <f ca="1">IFERROR(__xludf.DUMMYFUNCTION("""COMPUTED_VALUE"""),"Võ Thị Hà")</f>
        <v>Võ Thị Hà</v>
      </c>
      <c r="D254" s="1" t="str">
        <f ca="1">IFERROR(__xludf.DUMMYFUNCTION("""COMPUTED_VALUE"""),"20/02/2003")</f>
        <v>20/02/2003</v>
      </c>
      <c r="E254" s="1" t="str">
        <f ca="1">IFERROR(__xludf.DUMMYFUNCTION("""COMPUTED_VALUE"""),"Female")</f>
        <v>Female</v>
      </c>
      <c r="F254" s="1" t="str">
        <f ca="1">IFERROR(__xludf.DUMMYFUNCTION("""COMPUTED_VALUE"""),"Vietnam")</f>
        <v>Vietnam</v>
      </c>
      <c r="G254" s="1" t="str">
        <f ca="1">IFERROR(__xludf.DUMMYFUNCTION("""COMPUTED_VALUE"""),"0759629505")</f>
        <v>0759629505</v>
      </c>
      <c r="H254" s="1" t="str">
        <f ca="1">IFERROR(__xludf.DUMMYFUNCTION("""COMPUTED_VALUE"""),"vothiha@gmail.com")</f>
        <v>vothiha@gmail.com</v>
      </c>
      <c r="I254" s="1" t="str">
        <f ca="1">IFERROR(__xludf.DUMMYFUNCTION("""COMPUTED_VALUE"""),"76 Ly Thuong Kiet, Quan 7, Ha Noi, Viet Nam")</f>
        <v>76 Ly Thuong Kiet, Quan 7, Ha Noi, Viet Nam</v>
      </c>
      <c r="J254" s="1" t="str">
        <f ca="1">IFERROR(__xludf.DUMMYFUNCTION("""COMPUTED_VALUE"""),"05026314389")</f>
        <v>05026314389</v>
      </c>
      <c r="K254" s="3" t="str">
        <f ca="1">IFERROR(__xludf.DUMMYFUNCTION("""COMPUTED_VALUE"""),"https://drive.google.com/open?id=zhGO6hk9sTkEF03syiAV")</f>
        <v>https://drive.google.com/open?id=zhGO6hk9sTkEF03syiAV</v>
      </c>
      <c r="L254" s="3" t="str">
        <f ca="1">IFERROR(__xludf.DUMMYFUNCTION("""COMPUTED_VALUE"""),"https://drive.google.com/open?id=SRP85mvTVvhjaLTFp9Xq")</f>
        <v>https://drive.google.com/open?id=SRP85mvTVvhjaLTFp9Xq</v>
      </c>
      <c r="M254" s="1"/>
      <c r="N254" s="1"/>
      <c r="O254" s="1"/>
      <c r="P254" s="1" t="str">
        <f ca="1">IFERROR(__xludf.DUMMYFUNCTION("""COMPUTED_VALUE"""),"Freelancer")</f>
        <v>Freelancer</v>
      </c>
      <c r="Q254" s="1">
        <f ca="1">IFERROR(__xludf.DUMMYFUNCTION("""COMPUTED_VALUE"""),50000000)</f>
        <v>50000000</v>
      </c>
      <c r="R254" s="3" t="str">
        <f ca="1">IFERROR(__xludf.DUMMYFUNCTION("""COMPUTED_VALUE"""),"https://drive.google.com/open?id=FM0TiBUOGpbg5MrONf4K")</f>
        <v>https://drive.google.com/open?id=FM0TiBUOGpbg5MrONf4K</v>
      </c>
      <c r="S254" s="1">
        <f ca="1">IFERROR(__xludf.DUMMYFUNCTION("""COMPUTED_VALUE"""),250000000)</f>
        <v>250000000</v>
      </c>
      <c r="T254" s="1" t="str">
        <f ca="1">IFERROR(__xludf.DUMMYFUNCTION("""COMPUTED_VALUE"""),"Platinum")</f>
        <v>Platinum</v>
      </c>
      <c r="U254" s="1" t="str">
        <f ca="1">IFERROR(__xludf.DUMMYFUNCTION("""COMPUTED_VALUE"""),"Online")</f>
        <v>Online</v>
      </c>
    </row>
    <row r="255" spans="1:21" x14ac:dyDescent="0.25">
      <c r="A255" s="2" t="str">
        <f ca="1">IFERROR(__xludf.DUMMYFUNCTION("""COMPUTED_VALUE"""),"APP0254")</f>
        <v>APP0254</v>
      </c>
      <c r="B255" s="2">
        <f ca="1">IFERROR(__xludf.DUMMYFUNCTION("""COMPUTED_VALUE"""),45911.8739583333)</f>
        <v>45911.873958333301</v>
      </c>
      <c r="C255" s="1" t="str">
        <f ca="1">IFERROR(__xludf.DUMMYFUNCTION("""COMPUTED_VALUE"""),"Bùi Văn Hùng")</f>
        <v>Bùi Văn Hùng</v>
      </c>
      <c r="D255" s="1" t="str">
        <f ca="1">IFERROR(__xludf.DUMMYFUNCTION("""COMPUTED_VALUE"""),"25/06/1996")</f>
        <v>25/06/1996</v>
      </c>
      <c r="E255" s="1" t="str">
        <f ca="1">IFERROR(__xludf.DUMMYFUNCTION("""COMPUTED_VALUE"""),"Male")</f>
        <v>Male</v>
      </c>
      <c r="F255" s="1" t="str">
        <f ca="1">IFERROR(__xludf.DUMMYFUNCTION("""COMPUTED_VALUE"""),"Vietnam")</f>
        <v>Vietnam</v>
      </c>
      <c r="G255" s="1" t="str">
        <f ca="1">IFERROR(__xludf.DUMMYFUNCTION("""COMPUTED_VALUE"""),"0781488928")</f>
        <v>0781488928</v>
      </c>
      <c r="H255" s="1" t="str">
        <f ca="1">IFERROR(__xludf.DUMMYFUNCTION("""COMPUTED_VALUE"""),"buivanhung@gmail.com")</f>
        <v>buivanhung@gmail.com</v>
      </c>
      <c r="I255" s="1" t="str">
        <f ca="1">IFERROR(__xludf.DUMMYFUNCTION("""COMPUTED_VALUE"""),"87 Nguyen Trai, Hai Chau, Ha Noi, Viet Nam")</f>
        <v>87 Nguyen Trai, Hai Chau, Ha Noi, Viet Nam</v>
      </c>
      <c r="J255" s="1" t="str">
        <f ca="1">IFERROR(__xludf.DUMMYFUNCTION("""COMPUTED_VALUE"""),"056895381761")</f>
        <v>056895381761</v>
      </c>
      <c r="K255" s="3" t="str">
        <f ca="1">IFERROR(__xludf.DUMMYFUNCTION("""COMPUTED_VALUE"""),"https://drive.google.com/open?id=n4QWJEVEdZZBnoBSH5He")</f>
        <v>https://drive.google.com/open?id=n4QWJEVEdZZBnoBSH5He</v>
      </c>
      <c r="L255" s="3" t="str">
        <f ca="1">IFERROR(__xludf.DUMMYFUNCTION("""COMPUTED_VALUE"""),"https://drive.google.com/open?id=zu37xmbOfCvJJd5AeCES")</f>
        <v>https://drive.google.com/open?id=zu37xmbOfCvJJd5AeCES</v>
      </c>
      <c r="M255" s="1"/>
      <c r="N255" s="1"/>
      <c r="O255" s="1"/>
      <c r="P255" s="1" t="str">
        <f ca="1">IFERROR(__xludf.DUMMYFUNCTION("""COMPUTED_VALUE"""),"Self-employed")</f>
        <v>Self-employed</v>
      </c>
      <c r="Q255" s="1">
        <f ca="1">IFERROR(__xludf.DUMMYFUNCTION("""COMPUTED_VALUE"""),12000000)</f>
        <v>12000000</v>
      </c>
      <c r="R255" s="3" t="str">
        <f ca="1">IFERROR(__xludf.DUMMYFUNCTION("""COMPUTED_VALUE"""),"https://drive.google.com/open?id=fmbVlQmICZIp8fpuKesF")</f>
        <v>https://drive.google.com/open?id=fmbVlQmICZIp8fpuKesF</v>
      </c>
      <c r="S255" s="1">
        <f ca="1">IFERROR(__xludf.DUMMYFUNCTION("""COMPUTED_VALUE"""),36000000)</f>
        <v>36000000</v>
      </c>
      <c r="T255" s="1" t="str">
        <f ca="1">IFERROR(__xludf.DUMMYFUNCTION("""COMPUTED_VALUE"""),"Classic")</f>
        <v>Classic</v>
      </c>
      <c r="U255" s="1" t="str">
        <f ca="1">IFERROR(__xludf.DUMMYFUNCTION("""COMPUTED_VALUE"""),"Online")</f>
        <v>Online</v>
      </c>
    </row>
    <row r="256" spans="1:21" x14ac:dyDescent="0.25">
      <c r="A256" s="2" t="str">
        <f ca="1">IFERROR(__xludf.DUMMYFUNCTION("""COMPUTED_VALUE"""),"APP0255")</f>
        <v>APP0255</v>
      </c>
      <c r="B256" s="2">
        <f ca="1">IFERROR(__xludf.DUMMYFUNCTION("""COMPUTED_VALUE"""),45911.8869444444)</f>
        <v>45911.886944444399</v>
      </c>
      <c r="C256" s="1" t="str">
        <f ca="1">IFERROR(__xludf.DUMMYFUNCTION("""COMPUTED_VALUE"""),"Lê Ngọc Lan")</f>
        <v>Lê Ngọc Lan</v>
      </c>
      <c r="D256" s="1" t="str">
        <f ca="1">IFERROR(__xludf.DUMMYFUNCTION("""COMPUTED_VALUE"""),"05/11/1971")</f>
        <v>05/11/1971</v>
      </c>
      <c r="E256" s="1" t="str">
        <f ca="1">IFERROR(__xludf.DUMMYFUNCTION("""COMPUTED_VALUE"""),"Male")</f>
        <v>Male</v>
      </c>
      <c r="F256" s="1" t="str">
        <f ca="1">IFERROR(__xludf.DUMMYFUNCTION("""COMPUTED_VALUE"""),"Vietnam")</f>
        <v>Vietnam</v>
      </c>
      <c r="G256" s="1" t="str">
        <f ca="1">IFERROR(__xludf.DUMMYFUNCTION("""COMPUTED_VALUE"""),"0898112729")</f>
        <v>0898112729</v>
      </c>
      <c r="H256" s="1" t="str">
        <f ca="1">IFERROR(__xludf.DUMMYFUNCTION("""COMPUTED_VALUE"""),"lengoclan@gmail.com")</f>
        <v>lengoclan@gmail.com</v>
      </c>
      <c r="I256" s="1" t="str">
        <f ca="1">IFERROR(__xludf.DUMMYFUNCTION("""COMPUTED_VALUE"""),"161 Ly Thuong Kiet, Quan 7, Hai Phong, Viet Nam")</f>
        <v>161 Ly Thuong Kiet, Quan 7, Hai Phong, Viet Nam</v>
      </c>
      <c r="J256" s="1" t="str">
        <f ca="1">IFERROR(__xludf.DUMMYFUNCTION("""COMPUTED_VALUE"""),"088300189960")</f>
        <v>088300189960</v>
      </c>
      <c r="K256" s="3" t="str">
        <f ca="1">IFERROR(__xludf.DUMMYFUNCTION("""COMPUTED_VALUE"""),"https://drive.google.com/open?id=jk98npoJR4RXx3TKpDDT")</f>
        <v>https://drive.google.com/open?id=jk98npoJR4RXx3TKpDDT</v>
      </c>
      <c r="L256" s="3" t="str">
        <f ca="1">IFERROR(__xludf.DUMMYFUNCTION("""COMPUTED_VALUE"""),"https://drive.google.com/open?id=p6IfsKbsu9G24LFcRGna")</f>
        <v>https://drive.google.com/open?id=p6IfsKbsu9G24LFcRGna</v>
      </c>
      <c r="M256" s="1"/>
      <c r="N256" s="1"/>
      <c r="O256" s="1"/>
      <c r="P256" s="1" t="str">
        <f ca="1">IFERROR(__xludf.DUMMYFUNCTION("""COMPUTED_VALUE"""),"Full-time")</f>
        <v>Full-time</v>
      </c>
      <c r="Q256" s="1">
        <f ca="1">IFERROR(__xludf.DUMMYFUNCTION("""COMPUTED_VALUE"""),8000000)</f>
        <v>8000000</v>
      </c>
      <c r="R256" s="3" t="str">
        <f ca="1">IFERROR(__xludf.DUMMYFUNCTION("""COMPUTED_VALUE"""),"https://drive.google.com/open?id=1yXpttTLpKe0nKHcpGbZ")</f>
        <v>https://drive.google.com/open?id=1yXpttTLpKe0nKHcpGbZ</v>
      </c>
      <c r="S256" s="1">
        <f ca="1">IFERROR(__xludf.DUMMYFUNCTION("""COMPUTED_VALUE"""),16000000)</f>
        <v>16000000</v>
      </c>
      <c r="T256" s="1" t="str">
        <f ca="1">IFERROR(__xludf.DUMMYFUNCTION("""COMPUTED_VALUE"""),"Platinum")</f>
        <v>Platinum</v>
      </c>
      <c r="U256" s="1" t="str">
        <f ca="1">IFERROR(__xludf.DUMMYFUNCTION("""COMPUTED_VALUE"""),"Online")</f>
        <v>Online</v>
      </c>
    </row>
    <row r="257" spans="1:21" x14ac:dyDescent="0.25">
      <c r="A257" s="2" t="str">
        <f ca="1">IFERROR(__xludf.DUMMYFUNCTION("""COMPUTED_VALUE"""),"APP0256")</f>
        <v>APP0256</v>
      </c>
      <c r="B257" s="2">
        <f ca="1">IFERROR(__xludf.DUMMYFUNCTION("""COMPUTED_VALUE"""),45911.9000462962)</f>
        <v>45911.900046296199</v>
      </c>
      <c r="C257" s="1" t="str">
        <f ca="1">IFERROR(__xludf.DUMMYFUNCTION("""COMPUTED_VALUE"""),"Vũ Đức Hiếu")</f>
        <v>Vũ Đức Hiếu</v>
      </c>
      <c r="D257" s="1" t="str">
        <f ca="1">IFERROR(__xludf.DUMMYFUNCTION("""COMPUTED_VALUE"""),"12/11/1972")</f>
        <v>12/11/1972</v>
      </c>
      <c r="E257" s="1" t="str">
        <f ca="1">IFERROR(__xludf.DUMMYFUNCTION("""COMPUTED_VALUE"""),"Male")</f>
        <v>Male</v>
      </c>
      <c r="F257" s="1" t="str">
        <f ca="1">IFERROR(__xludf.DUMMYFUNCTION("""COMPUTED_VALUE"""),"Vietnam")</f>
        <v>Vietnam</v>
      </c>
      <c r="G257" s="1" t="str">
        <f ca="1">IFERROR(__xludf.DUMMYFUNCTION("""COMPUTED_VALUE"""),"0855003344")</f>
        <v>0855003344</v>
      </c>
      <c r="H257" s="1" t="str">
        <f ca="1">IFERROR(__xludf.DUMMYFUNCTION("""COMPUTED_VALUE"""),"vuduchieu@gmail.com")</f>
        <v>vuduchieu@gmail.com</v>
      </c>
      <c r="I257" s="1" t="str">
        <f ca="1">IFERROR(__xludf.DUMMYFUNCTION("""COMPUTED_VALUE"""),"147 Nguyen Hue, Hoan Kiem, Can Tho, Viet Nam")</f>
        <v>147 Nguyen Hue, Hoan Kiem, Can Tho, Viet Nam</v>
      </c>
      <c r="J257" s="1" t="str">
        <f ca="1">IFERROR(__xludf.DUMMYFUNCTION("""COMPUTED_VALUE"""),"084983697619")</f>
        <v>084983697619</v>
      </c>
      <c r="K257" s="3" t="str">
        <f ca="1">IFERROR(__xludf.DUMMYFUNCTION("""COMPUTED_VALUE"""),"https://drive.google.com/open?id=5ooS6xpE4EfhX5QWs3WN")</f>
        <v>https://drive.google.com/open?id=5ooS6xpE4EfhX5QWs3WN</v>
      </c>
      <c r="L257" s="3" t="str">
        <f ca="1">IFERROR(__xludf.DUMMYFUNCTION("""COMPUTED_VALUE"""),"https://drive.google.com/open?id=65jdYipuNHKT9Wmrwcrb")</f>
        <v>https://drive.google.com/open?id=65jdYipuNHKT9Wmrwcrb</v>
      </c>
      <c r="M257" s="1"/>
      <c r="N257" s="1"/>
      <c r="O257" s="1"/>
      <c r="P257" s="1" t="str">
        <f ca="1">IFERROR(__xludf.DUMMYFUNCTION("""COMPUTED_VALUE"""),"Part-time")</f>
        <v>Part-time</v>
      </c>
      <c r="Q257" s="1">
        <f ca="1">IFERROR(__xludf.DUMMYFUNCTION("""COMPUTED_VALUE"""),50000000)</f>
        <v>50000000</v>
      </c>
      <c r="R257" s="3" t="str">
        <f ca="1">IFERROR(__xludf.DUMMYFUNCTION("""COMPUTED_VALUE"""),"https://drive.google.com/open?id=qogLYPAHj87vD9brQw7k")</f>
        <v>https://drive.google.com/open?id=qogLYPAHj87vD9brQw7k</v>
      </c>
      <c r="S257" s="1">
        <f ca="1">IFERROR(__xludf.DUMMYFUNCTION("""COMPUTED_VALUE"""),250000000)</f>
        <v>250000000</v>
      </c>
      <c r="T257" s="1" t="str">
        <f ca="1">IFERROR(__xludf.DUMMYFUNCTION("""COMPUTED_VALUE"""),"Classic")</f>
        <v>Classic</v>
      </c>
      <c r="U257" s="1" t="str">
        <f ca="1">IFERROR(__xludf.DUMMYFUNCTION("""COMPUTED_VALUE"""),"Branch")</f>
        <v>Branch</v>
      </c>
    </row>
    <row r="258" spans="1:21" x14ac:dyDescent="0.25">
      <c r="A258" s="2" t="str">
        <f ca="1">IFERROR(__xludf.DUMMYFUNCTION("""COMPUTED_VALUE"""),"APP0257")</f>
        <v>APP0257</v>
      </c>
      <c r="B258" s="2">
        <f ca="1">IFERROR(__xludf.DUMMYFUNCTION("""COMPUTED_VALUE"""),45911.9122569444)</f>
        <v>45911.912256944401</v>
      </c>
      <c r="C258" s="1" t="str">
        <f ca="1">IFERROR(__xludf.DUMMYFUNCTION("""COMPUTED_VALUE"""),"Ngô Quang Châu")</f>
        <v>Ngô Quang Châu</v>
      </c>
      <c r="D258" s="1" t="str">
        <f ca="1">IFERROR(__xludf.DUMMYFUNCTION("""COMPUTED_VALUE"""),"18/04/1977")</f>
        <v>18/04/1977</v>
      </c>
      <c r="E258" s="1" t="str">
        <f ca="1">IFERROR(__xludf.DUMMYFUNCTION("""COMPUTED_VALUE"""),"Male")</f>
        <v>Male</v>
      </c>
      <c r="F258" s="1" t="str">
        <f ca="1">IFERROR(__xludf.DUMMYFUNCTION("""COMPUTED_VALUE"""),"Vietnam")</f>
        <v>Vietnam</v>
      </c>
      <c r="G258" s="1" t="str">
        <f ca="1">IFERROR(__xludf.DUMMYFUNCTION("""COMPUTED_VALUE"""),"0822980775")</f>
        <v>0822980775</v>
      </c>
      <c r="H258" s="1" t="str">
        <f ca="1">IFERROR(__xludf.DUMMYFUNCTION("""COMPUTED_VALUE"""),"ngoquangchau@gmail.com")</f>
        <v>ngoquangchau@gmail.com</v>
      </c>
      <c r="I258" s="1" t="str">
        <f ca="1">IFERROR(__xludf.DUMMYFUNCTION("""COMPUTED_VALUE"""),"180 Tran Hung Dao, Quan 7, Da Nang, Viet Nam")</f>
        <v>180 Tran Hung Dao, Quan 7, Da Nang, Viet Nam</v>
      </c>
      <c r="J258" s="1" t="str">
        <f ca="1">IFERROR(__xludf.DUMMYFUNCTION("""COMPUTED_VALUE"""),"044885818988")</f>
        <v>044885818988</v>
      </c>
      <c r="K258" s="3" t="str">
        <f ca="1">IFERROR(__xludf.DUMMYFUNCTION("""COMPUTED_VALUE"""),"https://drive.google.com/open?id=AGFBAMzEjI5oKQWpA0Cz")</f>
        <v>https://drive.google.com/open?id=AGFBAMzEjI5oKQWpA0Cz</v>
      </c>
      <c r="L258" s="3" t="str">
        <f ca="1">IFERROR(__xludf.DUMMYFUNCTION("""COMPUTED_VALUE"""),"https://drive.google.com/open?id=hb5Rdq0Q49tLceYH4o6k")</f>
        <v>https://drive.google.com/open?id=hb5Rdq0Q49tLceYH4o6k</v>
      </c>
      <c r="M258" s="1"/>
      <c r="N258" s="1"/>
      <c r="O258" s="1"/>
      <c r="P258" s="1" t="str">
        <f ca="1">IFERROR(__xludf.DUMMYFUNCTION("""COMPUTED_VALUE"""),"Part-time")</f>
        <v>Part-time</v>
      </c>
      <c r="Q258" s="1">
        <f ca="1">IFERROR(__xludf.DUMMYFUNCTION("""COMPUTED_VALUE"""),50000000)</f>
        <v>50000000</v>
      </c>
      <c r="R258" s="3" t="str">
        <f ca="1">IFERROR(__xludf.DUMMYFUNCTION("""COMPUTED_VALUE"""),"https://drive.google.com/open?id=YHxAexax3CU2hK7GZJQL")</f>
        <v>https://drive.google.com/open?id=YHxAexax3CU2hK7GZJQL</v>
      </c>
      <c r="S258" s="1">
        <f ca="1">IFERROR(__xludf.DUMMYFUNCTION("""COMPUTED_VALUE"""),100000000)</f>
        <v>100000000</v>
      </c>
      <c r="T258" s="1" t="str">
        <f ca="1">IFERROR(__xludf.DUMMYFUNCTION("""COMPUTED_VALUE"""),"Classic")</f>
        <v>Classic</v>
      </c>
      <c r="U258" s="1" t="str">
        <f ca="1">IFERROR(__xludf.DUMMYFUNCTION("""COMPUTED_VALUE"""),"Partner")</f>
        <v>Partner</v>
      </c>
    </row>
    <row r="259" spans="1:21" x14ac:dyDescent="0.25">
      <c r="A259" s="2" t="str">
        <f ca="1">IFERROR(__xludf.DUMMYFUNCTION("""COMPUTED_VALUE"""),"APP0258")</f>
        <v>APP0258</v>
      </c>
      <c r="B259" s="2">
        <f ca="1">IFERROR(__xludf.DUMMYFUNCTION("""COMPUTED_VALUE"""),45911.9317476851)</f>
        <v>45911.931747685099</v>
      </c>
      <c r="C259" s="1" t="str">
        <f ca="1">IFERROR(__xludf.DUMMYFUNCTION("""COMPUTED_VALUE"""),"Võ Đức Khánh")</f>
        <v>Võ Đức Khánh</v>
      </c>
      <c r="D259" s="1" t="str">
        <f ca="1">IFERROR(__xludf.DUMMYFUNCTION("""COMPUTED_VALUE"""),"19/08/1993")</f>
        <v>19/08/1993</v>
      </c>
      <c r="E259" s="1" t="str">
        <f ca="1">IFERROR(__xludf.DUMMYFUNCTION("""COMPUTED_VALUE"""),"Male")</f>
        <v>Male</v>
      </c>
      <c r="F259" s="1" t="str">
        <f ca="1">IFERROR(__xludf.DUMMYFUNCTION("""COMPUTED_VALUE"""),"Vietnam")</f>
        <v>Vietnam</v>
      </c>
      <c r="G259" s="1" t="str">
        <f ca="1">IFERROR(__xludf.DUMMYFUNCTION("""COMPUTED_VALUE"""),"0787685045")</f>
        <v>0787685045</v>
      </c>
      <c r="H259" s="1" t="str">
        <f ca="1">IFERROR(__xludf.DUMMYFUNCTION("""COMPUTED_VALUE"""),"voduckhanh@gmail.com")</f>
        <v>voduckhanh@gmail.com</v>
      </c>
      <c r="I259" s="1" t="str">
        <f ca="1">IFERROR(__xludf.DUMMYFUNCTION("""COMPUTED_VALUE"""),"155 Le Loi, Quan 7, Ha Noi, Viet Nam")</f>
        <v>155 Le Loi, Quan 7, Ha Noi, Viet Nam</v>
      </c>
      <c r="J259" s="1" t="str">
        <f ca="1">IFERROR(__xludf.DUMMYFUNCTION("""COMPUTED_VALUE"""),"027414507746")</f>
        <v>027414507746</v>
      </c>
      <c r="K259" s="3" t="str">
        <f ca="1">IFERROR(__xludf.DUMMYFUNCTION("""COMPUTED_VALUE"""),"https://drive.google.com/open?id=BUpvdIjqmVZqj270J7sG")</f>
        <v>https://drive.google.com/open?id=BUpvdIjqmVZqj270J7sG</v>
      </c>
      <c r="L259" s="3" t="str">
        <f ca="1">IFERROR(__xludf.DUMMYFUNCTION("""COMPUTED_VALUE"""),"https://drive.google.com/open?id=3T9qKh9K5M50gyRGqdNz")</f>
        <v>https://drive.google.com/open?id=3T9qKh9K5M50gyRGqdNz</v>
      </c>
      <c r="M259" s="1"/>
      <c r="N259" s="1"/>
      <c r="O259" s="1"/>
      <c r="P259" s="1" t="str">
        <f ca="1">IFERROR(__xludf.DUMMYFUNCTION("""COMPUTED_VALUE"""),"Self-employed")</f>
        <v>Self-employed</v>
      </c>
      <c r="Q259" s="1">
        <f ca="1">IFERROR(__xludf.DUMMYFUNCTION("""COMPUTED_VALUE"""),8000000)</f>
        <v>8000000</v>
      </c>
      <c r="R259" s="3" t="str">
        <f ca="1">IFERROR(__xludf.DUMMYFUNCTION("""COMPUTED_VALUE"""),"https://drive.google.com/open?id=X2CaRGLU00IoY7WdssCb")</f>
        <v>https://drive.google.com/open?id=X2CaRGLU00IoY7WdssCb</v>
      </c>
      <c r="S259" s="1">
        <f ca="1">IFERROR(__xludf.DUMMYFUNCTION("""COMPUTED_VALUE"""),40000000)</f>
        <v>40000000</v>
      </c>
      <c r="T259" s="1" t="str">
        <f ca="1">IFERROR(__xludf.DUMMYFUNCTION("""COMPUTED_VALUE"""),"Platinum")</f>
        <v>Platinum</v>
      </c>
      <c r="U259" s="1" t="str">
        <f ca="1">IFERROR(__xludf.DUMMYFUNCTION("""COMPUTED_VALUE"""),"Branch")</f>
        <v>Branch</v>
      </c>
    </row>
    <row r="260" spans="1:21" x14ac:dyDescent="0.25">
      <c r="A260" s="2" t="str">
        <f ca="1">IFERROR(__xludf.DUMMYFUNCTION("""COMPUTED_VALUE"""),"APP0259")</f>
        <v>APP0259</v>
      </c>
      <c r="B260" s="2">
        <f ca="1">IFERROR(__xludf.DUMMYFUNCTION("""COMPUTED_VALUE"""),45911.9794791666)</f>
        <v>45911.979479166599</v>
      </c>
      <c r="C260" s="1" t="str">
        <f ca="1">IFERROR(__xludf.DUMMYFUNCTION("""COMPUTED_VALUE"""),"Phạm Minh Hiếu")</f>
        <v>Phạm Minh Hiếu</v>
      </c>
      <c r="D260" s="1" t="str">
        <f ca="1">IFERROR(__xludf.DUMMYFUNCTION("""COMPUTED_VALUE"""),"15/06/1974")</f>
        <v>15/06/1974</v>
      </c>
      <c r="E260" s="1" t="str">
        <f ca="1">IFERROR(__xludf.DUMMYFUNCTION("""COMPUTED_VALUE"""),"Female")</f>
        <v>Female</v>
      </c>
      <c r="F260" s="1" t="str">
        <f ca="1">IFERROR(__xludf.DUMMYFUNCTION("""COMPUTED_VALUE"""),"Vietnam")</f>
        <v>Vietnam</v>
      </c>
      <c r="G260" s="1" t="str">
        <f ca="1">IFERROR(__xludf.DUMMYFUNCTION("""COMPUTED_VALUE"""),"0865547841")</f>
        <v>0865547841</v>
      </c>
      <c r="H260" s="1" t="str">
        <f ca="1">IFERROR(__xludf.DUMMYFUNCTION("""COMPUTED_VALUE"""),"phamminhhieu@gmail.com")</f>
        <v>phamminhhieu@gmail.com</v>
      </c>
      <c r="I260" s="1" t="str">
        <f ca="1">IFERROR(__xludf.DUMMYFUNCTION("""COMPUTED_VALUE"""),"178 Tran Hung Dao, Hoan Kiem, TP Ho Chi Minh, Viet Nam")</f>
        <v>178 Tran Hung Dao, Hoan Kiem, TP Ho Chi Minh, Viet Nam</v>
      </c>
      <c r="J260" s="1" t="str">
        <f ca="1">IFERROR(__xludf.DUMMYFUNCTION("""COMPUTED_VALUE"""),"06852980034")</f>
        <v>06852980034</v>
      </c>
      <c r="K260" s="3" t="str">
        <f ca="1">IFERROR(__xludf.DUMMYFUNCTION("""COMPUTED_VALUE"""),"https://drive.google.com/open?id=qZOWgai9l0I5xvmbKADo")</f>
        <v>https://drive.google.com/open?id=qZOWgai9l0I5xvmbKADo</v>
      </c>
      <c r="L260" s="3" t="str">
        <f ca="1">IFERROR(__xludf.DUMMYFUNCTION("""COMPUTED_VALUE"""),"https://drive.google.com/open?id=wNTMi4Q3Gc43D8zFfRpn")</f>
        <v>https://drive.google.com/open?id=wNTMi4Q3Gc43D8zFfRpn</v>
      </c>
      <c r="M260" s="1"/>
      <c r="N260" s="1"/>
      <c r="O260" s="1"/>
      <c r="P260" s="1" t="str">
        <f ca="1">IFERROR(__xludf.DUMMYFUNCTION("""COMPUTED_VALUE"""),"Part-time")</f>
        <v>Part-time</v>
      </c>
      <c r="Q260" s="1">
        <f ca="1">IFERROR(__xludf.DUMMYFUNCTION("""COMPUTED_VALUE"""),12000000)</f>
        <v>12000000</v>
      </c>
      <c r="R260" s="3" t="str">
        <f ca="1">IFERROR(__xludf.DUMMYFUNCTION("""COMPUTED_VALUE"""),"https://drive.google.com/open?id=Uy7UzAFQfJBAeoqpL1Hn")</f>
        <v>https://drive.google.com/open?id=Uy7UzAFQfJBAeoqpL1Hn</v>
      </c>
      <c r="S260" s="1">
        <f ca="1">IFERROR(__xludf.DUMMYFUNCTION("""COMPUTED_VALUE"""),60000000)</f>
        <v>60000000</v>
      </c>
      <c r="T260" s="1" t="str">
        <f ca="1">IFERROR(__xludf.DUMMYFUNCTION("""COMPUTED_VALUE"""),"Platinum")</f>
        <v>Platinum</v>
      </c>
      <c r="U260" s="1" t="str">
        <f ca="1">IFERROR(__xludf.DUMMYFUNCTION("""COMPUTED_VALUE"""),"Online")</f>
        <v>Online</v>
      </c>
    </row>
    <row r="261" spans="1:21" x14ac:dyDescent="0.25">
      <c r="A261" s="2" t="str">
        <f ca="1">IFERROR(__xludf.DUMMYFUNCTION("""COMPUTED_VALUE"""),"APP0260")</f>
        <v>APP0260</v>
      </c>
      <c r="B261" s="2">
        <f ca="1">IFERROR(__xludf.DUMMYFUNCTION("""COMPUTED_VALUE"""),45912.0360648148)</f>
        <v>45912.036064814798</v>
      </c>
      <c r="C261" s="1" t="str">
        <f ca="1">IFERROR(__xludf.DUMMYFUNCTION("""COMPUTED_VALUE"""),"Huỳnh Đức Trung")</f>
        <v>Huỳnh Đức Trung</v>
      </c>
      <c r="D261" s="1" t="str">
        <f ca="1">IFERROR(__xludf.DUMMYFUNCTION("""COMPUTED_VALUE"""),"03/03/1996")</f>
        <v>03/03/1996</v>
      </c>
      <c r="E261" s="1" t="str">
        <f ca="1">IFERROR(__xludf.DUMMYFUNCTION("""COMPUTED_VALUE"""),"Male")</f>
        <v>Male</v>
      </c>
      <c r="F261" s="1" t="str">
        <f ca="1">IFERROR(__xludf.DUMMYFUNCTION("""COMPUTED_VALUE"""),"Vietnam")</f>
        <v>Vietnam</v>
      </c>
      <c r="G261" s="1" t="str">
        <f ca="1">IFERROR(__xludf.DUMMYFUNCTION("""COMPUTED_VALUE"""),"0754012992")</f>
        <v>0754012992</v>
      </c>
      <c r="H261" s="1" t="str">
        <f ca="1">IFERROR(__xludf.DUMMYFUNCTION("""COMPUTED_VALUE"""),"huynhductrung@gmail.com")</f>
        <v>huynhductrung@gmail.com</v>
      </c>
      <c r="I261" s="1" t="str">
        <f ca="1">IFERROR(__xludf.DUMMYFUNCTION("""COMPUTED_VALUE"""),"95 Tran Hung Dao, Hoan Kiem, Can Tho, Viet Nam")</f>
        <v>95 Tran Hung Dao, Hoan Kiem, Can Tho, Viet Nam</v>
      </c>
      <c r="J261" s="1" t="str">
        <f ca="1">IFERROR(__xludf.DUMMYFUNCTION("""COMPUTED_VALUE"""),"092706788001")</f>
        <v>092706788001</v>
      </c>
      <c r="K261" s="3" t="str">
        <f ca="1">IFERROR(__xludf.DUMMYFUNCTION("""COMPUTED_VALUE"""),"https://drive.google.com/open?id=2CYpWSsR3eow2wKk9Se8")</f>
        <v>https://drive.google.com/open?id=2CYpWSsR3eow2wKk9Se8</v>
      </c>
      <c r="L261" s="3" t="str">
        <f ca="1">IFERROR(__xludf.DUMMYFUNCTION("""COMPUTED_VALUE"""),"https://drive.google.com/open?id=f3AqCqxgflgAn1lYscss")</f>
        <v>https://drive.google.com/open?id=f3AqCqxgflgAn1lYscss</v>
      </c>
      <c r="M261" s="1"/>
      <c r="N261" s="1"/>
      <c r="O261" s="1"/>
      <c r="P261" s="1" t="str">
        <f ca="1">IFERROR(__xludf.DUMMYFUNCTION("""COMPUTED_VALUE"""),"Contract")</f>
        <v>Contract</v>
      </c>
      <c r="Q261" s="1">
        <f ca="1">IFERROR(__xludf.DUMMYFUNCTION("""COMPUTED_VALUE"""),8000000)</f>
        <v>8000000</v>
      </c>
      <c r="R261" s="3" t="str">
        <f ca="1">IFERROR(__xludf.DUMMYFUNCTION("""COMPUTED_VALUE"""),"https://drive.google.com/open?id=taVWy3m8BoiZYgluBlMi")</f>
        <v>https://drive.google.com/open?id=taVWy3m8BoiZYgluBlMi</v>
      </c>
      <c r="S261" s="1">
        <f ca="1">IFERROR(__xludf.DUMMYFUNCTION("""COMPUTED_VALUE"""),24000000)</f>
        <v>24000000</v>
      </c>
      <c r="T261" s="1" t="str">
        <f ca="1">IFERROR(__xludf.DUMMYFUNCTION("""COMPUTED_VALUE"""),"Platinum")</f>
        <v>Platinum</v>
      </c>
      <c r="U261" s="1" t="str">
        <f ca="1">IFERROR(__xludf.DUMMYFUNCTION("""COMPUTED_VALUE"""),"Partner")</f>
        <v>Partner</v>
      </c>
    </row>
    <row r="262" spans="1:21" x14ac:dyDescent="0.25">
      <c r="A262" s="2" t="str">
        <f ca="1">IFERROR(__xludf.DUMMYFUNCTION("""COMPUTED_VALUE"""),"APP0261")</f>
        <v>APP0261</v>
      </c>
      <c r="B262" s="2">
        <f ca="1">IFERROR(__xludf.DUMMYFUNCTION("""COMPUTED_VALUE"""),45912.063599537)</f>
        <v>45912.063599537003</v>
      </c>
      <c r="C262" s="1" t="str">
        <f ca="1">IFERROR(__xludf.DUMMYFUNCTION("""COMPUTED_VALUE"""),"Phạm Ngọc Hiếu")</f>
        <v>Phạm Ngọc Hiếu</v>
      </c>
      <c r="D262" s="1" t="str">
        <f ca="1">IFERROR(__xludf.DUMMYFUNCTION("""COMPUTED_VALUE"""),"30/06/1996")</f>
        <v>30/06/1996</v>
      </c>
      <c r="E262" s="1" t="str">
        <f ca="1">IFERROR(__xludf.DUMMYFUNCTION("""COMPUTED_VALUE"""),"Male")</f>
        <v>Male</v>
      </c>
      <c r="F262" s="1" t="str">
        <f ca="1">IFERROR(__xludf.DUMMYFUNCTION("""COMPUTED_VALUE"""),"Vietnam")</f>
        <v>Vietnam</v>
      </c>
      <c r="G262" s="1" t="str">
        <f ca="1">IFERROR(__xludf.DUMMYFUNCTION("""COMPUTED_VALUE"""),"0846343203")</f>
        <v>0846343203</v>
      </c>
      <c r="H262" s="1" t="str">
        <f ca="1">IFERROR(__xludf.DUMMYFUNCTION("""COMPUTED_VALUE"""),"phamngochieu@gmail.com")</f>
        <v>phamngochieu@gmail.com</v>
      </c>
      <c r="I262" s="1" t="str">
        <f ca="1">IFERROR(__xludf.DUMMYFUNCTION("""COMPUTED_VALUE"""),"40 Le Loi, Quan 7, Can Tho, Viet Nam")</f>
        <v>40 Le Loi, Quan 7, Can Tho, Viet Nam</v>
      </c>
      <c r="J262" s="1" t="str">
        <f ca="1">IFERROR(__xludf.DUMMYFUNCTION("""COMPUTED_VALUE"""),"054476126854")</f>
        <v>054476126854</v>
      </c>
      <c r="K262" s="3" t="str">
        <f ca="1">IFERROR(__xludf.DUMMYFUNCTION("""COMPUTED_VALUE"""),"https://drive.google.com/open?id=DmEKaGFyRxvcs4xSrZrv")</f>
        <v>https://drive.google.com/open?id=DmEKaGFyRxvcs4xSrZrv</v>
      </c>
      <c r="L262" s="3" t="str">
        <f ca="1">IFERROR(__xludf.DUMMYFUNCTION("""COMPUTED_VALUE"""),"https://drive.google.com/open?id=OGrAXaauPjO78laZi8Ey")</f>
        <v>https://drive.google.com/open?id=OGrAXaauPjO78laZi8Ey</v>
      </c>
      <c r="M262" s="1"/>
      <c r="N262" s="1"/>
      <c r="O262" s="1"/>
      <c r="P262" s="1" t="str">
        <f ca="1">IFERROR(__xludf.DUMMYFUNCTION("""COMPUTED_VALUE"""),"Freelancer")</f>
        <v>Freelancer</v>
      </c>
      <c r="Q262" s="1">
        <f ca="1">IFERROR(__xludf.DUMMYFUNCTION("""COMPUTED_VALUE"""),8000000)</f>
        <v>8000000</v>
      </c>
      <c r="R262" s="3" t="str">
        <f ca="1">IFERROR(__xludf.DUMMYFUNCTION("""COMPUTED_VALUE"""),"https://drive.google.com/open?id=KJxU3Jk4PmC69BuLHlzy")</f>
        <v>https://drive.google.com/open?id=KJxU3Jk4PmC69BuLHlzy</v>
      </c>
      <c r="S262" s="1">
        <f ca="1">IFERROR(__xludf.DUMMYFUNCTION("""COMPUTED_VALUE"""),24000000)</f>
        <v>24000000</v>
      </c>
      <c r="T262" s="1" t="str">
        <f ca="1">IFERROR(__xludf.DUMMYFUNCTION("""COMPUTED_VALUE"""),"Platinum")</f>
        <v>Platinum</v>
      </c>
      <c r="U262" s="1" t="str">
        <f ca="1">IFERROR(__xludf.DUMMYFUNCTION("""COMPUTED_VALUE"""),"Online")</f>
        <v>Online</v>
      </c>
    </row>
    <row r="263" spans="1:21" x14ac:dyDescent="0.25">
      <c r="A263" s="2" t="str">
        <f ca="1">IFERROR(__xludf.DUMMYFUNCTION("""COMPUTED_VALUE"""),"APP0262")</f>
        <v>APP0262</v>
      </c>
      <c r="B263" s="2">
        <f ca="1">IFERROR(__xludf.DUMMYFUNCTION("""COMPUTED_VALUE"""),45912.1292824074)</f>
        <v>45912.129282407397</v>
      </c>
      <c r="C263" s="1" t="str">
        <f ca="1">IFERROR(__xludf.DUMMYFUNCTION("""COMPUTED_VALUE"""),"Đặng Hữu Yến")</f>
        <v>Đặng Hữu Yến</v>
      </c>
      <c r="D263" s="1" t="str">
        <f ca="1">IFERROR(__xludf.DUMMYFUNCTION("""COMPUTED_VALUE"""),"15/09/1996")</f>
        <v>15/09/1996</v>
      </c>
      <c r="E263" s="1" t="str">
        <f ca="1">IFERROR(__xludf.DUMMYFUNCTION("""COMPUTED_VALUE"""),"Female")</f>
        <v>Female</v>
      </c>
      <c r="F263" s="1" t="str">
        <f ca="1">IFERROR(__xludf.DUMMYFUNCTION("""COMPUTED_VALUE"""),"Vietnam")</f>
        <v>Vietnam</v>
      </c>
      <c r="G263" s="1" t="str">
        <f ca="1">IFERROR(__xludf.DUMMYFUNCTION("""COMPUTED_VALUE"""),"0747576250")</f>
        <v>0747576250</v>
      </c>
      <c r="H263" s="1" t="str">
        <f ca="1">IFERROR(__xludf.DUMMYFUNCTION("""COMPUTED_VALUE"""),"danghuuyen@gmail.com")</f>
        <v>danghuuyen@gmail.com</v>
      </c>
      <c r="I263" s="1" t="str">
        <f ca="1">IFERROR(__xludf.DUMMYFUNCTION("""COMPUTED_VALUE"""),"69 Ly Thuong Kiet, Quan 1, TP Ho Chi Minh, Viet Nam")</f>
        <v>69 Ly Thuong Kiet, Quan 1, TP Ho Chi Minh, Viet Nam</v>
      </c>
      <c r="J263" s="1" t="str">
        <f ca="1">IFERROR(__xludf.DUMMYFUNCTION("""COMPUTED_VALUE"""),"088276071461")</f>
        <v>088276071461</v>
      </c>
      <c r="K263" s="3" t="str">
        <f ca="1">IFERROR(__xludf.DUMMYFUNCTION("""COMPUTED_VALUE"""),"https://drive.google.com/open?id=N8MPgvWJdQfhkCrtJNa9")</f>
        <v>https://drive.google.com/open?id=N8MPgvWJdQfhkCrtJNa9</v>
      </c>
      <c r="L263" s="3" t="str">
        <f ca="1">IFERROR(__xludf.DUMMYFUNCTION("""COMPUTED_VALUE"""),"https://drive.google.com/open?id=OEDZqgdbItYHN1XybwEY")</f>
        <v>https://drive.google.com/open?id=OEDZqgdbItYHN1XybwEY</v>
      </c>
      <c r="M263" s="1"/>
      <c r="N263" s="1"/>
      <c r="O263" s="1"/>
      <c r="P263" s="1" t="str">
        <f ca="1">IFERROR(__xludf.DUMMYFUNCTION("""COMPUTED_VALUE"""),"Freelancer")</f>
        <v>Freelancer</v>
      </c>
      <c r="Q263" s="1">
        <f ca="1">IFERROR(__xludf.DUMMYFUNCTION("""COMPUTED_VALUE"""),20000000)</f>
        <v>20000000</v>
      </c>
      <c r="R263" s="3" t="str">
        <f ca="1">IFERROR(__xludf.DUMMYFUNCTION("""COMPUTED_VALUE"""),"https://drive.google.com/open?id=PmOwIUhZ0PAWsSzwv9vS")</f>
        <v>https://drive.google.com/open?id=PmOwIUhZ0PAWsSzwv9vS</v>
      </c>
      <c r="S263" s="1">
        <f ca="1">IFERROR(__xludf.DUMMYFUNCTION("""COMPUTED_VALUE"""),60000000)</f>
        <v>60000000</v>
      </c>
      <c r="T263" s="1" t="str">
        <f ca="1">IFERROR(__xludf.DUMMYFUNCTION("""COMPUTED_VALUE"""),"Gold")</f>
        <v>Gold</v>
      </c>
      <c r="U263" s="1" t="str">
        <f ca="1">IFERROR(__xludf.DUMMYFUNCTION("""COMPUTED_VALUE"""),"Branch")</f>
        <v>Branch</v>
      </c>
    </row>
    <row r="264" spans="1:21" x14ac:dyDescent="0.25">
      <c r="A264" s="2" t="str">
        <f ca="1">IFERROR(__xludf.DUMMYFUNCTION("""COMPUTED_VALUE"""),"APP0263")</f>
        <v>APP0263</v>
      </c>
      <c r="B264" s="2">
        <f ca="1">IFERROR(__xludf.DUMMYFUNCTION("""COMPUTED_VALUE"""),45912.1551273148)</f>
        <v>45912.1551273148</v>
      </c>
      <c r="C264" s="1" t="str">
        <f ca="1">IFERROR(__xludf.DUMMYFUNCTION("""COMPUTED_VALUE"""),"Hoàng Hữu Tú")</f>
        <v>Hoàng Hữu Tú</v>
      </c>
      <c r="D264" s="1" t="str">
        <f ca="1">IFERROR(__xludf.DUMMYFUNCTION("""COMPUTED_VALUE"""),"06/07/2004")</f>
        <v>06/07/2004</v>
      </c>
      <c r="E264" s="1" t="str">
        <f ca="1">IFERROR(__xludf.DUMMYFUNCTION("""COMPUTED_VALUE"""),"Male")</f>
        <v>Male</v>
      </c>
      <c r="F264" s="1" t="str">
        <f ca="1">IFERROR(__xludf.DUMMYFUNCTION("""COMPUTED_VALUE"""),"Vietnam")</f>
        <v>Vietnam</v>
      </c>
      <c r="G264" s="1" t="str">
        <f ca="1">IFERROR(__xludf.DUMMYFUNCTION("""COMPUTED_VALUE"""),"0852842979")</f>
        <v>0852842979</v>
      </c>
      <c r="H264" s="1" t="str">
        <f ca="1">IFERROR(__xludf.DUMMYFUNCTION("""COMPUTED_VALUE"""),"hoanghuutu@gmail.com")</f>
        <v>hoanghuutu@gmail.com</v>
      </c>
      <c r="I264" s="1" t="str">
        <f ca="1">IFERROR(__xludf.DUMMYFUNCTION("""COMPUTED_VALUE"""),"190 Ly Thuong Kiet, Quan 7, Da Nang, Viet Nam")</f>
        <v>190 Ly Thuong Kiet, Quan 7, Da Nang, Viet Nam</v>
      </c>
      <c r="J264" s="1" t="str">
        <f ca="1">IFERROR(__xludf.DUMMYFUNCTION("""COMPUTED_VALUE"""),"036915675865")</f>
        <v>036915675865</v>
      </c>
      <c r="K264" s="3" t="str">
        <f ca="1">IFERROR(__xludf.DUMMYFUNCTION("""COMPUTED_VALUE"""),"https://drive.google.com/open?id=uzxGUhYZ4bA4tQLGtpJk")</f>
        <v>https://drive.google.com/open?id=uzxGUhYZ4bA4tQLGtpJk</v>
      </c>
      <c r="L264" s="3" t="str">
        <f ca="1">IFERROR(__xludf.DUMMYFUNCTION("""COMPUTED_VALUE"""),"https://drive.google.com/open?id=0zwZWKfD9aPUhIeaNmoC")</f>
        <v>https://drive.google.com/open?id=0zwZWKfD9aPUhIeaNmoC</v>
      </c>
      <c r="M264" s="1"/>
      <c r="N264" s="1"/>
      <c r="O264" s="1"/>
      <c r="P264" s="1" t="str">
        <f ca="1">IFERROR(__xludf.DUMMYFUNCTION("""COMPUTED_VALUE"""),"Contract")</f>
        <v>Contract</v>
      </c>
      <c r="Q264" s="1">
        <f ca="1">IFERROR(__xludf.DUMMYFUNCTION("""COMPUTED_VALUE"""),12000000)</f>
        <v>12000000</v>
      </c>
      <c r="R264" s="3" t="str">
        <f ca="1">IFERROR(__xludf.DUMMYFUNCTION("""COMPUTED_VALUE"""),"https://drive.google.com/open?id=NVZMd9eC9J5DdZsX9mMd")</f>
        <v>https://drive.google.com/open?id=NVZMd9eC9J5DdZsX9mMd</v>
      </c>
      <c r="S264" s="1">
        <f ca="1">IFERROR(__xludf.DUMMYFUNCTION("""COMPUTED_VALUE"""),24000000)</f>
        <v>24000000</v>
      </c>
      <c r="T264" s="1" t="str">
        <f ca="1">IFERROR(__xludf.DUMMYFUNCTION("""COMPUTED_VALUE"""),"Gold")</f>
        <v>Gold</v>
      </c>
      <c r="U264" s="1" t="str">
        <f ca="1">IFERROR(__xludf.DUMMYFUNCTION("""COMPUTED_VALUE"""),"Branch")</f>
        <v>Branch</v>
      </c>
    </row>
    <row r="265" spans="1:21" x14ac:dyDescent="0.25">
      <c r="A265" s="2" t="str">
        <f ca="1">IFERROR(__xludf.DUMMYFUNCTION("""COMPUTED_VALUE"""),"APP0264")</f>
        <v>APP0264</v>
      </c>
      <c r="B265" s="2">
        <f ca="1">IFERROR(__xludf.DUMMYFUNCTION("""COMPUTED_VALUE"""),45912.1622222222)</f>
        <v>45912.162222222199</v>
      </c>
      <c r="C265" s="1" t="str">
        <f ca="1">IFERROR(__xludf.DUMMYFUNCTION("""COMPUTED_VALUE"""),"Huỳnh Văn Hà")</f>
        <v>Huỳnh Văn Hà</v>
      </c>
      <c r="D265" s="1" t="str">
        <f ca="1">IFERROR(__xludf.DUMMYFUNCTION("""COMPUTED_VALUE"""),"29/11/1985")</f>
        <v>29/11/1985</v>
      </c>
      <c r="E265" s="1" t="str">
        <f ca="1">IFERROR(__xludf.DUMMYFUNCTION("""COMPUTED_VALUE"""),"Female")</f>
        <v>Female</v>
      </c>
      <c r="F265" s="1" t="str">
        <f ca="1">IFERROR(__xludf.DUMMYFUNCTION("""COMPUTED_VALUE"""),"Vietnam")</f>
        <v>Vietnam</v>
      </c>
      <c r="G265" s="1" t="str">
        <f ca="1">IFERROR(__xludf.DUMMYFUNCTION("""COMPUTED_VALUE"""),"0934867066")</f>
        <v>0934867066</v>
      </c>
      <c r="H265" s="1" t="str">
        <f ca="1">IFERROR(__xludf.DUMMYFUNCTION("""COMPUTED_VALUE"""),"huynhvanha@gmail.com")</f>
        <v>huynhvanha@gmail.com</v>
      </c>
      <c r="I265" s="1" t="str">
        <f ca="1">IFERROR(__xludf.DUMMYFUNCTION("""COMPUTED_VALUE"""),"163 Nguyen Trai, Dong Da, TP Ho Chi Minh, Viet Nam")</f>
        <v>163 Nguyen Trai, Dong Da, TP Ho Chi Minh, Viet Nam</v>
      </c>
      <c r="J265" s="1" t="str">
        <f ca="1">IFERROR(__xludf.DUMMYFUNCTION("""COMPUTED_VALUE"""),"036227998557")</f>
        <v>036227998557</v>
      </c>
      <c r="K265" s="3" t="str">
        <f ca="1">IFERROR(__xludf.DUMMYFUNCTION("""COMPUTED_VALUE"""),"https://drive.google.com/open?id=fr1ZbG0sAJz22lvlnN5D")</f>
        <v>https://drive.google.com/open?id=fr1ZbG0sAJz22lvlnN5D</v>
      </c>
      <c r="L265" s="3" t="str">
        <f ca="1">IFERROR(__xludf.DUMMYFUNCTION("""COMPUTED_VALUE"""),"https://drive.google.com/open?id=IoU6pLYp1xaGGP76ouFw")</f>
        <v>https://drive.google.com/open?id=IoU6pLYp1xaGGP76ouFw</v>
      </c>
      <c r="M265" s="1"/>
      <c r="N265" s="1"/>
      <c r="O265" s="1"/>
      <c r="P265" s="1" t="str">
        <f ca="1">IFERROR(__xludf.DUMMYFUNCTION("""COMPUTED_VALUE"""),"Contract")</f>
        <v>Contract</v>
      </c>
      <c r="Q265" s="1">
        <f ca="1">IFERROR(__xludf.DUMMYFUNCTION("""COMPUTED_VALUE"""),20000000)</f>
        <v>20000000</v>
      </c>
      <c r="R265" s="3" t="str">
        <f ca="1">IFERROR(__xludf.DUMMYFUNCTION("""COMPUTED_VALUE"""),"https://drive.google.com/open?id=WVPDs4JhBOgyxVGNHVEx")</f>
        <v>https://drive.google.com/open?id=WVPDs4JhBOgyxVGNHVEx</v>
      </c>
      <c r="S265" s="1">
        <f ca="1">IFERROR(__xludf.DUMMYFUNCTION("""COMPUTED_VALUE"""),60000000)</f>
        <v>60000000</v>
      </c>
      <c r="T265" s="1" t="str">
        <f ca="1">IFERROR(__xludf.DUMMYFUNCTION("""COMPUTED_VALUE"""),"Classic")</f>
        <v>Classic</v>
      </c>
      <c r="U265" s="1" t="str">
        <f ca="1">IFERROR(__xludf.DUMMYFUNCTION("""COMPUTED_VALUE"""),"Branch")</f>
        <v>Branch</v>
      </c>
    </row>
    <row r="266" spans="1:21" x14ac:dyDescent="0.25">
      <c r="A266" s="2" t="str">
        <f ca="1">IFERROR(__xludf.DUMMYFUNCTION("""COMPUTED_VALUE"""),"APP0265")</f>
        <v>APP0265</v>
      </c>
      <c r="B266" s="2">
        <f ca="1">IFERROR(__xludf.DUMMYFUNCTION("""COMPUTED_VALUE"""),45912.2060648148)</f>
        <v>45912.206064814804</v>
      </c>
      <c r="C266" s="1" t="str">
        <f ca="1">IFERROR(__xludf.DUMMYFUNCTION("""COMPUTED_VALUE"""),"Philip Farmer")</f>
        <v>Philip Farmer</v>
      </c>
      <c r="D266" s="1" t="str">
        <f ca="1">IFERROR(__xludf.DUMMYFUNCTION("""COMPUTED_VALUE"""),"29/05/1980")</f>
        <v>29/05/1980</v>
      </c>
      <c r="E266" s="1" t="str">
        <f ca="1">IFERROR(__xludf.DUMMYFUNCTION("""COMPUTED_VALUE"""),"Male")</f>
        <v>Male</v>
      </c>
      <c r="F266" s="1" t="str">
        <f ca="1">IFERROR(__xludf.DUMMYFUNCTION("""COMPUTED_VALUE"""),"Other")</f>
        <v>Other</v>
      </c>
      <c r="G266" s="1" t="str">
        <f ca="1">IFERROR(__xludf.DUMMYFUNCTION("""COMPUTED_VALUE"""),"+91 6558583772")</f>
        <v>+91 6558583772</v>
      </c>
      <c r="H266" s="1" t="str">
        <f ca="1">IFERROR(__xludf.DUMMYFUNCTION("""COMPUTED_VALUE"""),"philipfarmer@gmail.com")</f>
        <v>philipfarmer@gmail.com</v>
      </c>
      <c r="I266" s="1" t="str">
        <f ca="1">IFERROR(__xludf.DUMMYFUNCTION("""COMPUTED_VALUE"""),"4535 Claudia Springs, Glorialand, AL 14431")</f>
        <v>4535 Claudia Springs, Glorialand, AL 14431</v>
      </c>
      <c r="J266" s="1"/>
      <c r="K266" s="1"/>
      <c r="L266" s="1"/>
      <c r="M266" s="1" t="str">
        <f ca="1">IFERROR(__xludf.DUMMYFUNCTION("""COMPUTED_VALUE"""),"fj789026")</f>
        <v>fj789026</v>
      </c>
      <c r="N266" s="3" t="str">
        <f ca="1">IFERROR(__xludf.DUMMYFUNCTION("""COMPUTED_VALUE"""),"https://drive.google.com/open?id=xQvAxPven1ZGAFzNxAMY")</f>
        <v>https://drive.google.com/open?id=xQvAxPven1ZGAFzNxAMY</v>
      </c>
      <c r="O266" s="3" t="str">
        <f ca="1">IFERROR(__xludf.DUMMYFUNCTION("""COMPUTED_VALUE"""),"https://drive.google.com/open?id=ibnKOmUxmyIBNbgUMl03")</f>
        <v>https://drive.google.com/open?id=ibnKOmUxmyIBNbgUMl03</v>
      </c>
      <c r="P266" s="1" t="str">
        <f ca="1">IFERROR(__xludf.DUMMYFUNCTION("""COMPUTED_VALUE"""),"Self-employed")</f>
        <v>Self-employed</v>
      </c>
      <c r="Q266" s="1">
        <f ca="1">IFERROR(__xludf.DUMMYFUNCTION("""COMPUTED_VALUE"""),8000000)</f>
        <v>8000000</v>
      </c>
      <c r="R266" s="3" t="str">
        <f ca="1">IFERROR(__xludf.DUMMYFUNCTION("""COMPUTED_VALUE"""),"https://drive.google.com/open?id=Ozk3DncnybTygkVBhYwX")</f>
        <v>https://drive.google.com/open?id=Ozk3DncnybTygkVBhYwX</v>
      </c>
      <c r="S266" s="1">
        <f ca="1">IFERROR(__xludf.DUMMYFUNCTION("""COMPUTED_VALUE"""),24000000)</f>
        <v>24000000</v>
      </c>
      <c r="T266" s="1" t="str">
        <f ca="1">IFERROR(__xludf.DUMMYFUNCTION("""COMPUTED_VALUE"""),"Platinum")</f>
        <v>Platinum</v>
      </c>
      <c r="U266" s="1" t="str">
        <f ca="1">IFERROR(__xludf.DUMMYFUNCTION("""COMPUTED_VALUE"""),"Partner")</f>
        <v>Partner</v>
      </c>
    </row>
    <row r="267" spans="1:21" x14ac:dyDescent="0.25">
      <c r="A267" s="2" t="str">
        <f ca="1">IFERROR(__xludf.DUMMYFUNCTION("""COMPUTED_VALUE"""),"APP0266")</f>
        <v>APP0266</v>
      </c>
      <c r="B267" s="2">
        <f ca="1">IFERROR(__xludf.DUMMYFUNCTION("""COMPUTED_VALUE"""),45912.2142361111)</f>
        <v>45912.214236111096</v>
      </c>
      <c r="C267" s="1" t="str">
        <f ca="1">IFERROR(__xludf.DUMMYFUNCTION("""COMPUTED_VALUE"""),"Vũ Ngọc Hà")</f>
        <v>Vũ Ngọc Hà</v>
      </c>
      <c r="D267" s="1" t="str">
        <f ca="1">IFERROR(__xludf.DUMMYFUNCTION("""COMPUTED_VALUE"""),"14/08/1968")</f>
        <v>14/08/1968</v>
      </c>
      <c r="E267" s="1" t="str">
        <f ca="1">IFERROR(__xludf.DUMMYFUNCTION("""COMPUTED_VALUE"""),"Female")</f>
        <v>Female</v>
      </c>
      <c r="F267" s="1" t="str">
        <f ca="1">IFERROR(__xludf.DUMMYFUNCTION("""COMPUTED_VALUE"""),"Vietnam")</f>
        <v>Vietnam</v>
      </c>
      <c r="G267" s="1" t="str">
        <f ca="1">IFERROR(__xludf.DUMMYFUNCTION("""COMPUTED_VALUE"""),"0915707706")</f>
        <v>0915707706</v>
      </c>
      <c r="H267" s="1" t="str">
        <f ca="1">IFERROR(__xludf.DUMMYFUNCTION("""COMPUTED_VALUE"""),"vungocha@gmail.com")</f>
        <v>vungocha@gmail.com</v>
      </c>
      <c r="I267" s="1" t="str">
        <f ca="1">IFERROR(__xludf.DUMMYFUNCTION("""COMPUTED_VALUE"""),"194 Pham Van Dong, Hai Chau, Can Tho, Viet Nam")</f>
        <v>194 Pham Van Dong, Hai Chau, Can Tho, Viet Nam</v>
      </c>
      <c r="J267" s="1" t="str">
        <f ca="1">IFERROR(__xludf.DUMMYFUNCTION("""COMPUTED_VALUE"""),"084308832233")</f>
        <v>084308832233</v>
      </c>
      <c r="K267" s="3" t="str">
        <f ca="1">IFERROR(__xludf.DUMMYFUNCTION("""COMPUTED_VALUE"""),"https://drive.google.com/open?id=ZjPkxU95qgslQMeonVWK")</f>
        <v>https://drive.google.com/open?id=ZjPkxU95qgslQMeonVWK</v>
      </c>
      <c r="L267" s="3" t="str">
        <f ca="1">IFERROR(__xludf.DUMMYFUNCTION("""COMPUTED_VALUE"""),"https://drive.google.com/open?id=XSvxFPc80Xkz0lS1ElkS")</f>
        <v>https://drive.google.com/open?id=XSvxFPc80Xkz0lS1ElkS</v>
      </c>
      <c r="M267" s="1"/>
      <c r="N267" s="1"/>
      <c r="O267" s="1"/>
      <c r="P267" s="1" t="str">
        <f ca="1">IFERROR(__xludf.DUMMYFUNCTION("""COMPUTED_VALUE"""),"Full-time")</f>
        <v>Full-time</v>
      </c>
      <c r="Q267" s="1">
        <f ca="1">IFERROR(__xludf.DUMMYFUNCTION("""COMPUTED_VALUE"""),8000000)</f>
        <v>8000000</v>
      </c>
      <c r="R267" s="3" t="str">
        <f ca="1">IFERROR(__xludf.DUMMYFUNCTION("""COMPUTED_VALUE"""),"https://drive.google.com/open?id=ILP0ENoz3RotEgZrIIc1")</f>
        <v>https://drive.google.com/open?id=ILP0ENoz3RotEgZrIIc1</v>
      </c>
      <c r="S267" s="1">
        <f ca="1">IFERROR(__xludf.DUMMYFUNCTION("""COMPUTED_VALUE"""),24000000)</f>
        <v>24000000</v>
      </c>
      <c r="T267" s="1" t="str">
        <f ca="1">IFERROR(__xludf.DUMMYFUNCTION("""COMPUTED_VALUE"""),"Platinum")</f>
        <v>Platinum</v>
      </c>
      <c r="U267" s="1" t="str">
        <f ca="1">IFERROR(__xludf.DUMMYFUNCTION("""COMPUTED_VALUE"""),"Branch")</f>
        <v>Branch</v>
      </c>
    </row>
    <row r="268" spans="1:21" x14ac:dyDescent="0.25">
      <c r="A268" s="2" t="str">
        <f ca="1">IFERROR(__xludf.DUMMYFUNCTION("""COMPUTED_VALUE"""),"APP0267")</f>
        <v>APP0267</v>
      </c>
      <c r="B268" s="2">
        <f ca="1">IFERROR(__xludf.DUMMYFUNCTION("""COMPUTED_VALUE"""),45912.2503703703)</f>
        <v>45912.250370370297</v>
      </c>
      <c r="C268" s="1" t="str">
        <f ca="1">IFERROR(__xludf.DUMMYFUNCTION("""COMPUTED_VALUE"""),"Đặng Minh Phúc")</f>
        <v>Đặng Minh Phúc</v>
      </c>
      <c r="D268" s="1" t="str">
        <f ca="1">IFERROR(__xludf.DUMMYFUNCTION("""COMPUTED_VALUE"""),"13/10/1964")</f>
        <v>13/10/1964</v>
      </c>
      <c r="E268" s="1" t="str">
        <f ca="1">IFERROR(__xludf.DUMMYFUNCTION("""COMPUTED_VALUE"""),"Male")</f>
        <v>Male</v>
      </c>
      <c r="F268" s="1" t="str">
        <f ca="1">IFERROR(__xludf.DUMMYFUNCTION("""COMPUTED_VALUE"""),"Vietnam")</f>
        <v>Vietnam</v>
      </c>
      <c r="G268" s="1" t="str">
        <f ca="1">IFERROR(__xludf.DUMMYFUNCTION("""COMPUTED_VALUE"""),"0976445315")</f>
        <v>0976445315</v>
      </c>
      <c r="H268" s="1" t="str">
        <f ca="1">IFERROR(__xludf.DUMMYFUNCTION("""COMPUTED_VALUE"""),"dangminhphuc@gmail.com")</f>
        <v>dangminhphuc@gmail.com</v>
      </c>
      <c r="I268" s="1" t="str">
        <f ca="1">IFERROR(__xludf.DUMMYFUNCTION("""COMPUTED_VALUE"""),"197 Nguyen Hue, Dong Da, Da Nang, Viet Nam")</f>
        <v>197 Nguyen Hue, Dong Da, Da Nang, Viet Nam</v>
      </c>
      <c r="J268" s="1" t="str">
        <f ca="1">IFERROR(__xludf.DUMMYFUNCTION("""COMPUTED_VALUE"""),"036898180978")</f>
        <v>036898180978</v>
      </c>
      <c r="K268" s="3" t="str">
        <f ca="1">IFERROR(__xludf.DUMMYFUNCTION("""COMPUTED_VALUE"""),"https://drive.google.com/open?id=shojjk0Hj1RYFufKPMcN")</f>
        <v>https://drive.google.com/open?id=shojjk0Hj1RYFufKPMcN</v>
      </c>
      <c r="L268" s="3" t="str">
        <f ca="1">IFERROR(__xludf.DUMMYFUNCTION("""COMPUTED_VALUE"""),"https://drive.google.com/open?id=3n4j1hUMN1pjiaeZggYS")</f>
        <v>https://drive.google.com/open?id=3n4j1hUMN1pjiaeZggYS</v>
      </c>
      <c r="M268" s="1"/>
      <c r="N268" s="1"/>
      <c r="O268" s="1"/>
      <c r="P268" s="1" t="str">
        <f ca="1">IFERROR(__xludf.DUMMYFUNCTION("""COMPUTED_VALUE"""),"Contract")</f>
        <v>Contract</v>
      </c>
      <c r="Q268" s="1">
        <f ca="1">IFERROR(__xludf.DUMMYFUNCTION("""COMPUTED_VALUE"""),50000000)</f>
        <v>50000000</v>
      </c>
      <c r="R268" s="3" t="str">
        <f ca="1">IFERROR(__xludf.DUMMYFUNCTION("""COMPUTED_VALUE"""),"https://drive.google.com/open?id=3Ge9x9muCxtP1p5sMlHg")</f>
        <v>https://drive.google.com/open?id=3Ge9x9muCxtP1p5sMlHg</v>
      </c>
      <c r="S268" s="1">
        <f ca="1">IFERROR(__xludf.DUMMYFUNCTION("""COMPUTED_VALUE"""),100000000)</f>
        <v>100000000</v>
      </c>
      <c r="T268" s="1" t="str">
        <f ca="1">IFERROR(__xludf.DUMMYFUNCTION("""COMPUTED_VALUE"""),"Platinum")</f>
        <v>Platinum</v>
      </c>
      <c r="U268" s="1" t="str">
        <f ca="1">IFERROR(__xludf.DUMMYFUNCTION("""COMPUTED_VALUE"""),"Branch")</f>
        <v>Branch</v>
      </c>
    </row>
    <row r="269" spans="1:21" x14ac:dyDescent="0.25">
      <c r="A269" s="2" t="str">
        <f ca="1">IFERROR(__xludf.DUMMYFUNCTION("""COMPUTED_VALUE"""),"APP0268")</f>
        <v>APP0268</v>
      </c>
      <c r="B269" s="2">
        <f ca="1">IFERROR(__xludf.DUMMYFUNCTION("""COMPUTED_VALUE"""),45912.2524305555)</f>
        <v>45912.252430555498</v>
      </c>
      <c r="C269" s="1" t="str">
        <f ca="1">IFERROR(__xludf.DUMMYFUNCTION("""COMPUTED_VALUE"""),"Bùi Minh Phúc")</f>
        <v>Bùi Minh Phúc</v>
      </c>
      <c r="D269" s="1" t="str">
        <f ca="1">IFERROR(__xludf.DUMMYFUNCTION("""COMPUTED_VALUE"""),"18/09/1992")</f>
        <v>18/09/1992</v>
      </c>
      <c r="E269" s="1" t="str">
        <f ca="1">IFERROR(__xludf.DUMMYFUNCTION("""COMPUTED_VALUE"""),"Female")</f>
        <v>Female</v>
      </c>
      <c r="F269" s="1" t="str">
        <f ca="1">IFERROR(__xludf.DUMMYFUNCTION("""COMPUTED_VALUE"""),"Vietnam")</f>
        <v>Vietnam</v>
      </c>
      <c r="G269" s="1" t="str">
        <f ca="1">IFERROR(__xludf.DUMMYFUNCTION("""COMPUTED_VALUE"""),"0965945856")</f>
        <v>0965945856</v>
      </c>
      <c r="H269" s="1" t="str">
        <f ca="1">IFERROR(__xludf.DUMMYFUNCTION("""COMPUTED_VALUE"""),"buiminhphuc@gmail.com")</f>
        <v>buiminhphuc@gmail.com</v>
      </c>
      <c r="I269" s="1" t="str">
        <f ca="1">IFERROR(__xludf.DUMMYFUNCTION("""COMPUTED_VALUE"""),"41 Tran Hung Dao, Hoan Kiem, Can Tho, Viet Nam")</f>
        <v>41 Tran Hung Dao, Hoan Kiem, Can Tho, Viet Nam</v>
      </c>
      <c r="J269" s="1" t="str">
        <f ca="1">IFERROR(__xludf.DUMMYFUNCTION("""COMPUTED_VALUE"""),"039278841689")</f>
        <v>039278841689</v>
      </c>
      <c r="K269" s="3" t="str">
        <f ca="1">IFERROR(__xludf.DUMMYFUNCTION("""COMPUTED_VALUE"""),"https://drive.google.com/open?id=jsDCUkWegt72JhfwMw7r")</f>
        <v>https://drive.google.com/open?id=jsDCUkWegt72JhfwMw7r</v>
      </c>
      <c r="L269" s="3" t="str">
        <f ca="1">IFERROR(__xludf.DUMMYFUNCTION("""COMPUTED_VALUE"""),"https://drive.google.com/open?id=4LHR6BCuUMKfBsjnOyS2")</f>
        <v>https://drive.google.com/open?id=4LHR6BCuUMKfBsjnOyS2</v>
      </c>
      <c r="M269" s="1"/>
      <c r="N269" s="1"/>
      <c r="O269" s="1"/>
      <c r="P269" s="1" t="str">
        <f ca="1">IFERROR(__xludf.DUMMYFUNCTION("""COMPUTED_VALUE"""),"Freelancer")</f>
        <v>Freelancer</v>
      </c>
      <c r="Q269" s="1">
        <f ca="1">IFERROR(__xludf.DUMMYFUNCTION("""COMPUTED_VALUE"""),12000000)</f>
        <v>12000000</v>
      </c>
      <c r="R269" s="3" t="str">
        <f ca="1">IFERROR(__xludf.DUMMYFUNCTION("""COMPUTED_VALUE"""),"https://drive.google.com/open?id=zp1SbdwICbocR4iTJaUa")</f>
        <v>https://drive.google.com/open?id=zp1SbdwICbocR4iTJaUa</v>
      </c>
      <c r="S269" s="1">
        <f ca="1">IFERROR(__xludf.DUMMYFUNCTION("""COMPUTED_VALUE"""),60000000)</f>
        <v>60000000</v>
      </c>
      <c r="T269" s="1" t="str">
        <f ca="1">IFERROR(__xludf.DUMMYFUNCTION("""COMPUTED_VALUE"""),"Platinum")</f>
        <v>Platinum</v>
      </c>
      <c r="U269" s="1" t="str">
        <f ca="1">IFERROR(__xludf.DUMMYFUNCTION("""COMPUTED_VALUE"""),"Partner")</f>
        <v>Partner</v>
      </c>
    </row>
    <row r="270" spans="1:21" x14ac:dyDescent="0.25">
      <c r="A270" s="2" t="str">
        <f ca="1">IFERROR(__xludf.DUMMYFUNCTION("""COMPUTED_VALUE"""),"APP0269")</f>
        <v>APP0269</v>
      </c>
      <c r="B270" s="2">
        <f ca="1">IFERROR(__xludf.DUMMYFUNCTION("""COMPUTED_VALUE"""),45912.2991203703)</f>
        <v>45912.299120370299</v>
      </c>
      <c r="C270" s="1" t="str">
        <f ca="1">IFERROR(__xludf.DUMMYFUNCTION("""COMPUTED_VALUE"""),"Duane King")</f>
        <v>Duane King</v>
      </c>
      <c r="D270" s="1" t="str">
        <f ca="1">IFERROR(__xludf.DUMMYFUNCTION("""COMPUTED_VALUE"""),"08/11/1979")</f>
        <v>08/11/1979</v>
      </c>
      <c r="E270" s="1" t="str">
        <f ca="1">IFERROR(__xludf.DUMMYFUNCTION("""COMPUTED_VALUE"""),"Male")</f>
        <v>Male</v>
      </c>
      <c r="F270" s="1" t="str">
        <f ca="1">IFERROR(__xludf.DUMMYFUNCTION("""COMPUTED_VALUE"""),"Other")</f>
        <v>Other</v>
      </c>
      <c r="G270" s="1" t="str">
        <f ca="1">IFERROR(__xludf.DUMMYFUNCTION("""COMPUTED_VALUE"""),"+61 5549918291")</f>
        <v>+61 5549918291</v>
      </c>
      <c r="H270" s="1" t="str">
        <f ca="1">IFERROR(__xludf.DUMMYFUNCTION("""COMPUTED_VALUE"""),"duaneking@gmail.com")</f>
        <v>duaneking@gmail.com</v>
      </c>
      <c r="I270" s="1" t="str">
        <f ca="1">IFERROR(__xludf.DUMMYFUNCTION("""COMPUTED_VALUE"""),"8342 Cortez Overpass, Wallacestad, SC 69149")</f>
        <v>8342 Cortez Overpass, Wallacestad, SC 69149</v>
      </c>
      <c r="J270" s="1"/>
      <c r="K270" s="1"/>
      <c r="L270" s="1"/>
      <c r="M270" s="1" t="str">
        <f ca="1">IFERROR(__xludf.DUMMYFUNCTION("""COMPUTED_VALUE"""),"KM796613")</f>
        <v>KM796613</v>
      </c>
      <c r="N270" s="3" t="str">
        <f ca="1">IFERROR(__xludf.DUMMYFUNCTION("""COMPUTED_VALUE"""),"https://drive.google.com/open?id=XPp5hF9bIGXQcigzN4WA")</f>
        <v>https://drive.google.com/open?id=XPp5hF9bIGXQcigzN4WA</v>
      </c>
      <c r="O270" s="3" t="str">
        <f ca="1">IFERROR(__xludf.DUMMYFUNCTION("""COMPUTED_VALUE"""),"https://drive.google.com/open?id=I1cSfmiD8hNa5tuwmFxh")</f>
        <v>https://drive.google.com/open?id=I1cSfmiD8hNa5tuwmFxh</v>
      </c>
      <c r="P270" s="1" t="str">
        <f ca="1">IFERROR(__xludf.DUMMYFUNCTION("""COMPUTED_VALUE"""),"Freelancer")</f>
        <v>Freelancer</v>
      </c>
      <c r="Q270" s="1">
        <f ca="1">IFERROR(__xludf.DUMMYFUNCTION("""COMPUTED_VALUE"""),12000000)</f>
        <v>12000000</v>
      </c>
      <c r="R270" s="3" t="str">
        <f ca="1">IFERROR(__xludf.DUMMYFUNCTION("""COMPUTED_VALUE"""),"https://drive.google.com/open?id=KinQWFTVTGnd1xggL159")</f>
        <v>https://drive.google.com/open?id=KinQWFTVTGnd1xggL159</v>
      </c>
      <c r="S270" s="1">
        <f ca="1">IFERROR(__xludf.DUMMYFUNCTION("""COMPUTED_VALUE"""),60000000)</f>
        <v>60000000</v>
      </c>
      <c r="T270" s="1" t="str">
        <f ca="1">IFERROR(__xludf.DUMMYFUNCTION("""COMPUTED_VALUE"""),"Platinum")</f>
        <v>Platinum</v>
      </c>
      <c r="U270" s="1" t="str">
        <f ca="1">IFERROR(__xludf.DUMMYFUNCTION("""COMPUTED_VALUE"""),"Online")</f>
        <v>Online</v>
      </c>
    </row>
    <row r="271" spans="1:21" x14ac:dyDescent="0.25">
      <c r="A271" s="2" t="str">
        <f ca="1">IFERROR(__xludf.DUMMYFUNCTION("""COMPUTED_VALUE"""),"APP0270")</f>
        <v>APP0270</v>
      </c>
      <c r="B271" s="2">
        <f ca="1">IFERROR(__xludf.DUMMYFUNCTION("""COMPUTED_VALUE"""),45912.3687152777)</f>
        <v>45912.368715277698</v>
      </c>
      <c r="C271" s="1" t="str">
        <f ca="1">IFERROR(__xludf.DUMMYFUNCTION("""COMPUTED_VALUE"""),"Vũ Văn An")</f>
        <v>Vũ Văn An</v>
      </c>
      <c r="D271" s="1" t="str">
        <f ca="1">IFERROR(__xludf.DUMMYFUNCTION("""COMPUTED_VALUE"""),"04/11/1980")</f>
        <v>04/11/1980</v>
      </c>
      <c r="E271" s="1" t="str">
        <f ca="1">IFERROR(__xludf.DUMMYFUNCTION("""COMPUTED_VALUE"""),"Female")</f>
        <v>Female</v>
      </c>
      <c r="F271" s="1" t="str">
        <f ca="1">IFERROR(__xludf.DUMMYFUNCTION("""COMPUTED_VALUE"""),"Vietnam")</f>
        <v>Vietnam</v>
      </c>
      <c r="G271" s="1" t="str">
        <f ca="1">IFERROR(__xludf.DUMMYFUNCTION("""COMPUTED_VALUE"""),"0890272584")</f>
        <v>0890272584</v>
      </c>
      <c r="H271" s="1" t="str">
        <f ca="1">IFERROR(__xludf.DUMMYFUNCTION("""COMPUTED_VALUE"""),"vuvanan@gmail.com")</f>
        <v>vuvanan@gmail.com</v>
      </c>
      <c r="I271" s="1" t="str">
        <f ca="1">IFERROR(__xludf.DUMMYFUNCTION("""COMPUTED_VALUE"""),"90 Tran Hung Dao, Dong Da, Da Nang, Viet Nam")</f>
        <v>90 Tran Hung Dao, Dong Da, Da Nang, Viet Nam</v>
      </c>
      <c r="J271" s="1" t="str">
        <f ca="1">IFERROR(__xludf.DUMMYFUNCTION("""COMPUTED_VALUE"""),"047464887938")</f>
        <v>047464887938</v>
      </c>
      <c r="K271" s="3" t="str">
        <f ca="1">IFERROR(__xludf.DUMMYFUNCTION("""COMPUTED_VALUE"""),"https://drive.google.com/open?id=kwGhIjV6QLrzlcGnLaX6")</f>
        <v>https://drive.google.com/open?id=kwGhIjV6QLrzlcGnLaX6</v>
      </c>
      <c r="L271" s="3" t="str">
        <f ca="1">IFERROR(__xludf.DUMMYFUNCTION("""COMPUTED_VALUE"""),"https://drive.google.com/open?id=CoVej0O18VEtd15vo5UF")</f>
        <v>https://drive.google.com/open?id=CoVej0O18VEtd15vo5UF</v>
      </c>
      <c r="M271" s="1"/>
      <c r="N271" s="1"/>
      <c r="O271" s="1"/>
      <c r="P271" s="1" t="str">
        <f ca="1">IFERROR(__xludf.DUMMYFUNCTION("""COMPUTED_VALUE"""),"Part-time")</f>
        <v>Part-time</v>
      </c>
      <c r="Q271" s="1">
        <f ca="1">IFERROR(__xludf.DUMMYFUNCTION("""COMPUTED_VALUE"""),20000000)</f>
        <v>20000000</v>
      </c>
      <c r="R271" s="3" t="str">
        <f ca="1">IFERROR(__xludf.DUMMYFUNCTION("""COMPUTED_VALUE"""),"https://drive.google.com/open?id=WZ2AosQm2xxGsZhbgq7E")</f>
        <v>https://drive.google.com/open?id=WZ2AosQm2xxGsZhbgq7E</v>
      </c>
      <c r="S271" s="1">
        <f ca="1">IFERROR(__xludf.DUMMYFUNCTION("""COMPUTED_VALUE"""),100000000)</f>
        <v>100000000</v>
      </c>
      <c r="T271" s="1" t="str">
        <f ca="1">IFERROR(__xludf.DUMMYFUNCTION("""COMPUTED_VALUE"""),"Platinum")</f>
        <v>Platinum</v>
      </c>
      <c r="U271" s="1" t="str">
        <f ca="1">IFERROR(__xludf.DUMMYFUNCTION("""COMPUTED_VALUE"""),"Branch")</f>
        <v>Branch</v>
      </c>
    </row>
    <row r="272" spans="1:21" x14ac:dyDescent="0.25">
      <c r="A272" s="2" t="str">
        <f ca="1">IFERROR(__xludf.DUMMYFUNCTION("""COMPUTED_VALUE"""),"APP0271")</f>
        <v>APP0271</v>
      </c>
      <c r="B272" s="2">
        <f ca="1">IFERROR(__xludf.DUMMYFUNCTION("""COMPUTED_VALUE"""),45912.6424652777)</f>
        <v>45912.642465277699</v>
      </c>
      <c r="C272" s="1" t="str">
        <f ca="1">IFERROR(__xludf.DUMMYFUNCTION("""COMPUTED_VALUE"""),"Dương Ngọc Phong")</f>
        <v>Dương Ngọc Phong</v>
      </c>
      <c r="D272" s="1" t="str">
        <f ca="1">IFERROR(__xludf.DUMMYFUNCTION("""COMPUTED_VALUE"""),"14/01/1965")</f>
        <v>14/01/1965</v>
      </c>
      <c r="E272" s="1" t="str">
        <f ca="1">IFERROR(__xludf.DUMMYFUNCTION("""COMPUTED_VALUE"""),"Male")</f>
        <v>Male</v>
      </c>
      <c r="F272" s="1" t="str">
        <f ca="1">IFERROR(__xludf.DUMMYFUNCTION("""COMPUTED_VALUE"""),"Vietnam")</f>
        <v>Vietnam</v>
      </c>
      <c r="G272" s="1" t="str">
        <f ca="1">IFERROR(__xludf.DUMMYFUNCTION("""COMPUTED_VALUE"""),"0970200964")</f>
        <v>0970200964</v>
      </c>
      <c r="H272" s="1" t="str">
        <f ca="1">IFERROR(__xludf.DUMMYFUNCTION("""COMPUTED_VALUE"""),"duongngocphong@gmail.com")</f>
        <v>duongngocphong@gmail.com</v>
      </c>
      <c r="I272" s="1" t="str">
        <f ca="1">IFERROR(__xludf.DUMMYFUNCTION("""COMPUTED_VALUE"""),"41 Tran Hung Dao, Quan 7, TP Ho Chi Minh, Viet Nam")</f>
        <v>41 Tran Hung Dao, Quan 7, TP Ho Chi Minh, Viet Nam</v>
      </c>
      <c r="J272" s="1" t="str">
        <f ca="1">IFERROR(__xludf.DUMMYFUNCTION("""COMPUTED_VALUE"""),"058474188685")</f>
        <v>058474188685</v>
      </c>
      <c r="K272" s="3" t="str">
        <f ca="1">IFERROR(__xludf.DUMMYFUNCTION("""COMPUTED_VALUE"""),"https://drive.google.com/open?id=4WtJBTIWfVH6gL6ph5Ar")</f>
        <v>https://drive.google.com/open?id=4WtJBTIWfVH6gL6ph5Ar</v>
      </c>
      <c r="L272" s="3" t="str">
        <f ca="1">IFERROR(__xludf.DUMMYFUNCTION("""COMPUTED_VALUE"""),"https://drive.google.com/open?id=Zhx7fNX7xNRizBSUa4LF")</f>
        <v>https://drive.google.com/open?id=Zhx7fNX7xNRizBSUa4LF</v>
      </c>
      <c r="M272" s="1"/>
      <c r="N272" s="1"/>
      <c r="O272" s="1"/>
      <c r="P272" s="1" t="str">
        <f ca="1">IFERROR(__xludf.DUMMYFUNCTION("""COMPUTED_VALUE"""),"Full-time")</f>
        <v>Full-time</v>
      </c>
      <c r="Q272" s="1">
        <f ca="1">IFERROR(__xludf.DUMMYFUNCTION("""COMPUTED_VALUE"""),5000000)</f>
        <v>5000000</v>
      </c>
      <c r="R272" s="3" t="str">
        <f ca="1">IFERROR(__xludf.DUMMYFUNCTION("""COMPUTED_VALUE"""),"https://drive.google.com/open?id=AV1LOwddk7vaBU0r33P3")</f>
        <v>https://drive.google.com/open?id=AV1LOwddk7vaBU0r33P3</v>
      </c>
      <c r="S272" s="1">
        <f ca="1">IFERROR(__xludf.DUMMYFUNCTION("""COMPUTED_VALUE"""),15000000)</f>
        <v>15000000</v>
      </c>
      <c r="T272" s="1" t="str">
        <f ca="1">IFERROR(__xludf.DUMMYFUNCTION("""COMPUTED_VALUE"""),"Platinum")</f>
        <v>Platinum</v>
      </c>
      <c r="U272" s="1" t="str">
        <f ca="1">IFERROR(__xludf.DUMMYFUNCTION("""COMPUTED_VALUE"""),"Partner")</f>
        <v>Partner</v>
      </c>
    </row>
    <row r="273" spans="1:21" x14ac:dyDescent="0.25">
      <c r="A273" s="2" t="str">
        <f ca="1">IFERROR(__xludf.DUMMYFUNCTION("""COMPUTED_VALUE"""),"APP0272")</f>
        <v>APP0272</v>
      </c>
      <c r="B273" s="2">
        <f ca="1">IFERROR(__xludf.DUMMYFUNCTION("""COMPUTED_VALUE"""),45912.6452662037)</f>
        <v>45912.645266203697</v>
      </c>
      <c r="C273" s="1" t="str">
        <f ca="1">IFERROR(__xludf.DUMMYFUNCTION("""COMPUTED_VALUE"""),"Phan Ngọc Hà")</f>
        <v>Phan Ngọc Hà</v>
      </c>
      <c r="D273" s="1" t="str">
        <f ca="1">IFERROR(__xludf.DUMMYFUNCTION("""COMPUTED_VALUE"""),"14/12/1975")</f>
        <v>14/12/1975</v>
      </c>
      <c r="E273" s="1" t="str">
        <f ca="1">IFERROR(__xludf.DUMMYFUNCTION("""COMPUTED_VALUE"""),"Male")</f>
        <v>Male</v>
      </c>
      <c r="F273" s="1" t="str">
        <f ca="1">IFERROR(__xludf.DUMMYFUNCTION("""COMPUTED_VALUE"""),"Vietnam")</f>
        <v>Vietnam</v>
      </c>
      <c r="G273" s="1" t="str">
        <f ca="1">IFERROR(__xludf.DUMMYFUNCTION("""COMPUTED_VALUE"""),"0988940898")</f>
        <v>0988940898</v>
      </c>
      <c r="H273" s="1" t="str">
        <f ca="1">IFERROR(__xludf.DUMMYFUNCTION("""COMPUTED_VALUE"""),"phanngocha@gmail.com")</f>
        <v>phanngocha@gmail.com</v>
      </c>
      <c r="I273" s="1" t="str">
        <f ca="1">IFERROR(__xludf.DUMMYFUNCTION("""COMPUTED_VALUE"""),"67 Pham Van Dong, Dong Da, TP Ho Chi Minh, Viet Nam")</f>
        <v>67 Pham Van Dong, Dong Da, TP Ho Chi Minh, Viet Nam</v>
      </c>
      <c r="J273" s="1" t="str">
        <f ca="1">IFERROR(__xludf.DUMMYFUNCTION("""COMPUTED_VALUE"""),"061321298593")</f>
        <v>061321298593</v>
      </c>
      <c r="K273" s="3" t="str">
        <f ca="1">IFERROR(__xludf.DUMMYFUNCTION("""COMPUTED_VALUE"""),"https://drive.google.com/open?id=Ot13GcYUPDzqalk1P08w")</f>
        <v>https://drive.google.com/open?id=Ot13GcYUPDzqalk1P08w</v>
      </c>
      <c r="L273" s="3" t="str">
        <f ca="1">IFERROR(__xludf.DUMMYFUNCTION("""COMPUTED_VALUE"""),"https://drive.google.com/open?id=0kxTbEQEilU0fNv95fH7")</f>
        <v>https://drive.google.com/open?id=0kxTbEQEilU0fNv95fH7</v>
      </c>
      <c r="M273" s="1"/>
      <c r="N273" s="1"/>
      <c r="O273" s="1"/>
      <c r="P273" s="1" t="str">
        <f ca="1">IFERROR(__xludf.DUMMYFUNCTION("""COMPUTED_VALUE"""),"Contract")</f>
        <v>Contract</v>
      </c>
      <c r="Q273" s="1">
        <f ca="1">IFERROR(__xludf.DUMMYFUNCTION("""COMPUTED_VALUE"""),8000000)</f>
        <v>8000000</v>
      </c>
      <c r="R273" s="3" t="str">
        <f ca="1">IFERROR(__xludf.DUMMYFUNCTION("""COMPUTED_VALUE"""),"https://drive.google.com/open?id=HW8xA09PbyYq2pKQdTWe")</f>
        <v>https://drive.google.com/open?id=HW8xA09PbyYq2pKQdTWe</v>
      </c>
      <c r="S273" s="1">
        <f ca="1">IFERROR(__xludf.DUMMYFUNCTION("""COMPUTED_VALUE"""),24000000)</f>
        <v>24000000</v>
      </c>
      <c r="T273" s="1" t="str">
        <f ca="1">IFERROR(__xludf.DUMMYFUNCTION("""COMPUTED_VALUE"""),"Classic")</f>
        <v>Classic</v>
      </c>
      <c r="U273" s="1" t="str">
        <f ca="1">IFERROR(__xludf.DUMMYFUNCTION("""COMPUTED_VALUE"""),"Branch")</f>
        <v>Branch</v>
      </c>
    </row>
    <row r="274" spans="1:21" x14ac:dyDescent="0.25">
      <c r="A274" s="2" t="str">
        <f ca="1">IFERROR(__xludf.DUMMYFUNCTION("""COMPUTED_VALUE"""),"APP0273")</f>
        <v>APP0273</v>
      </c>
      <c r="B274" s="2">
        <f ca="1">IFERROR(__xludf.DUMMYFUNCTION("""COMPUTED_VALUE"""),45912.6720833333)</f>
        <v>45912.672083333302</v>
      </c>
      <c r="C274" s="1" t="str">
        <f ca="1">IFERROR(__xludf.DUMMYFUNCTION("""COMPUTED_VALUE"""),"Brittany Miller")</f>
        <v>Brittany Miller</v>
      </c>
      <c r="D274" s="1" t="str">
        <f ca="1">IFERROR(__xludf.DUMMYFUNCTION("""COMPUTED_VALUE"""),"06/08/1996")</f>
        <v>06/08/1996</v>
      </c>
      <c r="E274" s="1" t="str">
        <f ca="1">IFERROR(__xludf.DUMMYFUNCTION("""COMPUTED_VALUE"""),"Male")</f>
        <v>Male</v>
      </c>
      <c r="F274" s="1" t="str">
        <f ca="1">IFERROR(__xludf.DUMMYFUNCTION("""COMPUTED_VALUE"""),"Other")</f>
        <v>Other</v>
      </c>
      <c r="G274" s="1" t="str">
        <f ca="1">IFERROR(__xludf.DUMMYFUNCTION("""COMPUTED_VALUE"""),"+852 4743979010")</f>
        <v>+852 4743979010</v>
      </c>
      <c r="H274" s="1" t="str">
        <f ca="1">IFERROR(__xludf.DUMMYFUNCTION("""COMPUTED_VALUE"""),"brittanymiller@gmail.com")</f>
        <v>brittanymiller@gmail.com</v>
      </c>
      <c r="I274" s="1" t="str">
        <f ca="1">IFERROR(__xludf.DUMMYFUNCTION("""COMPUTED_VALUE"""),"04122 Martinez Fork Suite 304, Stephenside, MO 31427")</f>
        <v>04122 Martinez Fork Suite 304, Stephenside, MO 31427</v>
      </c>
      <c r="J274" s="1"/>
      <c r="K274" s="1"/>
      <c r="L274" s="1"/>
      <c r="M274" s="1" t="str">
        <f ca="1">IFERROR(__xludf.DUMMYFUNCTION("""COMPUTED_VALUE"""),"Yj863739")</f>
        <v>Yj863739</v>
      </c>
      <c r="N274" s="3" t="str">
        <f ca="1">IFERROR(__xludf.DUMMYFUNCTION("""COMPUTED_VALUE"""),"https://drive.google.com/open?id=WFt28AHp7ttFXXZneT6r")</f>
        <v>https://drive.google.com/open?id=WFt28AHp7ttFXXZneT6r</v>
      </c>
      <c r="O274" s="3" t="str">
        <f ca="1">IFERROR(__xludf.DUMMYFUNCTION("""COMPUTED_VALUE"""),"https://drive.google.com/open?id=pczV6zY21OiN12lLSNjK")</f>
        <v>https://drive.google.com/open?id=pczV6zY21OiN12lLSNjK</v>
      </c>
      <c r="P274" s="1" t="str">
        <f ca="1">IFERROR(__xludf.DUMMYFUNCTION("""COMPUTED_VALUE"""),"Full-time")</f>
        <v>Full-time</v>
      </c>
      <c r="Q274" s="1">
        <f ca="1">IFERROR(__xludf.DUMMYFUNCTION("""COMPUTED_VALUE"""),8000000)</f>
        <v>8000000</v>
      </c>
      <c r="R274" s="3" t="str">
        <f ca="1">IFERROR(__xludf.DUMMYFUNCTION("""COMPUTED_VALUE"""),"https://drive.google.com/open?id=aDnm291di0FeYHtkbt5D")</f>
        <v>https://drive.google.com/open?id=aDnm291di0FeYHtkbt5D</v>
      </c>
      <c r="S274" s="1">
        <f ca="1">IFERROR(__xludf.DUMMYFUNCTION("""COMPUTED_VALUE"""),16000000)</f>
        <v>16000000</v>
      </c>
      <c r="T274" s="1" t="str">
        <f ca="1">IFERROR(__xludf.DUMMYFUNCTION("""COMPUTED_VALUE"""),"Classic")</f>
        <v>Classic</v>
      </c>
      <c r="U274" s="1" t="str">
        <f ca="1">IFERROR(__xludf.DUMMYFUNCTION("""COMPUTED_VALUE"""),"Online")</f>
        <v>Online</v>
      </c>
    </row>
    <row r="275" spans="1:21" x14ac:dyDescent="0.25">
      <c r="A275" s="2" t="str">
        <f ca="1">IFERROR(__xludf.DUMMYFUNCTION("""COMPUTED_VALUE"""),"APP0274")</f>
        <v>APP0274</v>
      </c>
      <c r="B275" s="2">
        <f ca="1">IFERROR(__xludf.DUMMYFUNCTION("""COMPUTED_VALUE"""),45912.6830787037)</f>
        <v>45912.683078703703</v>
      </c>
      <c r="C275" s="1" t="str">
        <f ca="1">IFERROR(__xludf.DUMMYFUNCTION("""COMPUTED_VALUE"""),"Nguyễn Minh Mai")</f>
        <v>Nguyễn Minh Mai</v>
      </c>
      <c r="D275" s="1" t="str">
        <f ca="1">IFERROR(__xludf.DUMMYFUNCTION("""COMPUTED_VALUE"""),"27/06/1966")</f>
        <v>27/06/1966</v>
      </c>
      <c r="E275" s="1" t="str">
        <f ca="1">IFERROR(__xludf.DUMMYFUNCTION("""COMPUTED_VALUE"""),"Female")</f>
        <v>Female</v>
      </c>
      <c r="F275" s="1" t="str">
        <f ca="1">IFERROR(__xludf.DUMMYFUNCTION("""COMPUTED_VALUE"""),"Vietnam")</f>
        <v>Vietnam</v>
      </c>
      <c r="G275" s="1" t="str">
        <f ca="1">IFERROR(__xludf.DUMMYFUNCTION("""COMPUTED_VALUE"""),"0761433366")</f>
        <v>0761433366</v>
      </c>
      <c r="H275" s="1" t="str">
        <f ca="1">IFERROR(__xludf.DUMMYFUNCTION("""COMPUTED_VALUE"""),"nguyenminhmai@gmail.com")</f>
        <v>nguyenminhmai@gmail.com</v>
      </c>
      <c r="I275" s="1" t="str">
        <f ca="1">IFERROR(__xludf.DUMMYFUNCTION("""COMPUTED_VALUE"""),"127 Ly Thuong Kiet, Quan 3, Can Tho, Viet Nam")</f>
        <v>127 Ly Thuong Kiet, Quan 3, Can Tho, Viet Nam</v>
      </c>
      <c r="J275" s="1" t="str">
        <f ca="1">IFERROR(__xludf.DUMMYFUNCTION("""COMPUTED_VALUE"""),"067823782708")</f>
        <v>067823782708</v>
      </c>
      <c r="K275" s="3" t="str">
        <f ca="1">IFERROR(__xludf.DUMMYFUNCTION("""COMPUTED_VALUE"""),"https://drive.google.com/open?id=fUEQYl03HarnyYI96XvU")</f>
        <v>https://drive.google.com/open?id=fUEQYl03HarnyYI96XvU</v>
      </c>
      <c r="L275" s="3" t="str">
        <f ca="1">IFERROR(__xludf.DUMMYFUNCTION("""COMPUTED_VALUE"""),"https://drive.google.com/open?id=MGp6Ms76GzRj448I1MVq")</f>
        <v>https://drive.google.com/open?id=MGp6Ms76GzRj448I1MVq</v>
      </c>
      <c r="M275" s="1"/>
      <c r="N275" s="1"/>
      <c r="O275" s="1"/>
      <c r="P275" s="1" t="str">
        <f ca="1">IFERROR(__xludf.DUMMYFUNCTION("""COMPUTED_VALUE"""),"Self-employed")</f>
        <v>Self-employed</v>
      </c>
      <c r="Q275" s="1">
        <f ca="1">IFERROR(__xludf.DUMMYFUNCTION("""COMPUTED_VALUE"""),12000000)</f>
        <v>12000000</v>
      </c>
      <c r="R275" s="3" t="str">
        <f ca="1">IFERROR(__xludf.DUMMYFUNCTION("""COMPUTED_VALUE"""),"https://drive.google.com/open?id=qEN6vt0XtOuwF8BX451X")</f>
        <v>https://drive.google.com/open?id=qEN6vt0XtOuwF8BX451X</v>
      </c>
      <c r="S275" s="1">
        <f ca="1">IFERROR(__xludf.DUMMYFUNCTION("""COMPUTED_VALUE"""),36000000)</f>
        <v>36000000</v>
      </c>
      <c r="T275" s="1" t="str">
        <f ca="1">IFERROR(__xludf.DUMMYFUNCTION("""COMPUTED_VALUE"""),"Gold")</f>
        <v>Gold</v>
      </c>
      <c r="U275" s="1" t="str">
        <f ca="1">IFERROR(__xludf.DUMMYFUNCTION("""COMPUTED_VALUE"""),"Partner")</f>
        <v>Partner</v>
      </c>
    </row>
    <row r="276" spans="1:21" x14ac:dyDescent="0.25">
      <c r="A276" s="2" t="str">
        <f ca="1">IFERROR(__xludf.DUMMYFUNCTION("""COMPUTED_VALUE"""),"APP0275")</f>
        <v>APP0275</v>
      </c>
      <c r="B276" s="2">
        <f ca="1">IFERROR(__xludf.DUMMYFUNCTION("""COMPUTED_VALUE"""),45912.8255324074)</f>
        <v>45912.825532407398</v>
      </c>
      <c r="C276" s="1" t="str">
        <f ca="1">IFERROR(__xludf.DUMMYFUNCTION("""COMPUTED_VALUE"""),"James Mason")</f>
        <v>James Mason</v>
      </c>
      <c r="D276" s="1" t="str">
        <f ca="1">IFERROR(__xludf.DUMMYFUNCTION("""COMPUTED_VALUE"""),"21/09/1989")</f>
        <v>21/09/1989</v>
      </c>
      <c r="E276" s="1" t="str">
        <f ca="1">IFERROR(__xludf.DUMMYFUNCTION("""COMPUTED_VALUE"""),"Female")</f>
        <v>Female</v>
      </c>
      <c r="F276" s="1" t="str">
        <f ca="1">IFERROR(__xludf.DUMMYFUNCTION("""COMPUTED_VALUE"""),"Other")</f>
        <v>Other</v>
      </c>
      <c r="G276" s="1" t="str">
        <f ca="1">IFERROR(__xludf.DUMMYFUNCTION("""COMPUTED_VALUE"""),"+44 4603081125")</f>
        <v>+44 4603081125</v>
      </c>
      <c r="H276" s="1" t="str">
        <f ca="1">IFERROR(__xludf.DUMMYFUNCTION("""COMPUTED_VALUE"""),"jamesmason@gmail.com")</f>
        <v>jamesmason@gmail.com</v>
      </c>
      <c r="I276" s="1" t="str">
        <f ca="1">IFERROR(__xludf.DUMMYFUNCTION("""COMPUTED_VALUE"""),"81047 Huff Isle Apt. 979, Andrewton, AZ 03545")</f>
        <v>81047 Huff Isle Apt. 979, Andrewton, AZ 03545</v>
      </c>
      <c r="J276" s="1"/>
      <c r="K276" s="1"/>
      <c r="L276" s="1"/>
      <c r="M276" s="1" t="str">
        <f ca="1">IFERROR(__xludf.DUMMYFUNCTION("""COMPUTED_VALUE"""),"MO159430")</f>
        <v>MO159430</v>
      </c>
      <c r="N276" s="3" t="str">
        <f ca="1">IFERROR(__xludf.DUMMYFUNCTION("""COMPUTED_VALUE"""),"https://drive.google.com/open?id=Mhh7heX36m35idpJH1VZ")</f>
        <v>https://drive.google.com/open?id=Mhh7heX36m35idpJH1VZ</v>
      </c>
      <c r="O276" s="3" t="str">
        <f ca="1">IFERROR(__xludf.DUMMYFUNCTION("""COMPUTED_VALUE"""),"https://drive.google.com/open?id=62ovaeZJEMpQgh0k2Sub")</f>
        <v>https://drive.google.com/open?id=62ovaeZJEMpQgh0k2Sub</v>
      </c>
      <c r="P276" s="1" t="str">
        <f ca="1">IFERROR(__xludf.DUMMYFUNCTION("""COMPUTED_VALUE"""),"Self-employed")</f>
        <v>Self-employed</v>
      </c>
      <c r="Q276" s="1">
        <f ca="1">IFERROR(__xludf.DUMMYFUNCTION("""COMPUTED_VALUE"""),8000000)</f>
        <v>8000000</v>
      </c>
      <c r="R276" s="3" t="str">
        <f ca="1">IFERROR(__xludf.DUMMYFUNCTION("""COMPUTED_VALUE"""),"https://drive.google.com/open?id=uYwaBXTuSX4UcrcqEOlh")</f>
        <v>https://drive.google.com/open?id=uYwaBXTuSX4UcrcqEOlh</v>
      </c>
      <c r="S276" s="1">
        <f ca="1">IFERROR(__xludf.DUMMYFUNCTION("""COMPUTED_VALUE"""),40000000)</f>
        <v>40000000</v>
      </c>
      <c r="T276" s="1" t="str">
        <f ca="1">IFERROR(__xludf.DUMMYFUNCTION("""COMPUTED_VALUE"""),"Platinum")</f>
        <v>Platinum</v>
      </c>
      <c r="U276" s="1" t="str">
        <f ca="1">IFERROR(__xludf.DUMMYFUNCTION("""COMPUTED_VALUE"""),"Branch")</f>
        <v>Branch</v>
      </c>
    </row>
    <row r="277" spans="1:21" x14ac:dyDescent="0.25">
      <c r="A277" s="2" t="str">
        <f ca="1">IFERROR(__xludf.DUMMYFUNCTION("""COMPUTED_VALUE"""),"APP0276")</f>
        <v>APP0276</v>
      </c>
      <c r="B277" s="2">
        <f ca="1">IFERROR(__xludf.DUMMYFUNCTION("""COMPUTED_VALUE"""),45912.8681712962)</f>
        <v>45912.868171296199</v>
      </c>
      <c r="C277" s="1" t="str">
        <f ca="1">IFERROR(__xludf.DUMMYFUNCTION("""COMPUTED_VALUE"""),"Trần Quang Quỳnh")</f>
        <v>Trần Quang Quỳnh</v>
      </c>
      <c r="D277" s="1" t="str">
        <f ca="1">IFERROR(__xludf.DUMMYFUNCTION("""COMPUTED_VALUE"""),"18/04/1981")</f>
        <v>18/04/1981</v>
      </c>
      <c r="E277" s="1" t="str">
        <f ca="1">IFERROR(__xludf.DUMMYFUNCTION("""COMPUTED_VALUE"""),"Male")</f>
        <v>Male</v>
      </c>
      <c r="F277" s="1" t="str">
        <f ca="1">IFERROR(__xludf.DUMMYFUNCTION("""COMPUTED_VALUE"""),"Vietnam")</f>
        <v>Vietnam</v>
      </c>
      <c r="G277" s="1" t="str">
        <f ca="1">IFERROR(__xludf.DUMMYFUNCTION("""COMPUTED_VALUE"""),"0913796046")</f>
        <v>0913796046</v>
      </c>
      <c r="H277" s="1" t="str">
        <f ca="1">IFERROR(__xludf.DUMMYFUNCTION("""COMPUTED_VALUE"""),"tranquangquynh@gmail.com")</f>
        <v>tranquangquynh@gmail.com</v>
      </c>
      <c r="I277" s="1" t="str">
        <f ca="1">IFERROR(__xludf.DUMMYFUNCTION("""COMPUTED_VALUE"""),"130 Nguyen Trai, Quan 3, Da Nang, Viet Nam")</f>
        <v>130 Nguyen Trai, Quan 3, Da Nang, Viet Nam</v>
      </c>
      <c r="J277" s="1" t="str">
        <f ca="1">IFERROR(__xludf.DUMMYFUNCTION("""COMPUTED_VALUE"""),"068961524811")</f>
        <v>068961524811</v>
      </c>
      <c r="K277" s="3" t="str">
        <f ca="1">IFERROR(__xludf.DUMMYFUNCTION("""COMPUTED_VALUE"""),"https://drive.google.com/open?id=CClMsHtgyUSc4EnZtJP3")</f>
        <v>https://drive.google.com/open?id=CClMsHtgyUSc4EnZtJP3</v>
      </c>
      <c r="L277" s="3" t="str">
        <f ca="1">IFERROR(__xludf.DUMMYFUNCTION("""COMPUTED_VALUE"""),"https://drive.google.com/open?id=c0kG0gfNbMmHnXCo3S0d")</f>
        <v>https://drive.google.com/open?id=c0kG0gfNbMmHnXCo3S0d</v>
      </c>
      <c r="M277" s="1"/>
      <c r="N277" s="1"/>
      <c r="O277" s="1"/>
      <c r="P277" s="1" t="str">
        <f ca="1">IFERROR(__xludf.DUMMYFUNCTION("""COMPUTED_VALUE"""),"Contract")</f>
        <v>Contract</v>
      </c>
      <c r="Q277" s="1">
        <f ca="1">IFERROR(__xludf.DUMMYFUNCTION("""COMPUTED_VALUE"""),20000000)</f>
        <v>20000000</v>
      </c>
      <c r="R277" s="3" t="str">
        <f ca="1">IFERROR(__xludf.DUMMYFUNCTION("""COMPUTED_VALUE"""),"https://drive.google.com/open?id=jBOyoqr22Q0pVUgHx1OO")</f>
        <v>https://drive.google.com/open?id=jBOyoqr22Q0pVUgHx1OO</v>
      </c>
      <c r="S277" s="1">
        <f ca="1">IFERROR(__xludf.DUMMYFUNCTION("""COMPUTED_VALUE"""),40000000)</f>
        <v>40000000</v>
      </c>
      <c r="T277" s="1" t="str">
        <f ca="1">IFERROR(__xludf.DUMMYFUNCTION("""COMPUTED_VALUE"""),"Gold")</f>
        <v>Gold</v>
      </c>
      <c r="U277" s="1" t="str">
        <f ca="1">IFERROR(__xludf.DUMMYFUNCTION("""COMPUTED_VALUE"""),"Partner")</f>
        <v>Partner</v>
      </c>
    </row>
    <row r="278" spans="1:21" x14ac:dyDescent="0.25">
      <c r="A278" s="2" t="str">
        <f ca="1">IFERROR(__xludf.DUMMYFUNCTION("""COMPUTED_VALUE"""),"APP0277")</f>
        <v>APP0277</v>
      </c>
      <c r="B278" s="2">
        <f ca="1">IFERROR(__xludf.DUMMYFUNCTION("""COMPUTED_VALUE"""),45912.9314814814)</f>
        <v>45912.931481481399</v>
      </c>
      <c r="C278" s="1" t="str">
        <f ca="1">IFERROR(__xludf.DUMMYFUNCTION("""COMPUTED_VALUE"""),"Nguyễn Đức Thắng")</f>
        <v>Nguyễn Đức Thắng</v>
      </c>
      <c r="D278" s="1" t="str">
        <f ca="1">IFERROR(__xludf.DUMMYFUNCTION("""COMPUTED_VALUE"""),"20/05/1994")</f>
        <v>20/05/1994</v>
      </c>
      <c r="E278" s="1" t="str">
        <f ca="1">IFERROR(__xludf.DUMMYFUNCTION("""COMPUTED_VALUE"""),"Male")</f>
        <v>Male</v>
      </c>
      <c r="F278" s="1" t="str">
        <f ca="1">IFERROR(__xludf.DUMMYFUNCTION("""COMPUTED_VALUE"""),"Vietnam")</f>
        <v>Vietnam</v>
      </c>
      <c r="G278" s="1" t="str">
        <f ca="1">IFERROR(__xludf.DUMMYFUNCTION("""COMPUTED_VALUE"""),"0923056863")</f>
        <v>0923056863</v>
      </c>
      <c r="H278" s="1" t="str">
        <f ca="1">IFERROR(__xludf.DUMMYFUNCTION("""COMPUTED_VALUE"""),"nguyenducthang@gmail.com")</f>
        <v>nguyenducthang@gmail.com</v>
      </c>
      <c r="I278" s="1" t="str">
        <f ca="1">IFERROR(__xludf.DUMMYFUNCTION("""COMPUTED_VALUE"""),"92 Tran Hung Dao, Hoan Kiem, TP Ho Chi Minh, Viet Nam")</f>
        <v>92 Tran Hung Dao, Hoan Kiem, TP Ho Chi Minh, Viet Nam</v>
      </c>
      <c r="J278" s="1" t="str">
        <f ca="1">IFERROR(__xludf.DUMMYFUNCTION("""COMPUTED_VALUE"""),"061928839325")</f>
        <v>061928839325</v>
      </c>
      <c r="K278" s="3" t="str">
        <f ca="1">IFERROR(__xludf.DUMMYFUNCTION("""COMPUTED_VALUE"""),"https://drive.google.com/open?id=fvEeNJFerf7K3yx09zqt")</f>
        <v>https://drive.google.com/open?id=fvEeNJFerf7K3yx09zqt</v>
      </c>
      <c r="L278" s="3" t="str">
        <f ca="1">IFERROR(__xludf.DUMMYFUNCTION("""COMPUTED_VALUE"""),"https://drive.google.com/open?id=UGdTWhtyZEwQATiQvoWj")</f>
        <v>https://drive.google.com/open?id=UGdTWhtyZEwQATiQvoWj</v>
      </c>
      <c r="M278" s="1"/>
      <c r="N278" s="1"/>
      <c r="O278" s="1"/>
      <c r="P278" s="1" t="str">
        <f ca="1">IFERROR(__xludf.DUMMYFUNCTION("""COMPUTED_VALUE"""),"Self-employed")</f>
        <v>Self-employed</v>
      </c>
      <c r="Q278" s="1">
        <f ca="1">IFERROR(__xludf.DUMMYFUNCTION("""COMPUTED_VALUE"""),8000000)</f>
        <v>8000000</v>
      </c>
      <c r="R278" s="3" t="str">
        <f ca="1">IFERROR(__xludf.DUMMYFUNCTION("""COMPUTED_VALUE"""),"https://drive.google.com/open?id=zkPZH2zLdubnQIebi5SO")</f>
        <v>https://drive.google.com/open?id=zkPZH2zLdubnQIebi5SO</v>
      </c>
      <c r="S278" s="1">
        <f ca="1">IFERROR(__xludf.DUMMYFUNCTION("""COMPUTED_VALUE"""),16000000)</f>
        <v>16000000</v>
      </c>
      <c r="T278" s="1" t="str">
        <f ca="1">IFERROR(__xludf.DUMMYFUNCTION("""COMPUTED_VALUE"""),"Classic")</f>
        <v>Classic</v>
      </c>
      <c r="U278" s="1" t="str">
        <f ca="1">IFERROR(__xludf.DUMMYFUNCTION("""COMPUTED_VALUE"""),"Partner")</f>
        <v>Partner</v>
      </c>
    </row>
    <row r="279" spans="1:21" x14ac:dyDescent="0.25">
      <c r="A279" s="2" t="str">
        <f ca="1">IFERROR(__xludf.DUMMYFUNCTION("""COMPUTED_VALUE"""),"APP0278")</f>
        <v>APP0278</v>
      </c>
      <c r="B279" s="2">
        <f ca="1">IFERROR(__xludf.DUMMYFUNCTION("""COMPUTED_VALUE"""),45913.0643634259)</f>
        <v>45913.064363425903</v>
      </c>
      <c r="C279" s="1" t="str">
        <f ca="1">IFERROR(__xludf.DUMMYFUNCTION("""COMPUTED_VALUE"""),"Lý Thanh Tú")</f>
        <v>Lý Thanh Tú</v>
      </c>
      <c r="D279" s="1" t="str">
        <f ca="1">IFERROR(__xludf.DUMMYFUNCTION("""COMPUTED_VALUE"""),"17/12/1992")</f>
        <v>17/12/1992</v>
      </c>
      <c r="E279" s="1" t="str">
        <f ca="1">IFERROR(__xludf.DUMMYFUNCTION("""COMPUTED_VALUE"""),"Male")</f>
        <v>Male</v>
      </c>
      <c r="F279" s="1" t="str">
        <f ca="1">IFERROR(__xludf.DUMMYFUNCTION("""COMPUTED_VALUE"""),"Vietnam")</f>
        <v>Vietnam</v>
      </c>
      <c r="G279" s="1" t="str">
        <f ca="1">IFERROR(__xludf.DUMMYFUNCTION("""COMPUTED_VALUE"""),"0832283627")</f>
        <v>0832283627</v>
      </c>
      <c r="H279" s="1" t="str">
        <f ca="1">IFERROR(__xludf.DUMMYFUNCTION("""COMPUTED_VALUE"""),"lythanhtu@gmail.com")</f>
        <v>lythanhtu@gmail.com</v>
      </c>
      <c r="I279" s="1" t="str">
        <f ca="1">IFERROR(__xludf.DUMMYFUNCTION("""COMPUTED_VALUE"""),"10 Pham Van Dong, Quan 1, Can Tho, Viet Nam")</f>
        <v>10 Pham Van Dong, Quan 1, Can Tho, Viet Nam</v>
      </c>
      <c r="J279" s="1" t="str">
        <f ca="1">IFERROR(__xludf.DUMMYFUNCTION("""COMPUTED_VALUE"""),"057219024047")</f>
        <v>057219024047</v>
      </c>
      <c r="K279" s="3" t="str">
        <f ca="1">IFERROR(__xludf.DUMMYFUNCTION("""COMPUTED_VALUE"""),"https://drive.google.com/open?id=QrITsKCNKBlXeRcNWf0r")</f>
        <v>https://drive.google.com/open?id=QrITsKCNKBlXeRcNWf0r</v>
      </c>
      <c r="L279" s="3" t="str">
        <f ca="1">IFERROR(__xludf.DUMMYFUNCTION("""COMPUTED_VALUE"""),"https://drive.google.com/open?id=tQC6g0tkc2wMxYV0aeNf")</f>
        <v>https://drive.google.com/open?id=tQC6g0tkc2wMxYV0aeNf</v>
      </c>
      <c r="M279" s="1"/>
      <c r="N279" s="1"/>
      <c r="O279" s="1"/>
      <c r="P279" s="1" t="str">
        <f ca="1">IFERROR(__xludf.DUMMYFUNCTION("""COMPUTED_VALUE"""),"Self-employed")</f>
        <v>Self-employed</v>
      </c>
      <c r="Q279" s="1">
        <f ca="1">IFERROR(__xludf.DUMMYFUNCTION("""COMPUTED_VALUE"""),20000000)</f>
        <v>20000000</v>
      </c>
      <c r="R279" s="3" t="str">
        <f ca="1">IFERROR(__xludf.DUMMYFUNCTION("""COMPUTED_VALUE"""),"https://drive.google.com/open?id=enElEzmrQ6ltCMNOkzpB")</f>
        <v>https://drive.google.com/open?id=enElEzmrQ6ltCMNOkzpB</v>
      </c>
      <c r="S279" s="1">
        <f ca="1">IFERROR(__xludf.DUMMYFUNCTION("""COMPUTED_VALUE"""),60000000)</f>
        <v>60000000</v>
      </c>
      <c r="T279" s="1" t="str">
        <f ca="1">IFERROR(__xludf.DUMMYFUNCTION("""COMPUTED_VALUE"""),"Platinum")</f>
        <v>Platinum</v>
      </c>
      <c r="U279" s="1" t="str">
        <f ca="1">IFERROR(__xludf.DUMMYFUNCTION("""COMPUTED_VALUE"""),"Branch")</f>
        <v>Branch</v>
      </c>
    </row>
    <row r="280" spans="1:21" x14ac:dyDescent="0.25">
      <c r="A280" s="2" t="str">
        <f ca="1">IFERROR(__xludf.DUMMYFUNCTION("""COMPUTED_VALUE"""),"APP0279")</f>
        <v>APP0279</v>
      </c>
      <c r="B280" s="2">
        <f ca="1">IFERROR(__xludf.DUMMYFUNCTION("""COMPUTED_VALUE"""),45913.1942476851)</f>
        <v>45913.194247685104</v>
      </c>
      <c r="C280" s="1" t="str">
        <f ca="1">IFERROR(__xludf.DUMMYFUNCTION("""COMPUTED_VALUE"""),"Lê Đức Tú")</f>
        <v>Lê Đức Tú</v>
      </c>
      <c r="D280" s="1" t="str">
        <f ca="1">IFERROR(__xludf.DUMMYFUNCTION("""COMPUTED_VALUE"""),"23/10/1979")</f>
        <v>23/10/1979</v>
      </c>
      <c r="E280" s="1" t="str">
        <f ca="1">IFERROR(__xludf.DUMMYFUNCTION("""COMPUTED_VALUE"""),"Male")</f>
        <v>Male</v>
      </c>
      <c r="F280" s="1" t="str">
        <f ca="1">IFERROR(__xludf.DUMMYFUNCTION("""COMPUTED_VALUE"""),"Vietnam")</f>
        <v>Vietnam</v>
      </c>
      <c r="G280" s="1" t="str">
        <f ca="1">IFERROR(__xludf.DUMMYFUNCTION("""COMPUTED_VALUE"""),"0849640599")</f>
        <v>0849640599</v>
      </c>
      <c r="H280" s="1" t="str">
        <f ca="1">IFERROR(__xludf.DUMMYFUNCTION("""COMPUTED_VALUE"""),"leductu@gmail.com")</f>
        <v>leductu@gmail.com</v>
      </c>
      <c r="I280" s="1" t="str">
        <f ca="1">IFERROR(__xludf.DUMMYFUNCTION("""COMPUTED_VALUE"""),"146 Pham Van Dong, Quan 7, Ha Noi, Viet Nam")</f>
        <v>146 Pham Van Dong, Quan 7, Ha Noi, Viet Nam</v>
      </c>
      <c r="J280" s="1" t="str">
        <f ca="1">IFERROR(__xludf.DUMMYFUNCTION("""COMPUTED_VALUE"""),"098540287665")</f>
        <v>098540287665</v>
      </c>
      <c r="K280" s="3" t="str">
        <f ca="1">IFERROR(__xludf.DUMMYFUNCTION("""COMPUTED_VALUE"""),"https://drive.google.com/open?id=dobkeL7dbXNjCRCHmjnF")</f>
        <v>https://drive.google.com/open?id=dobkeL7dbXNjCRCHmjnF</v>
      </c>
      <c r="L280" s="3" t="str">
        <f ca="1">IFERROR(__xludf.DUMMYFUNCTION("""COMPUTED_VALUE"""),"https://drive.google.com/open?id=yYSeUBWQ7Ye2XTAKvy3z")</f>
        <v>https://drive.google.com/open?id=yYSeUBWQ7Ye2XTAKvy3z</v>
      </c>
      <c r="M280" s="1"/>
      <c r="N280" s="1"/>
      <c r="O280" s="1"/>
      <c r="P280" s="1" t="str">
        <f ca="1">IFERROR(__xludf.DUMMYFUNCTION("""COMPUTED_VALUE"""),"Full-time")</f>
        <v>Full-time</v>
      </c>
      <c r="Q280" s="1">
        <f ca="1">IFERROR(__xludf.DUMMYFUNCTION("""COMPUTED_VALUE"""),8000000)</f>
        <v>8000000</v>
      </c>
      <c r="R280" s="3" t="str">
        <f ca="1">IFERROR(__xludf.DUMMYFUNCTION("""COMPUTED_VALUE"""),"https://drive.google.com/open?id=C1qoibgfPrCCPowZLbgc")</f>
        <v>https://drive.google.com/open?id=C1qoibgfPrCCPowZLbgc</v>
      </c>
      <c r="S280" s="1">
        <f ca="1">IFERROR(__xludf.DUMMYFUNCTION("""COMPUTED_VALUE"""),40000000)</f>
        <v>40000000</v>
      </c>
      <c r="T280" s="1" t="str">
        <f ca="1">IFERROR(__xludf.DUMMYFUNCTION("""COMPUTED_VALUE"""),"Classic")</f>
        <v>Classic</v>
      </c>
      <c r="U280" s="1" t="str">
        <f ca="1">IFERROR(__xludf.DUMMYFUNCTION("""COMPUTED_VALUE"""),"Partner")</f>
        <v>Partner</v>
      </c>
    </row>
    <row r="281" spans="1:21" x14ac:dyDescent="0.25">
      <c r="A281" s="2" t="str">
        <f ca="1">IFERROR(__xludf.DUMMYFUNCTION("""COMPUTED_VALUE"""),"APP0280")</f>
        <v>APP0280</v>
      </c>
      <c r="B281" s="2">
        <f ca="1">IFERROR(__xludf.DUMMYFUNCTION("""COMPUTED_VALUE"""),45913.2001504629)</f>
        <v>45913.200150462901</v>
      </c>
      <c r="C281" s="1" t="str">
        <f ca="1">IFERROR(__xludf.DUMMYFUNCTION("""COMPUTED_VALUE"""),"Dương Đức Khánh")</f>
        <v>Dương Đức Khánh</v>
      </c>
      <c r="D281" s="1" t="str">
        <f ca="1">IFERROR(__xludf.DUMMYFUNCTION("""COMPUTED_VALUE"""),"20/07/1984")</f>
        <v>20/07/1984</v>
      </c>
      <c r="E281" s="1" t="str">
        <f ca="1">IFERROR(__xludf.DUMMYFUNCTION("""COMPUTED_VALUE"""),"Female")</f>
        <v>Female</v>
      </c>
      <c r="F281" s="1" t="str">
        <f ca="1">IFERROR(__xludf.DUMMYFUNCTION("""COMPUTED_VALUE"""),"Vietnam")</f>
        <v>Vietnam</v>
      </c>
      <c r="G281" s="1" t="str">
        <f ca="1">IFERROR(__xludf.DUMMYFUNCTION("""COMPUTED_VALUE"""),"0951874049")</f>
        <v>0951874049</v>
      </c>
      <c r="H281" s="1" t="str">
        <f ca="1">IFERROR(__xludf.DUMMYFUNCTION("""COMPUTED_VALUE"""),"duongduckhanh@gmail.com")</f>
        <v>duongduckhanh@gmail.com</v>
      </c>
      <c r="I281" s="1" t="str">
        <f ca="1">IFERROR(__xludf.DUMMYFUNCTION("""COMPUTED_VALUE"""),"173 Tran Hung Dao, Quan 7, Hai Phong, Viet Nam")</f>
        <v>173 Tran Hung Dao, Quan 7, Hai Phong, Viet Nam</v>
      </c>
      <c r="J281" s="1" t="str">
        <f ca="1">IFERROR(__xludf.DUMMYFUNCTION("""COMPUTED_VALUE"""),"094285666253")</f>
        <v>094285666253</v>
      </c>
      <c r="K281" s="3" t="str">
        <f ca="1">IFERROR(__xludf.DUMMYFUNCTION("""COMPUTED_VALUE"""),"https://drive.google.com/open?id=Cbehti43lU4C8npzeuOA")</f>
        <v>https://drive.google.com/open?id=Cbehti43lU4C8npzeuOA</v>
      </c>
      <c r="L281" s="3" t="str">
        <f ca="1">IFERROR(__xludf.DUMMYFUNCTION("""COMPUTED_VALUE"""),"https://drive.google.com/open?id=QTZCFQ4ZUeYVjZQj85Lw")</f>
        <v>https://drive.google.com/open?id=QTZCFQ4ZUeYVjZQj85Lw</v>
      </c>
      <c r="M281" s="1"/>
      <c r="N281" s="1"/>
      <c r="O281" s="1"/>
      <c r="P281" s="1" t="str">
        <f ca="1">IFERROR(__xludf.DUMMYFUNCTION("""COMPUTED_VALUE"""),"Self-employed")</f>
        <v>Self-employed</v>
      </c>
      <c r="Q281" s="1">
        <f ca="1">IFERROR(__xludf.DUMMYFUNCTION("""COMPUTED_VALUE"""),50000000)</f>
        <v>50000000</v>
      </c>
      <c r="R281" s="3" t="str">
        <f ca="1">IFERROR(__xludf.DUMMYFUNCTION("""COMPUTED_VALUE"""),"https://drive.google.com/open?id=SdjfencBtLt3Xv5WFX96")</f>
        <v>https://drive.google.com/open?id=SdjfencBtLt3Xv5WFX96</v>
      </c>
      <c r="S281" s="1">
        <f ca="1">IFERROR(__xludf.DUMMYFUNCTION("""COMPUTED_VALUE"""),250000000)</f>
        <v>250000000</v>
      </c>
      <c r="T281" s="1" t="str">
        <f ca="1">IFERROR(__xludf.DUMMYFUNCTION("""COMPUTED_VALUE"""),"Gold")</f>
        <v>Gold</v>
      </c>
      <c r="U281" s="1" t="str">
        <f ca="1">IFERROR(__xludf.DUMMYFUNCTION("""COMPUTED_VALUE"""),"Online")</f>
        <v>Online</v>
      </c>
    </row>
    <row r="282" spans="1:21" x14ac:dyDescent="0.25">
      <c r="A282" s="2" t="str">
        <f ca="1">IFERROR(__xludf.DUMMYFUNCTION("""COMPUTED_VALUE"""),"APP0281")</f>
        <v>APP0281</v>
      </c>
      <c r="B282" s="2">
        <f ca="1">IFERROR(__xludf.DUMMYFUNCTION("""COMPUTED_VALUE"""),45913.210324074)</f>
        <v>45913.210324074003</v>
      </c>
      <c r="C282" s="1" t="str">
        <f ca="1">IFERROR(__xludf.DUMMYFUNCTION("""COMPUTED_VALUE"""),"Dương Minh Hải")</f>
        <v>Dương Minh Hải</v>
      </c>
      <c r="D282" s="1" t="str">
        <f ca="1">IFERROR(__xludf.DUMMYFUNCTION("""COMPUTED_VALUE"""),"09/07/1989")</f>
        <v>09/07/1989</v>
      </c>
      <c r="E282" s="1" t="str">
        <f ca="1">IFERROR(__xludf.DUMMYFUNCTION("""COMPUTED_VALUE"""),"Male")</f>
        <v>Male</v>
      </c>
      <c r="F282" s="1" t="str">
        <f ca="1">IFERROR(__xludf.DUMMYFUNCTION("""COMPUTED_VALUE"""),"Vietnam")</f>
        <v>Vietnam</v>
      </c>
      <c r="G282" s="1" t="str">
        <f ca="1">IFERROR(__xludf.DUMMYFUNCTION("""COMPUTED_VALUE"""),"0783927440")</f>
        <v>0783927440</v>
      </c>
      <c r="H282" s="1" t="str">
        <f ca="1">IFERROR(__xludf.DUMMYFUNCTION("""COMPUTED_VALUE"""),"duongminhhai@gmail.com")</f>
        <v>duongminhhai@gmail.com</v>
      </c>
      <c r="I282" s="1" t="str">
        <f ca="1">IFERROR(__xludf.DUMMYFUNCTION("""COMPUTED_VALUE"""),"155 Tran Hung Dao, Dong Da, Can Tho, Viet Nam")</f>
        <v>155 Tran Hung Dao, Dong Da, Can Tho, Viet Nam</v>
      </c>
      <c r="J282" s="1" t="str">
        <f ca="1">IFERROR(__xludf.DUMMYFUNCTION("""COMPUTED_VALUE"""),"050848387471")</f>
        <v>050848387471</v>
      </c>
      <c r="K282" s="3" t="str">
        <f ca="1">IFERROR(__xludf.DUMMYFUNCTION("""COMPUTED_VALUE"""),"https://drive.google.com/open?id=bMAmzFAzdwoEhN33UIUw")</f>
        <v>https://drive.google.com/open?id=bMAmzFAzdwoEhN33UIUw</v>
      </c>
      <c r="L282" s="3" t="str">
        <f ca="1">IFERROR(__xludf.DUMMYFUNCTION("""COMPUTED_VALUE"""),"https://drive.google.com/open?id=XuBEooP1pb824rkir79u")</f>
        <v>https://drive.google.com/open?id=XuBEooP1pb824rkir79u</v>
      </c>
      <c r="M282" s="1"/>
      <c r="N282" s="1"/>
      <c r="O282" s="1"/>
      <c r="P282" s="1" t="str">
        <f ca="1">IFERROR(__xludf.DUMMYFUNCTION("""COMPUTED_VALUE"""),"Part-time")</f>
        <v>Part-time</v>
      </c>
      <c r="Q282" s="1">
        <f ca="1">IFERROR(__xludf.DUMMYFUNCTION("""COMPUTED_VALUE"""),5000000)</f>
        <v>5000000</v>
      </c>
      <c r="R282" s="3" t="str">
        <f ca="1">IFERROR(__xludf.DUMMYFUNCTION("""COMPUTED_VALUE"""),"https://drive.google.com/open?id=mfuiQhtoxXAs37t4RS0l")</f>
        <v>https://drive.google.com/open?id=mfuiQhtoxXAs37t4RS0l</v>
      </c>
      <c r="S282" s="1">
        <f ca="1">IFERROR(__xludf.DUMMYFUNCTION("""COMPUTED_VALUE"""),15000000)</f>
        <v>15000000</v>
      </c>
      <c r="T282" s="1" t="str">
        <f ca="1">IFERROR(__xludf.DUMMYFUNCTION("""COMPUTED_VALUE"""),"Gold")</f>
        <v>Gold</v>
      </c>
      <c r="U282" s="1" t="str">
        <f ca="1">IFERROR(__xludf.DUMMYFUNCTION("""COMPUTED_VALUE"""),"Online")</f>
        <v>Online</v>
      </c>
    </row>
    <row r="283" spans="1:21" x14ac:dyDescent="0.25">
      <c r="A283" s="2" t="str">
        <f ca="1">IFERROR(__xludf.DUMMYFUNCTION("""COMPUTED_VALUE"""),"APP0282")</f>
        <v>APP0282</v>
      </c>
      <c r="B283" s="2">
        <f ca="1">IFERROR(__xludf.DUMMYFUNCTION("""COMPUTED_VALUE"""),45913.2147453703)</f>
        <v>45913.2147453703</v>
      </c>
      <c r="C283" s="1" t="str">
        <f ca="1">IFERROR(__xludf.DUMMYFUNCTION("""COMPUTED_VALUE"""),"Justin Vargas")</f>
        <v>Justin Vargas</v>
      </c>
      <c r="D283" s="1" t="str">
        <f ca="1">IFERROR(__xludf.DUMMYFUNCTION("""COMPUTED_VALUE"""),"16/02/1996")</f>
        <v>16/02/1996</v>
      </c>
      <c r="E283" s="1" t="str">
        <f ca="1">IFERROR(__xludf.DUMMYFUNCTION("""COMPUTED_VALUE"""),"Female")</f>
        <v>Female</v>
      </c>
      <c r="F283" s="1" t="str">
        <f ca="1">IFERROR(__xludf.DUMMYFUNCTION("""COMPUTED_VALUE"""),"Other")</f>
        <v>Other</v>
      </c>
      <c r="G283" s="1" t="str">
        <f ca="1">IFERROR(__xludf.DUMMYFUNCTION("""COMPUTED_VALUE"""),"+81 6070538156")</f>
        <v>+81 6070538156</v>
      </c>
      <c r="H283" s="1" t="str">
        <f ca="1">IFERROR(__xludf.DUMMYFUNCTION("""COMPUTED_VALUE"""),"justinvargas@gmail.com")</f>
        <v>justinvargas@gmail.com</v>
      </c>
      <c r="I283" s="1" t="str">
        <f ca="1">IFERROR(__xludf.DUMMYFUNCTION("""COMPUTED_VALUE"""),"670 House Dam, East Alexanderfort, CO 01226")</f>
        <v>670 House Dam, East Alexanderfort, CO 01226</v>
      </c>
      <c r="J283" s="1"/>
      <c r="K283" s="1"/>
      <c r="L283" s="1"/>
      <c r="M283" s="1" t="str">
        <f ca="1">IFERROR(__xludf.DUMMYFUNCTION("""COMPUTED_VALUE"""),"Bq815974")</f>
        <v>Bq815974</v>
      </c>
      <c r="N283" s="3" t="str">
        <f ca="1">IFERROR(__xludf.DUMMYFUNCTION("""COMPUTED_VALUE"""),"https://drive.google.com/open?id=5f68rRtXS2eV2VuhVJI4")</f>
        <v>https://drive.google.com/open?id=5f68rRtXS2eV2VuhVJI4</v>
      </c>
      <c r="O283" s="3" t="str">
        <f ca="1">IFERROR(__xludf.DUMMYFUNCTION("""COMPUTED_VALUE"""),"https://drive.google.com/open?id=e0waM6zzfWbw8fUNNW74")</f>
        <v>https://drive.google.com/open?id=e0waM6zzfWbw8fUNNW74</v>
      </c>
      <c r="P283" s="1" t="str">
        <f ca="1">IFERROR(__xludf.DUMMYFUNCTION("""COMPUTED_VALUE"""),"Full-time")</f>
        <v>Full-time</v>
      </c>
      <c r="Q283" s="1">
        <f ca="1">IFERROR(__xludf.DUMMYFUNCTION("""COMPUTED_VALUE"""),8000000)</f>
        <v>8000000</v>
      </c>
      <c r="R283" s="3" t="str">
        <f ca="1">IFERROR(__xludf.DUMMYFUNCTION("""COMPUTED_VALUE"""),"https://drive.google.com/open?id=Wtcynfihd1epYS7Mxz6r")</f>
        <v>https://drive.google.com/open?id=Wtcynfihd1epYS7Mxz6r</v>
      </c>
      <c r="S283" s="1">
        <f ca="1">IFERROR(__xludf.DUMMYFUNCTION("""COMPUTED_VALUE"""),40000000)</f>
        <v>40000000</v>
      </c>
      <c r="T283" s="1" t="str">
        <f ca="1">IFERROR(__xludf.DUMMYFUNCTION("""COMPUTED_VALUE"""),"Classic")</f>
        <v>Classic</v>
      </c>
      <c r="U283" s="1" t="str">
        <f ca="1">IFERROR(__xludf.DUMMYFUNCTION("""COMPUTED_VALUE"""),"Online")</f>
        <v>Online</v>
      </c>
    </row>
    <row r="284" spans="1:21" x14ac:dyDescent="0.25">
      <c r="A284" s="2" t="str">
        <f ca="1">IFERROR(__xludf.DUMMYFUNCTION("""COMPUTED_VALUE"""),"APP0283")</f>
        <v>APP0283</v>
      </c>
      <c r="B284" s="2">
        <f ca="1">IFERROR(__xludf.DUMMYFUNCTION("""COMPUTED_VALUE"""),45913.2192361111)</f>
        <v>45913.219236111101</v>
      </c>
      <c r="C284" s="1" t="str">
        <f ca="1">IFERROR(__xludf.DUMMYFUNCTION("""COMPUTED_VALUE"""),"Wendy Valdez")</f>
        <v>Wendy Valdez</v>
      </c>
      <c r="D284" s="1" t="str">
        <f ca="1">IFERROR(__xludf.DUMMYFUNCTION("""COMPUTED_VALUE"""),"19/04/2002")</f>
        <v>19/04/2002</v>
      </c>
      <c r="E284" s="1" t="str">
        <f ca="1">IFERROR(__xludf.DUMMYFUNCTION("""COMPUTED_VALUE"""),"Female")</f>
        <v>Female</v>
      </c>
      <c r="F284" s="1" t="str">
        <f ca="1">IFERROR(__xludf.DUMMYFUNCTION("""COMPUTED_VALUE"""),"Other")</f>
        <v>Other</v>
      </c>
      <c r="G284" s="1" t="str">
        <f ca="1">IFERROR(__xludf.DUMMYFUNCTION("""COMPUTED_VALUE"""),"+81 9805129919")</f>
        <v>+81 9805129919</v>
      </c>
      <c r="H284" s="1" t="str">
        <f ca="1">IFERROR(__xludf.DUMMYFUNCTION("""COMPUTED_VALUE"""),"wendyvaldez@gmail.com")</f>
        <v>wendyvaldez@gmail.com</v>
      </c>
      <c r="I284" s="1" t="str">
        <f ca="1">IFERROR(__xludf.DUMMYFUNCTION("""COMPUTED_VALUE"""),"25643 Harris Park, Kristintown, IL 77127")</f>
        <v>25643 Harris Park, Kristintown, IL 77127</v>
      </c>
      <c r="J284" s="1"/>
      <c r="K284" s="1"/>
      <c r="L284" s="1"/>
      <c r="M284" s="1" t="str">
        <f ca="1">IFERROR(__xludf.DUMMYFUNCTION("""COMPUTED_VALUE"""),"Jh181499")</f>
        <v>Jh181499</v>
      </c>
      <c r="N284" s="3" t="str">
        <f ca="1">IFERROR(__xludf.DUMMYFUNCTION("""COMPUTED_VALUE"""),"https://drive.google.com/open?id=HhOy1yD2WzsAJjekGQ63")</f>
        <v>https://drive.google.com/open?id=HhOy1yD2WzsAJjekGQ63</v>
      </c>
      <c r="O284" s="3" t="str">
        <f ca="1">IFERROR(__xludf.DUMMYFUNCTION("""COMPUTED_VALUE"""),"https://drive.google.com/open?id=aYmSiYjAQrCwb5ObPDvd")</f>
        <v>https://drive.google.com/open?id=aYmSiYjAQrCwb5ObPDvd</v>
      </c>
      <c r="P284" s="1" t="str">
        <f ca="1">IFERROR(__xludf.DUMMYFUNCTION("""COMPUTED_VALUE"""),"Contract")</f>
        <v>Contract</v>
      </c>
      <c r="Q284" s="1">
        <f ca="1">IFERROR(__xludf.DUMMYFUNCTION("""COMPUTED_VALUE"""),50000000)</f>
        <v>50000000</v>
      </c>
      <c r="R284" s="3" t="str">
        <f ca="1">IFERROR(__xludf.DUMMYFUNCTION("""COMPUTED_VALUE"""),"https://drive.google.com/open?id=2JjpClS4LhfLHZqhwiiw")</f>
        <v>https://drive.google.com/open?id=2JjpClS4LhfLHZqhwiiw</v>
      </c>
      <c r="S284" s="1">
        <f ca="1">IFERROR(__xludf.DUMMYFUNCTION("""COMPUTED_VALUE"""),250000000)</f>
        <v>250000000</v>
      </c>
      <c r="T284" s="1" t="str">
        <f ca="1">IFERROR(__xludf.DUMMYFUNCTION("""COMPUTED_VALUE"""),"Platinum")</f>
        <v>Platinum</v>
      </c>
      <c r="U284" s="1" t="str">
        <f ca="1">IFERROR(__xludf.DUMMYFUNCTION("""COMPUTED_VALUE"""),"Online")</f>
        <v>Online</v>
      </c>
    </row>
    <row r="285" spans="1:21" x14ac:dyDescent="0.25">
      <c r="A285" s="2" t="str">
        <f ca="1">IFERROR(__xludf.DUMMYFUNCTION("""COMPUTED_VALUE"""),"APP0284")</f>
        <v>APP0284</v>
      </c>
      <c r="B285" s="2">
        <f ca="1">IFERROR(__xludf.DUMMYFUNCTION("""COMPUTED_VALUE"""),45913.2488541666)</f>
        <v>45913.248854166603</v>
      </c>
      <c r="C285" s="1" t="str">
        <f ca="1">IFERROR(__xludf.DUMMYFUNCTION("""COMPUTED_VALUE"""),"Hoàng Ngọc Dũng")</f>
        <v>Hoàng Ngọc Dũng</v>
      </c>
      <c r="D285" s="1" t="str">
        <f ca="1">IFERROR(__xludf.DUMMYFUNCTION("""COMPUTED_VALUE"""),"19/11/1989")</f>
        <v>19/11/1989</v>
      </c>
      <c r="E285" s="1" t="str">
        <f ca="1">IFERROR(__xludf.DUMMYFUNCTION("""COMPUTED_VALUE"""),"Male")</f>
        <v>Male</v>
      </c>
      <c r="F285" s="1" t="str">
        <f ca="1">IFERROR(__xludf.DUMMYFUNCTION("""COMPUTED_VALUE"""),"Vietnam")</f>
        <v>Vietnam</v>
      </c>
      <c r="G285" s="1" t="str">
        <f ca="1">IFERROR(__xludf.DUMMYFUNCTION("""COMPUTED_VALUE"""),"0872277050")</f>
        <v>0872277050</v>
      </c>
      <c r="H285" s="1" t="str">
        <f ca="1">IFERROR(__xludf.DUMMYFUNCTION("""COMPUTED_VALUE"""),"hoangngocdung@gmail.com")</f>
        <v>hoangngocdung@gmail.com</v>
      </c>
      <c r="I285" s="1" t="str">
        <f ca="1">IFERROR(__xludf.DUMMYFUNCTION("""COMPUTED_VALUE"""),"180 Pham Van Dong, Quan 7, Ha Noi, Viet Nam")</f>
        <v>180 Pham Van Dong, Quan 7, Ha Noi, Viet Nam</v>
      </c>
      <c r="J285" s="1" t="str">
        <f ca="1">IFERROR(__xludf.DUMMYFUNCTION("""COMPUTED_VALUE"""),"052254445441")</f>
        <v>052254445441</v>
      </c>
      <c r="K285" s="3" t="str">
        <f ca="1">IFERROR(__xludf.DUMMYFUNCTION("""COMPUTED_VALUE"""),"https://drive.google.com/open?id=9Kp6gbepRmmNfbJ4gi3m")</f>
        <v>https://drive.google.com/open?id=9Kp6gbepRmmNfbJ4gi3m</v>
      </c>
      <c r="L285" s="3" t="str">
        <f ca="1">IFERROR(__xludf.DUMMYFUNCTION("""COMPUTED_VALUE"""),"https://drive.google.com/open?id=P7goVumpvFeniYnyP0JX")</f>
        <v>https://drive.google.com/open?id=P7goVumpvFeniYnyP0JX</v>
      </c>
      <c r="M285" s="1"/>
      <c r="N285" s="1"/>
      <c r="O285" s="1"/>
      <c r="P285" s="1" t="str">
        <f ca="1">IFERROR(__xludf.DUMMYFUNCTION("""COMPUTED_VALUE"""),"Freelancer")</f>
        <v>Freelancer</v>
      </c>
      <c r="Q285" s="1">
        <f ca="1">IFERROR(__xludf.DUMMYFUNCTION("""COMPUTED_VALUE"""),20000000)</f>
        <v>20000000</v>
      </c>
      <c r="R285" s="3" t="str">
        <f ca="1">IFERROR(__xludf.DUMMYFUNCTION("""COMPUTED_VALUE"""),"https://drive.google.com/open?id=1Wj99CvWW6OAlDUvdUzQ")</f>
        <v>https://drive.google.com/open?id=1Wj99CvWW6OAlDUvdUzQ</v>
      </c>
      <c r="S285" s="1">
        <f ca="1">IFERROR(__xludf.DUMMYFUNCTION("""COMPUTED_VALUE"""),40000000)</f>
        <v>40000000</v>
      </c>
      <c r="T285" s="1" t="str">
        <f ca="1">IFERROR(__xludf.DUMMYFUNCTION("""COMPUTED_VALUE"""),"Gold")</f>
        <v>Gold</v>
      </c>
      <c r="U285" s="1" t="str">
        <f ca="1">IFERROR(__xludf.DUMMYFUNCTION("""COMPUTED_VALUE"""),"Branch")</f>
        <v>Branch</v>
      </c>
    </row>
    <row r="286" spans="1:21" x14ac:dyDescent="0.25">
      <c r="A286" s="2" t="str">
        <f ca="1">IFERROR(__xludf.DUMMYFUNCTION("""COMPUTED_VALUE"""),"APP0285")</f>
        <v>APP0285</v>
      </c>
      <c r="B286" s="2">
        <f ca="1">IFERROR(__xludf.DUMMYFUNCTION("""COMPUTED_VALUE"""),45913.3248148148)</f>
        <v>45913.324814814798</v>
      </c>
      <c r="C286" s="1" t="str">
        <f ca="1">IFERROR(__xludf.DUMMYFUNCTION("""COMPUTED_VALUE"""),"Austin Miller")</f>
        <v>Austin Miller</v>
      </c>
      <c r="D286" s="1" t="str">
        <f ca="1">IFERROR(__xludf.DUMMYFUNCTION("""COMPUTED_VALUE"""),"08/03/1992")</f>
        <v>08/03/1992</v>
      </c>
      <c r="E286" s="1" t="str">
        <f ca="1">IFERROR(__xludf.DUMMYFUNCTION("""COMPUTED_VALUE"""),"Male")</f>
        <v>Male</v>
      </c>
      <c r="F286" s="1" t="str">
        <f ca="1">IFERROR(__xludf.DUMMYFUNCTION("""COMPUTED_VALUE"""),"Other")</f>
        <v>Other</v>
      </c>
      <c r="G286" s="1" t="str">
        <f ca="1">IFERROR(__xludf.DUMMYFUNCTION("""COMPUTED_VALUE"""),"+62 9588951237")</f>
        <v>+62 9588951237</v>
      </c>
      <c r="H286" s="1" t="str">
        <f ca="1">IFERROR(__xludf.DUMMYFUNCTION("""COMPUTED_VALUE"""),"austinmiller@gmail.com")</f>
        <v>austinmiller@gmail.com</v>
      </c>
      <c r="I286" s="1" t="str">
        <f ca="1">IFERROR(__xludf.DUMMYFUNCTION("""COMPUTED_VALUE"""),"290 Adams Pike Suite 159, North Josephhaven, CA 39821")</f>
        <v>290 Adams Pike Suite 159, North Josephhaven, CA 39821</v>
      </c>
      <c r="J286" s="1"/>
      <c r="K286" s="1"/>
      <c r="L286" s="1"/>
      <c r="M286" s="1" t="str">
        <f ca="1">IFERROR(__xludf.DUMMYFUNCTION("""COMPUTED_VALUE"""),"mY937939")</f>
        <v>mY937939</v>
      </c>
      <c r="N286" s="3" t="str">
        <f ca="1">IFERROR(__xludf.DUMMYFUNCTION("""COMPUTED_VALUE"""),"https://drive.google.com/open?id=m5GVVcrgOqlUHeDts4qN")</f>
        <v>https://drive.google.com/open?id=m5GVVcrgOqlUHeDts4qN</v>
      </c>
      <c r="O286" s="3" t="str">
        <f ca="1">IFERROR(__xludf.DUMMYFUNCTION("""COMPUTED_VALUE"""),"https://drive.google.com/open?id=sT1WmW8LGJ0sc4nVz5PD")</f>
        <v>https://drive.google.com/open?id=sT1WmW8LGJ0sc4nVz5PD</v>
      </c>
      <c r="P286" s="1" t="str">
        <f ca="1">IFERROR(__xludf.DUMMYFUNCTION("""COMPUTED_VALUE"""),"Contract")</f>
        <v>Contract</v>
      </c>
      <c r="Q286" s="1">
        <f ca="1">IFERROR(__xludf.DUMMYFUNCTION("""COMPUTED_VALUE"""),50000000)</f>
        <v>50000000</v>
      </c>
      <c r="R286" s="3" t="str">
        <f ca="1">IFERROR(__xludf.DUMMYFUNCTION("""COMPUTED_VALUE"""),"https://drive.google.com/open?id=dEysnYtIKKhDomqJLAie")</f>
        <v>https://drive.google.com/open?id=dEysnYtIKKhDomqJLAie</v>
      </c>
      <c r="S286" s="1">
        <f ca="1">IFERROR(__xludf.DUMMYFUNCTION("""COMPUTED_VALUE"""),250000000)</f>
        <v>250000000</v>
      </c>
      <c r="T286" s="1" t="str">
        <f ca="1">IFERROR(__xludf.DUMMYFUNCTION("""COMPUTED_VALUE"""),"Gold")</f>
        <v>Gold</v>
      </c>
      <c r="U286" s="1" t="str">
        <f ca="1">IFERROR(__xludf.DUMMYFUNCTION("""COMPUTED_VALUE"""),"Branch")</f>
        <v>Branch</v>
      </c>
    </row>
    <row r="287" spans="1:21" x14ac:dyDescent="0.25">
      <c r="A287" s="2" t="str">
        <f ca="1">IFERROR(__xludf.DUMMYFUNCTION("""COMPUTED_VALUE"""),"APP0286")</f>
        <v>APP0286</v>
      </c>
      <c r="B287" s="2">
        <f ca="1">IFERROR(__xludf.DUMMYFUNCTION("""COMPUTED_VALUE"""),45913.5167939814)</f>
        <v>45913.516793981398</v>
      </c>
      <c r="C287" s="1" t="str">
        <f ca="1">IFERROR(__xludf.DUMMYFUNCTION("""COMPUTED_VALUE"""),"Phan Văn Yến")</f>
        <v>Phan Văn Yến</v>
      </c>
      <c r="D287" s="1" t="str">
        <f ca="1">IFERROR(__xludf.DUMMYFUNCTION("""COMPUTED_VALUE"""),"26/03/1968")</f>
        <v>26/03/1968</v>
      </c>
      <c r="E287" s="1" t="str">
        <f ca="1">IFERROR(__xludf.DUMMYFUNCTION("""COMPUTED_VALUE"""),"Female")</f>
        <v>Female</v>
      </c>
      <c r="F287" s="1" t="str">
        <f ca="1">IFERROR(__xludf.DUMMYFUNCTION("""COMPUTED_VALUE"""),"Vietnam")</f>
        <v>Vietnam</v>
      </c>
      <c r="G287" s="1" t="str">
        <f ca="1">IFERROR(__xludf.DUMMYFUNCTION("""COMPUTED_VALUE"""),"0868032999")</f>
        <v>0868032999</v>
      </c>
      <c r="H287" s="1" t="str">
        <f ca="1">IFERROR(__xludf.DUMMYFUNCTION("""COMPUTED_VALUE"""),"phanvanyen@gmail.com")</f>
        <v>phanvanyen@gmail.com</v>
      </c>
      <c r="I287" s="1" t="str">
        <f ca="1">IFERROR(__xludf.DUMMYFUNCTION("""COMPUTED_VALUE"""),"119 Nguyen Trai, Quan 7, Hai Phong, Viet Nam")</f>
        <v>119 Nguyen Trai, Quan 7, Hai Phong, Viet Nam</v>
      </c>
      <c r="J287" s="1" t="str">
        <f ca="1">IFERROR(__xludf.DUMMYFUNCTION("""COMPUTED_VALUE"""),"036377570889")</f>
        <v>036377570889</v>
      </c>
      <c r="K287" s="3" t="str">
        <f ca="1">IFERROR(__xludf.DUMMYFUNCTION("""COMPUTED_VALUE"""),"https://drive.google.com/open?id=pigr6yFLNnveLy4yFeAn")</f>
        <v>https://drive.google.com/open?id=pigr6yFLNnveLy4yFeAn</v>
      </c>
      <c r="L287" s="3" t="str">
        <f ca="1">IFERROR(__xludf.DUMMYFUNCTION("""COMPUTED_VALUE"""),"https://drive.google.com/open?id=pf6QNVQuYTt9OqeXW47v")</f>
        <v>https://drive.google.com/open?id=pf6QNVQuYTt9OqeXW47v</v>
      </c>
      <c r="M287" s="1"/>
      <c r="N287" s="1"/>
      <c r="O287" s="1"/>
      <c r="P287" s="1" t="str">
        <f ca="1">IFERROR(__xludf.DUMMYFUNCTION("""COMPUTED_VALUE"""),"Part-time")</f>
        <v>Part-time</v>
      </c>
      <c r="Q287" s="1">
        <f ca="1">IFERROR(__xludf.DUMMYFUNCTION("""COMPUTED_VALUE"""),12000000)</f>
        <v>12000000</v>
      </c>
      <c r="R287" s="3" t="str">
        <f ca="1">IFERROR(__xludf.DUMMYFUNCTION("""COMPUTED_VALUE"""),"https://drive.google.com/open?id=4ort1x7jPoGVPCpUZjcm")</f>
        <v>https://drive.google.com/open?id=4ort1x7jPoGVPCpUZjcm</v>
      </c>
      <c r="S287" s="1">
        <f ca="1">IFERROR(__xludf.DUMMYFUNCTION("""COMPUTED_VALUE"""),60000000)</f>
        <v>60000000</v>
      </c>
      <c r="T287" s="1" t="str">
        <f ca="1">IFERROR(__xludf.DUMMYFUNCTION("""COMPUTED_VALUE"""),"Classic")</f>
        <v>Classic</v>
      </c>
      <c r="U287" s="1" t="str">
        <f ca="1">IFERROR(__xludf.DUMMYFUNCTION("""COMPUTED_VALUE"""),"Branch")</f>
        <v>Branch</v>
      </c>
    </row>
    <row r="288" spans="1:21" x14ac:dyDescent="0.25">
      <c r="A288" s="2" t="str">
        <f ca="1">IFERROR(__xludf.DUMMYFUNCTION("""COMPUTED_VALUE"""),"APP0287")</f>
        <v>APP0287</v>
      </c>
      <c r="B288" s="2">
        <f ca="1">IFERROR(__xludf.DUMMYFUNCTION("""COMPUTED_VALUE"""),45913.5634837962)</f>
        <v>45913.563483796199</v>
      </c>
      <c r="C288" s="1" t="str">
        <f ca="1">IFERROR(__xludf.DUMMYFUNCTION("""COMPUTED_VALUE"""),"Nguyễn Đức Thảo")</f>
        <v>Nguyễn Đức Thảo</v>
      </c>
      <c r="D288" s="1" t="str">
        <f ca="1">IFERROR(__xludf.DUMMYFUNCTION("""COMPUTED_VALUE"""),"09/04/1987")</f>
        <v>09/04/1987</v>
      </c>
      <c r="E288" s="1" t="str">
        <f ca="1">IFERROR(__xludf.DUMMYFUNCTION("""COMPUTED_VALUE"""),"Female")</f>
        <v>Female</v>
      </c>
      <c r="F288" s="1" t="str">
        <f ca="1">IFERROR(__xludf.DUMMYFUNCTION("""COMPUTED_VALUE"""),"Vietnam")</f>
        <v>Vietnam</v>
      </c>
      <c r="G288" s="1" t="str">
        <f ca="1">IFERROR(__xludf.DUMMYFUNCTION("""COMPUTED_VALUE"""),"0919642884")</f>
        <v>0919642884</v>
      </c>
      <c r="H288" s="1" t="str">
        <f ca="1">IFERROR(__xludf.DUMMYFUNCTION("""COMPUTED_VALUE"""),"nguyenducthao@gmail.com")</f>
        <v>nguyenducthao@gmail.com</v>
      </c>
      <c r="I288" s="1" t="str">
        <f ca="1">IFERROR(__xludf.DUMMYFUNCTION("""COMPUTED_VALUE"""),"199 Le Loi, Dong Da, Ha Noi, Viet Nam")</f>
        <v>199 Le Loi, Dong Da, Ha Noi, Viet Nam</v>
      </c>
      <c r="J288" s="1" t="str">
        <f ca="1">IFERROR(__xludf.DUMMYFUNCTION("""COMPUTED_VALUE"""),"059662168649")</f>
        <v>059662168649</v>
      </c>
      <c r="K288" s="3" t="str">
        <f ca="1">IFERROR(__xludf.DUMMYFUNCTION("""COMPUTED_VALUE"""),"https://drive.google.com/open?id=VnC0VHdxlHNrYcII5vpS")</f>
        <v>https://drive.google.com/open?id=VnC0VHdxlHNrYcII5vpS</v>
      </c>
      <c r="L288" s="3" t="str">
        <f ca="1">IFERROR(__xludf.DUMMYFUNCTION("""COMPUTED_VALUE"""),"https://drive.google.com/open?id=ZtmJLH8l6hBaNNwDVQXQ")</f>
        <v>https://drive.google.com/open?id=ZtmJLH8l6hBaNNwDVQXQ</v>
      </c>
      <c r="M288" s="1"/>
      <c r="N288" s="1"/>
      <c r="O288" s="1"/>
      <c r="P288" s="1" t="str">
        <f ca="1">IFERROR(__xludf.DUMMYFUNCTION("""COMPUTED_VALUE"""),"Contract")</f>
        <v>Contract</v>
      </c>
      <c r="Q288" s="1">
        <f ca="1">IFERROR(__xludf.DUMMYFUNCTION("""COMPUTED_VALUE"""),5000000)</f>
        <v>5000000</v>
      </c>
      <c r="R288" s="3" t="str">
        <f ca="1">IFERROR(__xludf.DUMMYFUNCTION("""COMPUTED_VALUE"""),"https://drive.google.com/open?id=4UY7FD4HGTNYS1A4AK7n")</f>
        <v>https://drive.google.com/open?id=4UY7FD4HGTNYS1A4AK7n</v>
      </c>
      <c r="S288" s="1">
        <f ca="1">IFERROR(__xludf.DUMMYFUNCTION("""COMPUTED_VALUE"""),10000000)</f>
        <v>10000000</v>
      </c>
      <c r="T288" s="1" t="str">
        <f ca="1">IFERROR(__xludf.DUMMYFUNCTION("""COMPUTED_VALUE"""),"Classic")</f>
        <v>Classic</v>
      </c>
      <c r="U288" s="1" t="str">
        <f ca="1">IFERROR(__xludf.DUMMYFUNCTION("""COMPUTED_VALUE"""),"Online")</f>
        <v>Online</v>
      </c>
    </row>
    <row r="289" spans="1:21" x14ac:dyDescent="0.25">
      <c r="A289" s="2" t="str">
        <f ca="1">IFERROR(__xludf.DUMMYFUNCTION("""COMPUTED_VALUE"""),"APP0288")</f>
        <v>APP0288</v>
      </c>
      <c r="B289" s="2">
        <f ca="1">IFERROR(__xludf.DUMMYFUNCTION("""COMPUTED_VALUE"""),45913.6279050925)</f>
        <v>45913.6279050925</v>
      </c>
      <c r="C289" s="1" t="str">
        <f ca="1">IFERROR(__xludf.DUMMYFUNCTION("""COMPUTED_VALUE"""),"Lê Anh Quỳnh")</f>
        <v>Lê Anh Quỳnh</v>
      </c>
      <c r="D289" s="1" t="str">
        <f ca="1">IFERROR(__xludf.DUMMYFUNCTION("""COMPUTED_VALUE"""),"13/08/1995")</f>
        <v>13/08/1995</v>
      </c>
      <c r="E289" s="1" t="str">
        <f ca="1">IFERROR(__xludf.DUMMYFUNCTION("""COMPUTED_VALUE"""),"Male")</f>
        <v>Male</v>
      </c>
      <c r="F289" s="1" t="str">
        <f ca="1">IFERROR(__xludf.DUMMYFUNCTION("""COMPUTED_VALUE"""),"Vietnam")</f>
        <v>Vietnam</v>
      </c>
      <c r="G289" s="1" t="str">
        <f ca="1">IFERROR(__xludf.DUMMYFUNCTION("""COMPUTED_VALUE"""),"0990781200")</f>
        <v>0990781200</v>
      </c>
      <c r="H289" s="1" t="str">
        <f ca="1">IFERROR(__xludf.DUMMYFUNCTION("""COMPUTED_VALUE"""),"leanhquynh@gmail.com")</f>
        <v>leanhquynh@gmail.com</v>
      </c>
      <c r="I289" s="1" t="str">
        <f ca="1">IFERROR(__xludf.DUMMYFUNCTION("""COMPUTED_VALUE"""),"181 Pham Van Dong, Hoan Kiem, Can Tho, Viet Nam")</f>
        <v>181 Pham Van Dong, Hoan Kiem, Can Tho, Viet Nam</v>
      </c>
      <c r="J289" s="1" t="str">
        <f ca="1">IFERROR(__xludf.DUMMYFUNCTION("""COMPUTED_VALUE"""),"065067986051")</f>
        <v>065067986051</v>
      </c>
      <c r="K289" s="3" t="str">
        <f ca="1">IFERROR(__xludf.DUMMYFUNCTION("""COMPUTED_VALUE"""),"https://drive.google.com/open?id=uFR1MGMXtwBBAc1EUAkU")</f>
        <v>https://drive.google.com/open?id=uFR1MGMXtwBBAc1EUAkU</v>
      </c>
      <c r="L289" s="3" t="str">
        <f ca="1">IFERROR(__xludf.DUMMYFUNCTION("""COMPUTED_VALUE"""),"https://drive.google.com/open?id=BcFXHa2pHcrrwhYwzLXj")</f>
        <v>https://drive.google.com/open?id=BcFXHa2pHcrrwhYwzLXj</v>
      </c>
      <c r="M289" s="1"/>
      <c r="N289" s="1"/>
      <c r="O289" s="1"/>
      <c r="P289" s="1" t="str">
        <f ca="1">IFERROR(__xludf.DUMMYFUNCTION("""COMPUTED_VALUE"""),"Freelancer")</f>
        <v>Freelancer</v>
      </c>
      <c r="Q289" s="1">
        <f ca="1">IFERROR(__xludf.DUMMYFUNCTION("""COMPUTED_VALUE"""),5000000)</f>
        <v>5000000</v>
      </c>
      <c r="R289" s="3" t="str">
        <f ca="1">IFERROR(__xludf.DUMMYFUNCTION("""COMPUTED_VALUE"""),"https://drive.google.com/open?id=iYAL8Mat3hDt3pL6flCL")</f>
        <v>https://drive.google.com/open?id=iYAL8Mat3hDt3pL6flCL</v>
      </c>
      <c r="S289" s="1">
        <f ca="1">IFERROR(__xludf.DUMMYFUNCTION("""COMPUTED_VALUE"""),15000000)</f>
        <v>15000000</v>
      </c>
      <c r="T289" s="1" t="str">
        <f ca="1">IFERROR(__xludf.DUMMYFUNCTION("""COMPUTED_VALUE"""),"Platinum")</f>
        <v>Platinum</v>
      </c>
      <c r="U289" s="1" t="str">
        <f ca="1">IFERROR(__xludf.DUMMYFUNCTION("""COMPUTED_VALUE"""),"Online")</f>
        <v>Online</v>
      </c>
    </row>
    <row r="290" spans="1:21" x14ac:dyDescent="0.25">
      <c r="A290" s="2" t="str">
        <f ca="1">IFERROR(__xludf.DUMMYFUNCTION("""COMPUTED_VALUE"""),"APP0289")</f>
        <v>APP0289</v>
      </c>
      <c r="B290" s="2">
        <f ca="1">IFERROR(__xludf.DUMMYFUNCTION("""COMPUTED_VALUE"""),45913.6427777777)</f>
        <v>45913.642777777699</v>
      </c>
      <c r="C290" s="1" t="str">
        <f ca="1">IFERROR(__xludf.DUMMYFUNCTION("""COMPUTED_VALUE"""),"Brandon Bean")</f>
        <v>Brandon Bean</v>
      </c>
      <c r="D290" s="1" t="str">
        <f ca="1">IFERROR(__xludf.DUMMYFUNCTION("""COMPUTED_VALUE"""),"02/04/1992")</f>
        <v>02/04/1992</v>
      </c>
      <c r="E290" s="1" t="str">
        <f ca="1">IFERROR(__xludf.DUMMYFUNCTION("""COMPUTED_VALUE"""),"Male")</f>
        <v>Male</v>
      </c>
      <c r="F290" s="1" t="str">
        <f ca="1">IFERROR(__xludf.DUMMYFUNCTION("""COMPUTED_VALUE"""),"Other")</f>
        <v>Other</v>
      </c>
      <c r="G290" s="1" t="str">
        <f ca="1">IFERROR(__xludf.DUMMYFUNCTION("""COMPUTED_VALUE"""),"+61 9138649321")</f>
        <v>+61 9138649321</v>
      </c>
      <c r="H290" s="1" t="str">
        <f ca="1">IFERROR(__xludf.DUMMYFUNCTION("""COMPUTED_VALUE"""),"brandonbean@gmail.com")</f>
        <v>brandonbean@gmail.com</v>
      </c>
      <c r="I290" s="1" t="str">
        <f ca="1">IFERROR(__xludf.DUMMYFUNCTION("""COMPUTED_VALUE"""),"9763 Rachel Burg Suite 372, Ingramville, IN 62856")</f>
        <v>9763 Rachel Burg Suite 372, Ingramville, IN 62856</v>
      </c>
      <c r="J290" s="1"/>
      <c r="K290" s="1"/>
      <c r="L290" s="1"/>
      <c r="M290" s="1" t="str">
        <f ca="1">IFERROR(__xludf.DUMMYFUNCTION("""COMPUTED_VALUE"""),"fd166376")</f>
        <v>fd166376</v>
      </c>
      <c r="N290" s="3" t="str">
        <f ca="1">IFERROR(__xludf.DUMMYFUNCTION("""COMPUTED_VALUE"""),"https://drive.google.com/open?id=7P8f88d9Ekh5UMGI7heO")</f>
        <v>https://drive.google.com/open?id=7P8f88d9Ekh5UMGI7heO</v>
      </c>
      <c r="O290" s="3" t="str">
        <f ca="1">IFERROR(__xludf.DUMMYFUNCTION("""COMPUTED_VALUE"""),"https://drive.google.com/open?id=4sWjtHX7iMn1ujuBcL94")</f>
        <v>https://drive.google.com/open?id=4sWjtHX7iMn1ujuBcL94</v>
      </c>
      <c r="P290" s="1" t="str">
        <f ca="1">IFERROR(__xludf.DUMMYFUNCTION("""COMPUTED_VALUE"""),"Part-time")</f>
        <v>Part-time</v>
      </c>
      <c r="Q290" s="1">
        <f ca="1">IFERROR(__xludf.DUMMYFUNCTION("""COMPUTED_VALUE"""),50000000)</f>
        <v>50000000</v>
      </c>
      <c r="R290" s="3" t="str">
        <f ca="1">IFERROR(__xludf.DUMMYFUNCTION("""COMPUTED_VALUE"""),"https://drive.google.com/open?id=gxEOVZmtEDxPNed0P1qV")</f>
        <v>https://drive.google.com/open?id=gxEOVZmtEDxPNed0P1qV</v>
      </c>
      <c r="S290" s="1">
        <f ca="1">IFERROR(__xludf.DUMMYFUNCTION("""COMPUTED_VALUE"""),150000000)</f>
        <v>150000000</v>
      </c>
      <c r="T290" s="1" t="str">
        <f ca="1">IFERROR(__xludf.DUMMYFUNCTION("""COMPUTED_VALUE"""),"Platinum")</f>
        <v>Platinum</v>
      </c>
      <c r="U290" s="1" t="str">
        <f ca="1">IFERROR(__xludf.DUMMYFUNCTION("""COMPUTED_VALUE"""),"Branch")</f>
        <v>Branch</v>
      </c>
    </row>
    <row r="291" spans="1:21" x14ac:dyDescent="0.25">
      <c r="A291" s="2" t="str">
        <f ca="1">IFERROR(__xludf.DUMMYFUNCTION("""COMPUTED_VALUE"""),"APP0290")</f>
        <v>APP0290</v>
      </c>
      <c r="B291" s="2">
        <f ca="1">IFERROR(__xludf.DUMMYFUNCTION("""COMPUTED_VALUE"""),45913.8178935185)</f>
        <v>45913.817893518499</v>
      </c>
      <c r="C291" s="1" t="str">
        <f ca="1">IFERROR(__xludf.DUMMYFUNCTION("""COMPUTED_VALUE"""),"Lý Minh Dũng")</f>
        <v>Lý Minh Dũng</v>
      </c>
      <c r="D291" s="1" t="str">
        <f ca="1">IFERROR(__xludf.DUMMYFUNCTION("""COMPUTED_VALUE"""),"07/03/2002")</f>
        <v>07/03/2002</v>
      </c>
      <c r="E291" s="1" t="str">
        <f ca="1">IFERROR(__xludf.DUMMYFUNCTION("""COMPUTED_VALUE"""),"Male")</f>
        <v>Male</v>
      </c>
      <c r="F291" s="1" t="str">
        <f ca="1">IFERROR(__xludf.DUMMYFUNCTION("""COMPUTED_VALUE"""),"Vietnam")</f>
        <v>Vietnam</v>
      </c>
      <c r="G291" s="1" t="str">
        <f ca="1">IFERROR(__xludf.DUMMYFUNCTION("""COMPUTED_VALUE"""),"0920345121")</f>
        <v>0920345121</v>
      </c>
      <c r="H291" s="1" t="str">
        <f ca="1">IFERROR(__xludf.DUMMYFUNCTION("""COMPUTED_VALUE"""),"lyminhdung@gmail.com")</f>
        <v>lyminhdung@gmail.com</v>
      </c>
      <c r="I291" s="1" t="str">
        <f ca="1">IFERROR(__xludf.DUMMYFUNCTION("""COMPUTED_VALUE"""),"89 Nguyen Trai, Quan 3, TP Ho Chi Minh, Viet Nam")</f>
        <v>89 Nguyen Trai, Quan 3, TP Ho Chi Minh, Viet Nam</v>
      </c>
      <c r="J291" s="1" t="str">
        <f ca="1">IFERROR(__xludf.DUMMYFUNCTION("""COMPUTED_VALUE"""),"065343747458")</f>
        <v>065343747458</v>
      </c>
      <c r="K291" s="3" t="str">
        <f ca="1">IFERROR(__xludf.DUMMYFUNCTION("""COMPUTED_VALUE"""),"https://drive.google.com/open?id=sEham0jj82j1EauXxSFX")</f>
        <v>https://drive.google.com/open?id=sEham0jj82j1EauXxSFX</v>
      </c>
      <c r="L291" s="3" t="str">
        <f ca="1">IFERROR(__xludf.DUMMYFUNCTION("""COMPUTED_VALUE"""),"https://drive.google.com/open?id=f7CygVX3IuThbIh29NAD")</f>
        <v>https://drive.google.com/open?id=f7CygVX3IuThbIh29NAD</v>
      </c>
      <c r="M291" s="1"/>
      <c r="N291" s="1"/>
      <c r="O291" s="1"/>
      <c r="P291" s="1" t="str">
        <f ca="1">IFERROR(__xludf.DUMMYFUNCTION("""COMPUTED_VALUE"""),"Contract")</f>
        <v>Contract</v>
      </c>
      <c r="Q291" s="1">
        <f ca="1">IFERROR(__xludf.DUMMYFUNCTION("""COMPUTED_VALUE"""),8000000)</f>
        <v>8000000</v>
      </c>
      <c r="R291" s="3" t="str">
        <f ca="1">IFERROR(__xludf.DUMMYFUNCTION("""COMPUTED_VALUE"""),"https://drive.google.com/open?id=mKkKojF89uxsgErpUjQU")</f>
        <v>https://drive.google.com/open?id=mKkKojF89uxsgErpUjQU</v>
      </c>
      <c r="S291" s="1">
        <f ca="1">IFERROR(__xludf.DUMMYFUNCTION("""COMPUTED_VALUE"""),16000000)</f>
        <v>16000000</v>
      </c>
      <c r="T291" s="1" t="str">
        <f ca="1">IFERROR(__xludf.DUMMYFUNCTION("""COMPUTED_VALUE"""),"Gold")</f>
        <v>Gold</v>
      </c>
      <c r="U291" s="1" t="str">
        <f ca="1">IFERROR(__xludf.DUMMYFUNCTION("""COMPUTED_VALUE"""),"Branch")</f>
        <v>Branch</v>
      </c>
    </row>
    <row r="292" spans="1:21" x14ac:dyDescent="0.25">
      <c r="A292" s="2" t="str">
        <f ca="1">IFERROR(__xludf.DUMMYFUNCTION("""COMPUTED_VALUE"""),"APP0291")</f>
        <v>APP0291</v>
      </c>
      <c r="B292" s="2">
        <f ca="1">IFERROR(__xludf.DUMMYFUNCTION("""COMPUTED_VALUE"""),45913.8777199074)</f>
        <v>45913.877719907403</v>
      </c>
      <c r="C292" s="1" t="str">
        <f ca="1">IFERROR(__xludf.DUMMYFUNCTION("""COMPUTED_VALUE"""),"Vũ Minh Thảo")</f>
        <v>Vũ Minh Thảo</v>
      </c>
      <c r="D292" s="1" t="str">
        <f ca="1">IFERROR(__xludf.DUMMYFUNCTION("""COMPUTED_VALUE"""),"29/05/1967")</f>
        <v>29/05/1967</v>
      </c>
      <c r="E292" s="1" t="str">
        <f ca="1">IFERROR(__xludf.DUMMYFUNCTION("""COMPUTED_VALUE"""),"Male")</f>
        <v>Male</v>
      </c>
      <c r="F292" s="1" t="str">
        <f ca="1">IFERROR(__xludf.DUMMYFUNCTION("""COMPUTED_VALUE"""),"Vietnam")</f>
        <v>Vietnam</v>
      </c>
      <c r="G292" s="1" t="str">
        <f ca="1">IFERROR(__xludf.DUMMYFUNCTION("""COMPUTED_VALUE"""),"0929759592")</f>
        <v>0929759592</v>
      </c>
      <c r="H292" s="1" t="str">
        <f ca="1">IFERROR(__xludf.DUMMYFUNCTION("""COMPUTED_VALUE"""),"vuminhthao@gmail.com")</f>
        <v>vuminhthao@gmail.com</v>
      </c>
      <c r="I292" s="1" t="str">
        <f ca="1">IFERROR(__xludf.DUMMYFUNCTION("""COMPUTED_VALUE"""),"122 Le Loi, Hoan Kiem, Ha Noi, Viet Nam")</f>
        <v>122 Le Loi, Hoan Kiem, Ha Noi, Viet Nam</v>
      </c>
      <c r="J292" s="1" t="str">
        <f ca="1">IFERROR(__xludf.DUMMYFUNCTION("""COMPUTED_VALUE"""),"026500655075")</f>
        <v>026500655075</v>
      </c>
      <c r="K292" s="3" t="str">
        <f ca="1">IFERROR(__xludf.DUMMYFUNCTION("""COMPUTED_VALUE"""),"https://drive.google.com/open?id=IBJXdR4BOgr8GRn2b9Jm")</f>
        <v>https://drive.google.com/open?id=IBJXdR4BOgr8GRn2b9Jm</v>
      </c>
      <c r="L292" s="3" t="str">
        <f ca="1">IFERROR(__xludf.DUMMYFUNCTION("""COMPUTED_VALUE"""),"https://drive.google.com/open?id=5vcXGIcJq4nYPefnnHXg")</f>
        <v>https://drive.google.com/open?id=5vcXGIcJq4nYPefnnHXg</v>
      </c>
      <c r="M292" s="1"/>
      <c r="N292" s="1"/>
      <c r="O292" s="1"/>
      <c r="P292" s="1" t="str">
        <f ca="1">IFERROR(__xludf.DUMMYFUNCTION("""COMPUTED_VALUE"""),"Contract")</f>
        <v>Contract</v>
      </c>
      <c r="Q292" s="1">
        <f ca="1">IFERROR(__xludf.DUMMYFUNCTION("""COMPUTED_VALUE"""),12000000)</f>
        <v>12000000</v>
      </c>
      <c r="R292" s="3" t="str">
        <f ca="1">IFERROR(__xludf.DUMMYFUNCTION("""COMPUTED_VALUE"""),"https://drive.google.com/open?id=63g0OKwHHZNhMqrEttD7")</f>
        <v>https://drive.google.com/open?id=63g0OKwHHZNhMqrEttD7</v>
      </c>
      <c r="S292" s="1">
        <f ca="1">IFERROR(__xludf.DUMMYFUNCTION("""COMPUTED_VALUE"""),24000000)</f>
        <v>24000000</v>
      </c>
      <c r="T292" s="1" t="str">
        <f ca="1">IFERROR(__xludf.DUMMYFUNCTION("""COMPUTED_VALUE"""),"Gold")</f>
        <v>Gold</v>
      </c>
      <c r="U292" s="1" t="str">
        <f ca="1">IFERROR(__xludf.DUMMYFUNCTION("""COMPUTED_VALUE"""),"Partner")</f>
        <v>Partner</v>
      </c>
    </row>
    <row r="293" spans="1:21" x14ac:dyDescent="0.25">
      <c r="A293" s="2" t="str">
        <f ca="1">IFERROR(__xludf.DUMMYFUNCTION("""COMPUTED_VALUE"""),"APP0292")</f>
        <v>APP0292</v>
      </c>
      <c r="B293" s="2">
        <f ca="1">IFERROR(__xludf.DUMMYFUNCTION("""COMPUTED_VALUE"""),45913.9348148148)</f>
        <v>45913.934814814798</v>
      </c>
      <c r="C293" s="1" t="str">
        <f ca="1">IFERROR(__xludf.DUMMYFUNCTION("""COMPUTED_VALUE"""),"Nguyễn Ngọc Quỳnh")</f>
        <v>Nguyễn Ngọc Quỳnh</v>
      </c>
      <c r="D293" s="1" t="str">
        <f ca="1">IFERROR(__xludf.DUMMYFUNCTION("""COMPUTED_VALUE"""),"09/08/1989")</f>
        <v>09/08/1989</v>
      </c>
      <c r="E293" s="1" t="str">
        <f ca="1">IFERROR(__xludf.DUMMYFUNCTION("""COMPUTED_VALUE"""),"Male")</f>
        <v>Male</v>
      </c>
      <c r="F293" s="1" t="str">
        <f ca="1">IFERROR(__xludf.DUMMYFUNCTION("""COMPUTED_VALUE"""),"Vietnam")</f>
        <v>Vietnam</v>
      </c>
      <c r="G293" s="1" t="str">
        <f ca="1">IFERROR(__xludf.DUMMYFUNCTION("""COMPUTED_VALUE"""),"0752125619")</f>
        <v>0752125619</v>
      </c>
      <c r="H293" s="1" t="str">
        <f ca="1">IFERROR(__xludf.DUMMYFUNCTION("""COMPUTED_VALUE"""),"nguyenngocquynh@gmail.com")</f>
        <v>nguyenngocquynh@gmail.com</v>
      </c>
      <c r="I293" s="1" t="str">
        <f ca="1">IFERROR(__xludf.DUMMYFUNCTION("""COMPUTED_VALUE"""),"63 Nguyen Hue, Hoan Kiem, TP Ho Chi Minh, Viet Nam")</f>
        <v>63 Nguyen Hue, Hoan Kiem, TP Ho Chi Minh, Viet Nam</v>
      </c>
      <c r="J293" s="1" t="str">
        <f ca="1">IFERROR(__xludf.DUMMYFUNCTION("""COMPUTED_VALUE"""),"032674097076")</f>
        <v>032674097076</v>
      </c>
      <c r="K293" s="3" t="str">
        <f ca="1">IFERROR(__xludf.DUMMYFUNCTION("""COMPUTED_VALUE"""),"https://drive.google.com/open?id=nRqzrAoEjXtuclvg5mK0")</f>
        <v>https://drive.google.com/open?id=nRqzrAoEjXtuclvg5mK0</v>
      </c>
      <c r="L293" s="3" t="str">
        <f ca="1">IFERROR(__xludf.DUMMYFUNCTION("""COMPUTED_VALUE"""),"https://drive.google.com/open?id=Bj8nxoQmuf51rto8klMr")</f>
        <v>https://drive.google.com/open?id=Bj8nxoQmuf51rto8klMr</v>
      </c>
      <c r="M293" s="1"/>
      <c r="N293" s="1"/>
      <c r="O293" s="1"/>
      <c r="P293" s="1" t="str">
        <f ca="1">IFERROR(__xludf.DUMMYFUNCTION("""COMPUTED_VALUE"""),"Full-time")</f>
        <v>Full-time</v>
      </c>
      <c r="Q293" s="1">
        <f ca="1">IFERROR(__xludf.DUMMYFUNCTION("""COMPUTED_VALUE"""),8000000)</f>
        <v>8000000</v>
      </c>
      <c r="R293" s="3" t="str">
        <f ca="1">IFERROR(__xludf.DUMMYFUNCTION("""COMPUTED_VALUE"""),"https://drive.google.com/open?id=PcwJFjQstsIc9eIuRCh3")</f>
        <v>https://drive.google.com/open?id=PcwJFjQstsIc9eIuRCh3</v>
      </c>
      <c r="S293" s="1">
        <f ca="1">IFERROR(__xludf.DUMMYFUNCTION("""COMPUTED_VALUE"""),24000000)</f>
        <v>24000000</v>
      </c>
      <c r="T293" s="1" t="str">
        <f ca="1">IFERROR(__xludf.DUMMYFUNCTION("""COMPUTED_VALUE"""),"Gold")</f>
        <v>Gold</v>
      </c>
      <c r="U293" s="1" t="str">
        <f ca="1">IFERROR(__xludf.DUMMYFUNCTION("""COMPUTED_VALUE"""),"Partner")</f>
        <v>Partner</v>
      </c>
    </row>
    <row r="294" spans="1:21" x14ac:dyDescent="0.25">
      <c r="A294" s="2" t="str">
        <f ca="1">IFERROR(__xludf.DUMMYFUNCTION("""COMPUTED_VALUE"""),"APP0293")</f>
        <v>APP0293</v>
      </c>
      <c r="B294" s="2">
        <f ca="1">IFERROR(__xludf.DUMMYFUNCTION("""COMPUTED_VALUE"""),45913.9436111111)</f>
        <v>45913.943611111099</v>
      </c>
      <c r="C294" s="1" t="str">
        <f ca="1">IFERROR(__xludf.DUMMYFUNCTION("""COMPUTED_VALUE"""),"Hoàng Văn Trung")</f>
        <v>Hoàng Văn Trung</v>
      </c>
      <c r="D294" s="1" t="str">
        <f ca="1">IFERROR(__xludf.DUMMYFUNCTION("""COMPUTED_VALUE"""),"07/02/1989")</f>
        <v>07/02/1989</v>
      </c>
      <c r="E294" s="1" t="str">
        <f ca="1">IFERROR(__xludf.DUMMYFUNCTION("""COMPUTED_VALUE"""),"Male")</f>
        <v>Male</v>
      </c>
      <c r="F294" s="1" t="str">
        <f ca="1">IFERROR(__xludf.DUMMYFUNCTION("""COMPUTED_VALUE"""),"Vietnam")</f>
        <v>Vietnam</v>
      </c>
      <c r="G294" s="1" t="str">
        <f ca="1">IFERROR(__xludf.DUMMYFUNCTION("""COMPUTED_VALUE"""),"0744019408")</f>
        <v>0744019408</v>
      </c>
      <c r="H294" s="1" t="str">
        <f ca="1">IFERROR(__xludf.DUMMYFUNCTION("""COMPUTED_VALUE"""),"hoangvantrung@gmail.com")</f>
        <v>hoangvantrung@gmail.com</v>
      </c>
      <c r="I294" s="1" t="str">
        <f ca="1">IFERROR(__xludf.DUMMYFUNCTION("""COMPUTED_VALUE"""),"33 Ly Thuong Kiet, Hoan Kiem, TP Ho Chi Minh, Viet Nam")</f>
        <v>33 Ly Thuong Kiet, Hoan Kiem, TP Ho Chi Minh, Viet Nam</v>
      </c>
      <c r="J294" s="1" t="str">
        <f ca="1">IFERROR(__xludf.DUMMYFUNCTION("""COMPUTED_VALUE"""),"034280041113")</f>
        <v>034280041113</v>
      </c>
      <c r="K294" s="3" t="str">
        <f ca="1">IFERROR(__xludf.DUMMYFUNCTION("""COMPUTED_VALUE"""),"https://drive.google.com/open?id=9FPvHmYGAJs7Un2zVkr4")</f>
        <v>https://drive.google.com/open?id=9FPvHmYGAJs7Un2zVkr4</v>
      </c>
      <c r="L294" s="3" t="str">
        <f ca="1">IFERROR(__xludf.DUMMYFUNCTION("""COMPUTED_VALUE"""),"https://drive.google.com/open?id=5NpMqlvDfhqcs7E5CY7E")</f>
        <v>https://drive.google.com/open?id=5NpMqlvDfhqcs7E5CY7E</v>
      </c>
      <c r="M294" s="1"/>
      <c r="N294" s="1"/>
      <c r="O294" s="1"/>
      <c r="P294" s="1" t="str">
        <f ca="1">IFERROR(__xludf.DUMMYFUNCTION("""COMPUTED_VALUE"""),"Freelancer")</f>
        <v>Freelancer</v>
      </c>
      <c r="Q294" s="1">
        <f ca="1">IFERROR(__xludf.DUMMYFUNCTION("""COMPUTED_VALUE"""),8000000)</f>
        <v>8000000</v>
      </c>
      <c r="R294" s="3" t="str">
        <f ca="1">IFERROR(__xludf.DUMMYFUNCTION("""COMPUTED_VALUE"""),"https://drive.google.com/open?id=Nfj6DlbXtU3OruZys3Fk")</f>
        <v>https://drive.google.com/open?id=Nfj6DlbXtU3OruZys3Fk</v>
      </c>
      <c r="S294" s="1">
        <f ca="1">IFERROR(__xludf.DUMMYFUNCTION("""COMPUTED_VALUE"""),40000000)</f>
        <v>40000000</v>
      </c>
      <c r="T294" s="1" t="str">
        <f ca="1">IFERROR(__xludf.DUMMYFUNCTION("""COMPUTED_VALUE"""),"Classic")</f>
        <v>Classic</v>
      </c>
      <c r="U294" s="1" t="str">
        <f ca="1">IFERROR(__xludf.DUMMYFUNCTION("""COMPUTED_VALUE"""),"Branch")</f>
        <v>Branch</v>
      </c>
    </row>
    <row r="295" spans="1:21" x14ac:dyDescent="0.25">
      <c r="A295" s="2" t="str">
        <f ca="1">IFERROR(__xludf.DUMMYFUNCTION("""COMPUTED_VALUE"""),"APP0294")</f>
        <v>APP0294</v>
      </c>
      <c r="B295" s="2">
        <f ca="1">IFERROR(__xludf.DUMMYFUNCTION("""COMPUTED_VALUE"""),45913.9500462963)</f>
        <v>45913.950046296297</v>
      </c>
      <c r="C295" s="1" t="str">
        <f ca="1">IFERROR(__xludf.DUMMYFUNCTION("""COMPUTED_VALUE"""),"Nguyễn Quang Dũng")</f>
        <v>Nguyễn Quang Dũng</v>
      </c>
      <c r="D295" s="1" t="str">
        <f ca="1">IFERROR(__xludf.DUMMYFUNCTION("""COMPUTED_VALUE"""),"08/04/1967")</f>
        <v>08/04/1967</v>
      </c>
      <c r="E295" s="1" t="str">
        <f ca="1">IFERROR(__xludf.DUMMYFUNCTION("""COMPUTED_VALUE"""),"Female")</f>
        <v>Female</v>
      </c>
      <c r="F295" s="1" t="str">
        <f ca="1">IFERROR(__xludf.DUMMYFUNCTION("""COMPUTED_VALUE"""),"Vietnam")</f>
        <v>Vietnam</v>
      </c>
      <c r="G295" s="1" t="str">
        <f ca="1">IFERROR(__xludf.DUMMYFUNCTION("""COMPUTED_VALUE"""),"0917702066")</f>
        <v>0917702066</v>
      </c>
      <c r="H295" s="1" t="str">
        <f ca="1">IFERROR(__xludf.DUMMYFUNCTION("""COMPUTED_VALUE"""),"nguyenquangdung@gmail.com")</f>
        <v>nguyenquangdung@gmail.com</v>
      </c>
      <c r="I295" s="1" t="str">
        <f ca="1">IFERROR(__xludf.DUMMYFUNCTION("""COMPUTED_VALUE"""),"166 Tran Hung Dao, Quan 3, TP Ho Chi Minh, Viet Nam")</f>
        <v>166 Tran Hung Dao, Quan 3, TP Ho Chi Minh, Viet Nam</v>
      </c>
      <c r="J295" s="1" t="str">
        <f ca="1">IFERROR(__xludf.DUMMYFUNCTION("""COMPUTED_VALUE"""),"08925532595")</f>
        <v>08925532595</v>
      </c>
      <c r="K295" s="3" t="str">
        <f ca="1">IFERROR(__xludf.DUMMYFUNCTION("""COMPUTED_VALUE"""),"https://drive.google.com/open?id=Mz7Jpzs2JiGivSWgjVwo")</f>
        <v>https://drive.google.com/open?id=Mz7Jpzs2JiGivSWgjVwo</v>
      </c>
      <c r="L295" s="3" t="str">
        <f ca="1">IFERROR(__xludf.DUMMYFUNCTION("""COMPUTED_VALUE"""),"https://drive.google.com/open?id=Wf57pF68afP2Tz2PTHwp")</f>
        <v>https://drive.google.com/open?id=Wf57pF68afP2Tz2PTHwp</v>
      </c>
      <c r="M295" s="1"/>
      <c r="N295" s="1"/>
      <c r="O295" s="1"/>
      <c r="P295" s="1" t="str">
        <f ca="1">IFERROR(__xludf.DUMMYFUNCTION("""COMPUTED_VALUE"""),"Contract")</f>
        <v>Contract</v>
      </c>
      <c r="Q295" s="1">
        <f ca="1">IFERROR(__xludf.DUMMYFUNCTION("""COMPUTED_VALUE"""),50000000)</f>
        <v>50000000</v>
      </c>
      <c r="R295" s="3" t="str">
        <f ca="1">IFERROR(__xludf.DUMMYFUNCTION("""COMPUTED_VALUE"""),"https://drive.google.com/open?id=aoVJEQTBZfO3dnJztOUb")</f>
        <v>https://drive.google.com/open?id=aoVJEQTBZfO3dnJztOUb</v>
      </c>
      <c r="S295" s="1">
        <f ca="1">IFERROR(__xludf.DUMMYFUNCTION("""COMPUTED_VALUE"""),150000000)</f>
        <v>150000000</v>
      </c>
      <c r="T295" s="1" t="str">
        <f ca="1">IFERROR(__xludf.DUMMYFUNCTION("""COMPUTED_VALUE"""),"Gold")</f>
        <v>Gold</v>
      </c>
      <c r="U295" s="1" t="str">
        <f ca="1">IFERROR(__xludf.DUMMYFUNCTION("""COMPUTED_VALUE"""),"Partner")</f>
        <v>Partner</v>
      </c>
    </row>
    <row r="296" spans="1:21" x14ac:dyDescent="0.25">
      <c r="A296" s="2" t="str">
        <f ca="1">IFERROR(__xludf.DUMMYFUNCTION("""COMPUTED_VALUE"""),"APP0295")</f>
        <v>APP0295</v>
      </c>
      <c r="B296" s="2">
        <f ca="1">IFERROR(__xludf.DUMMYFUNCTION("""COMPUTED_VALUE"""),45914.0376041666)</f>
        <v>45914.037604166602</v>
      </c>
      <c r="C296" s="1" t="str">
        <f ca="1">IFERROR(__xludf.DUMMYFUNCTION("""COMPUTED_VALUE"""),"Hoàng Anh Châu")</f>
        <v>Hoàng Anh Châu</v>
      </c>
      <c r="D296" s="1" t="str">
        <f ca="1">IFERROR(__xludf.DUMMYFUNCTION("""COMPUTED_VALUE"""),"03/03/1974")</f>
        <v>03/03/1974</v>
      </c>
      <c r="E296" s="1" t="str">
        <f ca="1">IFERROR(__xludf.DUMMYFUNCTION("""COMPUTED_VALUE"""),"Male")</f>
        <v>Male</v>
      </c>
      <c r="F296" s="1" t="str">
        <f ca="1">IFERROR(__xludf.DUMMYFUNCTION("""COMPUTED_VALUE"""),"Vietnam")</f>
        <v>Vietnam</v>
      </c>
      <c r="G296" s="1" t="str">
        <f ca="1">IFERROR(__xludf.DUMMYFUNCTION("""COMPUTED_VALUE"""),"0710463154")</f>
        <v>0710463154</v>
      </c>
      <c r="H296" s="1" t="str">
        <f ca="1">IFERROR(__xludf.DUMMYFUNCTION("""COMPUTED_VALUE"""),"hoanganhchau@gmail.com")</f>
        <v>hoanganhchau@gmail.com</v>
      </c>
      <c r="I296" s="1" t="str">
        <f ca="1">IFERROR(__xludf.DUMMYFUNCTION("""COMPUTED_VALUE"""),"68 Nguyen Hue, Quan 3, Hai Phong, Viet Nam")</f>
        <v>68 Nguyen Hue, Quan 3, Hai Phong, Viet Nam</v>
      </c>
      <c r="J296" s="1" t="str">
        <f ca="1">IFERROR(__xludf.DUMMYFUNCTION("""COMPUTED_VALUE"""),"032153714809")</f>
        <v>032153714809</v>
      </c>
      <c r="K296" s="3" t="str">
        <f ca="1">IFERROR(__xludf.DUMMYFUNCTION("""COMPUTED_VALUE"""),"https://drive.google.com/open?id=Gx7Wp4x7Nsfp6czNK39K")</f>
        <v>https://drive.google.com/open?id=Gx7Wp4x7Nsfp6czNK39K</v>
      </c>
      <c r="L296" s="3" t="str">
        <f ca="1">IFERROR(__xludf.DUMMYFUNCTION("""COMPUTED_VALUE"""),"https://drive.google.com/open?id=wo4nqU1Yen02dZgrtd5n")</f>
        <v>https://drive.google.com/open?id=wo4nqU1Yen02dZgrtd5n</v>
      </c>
      <c r="M296" s="1"/>
      <c r="N296" s="1"/>
      <c r="O296" s="1"/>
      <c r="P296" s="1" t="str">
        <f ca="1">IFERROR(__xludf.DUMMYFUNCTION("""COMPUTED_VALUE"""),"Freelancer")</f>
        <v>Freelancer</v>
      </c>
      <c r="Q296" s="1">
        <f ca="1">IFERROR(__xludf.DUMMYFUNCTION("""COMPUTED_VALUE"""),20000000)</f>
        <v>20000000</v>
      </c>
      <c r="R296" s="3" t="str">
        <f ca="1">IFERROR(__xludf.DUMMYFUNCTION("""COMPUTED_VALUE"""),"https://drive.google.com/open?id=0NqRwxXKy1lP37MYsohd")</f>
        <v>https://drive.google.com/open?id=0NqRwxXKy1lP37MYsohd</v>
      </c>
      <c r="S296" s="1">
        <f ca="1">IFERROR(__xludf.DUMMYFUNCTION("""COMPUTED_VALUE"""),40000000)</f>
        <v>40000000</v>
      </c>
      <c r="T296" s="1" t="str">
        <f ca="1">IFERROR(__xludf.DUMMYFUNCTION("""COMPUTED_VALUE"""),"Classic")</f>
        <v>Classic</v>
      </c>
      <c r="U296" s="1" t="str">
        <f ca="1">IFERROR(__xludf.DUMMYFUNCTION("""COMPUTED_VALUE"""),"Branch")</f>
        <v>Branch</v>
      </c>
    </row>
    <row r="297" spans="1:21" x14ac:dyDescent="0.25">
      <c r="A297" s="2" t="str">
        <f ca="1">IFERROR(__xludf.DUMMYFUNCTION("""COMPUTED_VALUE"""),"APP0296")</f>
        <v>APP0296</v>
      </c>
      <c r="B297" s="2">
        <f ca="1">IFERROR(__xludf.DUMMYFUNCTION("""COMPUTED_VALUE"""),45914.0458680555)</f>
        <v>45914.045868055502</v>
      </c>
      <c r="C297" s="1" t="str">
        <f ca="1">IFERROR(__xludf.DUMMYFUNCTION("""COMPUTED_VALUE"""),"Dương Văn Hiếu")</f>
        <v>Dương Văn Hiếu</v>
      </c>
      <c r="D297" s="1" t="str">
        <f ca="1">IFERROR(__xludf.DUMMYFUNCTION("""COMPUTED_VALUE"""),"16/02/1996")</f>
        <v>16/02/1996</v>
      </c>
      <c r="E297" s="1" t="str">
        <f ca="1">IFERROR(__xludf.DUMMYFUNCTION("""COMPUTED_VALUE"""),"Female")</f>
        <v>Female</v>
      </c>
      <c r="F297" s="1" t="str">
        <f ca="1">IFERROR(__xludf.DUMMYFUNCTION("""COMPUTED_VALUE"""),"Vietnam")</f>
        <v>Vietnam</v>
      </c>
      <c r="G297" s="1" t="str">
        <f ca="1">IFERROR(__xludf.DUMMYFUNCTION("""COMPUTED_VALUE"""),"0778999943")</f>
        <v>0778999943</v>
      </c>
      <c r="H297" s="1" t="str">
        <f ca="1">IFERROR(__xludf.DUMMYFUNCTION("""COMPUTED_VALUE"""),"duongvanhieu@gmail.com")</f>
        <v>duongvanhieu@gmail.com</v>
      </c>
      <c r="I297" s="1" t="str">
        <f ca="1">IFERROR(__xludf.DUMMYFUNCTION("""COMPUTED_VALUE"""),"194 Le Loi, Quan 1, Ha Noi, Viet Nam")</f>
        <v>194 Le Loi, Quan 1, Ha Noi, Viet Nam</v>
      </c>
      <c r="J297" s="1" t="str">
        <f ca="1">IFERROR(__xludf.DUMMYFUNCTION("""COMPUTED_VALUE"""),"031949003604")</f>
        <v>031949003604</v>
      </c>
      <c r="K297" s="3" t="str">
        <f ca="1">IFERROR(__xludf.DUMMYFUNCTION("""COMPUTED_VALUE"""),"https://drive.google.com/open?id=8q1ELJ7WO3DhhgYDbDcH")</f>
        <v>https://drive.google.com/open?id=8q1ELJ7WO3DhhgYDbDcH</v>
      </c>
      <c r="L297" s="3" t="str">
        <f ca="1">IFERROR(__xludf.DUMMYFUNCTION("""COMPUTED_VALUE"""),"https://drive.google.com/open?id=Jzws7jyJDPuHJsNPF3k3")</f>
        <v>https://drive.google.com/open?id=Jzws7jyJDPuHJsNPF3k3</v>
      </c>
      <c r="M297" s="1"/>
      <c r="N297" s="1"/>
      <c r="O297" s="1"/>
      <c r="P297" s="1" t="str">
        <f ca="1">IFERROR(__xludf.DUMMYFUNCTION("""COMPUTED_VALUE"""),"Part-time")</f>
        <v>Part-time</v>
      </c>
      <c r="Q297" s="1">
        <f ca="1">IFERROR(__xludf.DUMMYFUNCTION("""COMPUTED_VALUE"""),8000000)</f>
        <v>8000000</v>
      </c>
      <c r="R297" s="3" t="str">
        <f ca="1">IFERROR(__xludf.DUMMYFUNCTION("""COMPUTED_VALUE"""),"https://drive.google.com/open?id=r1kcy9BZQOvfoAxuNVuk")</f>
        <v>https://drive.google.com/open?id=r1kcy9BZQOvfoAxuNVuk</v>
      </c>
      <c r="S297" s="1">
        <f ca="1">IFERROR(__xludf.DUMMYFUNCTION("""COMPUTED_VALUE"""),16000000)</f>
        <v>16000000</v>
      </c>
      <c r="T297" s="1" t="str">
        <f ca="1">IFERROR(__xludf.DUMMYFUNCTION("""COMPUTED_VALUE"""),"Classic")</f>
        <v>Classic</v>
      </c>
      <c r="U297" s="1" t="str">
        <f ca="1">IFERROR(__xludf.DUMMYFUNCTION("""COMPUTED_VALUE"""),"Branch")</f>
        <v>Branch</v>
      </c>
    </row>
    <row r="298" spans="1:21" x14ac:dyDescent="0.25">
      <c r="A298" s="2" t="str">
        <f ca="1">IFERROR(__xludf.DUMMYFUNCTION("""COMPUTED_VALUE"""),"APP0297")</f>
        <v>APP0297</v>
      </c>
      <c r="B298" s="2">
        <f ca="1">IFERROR(__xludf.DUMMYFUNCTION("""COMPUTED_VALUE"""),45914.1460416666)</f>
        <v>45914.146041666601</v>
      </c>
      <c r="C298" s="1" t="str">
        <f ca="1">IFERROR(__xludf.DUMMYFUNCTION("""COMPUTED_VALUE"""),"Đặng Ngọc Linh")</f>
        <v>Đặng Ngọc Linh</v>
      </c>
      <c r="D298" s="1" t="str">
        <f ca="1">IFERROR(__xludf.DUMMYFUNCTION("""COMPUTED_VALUE"""),"17/06/1996")</f>
        <v>17/06/1996</v>
      </c>
      <c r="E298" s="1" t="str">
        <f ca="1">IFERROR(__xludf.DUMMYFUNCTION("""COMPUTED_VALUE"""),"Male")</f>
        <v>Male</v>
      </c>
      <c r="F298" s="1" t="str">
        <f ca="1">IFERROR(__xludf.DUMMYFUNCTION("""COMPUTED_VALUE"""),"Vietnam")</f>
        <v>Vietnam</v>
      </c>
      <c r="G298" s="1" t="str">
        <f ca="1">IFERROR(__xludf.DUMMYFUNCTION("""COMPUTED_VALUE"""),"0953449120")</f>
        <v>0953449120</v>
      </c>
      <c r="H298" s="1" t="str">
        <f ca="1">IFERROR(__xludf.DUMMYFUNCTION("""COMPUTED_VALUE"""),"dangngoclinh@gmail.com")</f>
        <v>dangngoclinh@gmail.com</v>
      </c>
      <c r="I298" s="1" t="str">
        <f ca="1">IFERROR(__xludf.DUMMYFUNCTION("""COMPUTED_VALUE"""),"175 Tran Hung Dao, Hai Chau, Hai Phong, Viet Nam")</f>
        <v>175 Tran Hung Dao, Hai Chau, Hai Phong, Viet Nam</v>
      </c>
      <c r="J298" s="1" t="str">
        <f ca="1">IFERROR(__xludf.DUMMYFUNCTION("""COMPUTED_VALUE"""),"095129074987")</f>
        <v>095129074987</v>
      </c>
      <c r="K298" s="3" t="str">
        <f ca="1">IFERROR(__xludf.DUMMYFUNCTION("""COMPUTED_VALUE"""),"https://drive.google.com/open?id=ujks7W7XbtNEo9uVAcVF")</f>
        <v>https://drive.google.com/open?id=ujks7W7XbtNEo9uVAcVF</v>
      </c>
      <c r="L298" s="3" t="str">
        <f ca="1">IFERROR(__xludf.DUMMYFUNCTION("""COMPUTED_VALUE"""),"https://drive.google.com/open?id=7pWUFBbrt17rc89dv7II")</f>
        <v>https://drive.google.com/open?id=7pWUFBbrt17rc89dv7II</v>
      </c>
      <c r="M298" s="1"/>
      <c r="N298" s="1"/>
      <c r="O298" s="1"/>
      <c r="P298" s="1" t="str">
        <f ca="1">IFERROR(__xludf.DUMMYFUNCTION("""COMPUTED_VALUE"""),"Self-employed")</f>
        <v>Self-employed</v>
      </c>
      <c r="Q298" s="1">
        <f ca="1">IFERROR(__xludf.DUMMYFUNCTION("""COMPUTED_VALUE"""),5000000)</f>
        <v>5000000</v>
      </c>
      <c r="R298" s="3" t="str">
        <f ca="1">IFERROR(__xludf.DUMMYFUNCTION("""COMPUTED_VALUE"""),"https://drive.google.com/open?id=uaJPpLfPIQm9UUCQjtvr")</f>
        <v>https://drive.google.com/open?id=uaJPpLfPIQm9UUCQjtvr</v>
      </c>
      <c r="S298" s="1">
        <f ca="1">IFERROR(__xludf.DUMMYFUNCTION("""COMPUTED_VALUE"""),10000000)</f>
        <v>10000000</v>
      </c>
      <c r="T298" s="1" t="str">
        <f ca="1">IFERROR(__xludf.DUMMYFUNCTION("""COMPUTED_VALUE"""),"Platinum")</f>
        <v>Platinum</v>
      </c>
      <c r="U298" s="1" t="str">
        <f ca="1">IFERROR(__xludf.DUMMYFUNCTION("""COMPUTED_VALUE"""),"Partner")</f>
        <v>Partner</v>
      </c>
    </row>
    <row r="299" spans="1:21" x14ac:dyDescent="0.25">
      <c r="A299" s="2" t="str">
        <f ca="1">IFERROR(__xludf.DUMMYFUNCTION("""COMPUTED_VALUE"""),"APP0298")</f>
        <v>APP0298</v>
      </c>
      <c r="B299" s="2">
        <f ca="1">IFERROR(__xludf.DUMMYFUNCTION("""COMPUTED_VALUE"""),45914.1552430555)</f>
        <v>45914.155243055502</v>
      </c>
      <c r="C299" s="1" t="str">
        <f ca="1">IFERROR(__xludf.DUMMYFUNCTION("""COMPUTED_VALUE"""),"Bùi Thanh An")</f>
        <v>Bùi Thanh An</v>
      </c>
      <c r="D299" s="1" t="str">
        <f ca="1">IFERROR(__xludf.DUMMYFUNCTION("""COMPUTED_VALUE"""),"25/07/1967")</f>
        <v>25/07/1967</v>
      </c>
      <c r="E299" s="1" t="str">
        <f ca="1">IFERROR(__xludf.DUMMYFUNCTION("""COMPUTED_VALUE"""),"Female")</f>
        <v>Female</v>
      </c>
      <c r="F299" s="1" t="str">
        <f ca="1">IFERROR(__xludf.DUMMYFUNCTION("""COMPUTED_VALUE"""),"Vietnam")</f>
        <v>Vietnam</v>
      </c>
      <c r="G299" s="1" t="str">
        <f ca="1">IFERROR(__xludf.DUMMYFUNCTION("""COMPUTED_VALUE"""),"0817124757")</f>
        <v>0817124757</v>
      </c>
      <c r="H299" s="1" t="str">
        <f ca="1">IFERROR(__xludf.DUMMYFUNCTION("""COMPUTED_VALUE"""),"buithanhan@gmail.com")</f>
        <v>buithanhan@gmail.com</v>
      </c>
      <c r="I299" s="1" t="str">
        <f ca="1">IFERROR(__xludf.DUMMYFUNCTION("""COMPUTED_VALUE"""),"144 Pham Van Dong, Hai Chau, Da Nang, Viet Nam")</f>
        <v>144 Pham Van Dong, Hai Chau, Da Nang, Viet Nam</v>
      </c>
      <c r="J299" s="1" t="str">
        <f ca="1">IFERROR(__xludf.DUMMYFUNCTION("""COMPUTED_VALUE"""),"069660730395")</f>
        <v>069660730395</v>
      </c>
      <c r="K299" s="3" t="str">
        <f ca="1">IFERROR(__xludf.DUMMYFUNCTION("""COMPUTED_VALUE"""),"https://drive.google.com/open?id=Af9sBqoVhsLzaZrmfU9w")</f>
        <v>https://drive.google.com/open?id=Af9sBqoVhsLzaZrmfU9w</v>
      </c>
      <c r="L299" s="3" t="str">
        <f ca="1">IFERROR(__xludf.DUMMYFUNCTION("""COMPUTED_VALUE"""),"https://drive.google.com/open?id=A3OlzL0Vwlf31z7jBaEz")</f>
        <v>https://drive.google.com/open?id=A3OlzL0Vwlf31z7jBaEz</v>
      </c>
      <c r="M299" s="1"/>
      <c r="N299" s="1"/>
      <c r="O299" s="1"/>
      <c r="P299" s="1" t="str">
        <f ca="1">IFERROR(__xludf.DUMMYFUNCTION("""COMPUTED_VALUE"""),"Self-employed")</f>
        <v>Self-employed</v>
      </c>
      <c r="Q299" s="1">
        <f ca="1">IFERROR(__xludf.DUMMYFUNCTION("""COMPUTED_VALUE"""),50000000)</f>
        <v>50000000</v>
      </c>
      <c r="R299" s="3" t="str">
        <f ca="1">IFERROR(__xludf.DUMMYFUNCTION("""COMPUTED_VALUE"""),"https://drive.google.com/open?id=GL2TWGODCoj6nkJ9M1IJ")</f>
        <v>https://drive.google.com/open?id=GL2TWGODCoj6nkJ9M1IJ</v>
      </c>
      <c r="S299" s="1">
        <f ca="1">IFERROR(__xludf.DUMMYFUNCTION("""COMPUTED_VALUE"""),250000000)</f>
        <v>250000000</v>
      </c>
      <c r="T299" s="1" t="str">
        <f ca="1">IFERROR(__xludf.DUMMYFUNCTION("""COMPUTED_VALUE"""),"Gold")</f>
        <v>Gold</v>
      </c>
      <c r="U299" s="1" t="str">
        <f ca="1">IFERROR(__xludf.DUMMYFUNCTION("""COMPUTED_VALUE"""),"Online")</f>
        <v>Online</v>
      </c>
    </row>
    <row r="300" spans="1:21" x14ac:dyDescent="0.25">
      <c r="A300" s="2" t="str">
        <f ca="1">IFERROR(__xludf.DUMMYFUNCTION("""COMPUTED_VALUE"""),"APP0299")</f>
        <v>APP0299</v>
      </c>
      <c r="B300" s="2">
        <f ca="1">IFERROR(__xludf.DUMMYFUNCTION("""COMPUTED_VALUE"""),45914.2648611111)</f>
        <v>45914.2648611111</v>
      </c>
      <c r="C300" s="1" t="str">
        <f ca="1">IFERROR(__xludf.DUMMYFUNCTION("""COMPUTED_VALUE"""),"Đặng Đức Phong")</f>
        <v>Đặng Đức Phong</v>
      </c>
      <c r="D300" s="1" t="str">
        <f ca="1">IFERROR(__xludf.DUMMYFUNCTION("""COMPUTED_VALUE"""),"29/11/1990")</f>
        <v>29/11/1990</v>
      </c>
      <c r="E300" s="1" t="str">
        <f ca="1">IFERROR(__xludf.DUMMYFUNCTION("""COMPUTED_VALUE"""),"Male")</f>
        <v>Male</v>
      </c>
      <c r="F300" s="1" t="str">
        <f ca="1">IFERROR(__xludf.DUMMYFUNCTION("""COMPUTED_VALUE"""),"Vietnam")</f>
        <v>Vietnam</v>
      </c>
      <c r="G300" s="1" t="str">
        <f ca="1">IFERROR(__xludf.DUMMYFUNCTION("""COMPUTED_VALUE"""),"0912051000")</f>
        <v>0912051000</v>
      </c>
      <c r="H300" s="1" t="str">
        <f ca="1">IFERROR(__xludf.DUMMYFUNCTION("""COMPUTED_VALUE"""),"dangducphong@gmail.com")</f>
        <v>dangducphong@gmail.com</v>
      </c>
      <c r="I300" s="1" t="str">
        <f ca="1">IFERROR(__xludf.DUMMYFUNCTION("""COMPUTED_VALUE"""),"188 Nguyen Trai, Dong Da, Hai Phong, Viet Nam")</f>
        <v>188 Nguyen Trai, Dong Da, Hai Phong, Viet Nam</v>
      </c>
      <c r="J300" s="1" t="str">
        <f ca="1">IFERROR(__xludf.DUMMYFUNCTION("""COMPUTED_VALUE"""),"06807702706")</f>
        <v>06807702706</v>
      </c>
      <c r="K300" s="3" t="str">
        <f ca="1">IFERROR(__xludf.DUMMYFUNCTION("""COMPUTED_VALUE"""),"https://drive.google.com/open?id=ntAMiBVN8zegK78ozySz")</f>
        <v>https://drive.google.com/open?id=ntAMiBVN8zegK78ozySz</v>
      </c>
      <c r="L300" s="3" t="str">
        <f ca="1">IFERROR(__xludf.DUMMYFUNCTION("""COMPUTED_VALUE"""),"https://drive.google.com/open?id=geVZbqPNfgoXZap8miUa")</f>
        <v>https://drive.google.com/open?id=geVZbqPNfgoXZap8miUa</v>
      </c>
      <c r="M300" s="1"/>
      <c r="N300" s="1"/>
      <c r="O300" s="1"/>
      <c r="P300" s="1" t="str">
        <f ca="1">IFERROR(__xludf.DUMMYFUNCTION("""COMPUTED_VALUE"""),"Contract")</f>
        <v>Contract</v>
      </c>
      <c r="Q300" s="1">
        <f ca="1">IFERROR(__xludf.DUMMYFUNCTION("""COMPUTED_VALUE"""),12000000)</f>
        <v>12000000</v>
      </c>
      <c r="R300" s="3" t="str">
        <f ca="1">IFERROR(__xludf.DUMMYFUNCTION("""COMPUTED_VALUE"""),"https://drive.google.com/open?id=IAl1Jl9p2ygeCGPictp3")</f>
        <v>https://drive.google.com/open?id=IAl1Jl9p2ygeCGPictp3</v>
      </c>
      <c r="S300" s="1">
        <f ca="1">IFERROR(__xludf.DUMMYFUNCTION("""COMPUTED_VALUE"""),36000000)</f>
        <v>36000000</v>
      </c>
      <c r="T300" s="1" t="str">
        <f ca="1">IFERROR(__xludf.DUMMYFUNCTION("""COMPUTED_VALUE"""),"Classic")</f>
        <v>Classic</v>
      </c>
      <c r="U300" s="1" t="str">
        <f ca="1">IFERROR(__xludf.DUMMYFUNCTION("""COMPUTED_VALUE"""),"Online")</f>
        <v>Online</v>
      </c>
    </row>
    <row r="301" spans="1:21" x14ac:dyDescent="0.25">
      <c r="A301" s="2" t="str">
        <f ca="1">IFERROR(__xludf.DUMMYFUNCTION("""COMPUTED_VALUE"""),"APP0300")</f>
        <v>APP0300</v>
      </c>
      <c r="B301" s="2">
        <f ca="1">IFERROR(__xludf.DUMMYFUNCTION("""COMPUTED_VALUE"""),45914.5864814814)</f>
        <v>45914.586481481398</v>
      </c>
      <c r="C301" s="1" t="str">
        <f ca="1">IFERROR(__xludf.DUMMYFUNCTION("""COMPUTED_VALUE"""),"Nguyễn Văn Hiếu")</f>
        <v>Nguyễn Văn Hiếu</v>
      </c>
      <c r="D301" s="1" t="str">
        <f ca="1">IFERROR(__xludf.DUMMYFUNCTION("""COMPUTED_VALUE"""),"06/12/1986")</f>
        <v>06/12/1986</v>
      </c>
      <c r="E301" s="1" t="str">
        <f ca="1">IFERROR(__xludf.DUMMYFUNCTION("""COMPUTED_VALUE"""),"Male")</f>
        <v>Male</v>
      </c>
      <c r="F301" s="1" t="str">
        <f ca="1">IFERROR(__xludf.DUMMYFUNCTION("""COMPUTED_VALUE"""),"Vietnam")</f>
        <v>Vietnam</v>
      </c>
      <c r="G301" s="1" t="str">
        <f ca="1">IFERROR(__xludf.DUMMYFUNCTION("""COMPUTED_VALUE"""),"0798329952")</f>
        <v>0798329952</v>
      </c>
      <c r="H301" s="1" t="str">
        <f ca="1">IFERROR(__xludf.DUMMYFUNCTION("""COMPUTED_VALUE"""),"nguyenvanhieu@gmail.com")</f>
        <v>nguyenvanhieu@gmail.com</v>
      </c>
      <c r="I301" s="1" t="str">
        <f ca="1">IFERROR(__xludf.DUMMYFUNCTION("""COMPUTED_VALUE"""),"124 Pham Van Dong, Quan 3, Can Tho, Viet Nam")</f>
        <v>124 Pham Van Dong, Quan 3, Can Tho, Viet Nam</v>
      </c>
      <c r="J301" s="1" t="str">
        <f ca="1">IFERROR(__xludf.DUMMYFUNCTION("""COMPUTED_VALUE"""),"055997564172")</f>
        <v>055997564172</v>
      </c>
      <c r="K301" s="3" t="str">
        <f ca="1">IFERROR(__xludf.DUMMYFUNCTION("""COMPUTED_VALUE"""),"https://drive.google.com/open?id=m7a4u2WfdKh6R8pkJhAE")</f>
        <v>https://drive.google.com/open?id=m7a4u2WfdKh6R8pkJhAE</v>
      </c>
      <c r="L301" s="3" t="str">
        <f ca="1">IFERROR(__xludf.DUMMYFUNCTION("""COMPUTED_VALUE"""),"https://drive.google.com/open?id=rxLmFpmYXoPZ9XohIW4q")</f>
        <v>https://drive.google.com/open?id=rxLmFpmYXoPZ9XohIW4q</v>
      </c>
      <c r="M301" s="1"/>
      <c r="N301" s="1"/>
      <c r="O301" s="1"/>
      <c r="P301" s="1" t="str">
        <f ca="1">IFERROR(__xludf.DUMMYFUNCTION("""COMPUTED_VALUE"""),"Self-employed")</f>
        <v>Self-employed</v>
      </c>
      <c r="Q301" s="1">
        <f ca="1">IFERROR(__xludf.DUMMYFUNCTION("""COMPUTED_VALUE"""),12000000)</f>
        <v>12000000</v>
      </c>
      <c r="R301" s="3" t="str">
        <f ca="1">IFERROR(__xludf.DUMMYFUNCTION("""COMPUTED_VALUE"""),"https://drive.google.com/open?id=jmELbXtXcP2nGy8mgMGB")</f>
        <v>https://drive.google.com/open?id=jmELbXtXcP2nGy8mgMGB</v>
      </c>
      <c r="S301" s="1">
        <f ca="1">IFERROR(__xludf.DUMMYFUNCTION("""COMPUTED_VALUE"""),60000000)</f>
        <v>60000000</v>
      </c>
      <c r="T301" s="1" t="str">
        <f ca="1">IFERROR(__xludf.DUMMYFUNCTION("""COMPUTED_VALUE"""),"Gold")</f>
        <v>Gold</v>
      </c>
      <c r="U301" s="1" t="str">
        <f ca="1">IFERROR(__xludf.DUMMYFUNCTION("""COMPUTED_VALUE"""),"Online")</f>
        <v>Online</v>
      </c>
    </row>
    <row r="302" spans="1:21" x14ac:dyDescent="0.25">
      <c r="A302" s="2" t="str">
        <f ca="1">IFERROR(__xludf.DUMMYFUNCTION("""COMPUTED_VALUE"""),"APP0301")</f>
        <v>APP0301</v>
      </c>
      <c r="B302" s="2">
        <f ca="1">IFERROR(__xludf.DUMMYFUNCTION("""COMPUTED_VALUE"""),45914.6449768518)</f>
        <v>45914.6449768518</v>
      </c>
      <c r="C302" s="1" t="str">
        <f ca="1">IFERROR(__xludf.DUMMYFUNCTION("""COMPUTED_VALUE"""),"Trần Văn Trung")</f>
        <v>Trần Văn Trung</v>
      </c>
      <c r="D302" s="1" t="str">
        <f ca="1">IFERROR(__xludf.DUMMYFUNCTION("""COMPUTED_VALUE"""),"12/02/1997")</f>
        <v>12/02/1997</v>
      </c>
      <c r="E302" s="1" t="str">
        <f ca="1">IFERROR(__xludf.DUMMYFUNCTION("""COMPUTED_VALUE"""),"Male")</f>
        <v>Male</v>
      </c>
      <c r="F302" s="1" t="str">
        <f ca="1">IFERROR(__xludf.DUMMYFUNCTION("""COMPUTED_VALUE"""),"Vietnam")</f>
        <v>Vietnam</v>
      </c>
      <c r="G302" s="1" t="str">
        <f ca="1">IFERROR(__xludf.DUMMYFUNCTION("""COMPUTED_VALUE"""),"0750983125")</f>
        <v>0750983125</v>
      </c>
      <c r="H302" s="1" t="str">
        <f ca="1">IFERROR(__xludf.DUMMYFUNCTION("""COMPUTED_VALUE"""),"tranvantrung@gmail.com")</f>
        <v>tranvantrung@gmail.com</v>
      </c>
      <c r="I302" s="1" t="str">
        <f ca="1">IFERROR(__xludf.DUMMYFUNCTION("""COMPUTED_VALUE"""),"20 Ly Thuong Kiet, Quan 7, TP Ho Chi Minh, Viet Nam")</f>
        <v>20 Ly Thuong Kiet, Quan 7, TP Ho Chi Minh, Viet Nam</v>
      </c>
      <c r="J302" s="1" t="str">
        <f ca="1">IFERROR(__xludf.DUMMYFUNCTION("""COMPUTED_VALUE"""),"033800267809")</f>
        <v>033800267809</v>
      </c>
      <c r="K302" s="3" t="str">
        <f ca="1">IFERROR(__xludf.DUMMYFUNCTION("""COMPUTED_VALUE"""),"https://drive.google.com/open?id=GxO2OTkmpulTezArf211")</f>
        <v>https://drive.google.com/open?id=GxO2OTkmpulTezArf211</v>
      </c>
      <c r="L302" s="3" t="str">
        <f ca="1">IFERROR(__xludf.DUMMYFUNCTION("""COMPUTED_VALUE"""),"https://drive.google.com/open?id=WBmkasV2sDvdet7r9vZ3")</f>
        <v>https://drive.google.com/open?id=WBmkasV2sDvdet7r9vZ3</v>
      </c>
      <c r="M302" s="1"/>
      <c r="N302" s="1"/>
      <c r="O302" s="1"/>
      <c r="P302" s="1" t="str">
        <f ca="1">IFERROR(__xludf.DUMMYFUNCTION("""COMPUTED_VALUE"""),"Contract")</f>
        <v>Contract</v>
      </c>
      <c r="Q302" s="1">
        <f ca="1">IFERROR(__xludf.DUMMYFUNCTION("""COMPUTED_VALUE"""),50000000)</f>
        <v>50000000</v>
      </c>
      <c r="R302" s="3" t="str">
        <f ca="1">IFERROR(__xludf.DUMMYFUNCTION("""COMPUTED_VALUE"""),"https://drive.google.com/open?id=9KUr4wbeh716XE4tT6YZ")</f>
        <v>https://drive.google.com/open?id=9KUr4wbeh716XE4tT6YZ</v>
      </c>
      <c r="S302" s="1">
        <f ca="1">IFERROR(__xludf.DUMMYFUNCTION("""COMPUTED_VALUE"""),250000000)</f>
        <v>250000000</v>
      </c>
      <c r="T302" s="1" t="str">
        <f ca="1">IFERROR(__xludf.DUMMYFUNCTION("""COMPUTED_VALUE"""),"Gold")</f>
        <v>Gold</v>
      </c>
      <c r="U302" s="1" t="str">
        <f ca="1">IFERROR(__xludf.DUMMYFUNCTION("""COMPUTED_VALUE"""),"Branch")</f>
        <v>Branch</v>
      </c>
    </row>
    <row r="303" spans="1:21" x14ac:dyDescent="0.25">
      <c r="A303" s="2" t="str">
        <f ca="1">IFERROR(__xludf.DUMMYFUNCTION("""COMPUTED_VALUE"""),"APP0302")</f>
        <v>APP0302</v>
      </c>
      <c r="B303" s="2">
        <f ca="1">IFERROR(__xludf.DUMMYFUNCTION("""COMPUTED_VALUE"""),45914.6770833333)</f>
        <v>45914.677083333299</v>
      </c>
      <c r="C303" s="1" t="str">
        <f ca="1">IFERROR(__xludf.DUMMYFUNCTION("""COMPUTED_VALUE"""),"Đỗ Quang Bình")</f>
        <v>Đỗ Quang Bình</v>
      </c>
      <c r="D303" s="1" t="str">
        <f ca="1">IFERROR(__xludf.DUMMYFUNCTION("""COMPUTED_VALUE"""),"31/12/1983")</f>
        <v>31/12/1983</v>
      </c>
      <c r="E303" s="1" t="str">
        <f ca="1">IFERROR(__xludf.DUMMYFUNCTION("""COMPUTED_VALUE"""),"Female")</f>
        <v>Female</v>
      </c>
      <c r="F303" s="1" t="str">
        <f ca="1">IFERROR(__xludf.DUMMYFUNCTION("""COMPUTED_VALUE"""),"Vietnam")</f>
        <v>Vietnam</v>
      </c>
      <c r="G303" s="1" t="str">
        <f ca="1">IFERROR(__xludf.DUMMYFUNCTION("""COMPUTED_VALUE"""),"0997619675")</f>
        <v>0997619675</v>
      </c>
      <c r="H303" s="1" t="str">
        <f ca="1">IFERROR(__xludf.DUMMYFUNCTION("""COMPUTED_VALUE"""),"doquangbinh@gmail.com")</f>
        <v>doquangbinh@gmail.com</v>
      </c>
      <c r="I303" s="1" t="str">
        <f ca="1">IFERROR(__xludf.DUMMYFUNCTION("""COMPUTED_VALUE"""),"117 Nguyen Trai, Quan 7, Hai Phong, Viet Nam")</f>
        <v>117 Nguyen Trai, Quan 7, Hai Phong, Viet Nam</v>
      </c>
      <c r="J303" s="1" t="str">
        <f ca="1">IFERROR(__xludf.DUMMYFUNCTION("""COMPUTED_VALUE"""),"038306257666")</f>
        <v>038306257666</v>
      </c>
      <c r="K303" s="3" t="str">
        <f ca="1">IFERROR(__xludf.DUMMYFUNCTION("""COMPUTED_VALUE"""),"https://drive.google.com/open?id=7Te8R9ZyuPMIojs6gSvi")</f>
        <v>https://drive.google.com/open?id=7Te8R9ZyuPMIojs6gSvi</v>
      </c>
      <c r="L303" s="3" t="str">
        <f ca="1">IFERROR(__xludf.DUMMYFUNCTION("""COMPUTED_VALUE"""),"https://drive.google.com/open?id=NdJi30de2ISu1EK5lMi0")</f>
        <v>https://drive.google.com/open?id=NdJi30de2ISu1EK5lMi0</v>
      </c>
      <c r="M303" s="1"/>
      <c r="N303" s="1"/>
      <c r="O303" s="1"/>
      <c r="P303" s="1" t="str">
        <f ca="1">IFERROR(__xludf.DUMMYFUNCTION("""COMPUTED_VALUE"""),"Part-time")</f>
        <v>Part-time</v>
      </c>
      <c r="Q303" s="1">
        <f ca="1">IFERROR(__xludf.DUMMYFUNCTION("""COMPUTED_VALUE"""),5000000)</f>
        <v>5000000</v>
      </c>
      <c r="R303" s="3" t="str">
        <f ca="1">IFERROR(__xludf.DUMMYFUNCTION("""COMPUTED_VALUE"""),"https://drive.google.com/open?id=HBze87BbDGVJlxIis3Yx")</f>
        <v>https://drive.google.com/open?id=HBze87BbDGVJlxIis3Yx</v>
      </c>
      <c r="S303" s="1">
        <f ca="1">IFERROR(__xludf.DUMMYFUNCTION("""COMPUTED_VALUE"""),25000000)</f>
        <v>25000000</v>
      </c>
      <c r="T303" s="1" t="str">
        <f ca="1">IFERROR(__xludf.DUMMYFUNCTION("""COMPUTED_VALUE"""),"Platinum")</f>
        <v>Platinum</v>
      </c>
      <c r="U303" s="1" t="str">
        <f ca="1">IFERROR(__xludf.DUMMYFUNCTION("""COMPUTED_VALUE"""),"Branch")</f>
        <v>Branch</v>
      </c>
    </row>
    <row r="304" spans="1:21" x14ac:dyDescent="0.25">
      <c r="A304" s="2" t="str">
        <f ca="1">IFERROR(__xludf.DUMMYFUNCTION("""COMPUTED_VALUE"""),"APP0303")</f>
        <v>APP0303</v>
      </c>
      <c r="B304" s="2">
        <f ca="1">IFERROR(__xludf.DUMMYFUNCTION("""COMPUTED_VALUE"""),45914.6971759259)</f>
        <v>45914.697175925903</v>
      </c>
      <c r="C304" s="1" t="str">
        <f ca="1">IFERROR(__xludf.DUMMYFUNCTION("""COMPUTED_VALUE"""),"Phạm Quang Lan")</f>
        <v>Phạm Quang Lan</v>
      </c>
      <c r="D304" s="1" t="str">
        <f ca="1">IFERROR(__xludf.DUMMYFUNCTION("""COMPUTED_VALUE"""),"27/10/1984")</f>
        <v>27/10/1984</v>
      </c>
      <c r="E304" s="1" t="str">
        <f ca="1">IFERROR(__xludf.DUMMYFUNCTION("""COMPUTED_VALUE"""),"Male")</f>
        <v>Male</v>
      </c>
      <c r="F304" s="1" t="str">
        <f ca="1">IFERROR(__xludf.DUMMYFUNCTION("""COMPUTED_VALUE"""),"Vietnam")</f>
        <v>Vietnam</v>
      </c>
      <c r="G304" s="1" t="str">
        <f ca="1">IFERROR(__xludf.DUMMYFUNCTION("""COMPUTED_VALUE"""),"0947357865")</f>
        <v>0947357865</v>
      </c>
      <c r="H304" s="1" t="str">
        <f ca="1">IFERROR(__xludf.DUMMYFUNCTION("""COMPUTED_VALUE"""),"phamquanglan@gmail.com")</f>
        <v>phamquanglan@gmail.com</v>
      </c>
      <c r="I304" s="1" t="str">
        <f ca="1">IFERROR(__xludf.DUMMYFUNCTION("""COMPUTED_VALUE"""),"73 Le Loi, Dong Da, Hai Phong, Viet Nam")</f>
        <v>73 Le Loi, Dong Da, Hai Phong, Viet Nam</v>
      </c>
      <c r="J304" s="1" t="str">
        <f ca="1">IFERROR(__xludf.DUMMYFUNCTION("""COMPUTED_VALUE"""),"070040943516")</f>
        <v>070040943516</v>
      </c>
      <c r="K304" s="3" t="str">
        <f ca="1">IFERROR(__xludf.DUMMYFUNCTION("""COMPUTED_VALUE"""),"https://drive.google.com/open?id=nNSPgVCM44zjPSfAZRWK")</f>
        <v>https://drive.google.com/open?id=nNSPgVCM44zjPSfAZRWK</v>
      </c>
      <c r="L304" s="3" t="str">
        <f ca="1">IFERROR(__xludf.DUMMYFUNCTION("""COMPUTED_VALUE"""),"https://drive.google.com/open?id=Xek0FZS1Ma2tVZhZ30LX")</f>
        <v>https://drive.google.com/open?id=Xek0FZS1Ma2tVZhZ30LX</v>
      </c>
      <c r="M304" s="1"/>
      <c r="N304" s="1"/>
      <c r="O304" s="1"/>
      <c r="P304" s="1" t="str">
        <f ca="1">IFERROR(__xludf.DUMMYFUNCTION("""COMPUTED_VALUE"""),"Self-employed")</f>
        <v>Self-employed</v>
      </c>
      <c r="Q304" s="1">
        <f ca="1">IFERROR(__xludf.DUMMYFUNCTION("""COMPUTED_VALUE"""),20000000)</f>
        <v>20000000</v>
      </c>
      <c r="R304" s="3" t="str">
        <f ca="1">IFERROR(__xludf.DUMMYFUNCTION("""COMPUTED_VALUE"""),"https://drive.google.com/open?id=xNdah5fpuTOIzZeMrqGq")</f>
        <v>https://drive.google.com/open?id=xNdah5fpuTOIzZeMrqGq</v>
      </c>
      <c r="S304" s="1">
        <f ca="1">IFERROR(__xludf.DUMMYFUNCTION("""COMPUTED_VALUE"""),60000000)</f>
        <v>60000000</v>
      </c>
      <c r="T304" s="1" t="str">
        <f ca="1">IFERROR(__xludf.DUMMYFUNCTION("""COMPUTED_VALUE"""),"Gold")</f>
        <v>Gold</v>
      </c>
      <c r="U304" s="1" t="str">
        <f ca="1">IFERROR(__xludf.DUMMYFUNCTION("""COMPUTED_VALUE"""),"Branch")</f>
        <v>Branch</v>
      </c>
    </row>
    <row r="305" spans="1:21" x14ac:dyDescent="0.25">
      <c r="A305" s="2" t="str">
        <f ca="1">IFERROR(__xludf.DUMMYFUNCTION("""COMPUTED_VALUE"""),"APP0304")</f>
        <v>APP0304</v>
      </c>
      <c r="B305" s="2">
        <f ca="1">IFERROR(__xludf.DUMMYFUNCTION("""COMPUTED_VALUE"""),45914.7244907407)</f>
        <v>45914.7244907407</v>
      </c>
      <c r="C305" s="1" t="str">
        <f ca="1">IFERROR(__xludf.DUMMYFUNCTION("""COMPUTED_VALUE"""),"Bùi Thanh Mai")</f>
        <v>Bùi Thanh Mai</v>
      </c>
      <c r="D305" s="1" t="str">
        <f ca="1">IFERROR(__xludf.DUMMYFUNCTION("""COMPUTED_VALUE"""),"16/12/1989")</f>
        <v>16/12/1989</v>
      </c>
      <c r="E305" s="1" t="str">
        <f ca="1">IFERROR(__xludf.DUMMYFUNCTION("""COMPUTED_VALUE"""),"Female")</f>
        <v>Female</v>
      </c>
      <c r="F305" s="1" t="str">
        <f ca="1">IFERROR(__xludf.DUMMYFUNCTION("""COMPUTED_VALUE"""),"Vietnam")</f>
        <v>Vietnam</v>
      </c>
      <c r="G305" s="1" t="str">
        <f ca="1">IFERROR(__xludf.DUMMYFUNCTION("""COMPUTED_VALUE"""),"0956056972")</f>
        <v>0956056972</v>
      </c>
      <c r="H305" s="1" t="str">
        <f ca="1">IFERROR(__xludf.DUMMYFUNCTION("""COMPUTED_VALUE"""),"buithanhmai@gmail.com")</f>
        <v>buithanhmai@gmail.com</v>
      </c>
      <c r="I305" s="1" t="str">
        <f ca="1">IFERROR(__xludf.DUMMYFUNCTION("""COMPUTED_VALUE"""),"13 Ly Thuong Kiet, Quan 1, Ha Noi, Viet Nam")</f>
        <v>13 Ly Thuong Kiet, Quan 1, Ha Noi, Viet Nam</v>
      </c>
      <c r="J305" s="1" t="str">
        <f ca="1">IFERROR(__xludf.DUMMYFUNCTION("""COMPUTED_VALUE"""),"054654563314")</f>
        <v>054654563314</v>
      </c>
      <c r="K305" s="3" t="str">
        <f ca="1">IFERROR(__xludf.DUMMYFUNCTION("""COMPUTED_VALUE"""),"https://drive.google.com/open?id=VB4cVabu4tP91sVMIXyA")</f>
        <v>https://drive.google.com/open?id=VB4cVabu4tP91sVMIXyA</v>
      </c>
      <c r="L305" s="3" t="str">
        <f ca="1">IFERROR(__xludf.DUMMYFUNCTION("""COMPUTED_VALUE"""),"https://drive.google.com/open?id=7w9VoXwZtELgWYgDaeVX")</f>
        <v>https://drive.google.com/open?id=7w9VoXwZtELgWYgDaeVX</v>
      </c>
      <c r="M305" s="1"/>
      <c r="N305" s="1"/>
      <c r="O305" s="1"/>
      <c r="P305" s="1" t="str">
        <f ca="1">IFERROR(__xludf.DUMMYFUNCTION("""COMPUTED_VALUE"""),"Freelancer")</f>
        <v>Freelancer</v>
      </c>
      <c r="Q305" s="1">
        <f ca="1">IFERROR(__xludf.DUMMYFUNCTION("""COMPUTED_VALUE"""),5000000)</f>
        <v>5000000</v>
      </c>
      <c r="R305" s="3" t="str">
        <f ca="1">IFERROR(__xludf.DUMMYFUNCTION("""COMPUTED_VALUE"""),"https://drive.google.com/open?id=WAl99qVMvHwBPzx9iUzu")</f>
        <v>https://drive.google.com/open?id=WAl99qVMvHwBPzx9iUzu</v>
      </c>
      <c r="S305" s="1">
        <f ca="1">IFERROR(__xludf.DUMMYFUNCTION("""COMPUTED_VALUE"""),15000000)</f>
        <v>15000000</v>
      </c>
      <c r="T305" s="1" t="str">
        <f ca="1">IFERROR(__xludf.DUMMYFUNCTION("""COMPUTED_VALUE"""),"Platinum")</f>
        <v>Platinum</v>
      </c>
      <c r="U305" s="1" t="str">
        <f ca="1">IFERROR(__xludf.DUMMYFUNCTION("""COMPUTED_VALUE"""),"Branch")</f>
        <v>Branch</v>
      </c>
    </row>
    <row r="306" spans="1:21" x14ac:dyDescent="0.25">
      <c r="A306" s="2" t="str">
        <f ca="1">IFERROR(__xludf.DUMMYFUNCTION("""COMPUTED_VALUE"""),"APP0305")</f>
        <v>APP0305</v>
      </c>
      <c r="B306" s="2">
        <f ca="1">IFERROR(__xludf.DUMMYFUNCTION("""COMPUTED_VALUE"""),45914.7252083333)</f>
        <v>45914.725208333301</v>
      </c>
      <c r="C306" s="1" t="str">
        <f ca="1">IFERROR(__xludf.DUMMYFUNCTION("""COMPUTED_VALUE"""),"Mrs. Linda Day DVM")</f>
        <v>Mrs. Linda Day DVM</v>
      </c>
      <c r="D306" s="1" t="str">
        <f ca="1">IFERROR(__xludf.DUMMYFUNCTION("""COMPUTED_VALUE"""),"07/12/1978")</f>
        <v>07/12/1978</v>
      </c>
      <c r="E306" s="1" t="str">
        <f ca="1">IFERROR(__xludf.DUMMYFUNCTION("""COMPUTED_VALUE"""),"Female")</f>
        <v>Female</v>
      </c>
      <c r="F306" s="1" t="str">
        <f ca="1">IFERROR(__xludf.DUMMYFUNCTION("""COMPUTED_VALUE"""),"Other")</f>
        <v>Other</v>
      </c>
      <c r="G306" s="1" t="str">
        <f ca="1">IFERROR(__xludf.DUMMYFUNCTION("""COMPUTED_VALUE"""),"+33 8965541164")</f>
        <v>+33 8965541164</v>
      </c>
      <c r="H306" s="1" t="str">
        <f ca="1">IFERROR(__xludf.DUMMYFUNCTION("""COMPUTED_VALUE"""),"mrs.lindadaydvm@gmail.com")</f>
        <v>mrs.lindadaydvm@gmail.com</v>
      </c>
      <c r="I306" s="1" t="str">
        <f ca="1">IFERROR(__xludf.DUMMYFUNCTION("""COMPUTED_VALUE"""),"07661 Hayes Land Suite 733, North Michael, AK 47436")</f>
        <v>07661 Hayes Land Suite 733, North Michael, AK 47436</v>
      </c>
      <c r="J306" s="1"/>
      <c r="K306" s="1"/>
      <c r="L306" s="1"/>
      <c r="M306" s="1" t="str">
        <f ca="1">IFERROR(__xludf.DUMMYFUNCTION("""COMPUTED_VALUE"""),"zz056879")</f>
        <v>zz056879</v>
      </c>
      <c r="N306" s="3" t="str">
        <f ca="1">IFERROR(__xludf.DUMMYFUNCTION("""COMPUTED_VALUE"""),"https://drive.google.com/open?id=JHXvf2uK7h81PRRzHuUn")</f>
        <v>https://drive.google.com/open?id=JHXvf2uK7h81PRRzHuUn</v>
      </c>
      <c r="O306" s="3" t="str">
        <f ca="1">IFERROR(__xludf.DUMMYFUNCTION("""COMPUTED_VALUE"""),"https://drive.google.com/open?id=fx8lM7KPYQDowSwYZHxO")</f>
        <v>https://drive.google.com/open?id=fx8lM7KPYQDowSwYZHxO</v>
      </c>
      <c r="P306" s="1" t="str">
        <f ca="1">IFERROR(__xludf.DUMMYFUNCTION("""COMPUTED_VALUE"""),"Full-time")</f>
        <v>Full-time</v>
      </c>
      <c r="Q306" s="1">
        <f ca="1">IFERROR(__xludf.DUMMYFUNCTION("""COMPUTED_VALUE"""),12000000)</f>
        <v>12000000</v>
      </c>
      <c r="R306" s="3" t="str">
        <f ca="1">IFERROR(__xludf.DUMMYFUNCTION("""COMPUTED_VALUE"""),"https://drive.google.com/open?id=6EWYuE7E2mEyuuc3C3Lf")</f>
        <v>https://drive.google.com/open?id=6EWYuE7E2mEyuuc3C3Lf</v>
      </c>
      <c r="S306" s="1">
        <f ca="1">IFERROR(__xludf.DUMMYFUNCTION("""COMPUTED_VALUE"""),60000000)</f>
        <v>60000000</v>
      </c>
      <c r="T306" s="1" t="str">
        <f ca="1">IFERROR(__xludf.DUMMYFUNCTION("""COMPUTED_VALUE"""),"Platinum")</f>
        <v>Platinum</v>
      </c>
      <c r="U306" s="1" t="str">
        <f ca="1">IFERROR(__xludf.DUMMYFUNCTION("""COMPUTED_VALUE"""),"Online")</f>
        <v>Online</v>
      </c>
    </row>
    <row r="307" spans="1:21" x14ac:dyDescent="0.25">
      <c r="A307" s="2" t="str">
        <f ca="1">IFERROR(__xludf.DUMMYFUNCTION("""COMPUTED_VALUE"""),"APP0306")</f>
        <v>APP0306</v>
      </c>
      <c r="B307" s="2">
        <f ca="1">IFERROR(__xludf.DUMMYFUNCTION("""COMPUTED_VALUE"""),45914.7432754629)</f>
        <v>45914.743275462897</v>
      </c>
      <c r="C307" s="1" t="str">
        <f ca="1">IFERROR(__xludf.DUMMYFUNCTION("""COMPUTED_VALUE"""),"Dương Thanh Vy")</f>
        <v>Dương Thanh Vy</v>
      </c>
      <c r="D307" s="1" t="str">
        <f ca="1">IFERROR(__xludf.DUMMYFUNCTION("""COMPUTED_VALUE"""),"27/05/2003")</f>
        <v>27/05/2003</v>
      </c>
      <c r="E307" s="1" t="str">
        <f ca="1">IFERROR(__xludf.DUMMYFUNCTION("""COMPUTED_VALUE"""),"Male")</f>
        <v>Male</v>
      </c>
      <c r="F307" s="1" t="str">
        <f ca="1">IFERROR(__xludf.DUMMYFUNCTION("""COMPUTED_VALUE"""),"Vietnam")</f>
        <v>Vietnam</v>
      </c>
      <c r="G307" s="1" t="str">
        <f ca="1">IFERROR(__xludf.DUMMYFUNCTION("""COMPUTED_VALUE"""),"0970850703")</f>
        <v>0970850703</v>
      </c>
      <c r="H307" s="1" t="str">
        <f ca="1">IFERROR(__xludf.DUMMYFUNCTION("""COMPUTED_VALUE"""),"duongthanhvy@gmail.com")</f>
        <v>duongthanhvy@gmail.com</v>
      </c>
      <c r="I307" s="1" t="str">
        <f ca="1">IFERROR(__xludf.DUMMYFUNCTION("""COMPUTED_VALUE"""),"196 Ly Thuong Kiet, Hoan Kiem, Da Nang, Viet Nam")</f>
        <v>196 Ly Thuong Kiet, Hoan Kiem, Da Nang, Viet Nam</v>
      </c>
      <c r="J307" s="1" t="str">
        <f ca="1">IFERROR(__xludf.DUMMYFUNCTION("""COMPUTED_VALUE"""),"022483844884")</f>
        <v>022483844884</v>
      </c>
      <c r="K307" s="3" t="str">
        <f ca="1">IFERROR(__xludf.DUMMYFUNCTION("""COMPUTED_VALUE"""),"https://drive.google.com/open?id=ZNUYBXL74TfqGZvkxqSa")</f>
        <v>https://drive.google.com/open?id=ZNUYBXL74TfqGZvkxqSa</v>
      </c>
      <c r="L307" s="3" t="str">
        <f ca="1">IFERROR(__xludf.DUMMYFUNCTION("""COMPUTED_VALUE"""),"https://drive.google.com/open?id=hDPIWJmRNz22V4P6gapn")</f>
        <v>https://drive.google.com/open?id=hDPIWJmRNz22V4P6gapn</v>
      </c>
      <c r="M307" s="1"/>
      <c r="N307" s="1"/>
      <c r="O307" s="1"/>
      <c r="P307" s="1" t="str">
        <f ca="1">IFERROR(__xludf.DUMMYFUNCTION("""COMPUTED_VALUE"""),"Self-employed")</f>
        <v>Self-employed</v>
      </c>
      <c r="Q307" s="1">
        <f ca="1">IFERROR(__xludf.DUMMYFUNCTION("""COMPUTED_VALUE"""),12000000)</f>
        <v>12000000</v>
      </c>
      <c r="R307" s="3" t="str">
        <f ca="1">IFERROR(__xludf.DUMMYFUNCTION("""COMPUTED_VALUE"""),"https://drive.google.com/open?id=3vGgRBZ9PdyclX0mkTRq")</f>
        <v>https://drive.google.com/open?id=3vGgRBZ9PdyclX0mkTRq</v>
      </c>
      <c r="S307" s="1">
        <f ca="1">IFERROR(__xludf.DUMMYFUNCTION("""COMPUTED_VALUE"""),24000000)</f>
        <v>24000000</v>
      </c>
      <c r="T307" s="1" t="str">
        <f ca="1">IFERROR(__xludf.DUMMYFUNCTION("""COMPUTED_VALUE"""),"Gold")</f>
        <v>Gold</v>
      </c>
      <c r="U307" s="1" t="str">
        <f ca="1">IFERROR(__xludf.DUMMYFUNCTION("""COMPUTED_VALUE"""),"Partner")</f>
        <v>Partner</v>
      </c>
    </row>
    <row r="308" spans="1:21" x14ac:dyDescent="0.25">
      <c r="A308" s="2" t="str">
        <f ca="1">IFERROR(__xludf.DUMMYFUNCTION("""COMPUTED_VALUE"""),"APP0307")</f>
        <v>APP0307</v>
      </c>
      <c r="B308" s="2">
        <f ca="1">IFERROR(__xludf.DUMMYFUNCTION("""COMPUTED_VALUE"""),45914.7454166666)</f>
        <v>45914.745416666599</v>
      </c>
      <c r="C308" s="1" t="str">
        <f ca="1">IFERROR(__xludf.DUMMYFUNCTION("""COMPUTED_VALUE"""),"Latoya Hernandez")</f>
        <v>Latoya Hernandez</v>
      </c>
      <c r="D308" s="1" t="str">
        <f ca="1">IFERROR(__xludf.DUMMYFUNCTION("""COMPUTED_VALUE"""),"14/07/2002")</f>
        <v>14/07/2002</v>
      </c>
      <c r="E308" s="1" t="str">
        <f ca="1">IFERROR(__xludf.DUMMYFUNCTION("""COMPUTED_VALUE"""),"Male")</f>
        <v>Male</v>
      </c>
      <c r="F308" s="1" t="str">
        <f ca="1">IFERROR(__xludf.DUMMYFUNCTION("""COMPUTED_VALUE"""),"Other")</f>
        <v>Other</v>
      </c>
      <c r="G308" s="1" t="str">
        <f ca="1">IFERROR(__xludf.DUMMYFUNCTION("""COMPUTED_VALUE"""),"+852 8910431588")</f>
        <v>+852 8910431588</v>
      </c>
      <c r="H308" s="1" t="str">
        <f ca="1">IFERROR(__xludf.DUMMYFUNCTION("""COMPUTED_VALUE"""),"latoyahernandez@gmail.com")</f>
        <v>latoyahernandez@gmail.com</v>
      </c>
      <c r="I308" s="1" t="str">
        <f ca="1">IFERROR(__xludf.DUMMYFUNCTION("""COMPUTED_VALUE"""),"8229 Jones Plains, Collinsport, KS 70943")</f>
        <v>8229 Jones Plains, Collinsport, KS 70943</v>
      </c>
      <c r="J308" s="1"/>
      <c r="K308" s="1"/>
      <c r="L308" s="1"/>
      <c r="M308" s="1" t="str">
        <f ca="1">IFERROR(__xludf.DUMMYFUNCTION("""COMPUTED_VALUE"""),"Ov090899")</f>
        <v>Ov090899</v>
      </c>
      <c r="N308" s="3" t="str">
        <f ca="1">IFERROR(__xludf.DUMMYFUNCTION("""COMPUTED_VALUE"""),"https://drive.google.com/open?id=S2ZbjuzPqPZBz4aYtC34")</f>
        <v>https://drive.google.com/open?id=S2ZbjuzPqPZBz4aYtC34</v>
      </c>
      <c r="O308" s="3" t="str">
        <f ca="1">IFERROR(__xludf.DUMMYFUNCTION("""COMPUTED_VALUE"""),"https://drive.google.com/open?id=US9m03f87nNS9H27htN6")</f>
        <v>https://drive.google.com/open?id=US9m03f87nNS9H27htN6</v>
      </c>
      <c r="P308" s="1" t="str">
        <f ca="1">IFERROR(__xludf.DUMMYFUNCTION("""COMPUTED_VALUE"""),"Freelancer")</f>
        <v>Freelancer</v>
      </c>
      <c r="Q308" s="1">
        <f ca="1">IFERROR(__xludf.DUMMYFUNCTION("""COMPUTED_VALUE"""),50000000)</f>
        <v>50000000</v>
      </c>
      <c r="R308" s="3" t="str">
        <f ca="1">IFERROR(__xludf.DUMMYFUNCTION("""COMPUTED_VALUE"""),"https://drive.google.com/open?id=0g47NrcCqtskx04tYtSB")</f>
        <v>https://drive.google.com/open?id=0g47NrcCqtskx04tYtSB</v>
      </c>
      <c r="S308" s="1">
        <f ca="1">IFERROR(__xludf.DUMMYFUNCTION("""COMPUTED_VALUE"""),250000000)</f>
        <v>250000000</v>
      </c>
      <c r="T308" s="1" t="str">
        <f ca="1">IFERROR(__xludf.DUMMYFUNCTION("""COMPUTED_VALUE"""),"Platinum")</f>
        <v>Platinum</v>
      </c>
      <c r="U308" s="1" t="str">
        <f ca="1">IFERROR(__xludf.DUMMYFUNCTION("""COMPUTED_VALUE"""),"Partner")</f>
        <v>Partner</v>
      </c>
    </row>
    <row r="309" spans="1:21" x14ac:dyDescent="0.25">
      <c r="A309" s="2" t="str">
        <f ca="1">IFERROR(__xludf.DUMMYFUNCTION("""COMPUTED_VALUE"""),"APP0308")</f>
        <v>APP0308</v>
      </c>
      <c r="B309" s="2">
        <f ca="1">IFERROR(__xludf.DUMMYFUNCTION("""COMPUTED_VALUE"""),45914.7641319444)</f>
        <v>45914.764131944401</v>
      </c>
      <c r="C309" s="1" t="str">
        <f ca="1">IFERROR(__xludf.DUMMYFUNCTION("""COMPUTED_VALUE"""),"Vũ Thị Quỳnh")</f>
        <v>Vũ Thị Quỳnh</v>
      </c>
      <c r="D309" s="1" t="str">
        <f ca="1">IFERROR(__xludf.DUMMYFUNCTION("""COMPUTED_VALUE"""),"04/04/1986")</f>
        <v>04/04/1986</v>
      </c>
      <c r="E309" s="1" t="str">
        <f ca="1">IFERROR(__xludf.DUMMYFUNCTION("""COMPUTED_VALUE"""),"Female")</f>
        <v>Female</v>
      </c>
      <c r="F309" s="1" t="str">
        <f ca="1">IFERROR(__xludf.DUMMYFUNCTION("""COMPUTED_VALUE"""),"Vietnam")</f>
        <v>Vietnam</v>
      </c>
      <c r="G309" s="1" t="str">
        <f ca="1">IFERROR(__xludf.DUMMYFUNCTION("""COMPUTED_VALUE"""),"0746565572")</f>
        <v>0746565572</v>
      </c>
      <c r="H309" s="1" t="str">
        <f ca="1">IFERROR(__xludf.DUMMYFUNCTION("""COMPUTED_VALUE"""),"vuthiquynh@gmail.com")</f>
        <v>vuthiquynh@gmail.com</v>
      </c>
      <c r="I309" s="1" t="str">
        <f ca="1">IFERROR(__xludf.DUMMYFUNCTION("""COMPUTED_VALUE"""),"56 Nguyen Trai, Dong Da, Ha Noi, Viet Nam")</f>
        <v>56 Nguyen Trai, Dong Da, Ha Noi, Viet Nam</v>
      </c>
      <c r="J309" s="1" t="str">
        <f ca="1">IFERROR(__xludf.DUMMYFUNCTION("""COMPUTED_VALUE"""),"080947678386")</f>
        <v>080947678386</v>
      </c>
      <c r="K309" s="3" t="str">
        <f ca="1">IFERROR(__xludf.DUMMYFUNCTION("""COMPUTED_VALUE"""),"https://drive.google.com/open?id=u53XF1e4d1C6TPvfppK7")</f>
        <v>https://drive.google.com/open?id=u53XF1e4d1C6TPvfppK7</v>
      </c>
      <c r="L309" s="3" t="str">
        <f ca="1">IFERROR(__xludf.DUMMYFUNCTION("""COMPUTED_VALUE"""),"https://drive.google.com/open?id=a3N0pZcUbXmR9Y7qhom6")</f>
        <v>https://drive.google.com/open?id=a3N0pZcUbXmR9Y7qhom6</v>
      </c>
      <c r="M309" s="1"/>
      <c r="N309" s="1"/>
      <c r="O309" s="1"/>
      <c r="P309" s="1" t="str">
        <f ca="1">IFERROR(__xludf.DUMMYFUNCTION("""COMPUTED_VALUE"""),"Self-employed")</f>
        <v>Self-employed</v>
      </c>
      <c r="Q309" s="1">
        <f ca="1">IFERROR(__xludf.DUMMYFUNCTION("""COMPUTED_VALUE"""),8000000)</f>
        <v>8000000</v>
      </c>
      <c r="R309" s="3" t="str">
        <f ca="1">IFERROR(__xludf.DUMMYFUNCTION("""COMPUTED_VALUE"""),"https://drive.google.com/open?id=3z3esbYluvdP0oP8PIfk")</f>
        <v>https://drive.google.com/open?id=3z3esbYluvdP0oP8PIfk</v>
      </c>
      <c r="S309" s="1">
        <f ca="1">IFERROR(__xludf.DUMMYFUNCTION("""COMPUTED_VALUE"""),24000000)</f>
        <v>24000000</v>
      </c>
      <c r="T309" s="1" t="str">
        <f ca="1">IFERROR(__xludf.DUMMYFUNCTION("""COMPUTED_VALUE"""),"Platinum")</f>
        <v>Platinum</v>
      </c>
      <c r="U309" s="1" t="str">
        <f ca="1">IFERROR(__xludf.DUMMYFUNCTION("""COMPUTED_VALUE"""),"Branch")</f>
        <v>Branch</v>
      </c>
    </row>
    <row r="310" spans="1:21" x14ac:dyDescent="0.25">
      <c r="A310" s="2" t="str">
        <f ca="1">IFERROR(__xludf.DUMMYFUNCTION("""COMPUTED_VALUE"""),"APP0309")</f>
        <v>APP0309</v>
      </c>
      <c r="B310" s="2">
        <f ca="1">IFERROR(__xludf.DUMMYFUNCTION("""COMPUTED_VALUE"""),45914.7795717592)</f>
        <v>45914.779571759202</v>
      </c>
      <c r="C310" s="1" t="str">
        <f ca="1">IFERROR(__xludf.DUMMYFUNCTION("""COMPUTED_VALUE"""),"Lê Văn Hải")</f>
        <v>Lê Văn Hải</v>
      </c>
      <c r="D310" s="1" t="str">
        <f ca="1">IFERROR(__xludf.DUMMYFUNCTION("""COMPUTED_VALUE"""),"27/08/1978")</f>
        <v>27/08/1978</v>
      </c>
      <c r="E310" s="1" t="str">
        <f ca="1">IFERROR(__xludf.DUMMYFUNCTION("""COMPUTED_VALUE"""),"Female")</f>
        <v>Female</v>
      </c>
      <c r="F310" s="1" t="str">
        <f ca="1">IFERROR(__xludf.DUMMYFUNCTION("""COMPUTED_VALUE"""),"Vietnam")</f>
        <v>Vietnam</v>
      </c>
      <c r="G310" s="1" t="str">
        <f ca="1">IFERROR(__xludf.DUMMYFUNCTION("""COMPUTED_VALUE"""),"0747584341")</f>
        <v>0747584341</v>
      </c>
      <c r="H310" s="1" t="str">
        <f ca="1">IFERROR(__xludf.DUMMYFUNCTION("""COMPUTED_VALUE"""),"levanhai@gmail.com")</f>
        <v>levanhai@gmail.com</v>
      </c>
      <c r="I310" s="1" t="str">
        <f ca="1">IFERROR(__xludf.DUMMYFUNCTION("""COMPUTED_VALUE"""),"76 Nguyen Hue, Hai Chau, Da Nang, Viet Nam")</f>
        <v>76 Nguyen Hue, Hai Chau, Da Nang, Viet Nam</v>
      </c>
      <c r="J310" s="1" t="str">
        <f ca="1">IFERROR(__xludf.DUMMYFUNCTION("""COMPUTED_VALUE"""),"054086045924")</f>
        <v>054086045924</v>
      </c>
      <c r="K310" s="3" t="str">
        <f ca="1">IFERROR(__xludf.DUMMYFUNCTION("""COMPUTED_VALUE"""),"https://drive.google.com/open?id=n2DQ7ApwX2vqIIhuBifZ")</f>
        <v>https://drive.google.com/open?id=n2DQ7ApwX2vqIIhuBifZ</v>
      </c>
      <c r="L310" s="3" t="str">
        <f ca="1">IFERROR(__xludf.DUMMYFUNCTION("""COMPUTED_VALUE"""),"https://drive.google.com/open?id=G9hAIks5DLmHAqzeRSko")</f>
        <v>https://drive.google.com/open?id=G9hAIks5DLmHAqzeRSko</v>
      </c>
      <c r="M310" s="1"/>
      <c r="N310" s="1"/>
      <c r="O310" s="1"/>
      <c r="P310" s="1" t="str">
        <f ca="1">IFERROR(__xludf.DUMMYFUNCTION("""COMPUTED_VALUE"""),"Full-time")</f>
        <v>Full-time</v>
      </c>
      <c r="Q310" s="1">
        <f ca="1">IFERROR(__xludf.DUMMYFUNCTION("""COMPUTED_VALUE"""),8000000)</f>
        <v>8000000</v>
      </c>
      <c r="R310" s="3" t="str">
        <f ca="1">IFERROR(__xludf.DUMMYFUNCTION("""COMPUTED_VALUE"""),"https://drive.google.com/open?id=2ZKDHKckPxCENJpcwLTa")</f>
        <v>https://drive.google.com/open?id=2ZKDHKckPxCENJpcwLTa</v>
      </c>
      <c r="S310" s="1">
        <f ca="1">IFERROR(__xludf.DUMMYFUNCTION("""COMPUTED_VALUE"""),24000000)</f>
        <v>24000000</v>
      </c>
      <c r="T310" s="1" t="str">
        <f ca="1">IFERROR(__xludf.DUMMYFUNCTION("""COMPUTED_VALUE"""),"Classic")</f>
        <v>Classic</v>
      </c>
      <c r="U310" s="1" t="str">
        <f ca="1">IFERROR(__xludf.DUMMYFUNCTION("""COMPUTED_VALUE"""),"Partner")</f>
        <v>Partner</v>
      </c>
    </row>
    <row r="311" spans="1:21" x14ac:dyDescent="0.25">
      <c r="A311" s="2" t="str">
        <f ca="1">IFERROR(__xludf.DUMMYFUNCTION("""COMPUTED_VALUE"""),"APP0310")</f>
        <v>APP0310</v>
      </c>
      <c r="B311" s="2">
        <f ca="1">IFERROR(__xludf.DUMMYFUNCTION("""COMPUTED_VALUE"""),45914.9737847222)</f>
        <v>45914.973784722199</v>
      </c>
      <c r="C311" s="1" t="str">
        <f ca="1">IFERROR(__xludf.DUMMYFUNCTION("""COMPUTED_VALUE"""),"Đỗ Hữu Khánh")</f>
        <v>Đỗ Hữu Khánh</v>
      </c>
      <c r="D311" s="1" t="str">
        <f ca="1">IFERROR(__xludf.DUMMYFUNCTION("""COMPUTED_VALUE"""),"30/03/1978")</f>
        <v>30/03/1978</v>
      </c>
      <c r="E311" s="1" t="str">
        <f ca="1">IFERROR(__xludf.DUMMYFUNCTION("""COMPUTED_VALUE"""),"Male")</f>
        <v>Male</v>
      </c>
      <c r="F311" s="1" t="str">
        <f ca="1">IFERROR(__xludf.DUMMYFUNCTION("""COMPUTED_VALUE"""),"Vietnam")</f>
        <v>Vietnam</v>
      </c>
      <c r="G311" s="1" t="str">
        <f ca="1">IFERROR(__xludf.DUMMYFUNCTION("""COMPUTED_VALUE"""),"0831253866")</f>
        <v>0831253866</v>
      </c>
      <c r="H311" s="1" t="str">
        <f ca="1">IFERROR(__xludf.DUMMYFUNCTION("""COMPUTED_VALUE"""),"dohuukhanh@gmail.com")</f>
        <v>dohuukhanh@gmail.com</v>
      </c>
      <c r="I311" s="1" t="str">
        <f ca="1">IFERROR(__xludf.DUMMYFUNCTION("""COMPUTED_VALUE"""),"176 Ly Thuong Kiet, Dong Da, Hai Phong, Viet Nam")</f>
        <v>176 Ly Thuong Kiet, Dong Da, Hai Phong, Viet Nam</v>
      </c>
      <c r="J311" s="1" t="str">
        <f ca="1">IFERROR(__xludf.DUMMYFUNCTION("""COMPUTED_VALUE"""),"023503780820")</f>
        <v>023503780820</v>
      </c>
      <c r="K311" s="3" t="str">
        <f ca="1">IFERROR(__xludf.DUMMYFUNCTION("""COMPUTED_VALUE"""),"https://drive.google.com/open?id=5x3z8CHOY7N5oBq4yuUT")</f>
        <v>https://drive.google.com/open?id=5x3z8CHOY7N5oBq4yuUT</v>
      </c>
      <c r="L311" s="3" t="str">
        <f ca="1">IFERROR(__xludf.DUMMYFUNCTION("""COMPUTED_VALUE"""),"https://drive.google.com/open?id=DqiFRj7vsmruFLYS2d7E")</f>
        <v>https://drive.google.com/open?id=DqiFRj7vsmruFLYS2d7E</v>
      </c>
      <c r="M311" s="1"/>
      <c r="N311" s="1"/>
      <c r="O311" s="1"/>
      <c r="P311" s="1" t="str">
        <f ca="1">IFERROR(__xludf.DUMMYFUNCTION("""COMPUTED_VALUE"""),"Full-time")</f>
        <v>Full-time</v>
      </c>
      <c r="Q311" s="1">
        <f ca="1">IFERROR(__xludf.DUMMYFUNCTION("""COMPUTED_VALUE"""),12000000)</f>
        <v>12000000</v>
      </c>
      <c r="R311" s="3" t="str">
        <f ca="1">IFERROR(__xludf.DUMMYFUNCTION("""COMPUTED_VALUE"""),"https://drive.google.com/open?id=owxwfEEGZRK5EP6Efi5E")</f>
        <v>https://drive.google.com/open?id=owxwfEEGZRK5EP6Efi5E</v>
      </c>
      <c r="S311" s="1">
        <f ca="1">IFERROR(__xludf.DUMMYFUNCTION("""COMPUTED_VALUE"""),24000000)</f>
        <v>24000000</v>
      </c>
      <c r="T311" s="1" t="str">
        <f ca="1">IFERROR(__xludf.DUMMYFUNCTION("""COMPUTED_VALUE"""),"Gold")</f>
        <v>Gold</v>
      </c>
      <c r="U311" s="1" t="str">
        <f ca="1">IFERROR(__xludf.DUMMYFUNCTION("""COMPUTED_VALUE"""),"Online")</f>
        <v>Online</v>
      </c>
    </row>
    <row r="312" spans="1:21" x14ac:dyDescent="0.25">
      <c r="A312" s="2" t="str">
        <f ca="1">IFERROR(__xludf.DUMMYFUNCTION("""COMPUTED_VALUE"""),"APP0311")</f>
        <v>APP0311</v>
      </c>
      <c r="B312" s="2">
        <f ca="1">IFERROR(__xludf.DUMMYFUNCTION("""COMPUTED_VALUE"""),45915.0630208333)</f>
        <v>45915.063020833302</v>
      </c>
      <c r="C312" s="1" t="str">
        <f ca="1">IFERROR(__xludf.DUMMYFUNCTION("""COMPUTED_VALUE"""),"Nguyễn Hữu Thắng")</f>
        <v>Nguyễn Hữu Thắng</v>
      </c>
      <c r="D312" s="1" t="str">
        <f ca="1">IFERROR(__xludf.DUMMYFUNCTION("""COMPUTED_VALUE"""),"27/08/1977")</f>
        <v>27/08/1977</v>
      </c>
      <c r="E312" s="1" t="str">
        <f ca="1">IFERROR(__xludf.DUMMYFUNCTION("""COMPUTED_VALUE"""),"Female")</f>
        <v>Female</v>
      </c>
      <c r="F312" s="1" t="str">
        <f ca="1">IFERROR(__xludf.DUMMYFUNCTION("""COMPUTED_VALUE"""),"Vietnam")</f>
        <v>Vietnam</v>
      </c>
      <c r="G312" s="1" t="str">
        <f ca="1">IFERROR(__xludf.DUMMYFUNCTION("""COMPUTED_VALUE"""),"0926109938")</f>
        <v>0926109938</v>
      </c>
      <c r="H312" s="1" t="str">
        <f ca="1">IFERROR(__xludf.DUMMYFUNCTION("""COMPUTED_VALUE"""),"nguyenhuuthang@gmail.com")</f>
        <v>nguyenhuuthang@gmail.com</v>
      </c>
      <c r="I312" s="1" t="str">
        <f ca="1">IFERROR(__xludf.DUMMYFUNCTION("""COMPUTED_VALUE"""),"146 Nguyen Hue, Hoan Kiem, Da Nang, Viet Nam")</f>
        <v>146 Nguyen Hue, Hoan Kiem, Da Nang, Viet Nam</v>
      </c>
      <c r="J312" s="1" t="str">
        <f ca="1">IFERROR(__xludf.DUMMYFUNCTION("""COMPUTED_VALUE"""),"071110112982")</f>
        <v>071110112982</v>
      </c>
      <c r="K312" s="3" t="str">
        <f ca="1">IFERROR(__xludf.DUMMYFUNCTION("""COMPUTED_VALUE"""),"https://drive.google.com/open?id=Hb0tFL4rjkGC6hGBYLBg")</f>
        <v>https://drive.google.com/open?id=Hb0tFL4rjkGC6hGBYLBg</v>
      </c>
      <c r="L312" s="3" t="str">
        <f ca="1">IFERROR(__xludf.DUMMYFUNCTION("""COMPUTED_VALUE"""),"https://drive.google.com/open?id=H4LDlbNqc7BxRoTKQ8N2")</f>
        <v>https://drive.google.com/open?id=H4LDlbNqc7BxRoTKQ8N2</v>
      </c>
      <c r="M312" s="1"/>
      <c r="N312" s="1"/>
      <c r="O312" s="1"/>
      <c r="P312" s="1" t="str">
        <f ca="1">IFERROR(__xludf.DUMMYFUNCTION("""COMPUTED_VALUE"""),"Contract")</f>
        <v>Contract</v>
      </c>
      <c r="Q312" s="1">
        <f ca="1">IFERROR(__xludf.DUMMYFUNCTION("""COMPUTED_VALUE"""),12000000)</f>
        <v>12000000</v>
      </c>
      <c r="R312" s="3" t="str">
        <f ca="1">IFERROR(__xludf.DUMMYFUNCTION("""COMPUTED_VALUE"""),"https://drive.google.com/open?id=w9sfWoDUBnzSNP7JdWud")</f>
        <v>https://drive.google.com/open?id=w9sfWoDUBnzSNP7JdWud</v>
      </c>
      <c r="S312" s="1">
        <f ca="1">IFERROR(__xludf.DUMMYFUNCTION("""COMPUTED_VALUE"""),24000000)</f>
        <v>24000000</v>
      </c>
      <c r="T312" s="1" t="str">
        <f ca="1">IFERROR(__xludf.DUMMYFUNCTION("""COMPUTED_VALUE"""),"Platinum")</f>
        <v>Platinum</v>
      </c>
      <c r="U312" s="1" t="str">
        <f ca="1">IFERROR(__xludf.DUMMYFUNCTION("""COMPUTED_VALUE"""),"Partner")</f>
        <v>Partner</v>
      </c>
    </row>
    <row r="313" spans="1:21" x14ac:dyDescent="0.25">
      <c r="A313" s="2" t="str">
        <f ca="1">IFERROR(__xludf.DUMMYFUNCTION("""COMPUTED_VALUE"""),"APP0312")</f>
        <v>APP0312</v>
      </c>
      <c r="B313" s="2">
        <f ca="1">IFERROR(__xludf.DUMMYFUNCTION("""COMPUTED_VALUE"""),45915.142199074)</f>
        <v>45915.142199073998</v>
      </c>
      <c r="C313" s="1" t="str">
        <f ca="1">IFERROR(__xludf.DUMMYFUNCTION("""COMPUTED_VALUE"""),"Đặng Quang An")</f>
        <v>Đặng Quang An</v>
      </c>
      <c r="D313" s="1" t="str">
        <f ca="1">IFERROR(__xludf.DUMMYFUNCTION("""COMPUTED_VALUE"""),"02/08/1971")</f>
        <v>02/08/1971</v>
      </c>
      <c r="E313" s="1" t="str">
        <f ca="1">IFERROR(__xludf.DUMMYFUNCTION("""COMPUTED_VALUE"""),"Male")</f>
        <v>Male</v>
      </c>
      <c r="F313" s="1" t="str">
        <f ca="1">IFERROR(__xludf.DUMMYFUNCTION("""COMPUTED_VALUE"""),"Vietnam")</f>
        <v>Vietnam</v>
      </c>
      <c r="G313" s="1" t="str">
        <f ca="1">IFERROR(__xludf.DUMMYFUNCTION("""COMPUTED_VALUE"""),"0796937727")</f>
        <v>0796937727</v>
      </c>
      <c r="H313" s="1" t="str">
        <f ca="1">IFERROR(__xludf.DUMMYFUNCTION("""COMPUTED_VALUE"""),"dangquangan@gmail.com")</f>
        <v>dangquangan@gmail.com</v>
      </c>
      <c r="I313" s="1" t="str">
        <f ca="1">IFERROR(__xludf.DUMMYFUNCTION("""COMPUTED_VALUE"""),"93 Ly Thuong Kiet, Quan 3, Ha Noi, Viet Nam")</f>
        <v>93 Ly Thuong Kiet, Quan 3, Ha Noi, Viet Nam</v>
      </c>
      <c r="J313" s="1" t="str">
        <f ca="1">IFERROR(__xludf.DUMMYFUNCTION("""COMPUTED_VALUE"""),"025237458960")</f>
        <v>025237458960</v>
      </c>
      <c r="K313" s="3" t="str">
        <f ca="1">IFERROR(__xludf.DUMMYFUNCTION("""COMPUTED_VALUE"""),"https://drive.google.com/open?id=9eqVMkxSzjvkSk5Kd4Qp")</f>
        <v>https://drive.google.com/open?id=9eqVMkxSzjvkSk5Kd4Qp</v>
      </c>
      <c r="L313" s="3" t="str">
        <f ca="1">IFERROR(__xludf.DUMMYFUNCTION("""COMPUTED_VALUE"""),"https://drive.google.com/open?id=K3HRfxLoegtOuImZ9bWD")</f>
        <v>https://drive.google.com/open?id=K3HRfxLoegtOuImZ9bWD</v>
      </c>
      <c r="M313" s="1"/>
      <c r="N313" s="1"/>
      <c r="O313" s="1"/>
      <c r="P313" s="1" t="str">
        <f ca="1">IFERROR(__xludf.DUMMYFUNCTION("""COMPUTED_VALUE"""),"Self-employed")</f>
        <v>Self-employed</v>
      </c>
      <c r="Q313" s="1">
        <f ca="1">IFERROR(__xludf.DUMMYFUNCTION("""COMPUTED_VALUE"""),50000000)</f>
        <v>50000000</v>
      </c>
      <c r="R313" s="3" t="str">
        <f ca="1">IFERROR(__xludf.DUMMYFUNCTION("""COMPUTED_VALUE"""),"https://drive.google.com/open?id=yUp4rMhH0E05Y1H59tPP")</f>
        <v>https://drive.google.com/open?id=yUp4rMhH0E05Y1H59tPP</v>
      </c>
      <c r="S313" s="1">
        <f ca="1">IFERROR(__xludf.DUMMYFUNCTION("""COMPUTED_VALUE"""),250000000)</f>
        <v>250000000</v>
      </c>
      <c r="T313" s="1" t="str">
        <f ca="1">IFERROR(__xludf.DUMMYFUNCTION("""COMPUTED_VALUE"""),"Classic")</f>
        <v>Classic</v>
      </c>
      <c r="U313" s="1" t="str">
        <f ca="1">IFERROR(__xludf.DUMMYFUNCTION("""COMPUTED_VALUE"""),"Branch")</f>
        <v>Branch</v>
      </c>
    </row>
    <row r="314" spans="1:21" x14ac:dyDescent="0.25">
      <c r="A314" s="2" t="str">
        <f ca="1">IFERROR(__xludf.DUMMYFUNCTION("""COMPUTED_VALUE"""),"APP0313")</f>
        <v>APP0313</v>
      </c>
      <c r="B314" s="2">
        <f ca="1">IFERROR(__xludf.DUMMYFUNCTION("""COMPUTED_VALUE"""),45915.1617476851)</f>
        <v>45915.161747685102</v>
      </c>
      <c r="C314" s="1" t="str">
        <f ca="1">IFERROR(__xludf.DUMMYFUNCTION("""COMPUTED_VALUE"""),"Phạm Văn Giang")</f>
        <v>Phạm Văn Giang</v>
      </c>
      <c r="D314" s="1" t="str">
        <f ca="1">IFERROR(__xludf.DUMMYFUNCTION("""COMPUTED_VALUE"""),"11/11/1969")</f>
        <v>11/11/1969</v>
      </c>
      <c r="E314" s="1" t="str">
        <f ca="1">IFERROR(__xludf.DUMMYFUNCTION("""COMPUTED_VALUE"""),"Female")</f>
        <v>Female</v>
      </c>
      <c r="F314" s="1" t="str">
        <f ca="1">IFERROR(__xludf.DUMMYFUNCTION("""COMPUTED_VALUE"""),"Vietnam")</f>
        <v>Vietnam</v>
      </c>
      <c r="G314" s="1" t="str">
        <f ca="1">IFERROR(__xludf.DUMMYFUNCTION("""COMPUTED_VALUE"""),"0925953061")</f>
        <v>0925953061</v>
      </c>
      <c r="H314" s="1" t="str">
        <f ca="1">IFERROR(__xludf.DUMMYFUNCTION("""COMPUTED_VALUE"""),"phamvangiang@gmail.com")</f>
        <v>phamvangiang@gmail.com</v>
      </c>
      <c r="I314" s="1" t="str">
        <f ca="1">IFERROR(__xludf.DUMMYFUNCTION("""COMPUTED_VALUE"""),"174 Nguyen Hue, Hai Chau, Ha Noi, Viet Nam")</f>
        <v>174 Nguyen Hue, Hai Chau, Ha Noi, Viet Nam</v>
      </c>
      <c r="J314" s="1" t="str">
        <f ca="1">IFERROR(__xludf.DUMMYFUNCTION("""COMPUTED_VALUE"""),"071219086670")</f>
        <v>071219086670</v>
      </c>
      <c r="K314" s="3" t="str">
        <f ca="1">IFERROR(__xludf.DUMMYFUNCTION("""COMPUTED_VALUE"""),"https://drive.google.com/open?id=eMAV9zfKQO9V8GcYRROT")</f>
        <v>https://drive.google.com/open?id=eMAV9zfKQO9V8GcYRROT</v>
      </c>
      <c r="L314" s="3" t="str">
        <f ca="1">IFERROR(__xludf.DUMMYFUNCTION("""COMPUTED_VALUE"""),"https://drive.google.com/open?id=EOPqYKDPNrybuDSxPKmE")</f>
        <v>https://drive.google.com/open?id=EOPqYKDPNrybuDSxPKmE</v>
      </c>
      <c r="M314" s="1"/>
      <c r="N314" s="1"/>
      <c r="O314" s="1"/>
      <c r="P314" s="1" t="str">
        <f ca="1">IFERROR(__xludf.DUMMYFUNCTION("""COMPUTED_VALUE"""),"Freelancer")</f>
        <v>Freelancer</v>
      </c>
      <c r="Q314" s="1">
        <f ca="1">IFERROR(__xludf.DUMMYFUNCTION("""COMPUTED_VALUE"""),5000000)</f>
        <v>5000000</v>
      </c>
      <c r="R314" s="3" t="str">
        <f ca="1">IFERROR(__xludf.DUMMYFUNCTION("""COMPUTED_VALUE"""),"https://drive.google.com/open?id=drPjbw5SW38pk9szFiXS")</f>
        <v>https://drive.google.com/open?id=drPjbw5SW38pk9szFiXS</v>
      </c>
      <c r="S314" s="1">
        <f ca="1">IFERROR(__xludf.DUMMYFUNCTION("""COMPUTED_VALUE"""),25000000)</f>
        <v>25000000</v>
      </c>
      <c r="T314" s="1" t="str">
        <f ca="1">IFERROR(__xludf.DUMMYFUNCTION("""COMPUTED_VALUE"""),"Gold")</f>
        <v>Gold</v>
      </c>
      <c r="U314" s="1" t="str">
        <f ca="1">IFERROR(__xludf.DUMMYFUNCTION("""COMPUTED_VALUE"""),"Partner")</f>
        <v>Partner</v>
      </c>
    </row>
    <row r="315" spans="1:21" x14ac:dyDescent="0.25">
      <c r="A315" s="2" t="str">
        <f ca="1">IFERROR(__xludf.DUMMYFUNCTION("""COMPUTED_VALUE"""),"APP0314")</f>
        <v>APP0314</v>
      </c>
      <c r="B315" s="2">
        <f ca="1">IFERROR(__xludf.DUMMYFUNCTION("""COMPUTED_VALUE"""),45915.2812731481)</f>
        <v>45915.281273148103</v>
      </c>
      <c r="C315" s="1" t="str">
        <f ca="1">IFERROR(__xludf.DUMMYFUNCTION("""COMPUTED_VALUE"""),"Phan Hữu Giang")</f>
        <v>Phan Hữu Giang</v>
      </c>
      <c r="D315" s="1" t="str">
        <f ca="1">IFERROR(__xludf.DUMMYFUNCTION("""COMPUTED_VALUE"""),"10/04/1967")</f>
        <v>10/04/1967</v>
      </c>
      <c r="E315" s="1" t="str">
        <f ca="1">IFERROR(__xludf.DUMMYFUNCTION("""COMPUTED_VALUE"""),"Male")</f>
        <v>Male</v>
      </c>
      <c r="F315" s="1" t="str">
        <f ca="1">IFERROR(__xludf.DUMMYFUNCTION("""COMPUTED_VALUE"""),"Vietnam")</f>
        <v>Vietnam</v>
      </c>
      <c r="G315" s="1" t="str">
        <f ca="1">IFERROR(__xludf.DUMMYFUNCTION("""COMPUTED_VALUE"""),"0742697480")</f>
        <v>0742697480</v>
      </c>
      <c r="H315" s="1" t="str">
        <f ca="1">IFERROR(__xludf.DUMMYFUNCTION("""COMPUTED_VALUE"""),"phanhuugiang@gmail.com")</f>
        <v>phanhuugiang@gmail.com</v>
      </c>
      <c r="I315" s="1" t="str">
        <f ca="1">IFERROR(__xludf.DUMMYFUNCTION("""COMPUTED_VALUE"""),"99 Ly Thuong Kiet, Quan 7, Da Nang, Viet Nam")</f>
        <v>99 Ly Thuong Kiet, Quan 7, Da Nang, Viet Nam</v>
      </c>
      <c r="J315" s="1" t="str">
        <f ca="1">IFERROR(__xludf.DUMMYFUNCTION("""COMPUTED_VALUE"""),"049841905751")</f>
        <v>049841905751</v>
      </c>
      <c r="K315" s="3" t="str">
        <f ca="1">IFERROR(__xludf.DUMMYFUNCTION("""COMPUTED_VALUE"""),"https://drive.google.com/open?id=zxWhBVV9pzQoVXP43ZJl")</f>
        <v>https://drive.google.com/open?id=zxWhBVV9pzQoVXP43ZJl</v>
      </c>
      <c r="L315" s="3" t="str">
        <f ca="1">IFERROR(__xludf.DUMMYFUNCTION("""COMPUTED_VALUE"""),"https://drive.google.com/open?id=7WPS3XMYd9Z1HPJ5JL4l")</f>
        <v>https://drive.google.com/open?id=7WPS3XMYd9Z1HPJ5JL4l</v>
      </c>
      <c r="M315" s="1"/>
      <c r="N315" s="1"/>
      <c r="O315" s="1"/>
      <c r="P315" s="1" t="str">
        <f ca="1">IFERROR(__xludf.DUMMYFUNCTION("""COMPUTED_VALUE"""),"Contract")</f>
        <v>Contract</v>
      </c>
      <c r="Q315" s="1">
        <f ca="1">IFERROR(__xludf.DUMMYFUNCTION("""COMPUTED_VALUE"""),5000000)</f>
        <v>5000000</v>
      </c>
      <c r="R315" s="3" t="str">
        <f ca="1">IFERROR(__xludf.DUMMYFUNCTION("""COMPUTED_VALUE"""),"https://drive.google.com/open?id=JV3Tg99NyQ6BcR1PXZic")</f>
        <v>https://drive.google.com/open?id=JV3Tg99NyQ6BcR1PXZic</v>
      </c>
      <c r="S315" s="1">
        <f ca="1">IFERROR(__xludf.DUMMYFUNCTION("""COMPUTED_VALUE"""),15000000)</f>
        <v>15000000</v>
      </c>
      <c r="T315" s="1" t="str">
        <f ca="1">IFERROR(__xludf.DUMMYFUNCTION("""COMPUTED_VALUE"""),"Classic")</f>
        <v>Classic</v>
      </c>
      <c r="U315" s="1" t="str">
        <f ca="1">IFERROR(__xludf.DUMMYFUNCTION("""COMPUTED_VALUE"""),"Partner")</f>
        <v>Partner</v>
      </c>
    </row>
    <row r="316" spans="1:21" x14ac:dyDescent="0.25">
      <c r="A316" s="2" t="str">
        <f ca="1">IFERROR(__xludf.DUMMYFUNCTION("""COMPUTED_VALUE"""),"APP0315")</f>
        <v>APP0315</v>
      </c>
      <c r="B316" s="2">
        <f ca="1">IFERROR(__xludf.DUMMYFUNCTION("""COMPUTED_VALUE"""),45915.2959027777)</f>
        <v>45915.295902777703</v>
      </c>
      <c r="C316" s="1" t="str">
        <f ca="1">IFERROR(__xludf.DUMMYFUNCTION("""COMPUTED_VALUE"""),"Lê Thị Sơn")</f>
        <v>Lê Thị Sơn</v>
      </c>
      <c r="D316" s="1" t="str">
        <f ca="1">IFERROR(__xludf.DUMMYFUNCTION("""COMPUTED_VALUE"""),"07/06/1968")</f>
        <v>07/06/1968</v>
      </c>
      <c r="E316" s="1" t="str">
        <f ca="1">IFERROR(__xludf.DUMMYFUNCTION("""COMPUTED_VALUE"""),"Male")</f>
        <v>Male</v>
      </c>
      <c r="F316" s="1" t="str">
        <f ca="1">IFERROR(__xludf.DUMMYFUNCTION("""COMPUTED_VALUE"""),"Vietnam")</f>
        <v>Vietnam</v>
      </c>
      <c r="G316" s="1" t="str">
        <f ca="1">IFERROR(__xludf.DUMMYFUNCTION("""COMPUTED_VALUE"""),"0948918332")</f>
        <v>0948918332</v>
      </c>
      <c r="H316" s="1" t="str">
        <f ca="1">IFERROR(__xludf.DUMMYFUNCTION("""COMPUTED_VALUE"""),"lethison@gmail.com")</f>
        <v>lethison@gmail.com</v>
      </c>
      <c r="I316" s="1" t="str">
        <f ca="1">IFERROR(__xludf.DUMMYFUNCTION("""COMPUTED_VALUE"""),"79 Nguyen Hue, Quan 7, Can Tho, Viet Nam")</f>
        <v>79 Nguyen Hue, Quan 7, Can Tho, Viet Nam</v>
      </c>
      <c r="J316" s="1" t="str">
        <f ca="1">IFERROR(__xludf.DUMMYFUNCTION("""COMPUTED_VALUE"""),"024163630989")</f>
        <v>024163630989</v>
      </c>
      <c r="K316" s="3" t="str">
        <f ca="1">IFERROR(__xludf.DUMMYFUNCTION("""COMPUTED_VALUE"""),"https://drive.google.com/open?id=AGg7rTyeY4QI0jJyqDbm")</f>
        <v>https://drive.google.com/open?id=AGg7rTyeY4QI0jJyqDbm</v>
      </c>
      <c r="L316" s="3" t="str">
        <f ca="1">IFERROR(__xludf.DUMMYFUNCTION("""COMPUTED_VALUE"""),"https://drive.google.com/open?id=ErJW6E0KKmHqEI6xUQGK")</f>
        <v>https://drive.google.com/open?id=ErJW6E0KKmHqEI6xUQGK</v>
      </c>
      <c r="M316" s="1"/>
      <c r="N316" s="1"/>
      <c r="O316" s="1"/>
      <c r="P316" s="1" t="str">
        <f ca="1">IFERROR(__xludf.DUMMYFUNCTION("""COMPUTED_VALUE"""),"Freelancer")</f>
        <v>Freelancer</v>
      </c>
      <c r="Q316" s="1">
        <f ca="1">IFERROR(__xludf.DUMMYFUNCTION("""COMPUTED_VALUE"""),8000000)</f>
        <v>8000000</v>
      </c>
      <c r="R316" s="3" t="str">
        <f ca="1">IFERROR(__xludf.DUMMYFUNCTION("""COMPUTED_VALUE"""),"https://drive.google.com/open?id=PvyTTG3Bs1qzLY6bcmUW")</f>
        <v>https://drive.google.com/open?id=PvyTTG3Bs1qzLY6bcmUW</v>
      </c>
      <c r="S316" s="1">
        <f ca="1">IFERROR(__xludf.DUMMYFUNCTION("""COMPUTED_VALUE"""),24000000)</f>
        <v>24000000</v>
      </c>
      <c r="T316" s="1" t="str">
        <f ca="1">IFERROR(__xludf.DUMMYFUNCTION("""COMPUTED_VALUE"""),"Platinum")</f>
        <v>Platinum</v>
      </c>
      <c r="U316" s="1" t="str">
        <f ca="1">IFERROR(__xludf.DUMMYFUNCTION("""COMPUTED_VALUE"""),"Branch")</f>
        <v>Branch</v>
      </c>
    </row>
    <row r="317" spans="1:21" x14ac:dyDescent="0.25">
      <c r="A317" s="2" t="str">
        <f ca="1">IFERROR(__xludf.DUMMYFUNCTION("""COMPUTED_VALUE"""),"APP0316")</f>
        <v>APP0316</v>
      </c>
      <c r="B317" s="2">
        <f ca="1">IFERROR(__xludf.DUMMYFUNCTION("""COMPUTED_VALUE"""),45915.4584027777)</f>
        <v>45915.458402777702</v>
      </c>
      <c r="C317" s="1" t="str">
        <f ca="1">IFERROR(__xludf.DUMMYFUNCTION("""COMPUTED_VALUE"""),"Dương Hữu Phúc")</f>
        <v>Dương Hữu Phúc</v>
      </c>
      <c r="D317" s="1" t="str">
        <f ca="1">IFERROR(__xludf.DUMMYFUNCTION("""COMPUTED_VALUE"""),"22/05/1977")</f>
        <v>22/05/1977</v>
      </c>
      <c r="E317" s="1" t="str">
        <f ca="1">IFERROR(__xludf.DUMMYFUNCTION("""COMPUTED_VALUE"""),"Female")</f>
        <v>Female</v>
      </c>
      <c r="F317" s="1" t="str">
        <f ca="1">IFERROR(__xludf.DUMMYFUNCTION("""COMPUTED_VALUE"""),"Vietnam")</f>
        <v>Vietnam</v>
      </c>
      <c r="G317" s="1" t="str">
        <f ca="1">IFERROR(__xludf.DUMMYFUNCTION("""COMPUTED_VALUE"""),"0712950578")</f>
        <v>0712950578</v>
      </c>
      <c r="H317" s="1" t="str">
        <f ca="1">IFERROR(__xludf.DUMMYFUNCTION("""COMPUTED_VALUE"""),"duonghuuphuc@gmail.com")</f>
        <v>duonghuuphuc@gmail.com</v>
      </c>
      <c r="I317" s="1" t="str">
        <f ca="1">IFERROR(__xludf.DUMMYFUNCTION("""COMPUTED_VALUE"""),"98 Tran Hung Dao, Dong Da, Da Nang, Viet Nam")</f>
        <v>98 Tran Hung Dao, Dong Da, Da Nang, Viet Nam</v>
      </c>
      <c r="J317" s="1" t="str">
        <f ca="1">IFERROR(__xludf.DUMMYFUNCTION("""COMPUTED_VALUE"""),"030431465013")</f>
        <v>030431465013</v>
      </c>
      <c r="K317" s="3" t="str">
        <f ca="1">IFERROR(__xludf.DUMMYFUNCTION("""COMPUTED_VALUE"""),"https://drive.google.com/open?id=v39PP4zSEwBkGPn6KXoB")</f>
        <v>https://drive.google.com/open?id=v39PP4zSEwBkGPn6KXoB</v>
      </c>
      <c r="L317" s="3" t="str">
        <f ca="1">IFERROR(__xludf.DUMMYFUNCTION("""COMPUTED_VALUE"""),"https://drive.google.com/open?id=aCwwrwhl97WD1cAUiyeK")</f>
        <v>https://drive.google.com/open?id=aCwwrwhl97WD1cAUiyeK</v>
      </c>
      <c r="M317" s="1"/>
      <c r="N317" s="1"/>
      <c r="O317" s="1"/>
      <c r="P317" s="1" t="str">
        <f ca="1">IFERROR(__xludf.DUMMYFUNCTION("""COMPUTED_VALUE"""),"Self-employed")</f>
        <v>Self-employed</v>
      </c>
      <c r="Q317" s="1">
        <f ca="1">IFERROR(__xludf.DUMMYFUNCTION("""COMPUTED_VALUE"""),8000000)</f>
        <v>8000000</v>
      </c>
      <c r="R317" s="3" t="str">
        <f ca="1">IFERROR(__xludf.DUMMYFUNCTION("""COMPUTED_VALUE"""),"https://drive.google.com/open?id=D4QKETsnZ0AhHewGCVJi")</f>
        <v>https://drive.google.com/open?id=D4QKETsnZ0AhHewGCVJi</v>
      </c>
      <c r="S317" s="1">
        <f ca="1">IFERROR(__xludf.DUMMYFUNCTION("""COMPUTED_VALUE"""),24000000)</f>
        <v>24000000</v>
      </c>
      <c r="T317" s="1" t="str">
        <f ca="1">IFERROR(__xludf.DUMMYFUNCTION("""COMPUTED_VALUE"""),"Gold")</f>
        <v>Gold</v>
      </c>
      <c r="U317" s="1" t="str">
        <f ca="1">IFERROR(__xludf.DUMMYFUNCTION("""COMPUTED_VALUE"""),"Branch")</f>
        <v>Branch</v>
      </c>
    </row>
    <row r="318" spans="1:21" x14ac:dyDescent="0.25">
      <c r="A318" s="2" t="str">
        <f ca="1">IFERROR(__xludf.DUMMYFUNCTION("""COMPUTED_VALUE"""),"APP0317")</f>
        <v>APP0317</v>
      </c>
      <c r="B318" s="2">
        <f ca="1">IFERROR(__xludf.DUMMYFUNCTION("""COMPUTED_VALUE"""),45915.5043171296)</f>
        <v>45915.504317129598</v>
      </c>
      <c r="C318" s="1" t="str">
        <f ca="1">IFERROR(__xludf.DUMMYFUNCTION("""COMPUTED_VALUE"""),"Hồ Hữu Vy")</f>
        <v>Hồ Hữu Vy</v>
      </c>
      <c r="D318" s="1" t="str">
        <f ca="1">IFERROR(__xludf.DUMMYFUNCTION("""COMPUTED_VALUE"""),"19/01/1977")</f>
        <v>19/01/1977</v>
      </c>
      <c r="E318" s="1" t="str">
        <f ca="1">IFERROR(__xludf.DUMMYFUNCTION("""COMPUTED_VALUE"""),"Male")</f>
        <v>Male</v>
      </c>
      <c r="F318" s="1" t="str">
        <f ca="1">IFERROR(__xludf.DUMMYFUNCTION("""COMPUTED_VALUE"""),"Vietnam")</f>
        <v>Vietnam</v>
      </c>
      <c r="G318" s="1" t="str">
        <f ca="1">IFERROR(__xludf.DUMMYFUNCTION("""COMPUTED_VALUE"""),"0934105802")</f>
        <v>0934105802</v>
      </c>
      <c r="H318" s="1" t="str">
        <f ca="1">IFERROR(__xludf.DUMMYFUNCTION("""COMPUTED_VALUE"""),"hohuuvy@gmail.com")</f>
        <v>hohuuvy@gmail.com</v>
      </c>
      <c r="I318" s="1" t="str">
        <f ca="1">IFERROR(__xludf.DUMMYFUNCTION("""COMPUTED_VALUE"""),"118 Ly Thuong Kiet, Dong Da, Da Nang, Viet Nam")</f>
        <v>118 Ly Thuong Kiet, Dong Da, Da Nang, Viet Nam</v>
      </c>
      <c r="J318" s="1" t="str">
        <f ca="1">IFERROR(__xludf.DUMMYFUNCTION("""COMPUTED_VALUE"""),"055137917909")</f>
        <v>055137917909</v>
      </c>
      <c r="K318" s="3" t="str">
        <f ca="1">IFERROR(__xludf.DUMMYFUNCTION("""COMPUTED_VALUE"""),"https://drive.google.com/open?id=GnXUlqk3S1tNVhwCGzTA")</f>
        <v>https://drive.google.com/open?id=GnXUlqk3S1tNVhwCGzTA</v>
      </c>
      <c r="L318" s="3" t="str">
        <f ca="1">IFERROR(__xludf.DUMMYFUNCTION("""COMPUTED_VALUE"""),"https://drive.google.com/open?id=zIOa8LpDhiBcJFNCajsS")</f>
        <v>https://drive.google.com/open?id=zIOa8LpDhiBcJFNCajsS</v>
      </c>
      <c r="M318" s="1"/>
      <c r="N318" s="1"/>
      <c r="O318" s="1"/>
      <c r="P318" s="1" t="str">
        <f ca="1">IFERROR(__xludf.DUMMYFUNCTION("""COMPUTED_VALUE"""),"Full-time")</f>
        <v>Full-time</v>
      </c>
      <c r="Q318" s="1">
        <f ca="1">IFERROR(__xludf.DUMMYFUNCTION("""COMPUTED_VALUE"""),12000000)</f>
        <v>12000000</v>
      </c>
      <c r="R318" s="3" t="str">
        <f ca="1">IFERROR(__xludf.DUMMYFUNCTION("""COMPUTED_VALUE"""),"https://drive.google.com/open?id=lvLDVGisuPrLKrTDyedf")</f>
        <v>https://drive.google.com/open?id=lvLDVGisuPrLKrTDyedf</v>
      </c>
      <c r="S318" s="1">
        <f ca="1">IFERROR(__xludf.DUMMYFUNCTION("""COMPUTED_VALUE"""),24000000)</f>
        <v>24000000</v>
      </c>
      <c r="T318" s="1" t="str">
        <f ca="1">IFERROR(__xludf.DUMMYFUNCTION("""COMPUTED_VALUE"""),"Gold")</f>
        <v>Gold</v>
      </c>
      <c r="U318" s="1" t="str">
        <f ca="1">IFERROR(__xludf.DUMMYFUNCTION("""COMPUTED_VALUE"""),"Branch")</f>
        <v>Branch</v>
      </c>
    </row>
    <row r="319" spans="1:21" x14ac:dyDescent="0.25">
      <c r="A319" s="2" t="str">
        <f ca="1">IFERROR(__xludf.DUMMYFUNCTION("""COMPUTED_VALUE"""),"APP0318")</f>
        <v>APP0318</v>
      </c>
      <c r="B319" s="2">
        <f ca="1">IFERROR(__xludf.DUMMYFUNCTION("""COMPUTED_VALUE"""),45915.5359027777)</f>
        <v>45915.535902777701</v>
      </c>
      <c r="C319" s="1" t="str">
        <f ca="1">IFERROR(__xludf.DUMMYFUNCTION("""COMPUTED_VALUE"""),"Anthony Nolan")</f>
        <v>Anthony Nolan</v>
      </c>
      <c r="D319" s="1" t="str">
        <f ca="1">IFERROR(__xludf.DUMMYFUNCTION("""COMPUTED_VALUE"""),"17/07/1986")</f>
        <v>17/07/1986</v>
      </c>
      <c r="E319" s="1" t="str">
        <f ca="1">IFERROR(__xludf.DUMMYFUNCTION("""COMPUTED_VALUE"""),"Male")</f>
        <v>Male</v>
      </c>
      <c r="F319" s="1" t="str">
        <f ca="1">IFERROR(__xludf.DUMMYFUNCTION("""COMPUTED_VALUE"""),"Other")</f>
        <v>Other</v>
      </c>
      <c r="G319" s="1" t="str">
        <f ca="1">IFERROR(__xludf.DUMMYFUNCTION("""COMPUTED_VALUE"""),"+1 4201248810")</f>
        <v>+1 4201248810</v>
      </c>
      <c r="H319" s="1" t="str">
        <f ca="1">IFERROR(__xludf.DUMMYFUNCTION("""COMPUTED_VALUE"""),"anthonynolan@gmail.com")</f>
        <v>anthonynolan@gmail.com</v>
      </c>
      <c r="I319" s="1" t="str">
        <f ca="1">IFERROR(__xludf.DUMMYFUNCTION("""COMPUTED_VALUE"""),"668 Levi Stravenue, Garrettburgh, AK 78587")</f>
        <v>668 Levi Stravenue, Garrettburgh, AK 78587</v>
      </c>
      <c r="J319" s="1"/>
      <c r="K319" s="1"/>
      <c r="L319" s="1"/>
      <c r="M319" s="1" t="str">
        <f ca="1">IFERROR(__xludf.DUMMYFUNCTION("""COMPUTED_VALUE"""),"lw274106")</f>
        <v>lw274106</v>
      </c>
      <c r="N319" s="3" t="str">
        <f ca="1">IFERROR(__xludf.DUMMYFUNCTION("""COMPUTED_VALUE"""),"https://drive.google.com/open?id=ekeR7MlbQswlfzzmNyAd")</f>
        <v>https://drive.google.com/open?id=ekeR7MlbQswlfzzmNyAd</v>
      </c>
      <c r="O319" s="3" t="str">
        <f ca="1">IFERROR(__xludf.DUMMYFUNCTION("""COMPUTED_VALUE"""),"https://drive.google.com/open?id=k6R2u5zbclmHf6goTJYP")</f>
        <v>https://drive.google.com/open?id=k6R2u5zbclmHf6goTJYP</v>
      </c>
      <c r="P319" s="1" t="str">
        <f ca="1">IFERROR(__xludf.DUMMYFUNCTION("""COMPUTED_VALUE"""),"Full-time")</f>
        <v>Full-time</v>
      </c>
      <c r="Q319" s="1">
        <f ca="1">IFERROR(__xludf.DUMMYFUNCTION("""COMPUTED_VALUE"""),12000000)</f>
        <v>12000000</v>
      </c>
      <c r="R319" s="3" t="str">
        <f ca="1">IFERROR(__xludf.DUMMYFUNCTION("""COMPUTED_VALUE"""),"https://drive.google.com/open?id=bUQUoWy5MRvyQXXI6kwH")</f>
        <v>https://drive.google.com/open?id=bUQUoWy5MRvyQXXI6kwH</v>
      </c>
      <c r="S319" s="1">
        <f ca="1">IFERROR(__xludf.DUMMYFUNCTION("""COMPUTED_VALUE"""),36000000)</f>
        <v>36000000</v>
      </c>
      <c r="T319" s="1" t="str">
        <f ca="1">IFERROR(__xludf.DUMMYFUNCTION("""COMPUTED_VALUE"""),"Gold")</f>
        <v>Gold</v>
      </c>
      <c r="U319" s="1" t="str">
        <f ca="1">IFERROR(__xludf.DUMMYFUNCTION("""COMPUTED_VALUE"""),"Branch")</f>
        <v>Branch</v>
      </c>
    </row>
    <row r="320" spans="1:21" x14ac:dyDescent="0.25">
      <c r="A320" s="2" t="str">
        <f ca="1">IFERROR(__xludf.DUMMYFUNCTION("""COMPUTED_VALUE"""),"APP0319")</f>
        <v>APP0319</v>
      </c>
      <c r="B320" s="2">
        <f ca="1">IFERROR(__xludf.DUMMYFUNCTION("""COMPUTED_VALUE"""),45915.6056712962)</f>
        <v>45915.605671296202</v>
      </c>
      <c r="C320" s="1" t="str">
        <f ca="1">IFERROR(__xludf.DUMMYFUNCTION("""COMPUTED_VALUE"""),"Ngô Minh Thắng")</f>
        <v>Ngô Minh Thắng</v>
      </c>
      <c r="D320" s="1" t="str">
        <f ca="1">IFERROR(__xludf.DUMMYFUNCTION("""COMPUTED_VALUE"""),"07/02/1999")</f>
        <v>07/02/1999</v>
      </c>
      <c r="E320" s="1" t="str">
        <f ca="1">IFERROR(__xludf.DUMMYFUNCTION("""COMPUTED_VALUE"""),"Female")</f>
        <v>Female</v>
      </c>
      <c r="F320" s="1" t="str">
        <f ca="1">IFERROR(__xludf.DUMMYFUNCTION("""COMPUTED_VALUE"""),"Vietnam")</f>
        <v>Vietnam</v>
      </c>
      <c r="G320" s="1" t="str">
        <f ca="1">IFERROR(__xludf.DUMMYFUNCTION("""COMPUTED_VALUE"""),"0949631923")</f>
        <v>0949631923</v>
      </c>
      <c r="H320" s="1" t="str">
        <f ca="1">IFERROR(__xludf.DUMMYFUNCTION("""COMPUTED_VALUE"""),"ngominhthang@gmail.com")</f>
        <v>ngominhthang@gmail.com</v>
      </c>
      <c r="I320" s="1" t="str">
        <f ca="1">IFERROR(__xludf.DUMMYFUNCTION("""COMPUTED_VALUE"""),"127 Nguyen Trai, Hai Chau, Can Tho, Viet Nam")</f>
        <v>127 Nguyen Trai, Hai Chau, Can Tho, Viet Nam</v>
      </c>
      <c r="J320" s="1" t="str">
        <f ca="1">IFERROR(__xludf.DUMMYFUNCTION("""COMPUTED_VALUE"""),"088389693128")</f>
        <v>088389693128</v>
      </c>
      <c r="K320" s="3" t="str">
        <f ca="1">IFERROR(__xludf.DUMMYFUNCTION("""COMPUTED_VALUE"""),"https://drive.google.com/open?id=MVJVMPTr9qTZi5CyUsSe")</f>
        <v>https://drive.google.com/open?id=MVJVMPTr9qTZi5CyUsSe</v>
      </c>
      <c r="L320" s="3" t="str">
        <f ca="1">IFERROR(__xludf.DUMMYFUNCTION("""COMPUTED_VALUE"""),"https://drive.google.com/open?id=fRgImtdvR6HOk95fhisX")</f>
        <v>https://drive.google.com/open?id=fRgImtdvR6HOk95fhisX</v>
      </c>
      <c r="M320" s="1"/>
      <c r="N320" s="1"/>
      <c r="O320" s="1"/>
      <c r="P320" s="1" t="str">
        <f ca="1">IFERROR(__xludf.DUMMYFUNCTION("""COMPUTED_VALUE"""),"Contract")</f>
        <v>Contract</v>
      </c>
      <c r="Q320" s="1">
        <f ca="1">IFERROR(__xludf.DUMMYFUNCTION("""COMPUTED_VALUE"""),5000000)</f>
        <v>5000000</v>
      </c>
      <c r="R320" s="3" t="str">
        <f ca="1">IFERROR(__xludf.DUMMYFUNCTION("""COMPUTED_VALUE"""),"https://drive.google.com/open?id=YNFdEe9Xq3X9QYkinCn5")</f>
        <v>https://drive.google.com/open?id=YNFdEe9Xq3X9QYkinCn5</v>
      </c>
      <c r="S320" s="1">
        <f ca="1">IFERROR(__xludf.DUMMYFUNCTION("""COMPUTED_VALUE"""),15000000)</f>
        <v>15000000</v>
      </c>
      <c r="T320" s="1" t="str">
        <f ca="1">IFERROR(__xludf.DUMMYFUNCTION("""COMPUTED_VALUE"""),"Classic")</f>
        <v>Classic</v>
      </c>
      <c r="U320" s="1" t="str">
        <f ca="1">IFERROR(__xludf.DUMMYFUNCTION("""COMPUTED_VALUE"""),"Partner")</f>
        <v>Partner</v>
      </c>
    </row>
    <row r="321" spans="1:21" x14ac:dyDescent="0.25">
      <c r="A321" s="2" t="str">
        <f ca="1">IFERROR(__xludf.DUMMYFUNCTION("""COMPUTED_VALUE"""),"APP0320")</f>
        <v>APP0320</v>
      </c>
      <c r="B321" s="2">
        <f ca="1">IFERROR(__xludf.DUMMYFUNCTION("""COMPUTED_VALUE"""),45915.6288310185)</f>
        <v>45915.628831018497</v>
      </c>
      <c r="C321" s="1" t="str">
        <f ca="1">IFERROR(__xludf.DUMMYFUNCTION("""COMPUTED_VALUE"""),"Lê Minh Quỳnh")</f>
        <v>Lê Minh Quỳnh</v>
      </c>
      <c r="D321" s="1" t="str">
        <f ca="1">IFERROR(__xludf.DUMMYFUNCTION("""COMPUTED_VALUE"""),"16/02/2005")</f>
        <v>16/02/2005</v>
      </c>
      <c r="E321" s="1" t="str">
        <f ca="1">IFERROR(__xludf.DUMMYFUNCTION("""COMPUTED_VALUE"""),"Male")</f>
        <v>Male</v>
      </c>
      <c r="F321" s="1" t="str">
        <f ca="1">IFERROR(__xludf.DUMMYFUNCTION("""COMPUTED_VALUE"""),"Vietnam")</f>
        <v>Vietnam</v>
      </c>
      <c r="G321" s="1" t="str">
        <f ca="1">IFERROR(__xludf.DUMMYFUNCTION("""COMPUTED_VALUE"""),"0797501658")</f>
        <v>0797501658</v>
      </c>
      <c r="H321" s="1" t="str">
        <f ca="1">IFERROR(__xludf.DUMMYFUNCTION("""COMPUTED_VALUE"""),"leminhquynh@gmail.com")</f>
        <v>leminhquynh@gmail.com</v>
      </c>
      <c r="I321" s="1" t="str">
        <f ca="1">IFERROR(__xludf.DUMMYFUNCTION("""COMPUTED_VALUE"""),"77 Nguyen Hue, Quan 7, Can Tho, Viet Nam")</f>
        <v>77 Nguyen Hue, Quan 7, Can Tho, Viet Nam</v>
      </c>
      <c r="J321" s="1" t="str">
        <f ca="1">IFERROR(__xludf.DUMMYFUNCTION("""COMPUTED_VALUE"""),"076644397901")</f>
        <v>076644397901</v>
      </c>
      <c r="K321" s="3" t="str">
        <f ca="1">IFERROR(__xludf.DUMMYFUNCTION("""COMPUTED_VALUE"""),"https://drive.google.com/open?id=VAv1SoA11lzdMRMueZFf")</f>
        <v>https://drive.google.com/open?id=VAv1SoA11lzdMRMueZFf</v>
      </c>
      <c r="L321" s="3" t="str">
        <f ca="1">IFERROR(__xludf.DUMMYFUNCTION("""COMPUTED_VALUE"""),"https://drive.google.com/open?id=dhynpGJMCLUrio6QGvpo")</f>
        <v>https://drive.google.com/open?id=dhynpGJMCLUrio6QGvpo</v>
      </c>
      <c r="M321" s="1"/>
      <c r="N321" s="1"/>
      <c r="O321" s="1"/>
      <c r="P321" s="1" t="str">
        <f ca="1">IFERROR(__xludf.DUMMYFUNCTION("""COMPUTED_VALUE"""),"Self-employed")</f>
        <v>Self-employed</v>
      </c>
      <c r="Q321" s="1">
        <f ca="1">IFERROR(__xludf.DUMMYFUNCTION("""COMPUTED_VALUE"""),20000000)</f>
        <v>20000000</v>
      </c>
      <c r="R321" s="3" t="str">
        <f ca="1">IFERROR(__xludf.DUMMYFUNCTION("""COMPUTED_VALUE"""),"https://drive.google.com/open?id=NByRJYZD2YMIKb7FJEvs")</f>
        <v>https://drive.google.com/open?id=NByRJYZD2YMIKb7FJEvs</v>
      </c>
      <c r="S321" s="1">
        <f ca="1">IFERROR(__xludf.DUMMYFUNCTION("""COMPUTED_VALUE"""),100000000)</f>
        <v>100000000</v>
      </c>
      <c r="T321" s="1" t="str">
        <f ca="1">IFERROR(__xludf.DUMMYFUNCTION("""COMPUTED_VALUE"""),"Platinum")</f>
        <v>Platinum</v>
      </c>
      <c r="U321" s="1" t="str">
        <f ca="1">IFERROR(__xludf.DUMMYFUNCTION("""COMPUTED_VALUE"""),"Partner")</f>
        <v>Partner</v>
      </c>
    </row>
    <row r="322" spans="1:21" x14ac:dyDescent="0.25">
      <c r="A322" s="2" t="str">
        <f ca="1">IFERROR(__xludf.DUMMYFUNCTION("""COMPUTED_VALUE"""),"APP0321")</f>
        <v>APP0321</v>
      </c>
      <c r="B322" s="2">
        <f ca="1">IFERROR(__xludf.DUMMYFUNCTION("""COMPUTED_VALUE"""),45915.6891319444)</f>
        <v>45915.689131944397</v>
      </c>
      <c r="C322" s="1" t="str">
        <f ca="1">IFERROR(__xludf.DUMMYFUNCTION("""COMPUTED_VALUE"""),"Dana Abbott")</f>
        <v>Dana Abbott</v>
      </c>
      <c r="D322" s="1" t="str">
        <f ca="1">IFERROR(__xludf.DUMMYFUNCTION("""COMPUTED_VALUE"""),"05/04/1998")</f>
        <v>05/04/1998</v>
      </c>
      <c r="E322" s="1" t="str">
        <f ca="1">IFERROR(__xludf.DUMMYFUNCTION("""COMPUTED_VALUE"""),"Male")</f>
        <v>Male</v>
      </c>
      <c r="F322" s="1" t="str">
        <f ca="1">IFERROR(__xludf.DUMMYFUNCTION("""COMPUTED_VALUE"""),"Other")</f>
        <v>Other</v>
      </c>
      <c r="G322" s="1" t="str">
        <f ca="1">IFERROR(__xludf.DUMMYFUNCTION("""COMPUTED_VALUE"""),"+91 2209939126")</f>
        <v>+91 2209939126</v>
      </c>
      <c r="H322" s="1" t="str">
        <f ca="1">IFERROR(__xludf.DUMMYFUNCTION("""COMPUTED_VALUE"""),"danaabbott@gmail.com")</f>
        <v>danaabbott@gmail.com</v>
      </c>
      <c r="I322" s="1" t="str">
        <f ca="1">IFERROR(__xludf.DUMMYFUNCTION("""COMPUTED_VALUE"""),"537 Hartman Village, Ellismouth, NE 96144")</f>
        <v>537 Hartman Village, Ellismouth, NE 96144</v>
      </c>
      <c r="J322" s="1"/>
      <c r="K322" s="1"/>
      <c r="L322" s="1"/>
      <c r="M322" s="1" t="str">
        <f ca="1">IFERROR(__xludf.DUMMYFUNCTION("""COMPUTED_VALUE"""),"Dx075872")</f>
        <v>Dx075872</v>
      </c>
      <c r="N322" s="3" t="str">
        <f ca="1">IFERROR(__xludf.DUMMYFUNCTION("""COMPUTED_VALUE"""),"https://drive.google.com/open?id=4gNROchJEANCad6pD3Ul")</f>
        <v>https://drive.google.com/open?id=4gNROchJEANCad6pD3Ul</v>
      </c>
      <c r="O322" s="3" t="str">
        <f ca="1">IFERROR(__xludf.DUMMYFUNCTION("""COMPUTED_VALUE"""),"https://drive.google.com/open?id=vQDwi6TukEOGa2T5QdeS")</f>
        <v>https://drive.google.com/open?id=vQDwi6TukEOGa2T5QdeS</v>
      </c>
      <c r="P322" s="1" t="str">
        <f ca="1">IFERROR(__xludf.DUMMYFUNCTION("""COMPUTED_VALUE"""),"Self-employed")</f>
        <v>Self-employed</v>
      </c>
      <c r="Q322" s="1">
        <f ca="1">IFERROR(__xludf.DUMMYFUNCTION("""COMPUTED_VALUE"""),8000000)</f>
        <v>8000000</v>
      </c>
      <c r="R322" s="3" t="str">
        <f ca="1">IFERROR(__xludf.DUMMYFUNCTION("""COMPUTED_VALUE"""),"https://drive.google.com/open?id=2UZCZJMumnio29hK3lGI")</f>
        <v>https://drive.google.com/open?id=2UZCZJMumnio29hK3lGI</v>
      </c>
      <c r="S322" s="1">
        <f ca="1">IFERROR(__xludf.DUMMYFUNCTION("""COMPUTED_VALUE"""),40000000)</f>
        <v>40000000</v>
      </c>
      <c r="T322" s="1" t="str">
        <f ca="1">IFERROR(__xludf.DUMMYFUNCTION("""COMPUTED_VALUE"""),"Classic")</f>
        <v>Classic</v>
      </c>
      <c r="U322" s="1" t="str">
        <f ca="1">IFERROR(__xludf.DUMMYFUNCTION("""COMPUTED_VALUE"""),"Partner")</f>
        <v>Partner</v>
      </c>
    </row>
    <row r="323" spans="1:21" x14ac:dyDescent="0.25">
      <c r="A323" s="2" t="str">
        <f ca="1">IFERROR(__xludf.DUMMYFUNCTION("""COMPUTED_VALUE"""),"APP0322")</f>
        <v>APP0322</v>
      </c>
      <c r="B323" s="2">
        <f ca="1">IFERROR(__xludf.DUMMYFUNCTION("""COMPUTED_VALUE"""),45915.7065162037)</f>
        <v>45915.706516203703</v>
      </c>
      <c r="C323" s="1" t="str">
        <f ca="1">IFERROR(__xludf.DUMMYFUNCTION("""COMPUTED_VALUE"""),"Dương Minh Bình")</f>
        <v>Dương Minh Bình</v>
      </c>
      <c r="D323" s="1" t="str">
        <f ca="1">IFERROR(__xludf.DUMMYFUNCTION("""COMPUTED_VALUE"""),"21/06/1994")</f>
        <v>21/06/1994</v>
      </c>
      <c r="E323" s="1" t="str">
        <f ca="1">IFERROR(__xludf.DUMMYFUNCTION("""COMPUTED_VALUE"""),"Female")</f>
        <v>Female</v>
      </c>
      <c r="F323" s="1" t="str">
        <f ca="1">IFERROR(__xludf.DUMMYFUNCTION("""COMPUTED_VALUE"""),"Vietnam")</f>
        <v>Vietnam</v>
      </c>
      <c r="G323" s="1" t="str">
        <f ca="1">IFERROR(__xludf.DUMMYFUNCTION("""COMPUTED_VALUE"""),"0974316594")</f>
        <v>0974316594</v>
      </c>
      <c r="H323" s="1" t="str">
        <f ca="1">IFERROR(__xludf.DUMMYFUNCTION("""COMPUTED_VALUE"""),"duongminhbinh@gmail.com")</f>
        <v>duongminhbinh@gmail.com</v>
      </c>
      <c r="I323" s="1" t="str">
        <f ca="1">IFERROR(__xludf.DUMMYFUNCTION("""COMPUTED_VALUE"""),"185 Le Loi, Dong Da, Da Nang, Viet Nam")</f>
        <v>185 Le Loi, Dong Da, Da Nang, Viet Nam</v>
      </c>
      <c r="J323" s="1" t="str">
        <f ca="1">IFERROR(__xludf.DUMMYFUNCTION("""COMPUTED_VALUE"""),"034348961936")</f>
        <v>034348961936</v>
      </c>
      <c r="K323" s="3" t="str">
        <f ca="1">IFERROR(__xludf.DUMMYFUNCTION("""COMPUTED_VALUE"""),"https://drive.google.com/open?id=UairRVQN23ULrxKSocj7")</f>
        <v>https://drive.google.com/open?id=UairRVQN23ULrxKSocj7</v>
      </c>
      <c r="L323" s="3" t="str">
        <f ca="1">IFERROR(__xludf.DUMMYFUNCTION("""COMPUTED_VALUE"""),"https://drive.google.com/open?id=DGB2LGT5t6ubbQZwXZDc")</f>
        <v>https://drive.google.com/open?id=DGB2LGT5t6ubbQZwXZDc</v>
      </c>
      <c r="M323" s="1"/>
      <c r="N323" s="1"/>
      <c r="O323" s="1"/>
      <c r="P323" s="1" t="str">
        <f ca="1">IFERROR(__xludf.DUMMYFUNCTION("""COMPUTED_VALUE"""),"Self-employed")</f>
        <v>Self-employed</v>
      </c>
      <c r="Q323" s="1">
        <f ca="1">IFERROR(__xludf.DUMMYFUNCTION("""COMPUTED_VALUE"""),20000000)</f>
        <v>20000000</v>
      </c>
      <c r="R323" s="3" t="str">
        <f ca="1">IFERROR(__xludf.DUMMYFUNCTION("""COMPUTED_VALUE"""),"https://drive.google.com/open?id=ym4WucicdsumjfKyv5hd")</f>
        <v>https://drive.google.com/open?id=ym4WucicdsumjfKyv5hd</v>
      </c>
      <c r="S323" s="1">
        <f ca="1">IFERROR(__xludf.DUMMYFUNCTION("""COMPUTED_VALUE"""),100000000)</f>
        <v>100000000</v>
      </c>
      <c r="T323" s="1" t="str">
        <f ca="1">IFERROR(__xludf.DUMMYFUNCTION("""COMPUTED_VALUE"""),"Platinum")</f>
        <v>Platinum</v>
      </c>
      <c r="U323" s="1" t="str">
        <f ca="1">IFERROR(__xludf.DUMMYFUNCTION("""COMPUTED_VALUE"""),"Partner")</f>
        <v>Partner</v>
      </c>
    </row>
    <row r="324" spans="1:21" x14ac:dyDescent="0.25">
      <c r="A324" s="2" t="str">
        <f ca="1">IFERROR(__xludf.DUMMYFUNCTION("""COMPUTED_VALUE"""),"APP0323")</f>
        <v>APP0323</v>
      </c>
      <c r="B324" s="2">
        <f ca="1">IFERROR(__xludf.DUMMYFUNCTION("""COMPUTED_VALUE"""),45915.7486805555)</f>
        <v>45915.748680555502</v>
      </c>
      <c r="C324" s="1" t="str">
        <f ca="1">IFERROR(__xludf.DUMMYFUNCTION("""COMPUTED_VALUE"""),"Hoàng Anh Lan")</f>
        <v>Hoàng Anh Lan</v>
      </c>
      <c r="D324" s="1" t="str">
        <f ca="1">IFERROR(__xludf.DUMMYFUNCTION("""COMPUTED_VALUE"""),"22/08/1994")</f>
        <v>22/08/1994</v>
      </c>
      <c r="E324" s="1" t="str">
        <f ca="1">IFERROR(__xludf.DUMMYFUNCTION("""COMPUTED_VALUE"""),"Female")</f>
        <v>Female</v>
      </c>
      <c r="F324" s="1" t="str">
        <f ca="1">IFERROR(__xludf.DUMMYFUNCTION("""COMPUTED_VALUE"""),"Vietnam")</f>
        <v>Vietnam</v>
      </c>
      <c r="G324" s="1" t="str">
        <f ca="1">IFERROR(__xludf.DUMMYFUNCTION("""COMPUTED_VALUE"""),"0789226205")</f>
        <v>0789226205</v>
      </c>
      <c r="H324" s="1" t="str">
        <f ca="1">IFERROR(__xludf.DUMMYFUNCTION("""COMPUTED_VALUE"""),"hoanganhlan@gmail.com")</f>
        <v>hoanganhlan@gmail.com</v>
      </c>
      <c r="I324" s="1" t="str">
        <f ca="1">IFERROR(__xludf.DUMMYFUNCTION("""COMPUTED_VALUE"""),"181 Le Loi, Hai Chau, Ha Noi, Viet Nam")</f>
        <v>181 Le Loi, Hai Chau, Ha Noi, Viet Nam</v>
      </c>
      <c r="J324" s="1" t="str">
        <f ca="1">IFERROR(__xludf.DUMMYFUNCTION("""COMPUTED_VALUE"""),"071041521879")</f>
        <v>071041521879</v>
      </c>
      <c r="K324" s="3" t="str">
        <f ca="1">IFERROR(__xludf.DUMMYFUNCTION("""COMPUTED_VALUE"""),"https://drive.google.com/open?id=lB9sSB0Op0rmDXSQLdi4")</f>
        <v>https://drive.google.com/open?id=lB9sSB0Op0rmDXSQLdi4</v>
      </c>
      <c r="L324" s="3" t="str">
        <f ca="1">IFERROR(__xludf.DUMMYFUNCTION("""COMPUTED_VALUE"""),"https://drive.google.com/open?id=hEbVudPAvVt0jWzRemhh")</f>
        <v>https://drive.google.com/open?id=hEbVudPAvVt0jWzRemhh</v>
      </c>
      <c r="M324" s="1"/>
      <c r="N324" s="1"/>
      <c r="O324" s="1"/>
      <c r="P324" s="1" t="str">
        <f ca="1">IFERROR(__xludf.DUMMYFUNCTION("""COMPUTED_VALUE"""),"Full-time")</f>
        <v>Full-time</v>
      </c>
      <c r="Q324" s="1">
        <f ca="1">IFERROR(__xludf.DUMMYFUNCTION("""COMPUTED_VALUE"""),20000000)</f>
        <v>20000000</v>
      </c>
      <c r="R324" s="3" t="str">
        <f ca="1">IFERROR(__xludf.DUMMYFUNCTION("""COMPUTED_VALUE"""),"https://drive.google.com/open?id=anX3OmdmMLi9d3B6z0NE")</f>
        <v>https://drive.google.com/open?id=anX3OmdmMLi9d3B6z0NE</v>
      </c>
      <c r="S324" s="1">
        <f ca="1">IFERROR(__xludf.DUMMYFUNCTION("""COMPUTED_VALUE"""),100000000)</f>
        <v>100000000</v>
      </c>
      <c r="T324" s="1" t="str">
        <f ca="1">IFERROR(__xludf.DUMMYFUNCTION("""COMPUTED_VALUE"""),"Classic")</f>
        <v>Classic</v>
      </c>
      <c r="U324" s="1" t="str">
        <f ca="1">IFERROR(__xludf.DUMMYFUNCTION("""COMPUTED_VALUE"""),"Partner")</f>
        <v>Partner</v>
      </c>
    </row>
    <row r="325" spans="1:21" x14ac:dyDescent="0.25">
      <c r="A325" s="2" t="str">
        <f ca="1">IFERROR(__xludf.DUMMYFUNCTION("""COMPUTED_VALUE"""),"APP0324")</f>
        <v>APP0324</v>
      </c>
      <c r="B325" s="2">
        <f ca="1">IFERROR(__xludf.DUMMYFUNCTION("""COMPUTED_VALUE"""),45915.7494097222)</f>
        <v>45915.749409722201</v>
      </c>
      <c r="C325" s="1" t="str">
        <f ca="1">IFERROR(__xludf.DUMMYFUNCTION("""COMPUTED_VALUE"""),"Phạm Minh Tuấn")</f>
        <v>Phạm Minh Tuấn</v>
      </c>
      <c r="D325" s="1" t="str">
        <f ca="1">IFERROR(__xludf.DUMMYFUNCTION("""COMPUTED_VALUE"""),"23/01/1967")</f>
        <v>23/01/1967</v>
      </c>
      <c r="E325" s="1" t="str">
        <f ca="1">IFERROR(__xludf.DUMMYFUNCTION("""COMPUTED_VALUE"""),"Female")</f>
        <v>Female</v>
      </c>
      <c r="F325" s="1" t="str">
        <f ca="1">IFERROR(__xludf.DUMMYFUNCTION("""COMPUTED_VALUE"""),"Vietnam")</f>
        <v>Vietnam</v>
      </c>
      <c r="G325" s="1" t="str">
        <f ca="1">IFERROR(__xludf.DUMMYFUNCTION("""COMPUTED_VALUE"""),"0766426580")</f>
        <v>0766426580</v>
      </c>
      <c r="H325" s="1" t="str">
        <f ca="1">IFERROR(__xludf.DUMMYFUNCTION("""COMPUTED_VALUE"""),"phamminhtuan@gmail.com")</f>
        <v>phamminhtuan@gmail.com</v>
      </c>
      <c r="I325" s="1" t="str">
        <f ca="1">IFERROR(__xludf.DUMMYFUNCTION("""COMPUTED_VALUE"""),"148 Le Loi, Quan 7, Ha Noi, Viet Nam")</f>
        <v>148 Le Loi, Quan 7, Ha Noi, Viet Nam</v>
      </c>
      <c r="J325" s="1" t="str">
        <f ca="1">IFERROR(__xludf.DUMMYFUNCTION("""COMPUTED_VALUE"""),"019795797167")</f>
        <v>019795797167</v>
      </c>
      <c r="K325" s="3" t="str">
        <f ca="1">IFERROR(__xludf.DUMMYFUNCTION("""COMPUTED_VALUE"""),"https://drive.google.com/open?id=WYPEKU4xm4HXXKW5bwN4")</f>
        <v>https://drive.google.com/open?id=WYPEKU4xm4HXXKW5bwN4</v>
      </c>
      <c r="L325" s="3" t="str">
        <f ca="1">IFERROR(__xludf.DUMMYFUNCTION("""COMPUTED_VALUE"""),"https://drive.google.com/open?id=dhL6CAeuKvOcymvZZJep")</f>
        <v>https://drive.google.com/open?id=dhL6CAeuKvOcymvZZJep</v>
      </c>
      <c r="M325" s="1"/>
      <c r="N325" s="1"/>
      <c r="O325" s="1"/>
      <c r="P325" s="1" t="str">
        <f ca="1">IFERROR(__xludf.DUMMYFUNCTION("""COMPUTED_VALUE"""),"Part-time")</f>
        <v>Part-time</v>
      </c>
      <c r="Q325" s="1">
        <f ca="1">IFERROR(__xludf.DUMMYFUNCTION("""COMPUTED_VALUE"""),12000000)</f>
        <v>12000000</v>
      </c>
      <c r="R325" s="3" t="str">
        <f ca="1">IFERROR(__xludf.DUMMYFUNCTION("""COMPUTED_VALUE"""),"https://drive.google.com/open?id=JXh9w1EjnM21SgqYg4y0")</f>
        <v>https://drive.google.com/open?id=JXh9w1EjnM21SgqYg4y0</v>
      </c>
      <c r="S325" s="1">
        <f ca="1">IFERROR(__xludf.DUMMYFUNCTION("""COMPUTED_VALUE"""),24000000)</f>
        <v>24000000</v>
      </c>
      <c r="T325" s="1" t="str">
        <f ca="1">IFERROR(__xludf.DUMMYFUNCTION("""COMPUTED_VALUE"""),"Classic")</f>
        <v>Classic</v>
      </c>
      <c r="U325" s="1" t="str">
        <f ca="1">IFERROR(__xludf.DUMMYFUNCTION("""COMPUTED_VALUE"""),"Branch")</f>
        <v>Branch</v>
      </c>
    </row>
    <row r="326" spans="1:21" x14ac:dyDescent="0.25">
      <c r="A326" s="2" t="str">
        <f ca="1">IFERROR(__xludf.DUMMYFUNCTION("""COMPUTED_VALUE"""),"APP0325")</f>
        <v>APP0325</v>
      </c>
      <c r="B326" s="2">
        <f ca="1">IFERROR(__xludf.DUMMYFUNCTION("""COMPUTED_VALUE"""),45915.7834953703)</f>
        <v>45915.783495370299</v>
      </c>
      <c r="C326" s="1" t="str">
        <f ca="1">IFERROR(__xludf.DUMMYFUNCTION("""COMPUTED_VALUE"""),"Amanda Richards")</f>
        <v>Amanda Richards</v>
      </c>
      <c r="D326" s="1" t="str">
        <f ca="1">IFERROR(__xludf.DUMMYFUNCTION("""COMPUTED_VALUE"""),"06/08/1969")</f>
        <v>06/08/1969</v>
      </c>
      <c r="E326" s="1" t="str">
        <f ca="1">IFERROR(__xludf.DUMMYFUNCTION("""COMPUTED_VALUE"""),"Female")</f>
        <v>Female</v>
      </c>
      <c r="F326" s="1" t="str">
        <f ca="1">IFERROR(__xludf.DUMMYFUNCTION("""COMPUTED_VALUE"""),"Other")</f>
        <v>Other</v>
      </c>
      <c r="G326" s="1" t="str">
        <f ca="1">IFERROR(__xludf.DUMMYFUNCTION("""COMPUTED_VALUE"""),"+1 1725516389")</f>
        <v>+1 1725516389</v>
      </c>
      <c r="H326" s="1" t="str">
        <f ca="1">IFERROR(__xludf.DUMMYFUNCTION("""COMPUTED_VALUE"""),"amandarichards@gmail.com")</f>
        <v>amandarichards@gmail.com</v>
      </c>
      <c r="I326" s="1" t="str">
        <f ca="1">IFERROR(__xludf.DUMMYFUNCTION("""COMPUTED_VALUE"""),"4723 Tracey Summit Suite 956, New Regina, OH 59212")</f>
        <v>4723 Tracey Summit Suite 956, New Regina, OH 59212</v>
      </c>
      <c r="J326" s="1"/>
      <c r="K326" s="1"/>
      <c r="L326" s="1"/>
      <c r="M326" s="1" t="str">
        <f ca="1">IFERROR(__xludf.DUMMYFUNCTION("""COMPUTED_VALUE"""),"hW682826")</f>
        <v>hW682826</v>
      </c>
      <c r="N326" s="3" t="str">
        <f ca="1">IFERROR(__xludf.DUMMYFUNCTION("""COMPUTED_VALUE"""),"https://drive.google.com/open?id=P4UAvsz2HFI3xCZiPA4o")</f>
        <v>https://drive.google.com/open?id=P4UAvsz2HFI3xCZiPA4o</v>
      </c>
      <c r="O326" s="3" t="str">
        <f ca="1">IFERROR(__xludf.DUMMYFUNCTION("""COMPUTED_VALUE"""),"https://drive.google.com/open?id=1TVCI9ZtiAOzDjDMYxT4")</f>
        <v>https://drive.google.com/open?id=1TVCI9ZtiAOzDjDMYxT4</v>
      </c>
      <c r="P326" s="1" t="str">
        <f ca="1">IFERROR(__xludf.DUMMYFUNCTION("""COMPUTED_VALUE"""),"Freelancer")</f>
        <v>Freelancer</v>
      </c>
      <c r="Q326" s="1">
        <f ca="1">IFERROR(__xludf.DUMMYFUNCTION("""COMPUTED_VALUE"""),8000000)</f>
        <v>8000000</v>
      </c>
      <c r="R326" s="3" t="str">
        <f ca="1">IFERROR(__xludf.DUMMYFUNCTION("""COMPUTED_VALUE"""),"https://drive.google.com/open?id=Z8YJsNQH4DVkRnk6stTp")</f>
        <v>https://drive.google.com/open?id=Z8YJsNQH4DVkRnk6stTp</v>
      </c>
      <c r="S326" s="1">
        <f ca="1">IFERROR(__xludf.DUMMYFUNCTION("""COMPUTED_VALUE"""),24000000)</f>
        <v>24000000</v>
      </c>
      <c r="T326" s="1" t="str">
        <f ca="1">IFERROR(__xludf.DUMMYFUNCTION("""COMPUTED_VALUE"""),"Gold")</f>
        <v>Gold</v>
      </c>
      <c r="U326" s="1" t="str">
        <f ca="1">IFERROR(__xludf.DUMMYFUNCTION("""COMPUTED_VALUE"""),"Partner")</f>
        <v>Partner</v>
      </c>
    </row>
    <row r="327" spans="1:21" x14ac:dyDescent="0.25">
      <c r="A327" s="2" t="str">
        <f ca="1">IFERROR(__xludf.DUMMYFUNCTION("""COMPUTED_VALUE"""),"APP0326")</f>
        <v>APP0326</v>
      </c>
      <c r="B327" s="2">
        <f ca="1">IFERROR(__xludf.DUMMYFUNCTION("""COMPUTED_VALUE"""),45916.0947337962)</f>
        <v>45916.094733796199</v>
      </c>
      <c r="C327" s="1" t="str">
        <f ca="1">IFERROR(__xludf.DUMMYFUNCTION("""COMPUTED_VALUE"""),"Phan Ngọc Tuấn")</f>
        <v>Phan Ngọc Tuấn</v>
      </c>
      <c r="D327" s="1" t="str">
        <f ca="1">IFERROR(__xludf.DUMMYFUNCTION("""COMPUTED_VALUE"""),"15/05/1986")</f>
        <v>15/05/1986</v>
      </c>
      <c r="E327" s="1" t="str">
        <f ca="1">IFERROR(__xludf.DUMMYFUNCTION("""COMPUTED_VALUE"""),"Male")</f>
        <v>Male</v>
      </c>
      <c r="F327" s="1" t="str">
        <f ca="1">IFERROR(__xludf.DUMMYFUNCTION("""COMPUTED_VALUE"""),"Vietnam")</f>
        <v>Vietnam</v>
      </c>
      <c r="G327" s="1" t="str">
        <f ca="1">IFERROR(__xludf.DUMMYFUNCTION("""COMPUTED_VALUE"""),"0860235392")</f>
        <v>0860235392</v>
      </c>
      <c r="H327" s="1" t="str">
        <f ca="1">IFERROR(__xludf.DUMMYFUNCTION("""COMPUTED_VALUE"""),"phanngoctuan@gmail.com")</f>
        <v>phanngoctuan@gmail.com</v>
      </c>
      <c r="I327" s="1" t="str">
        <f ca="1">IFERROR(__xludf.DUMMYFUNCTION("""COMPUTED_VALUE"""),"200 Pham Van Dong, Quan 3, Hai Phong, Viet Nam")</f>
        <v>200 Pham Van Dong, Quan 3, Hai Phong, Viet Nam</v>
      </c>
      <c r="J327" s="1" t="str">
        <f ca="1">IFERROR(__xludf.DUMMYFUNCTION("""COMPUTED_VALUE"""),"046788191116")</f>
        <v>046788191116</v>
      </c>
      <c r="K327" s="3" t="str">
        <f ca="1">IFERROR(__xludf.DUMMYFUNCTION("""COMPUTED_VALUE"""),"https://drive.google.com/open?id=kcbXKTbpliikDLqgnUvq")</f>
        <v>https://drive.google.com/open?id=kcbXKTbpliikDLqgnUvq</v>
      </c>
      <c r="L327" s="3" t="str">
        <f ca="1">IFERROR(__xludf.DUMMYFUNCTION("""COMPUTED_VALUE"""),"https://drive.google.com/open?id=YYKOiuZOqXA2fjuLIt9m")</f>
        <v>https://drive.google.com/open?id=YYKOiuZOqXA2fjuLIt9m</v>
      </c>
      <c r="M327" s="1"/>
      <c r="N327" s="1"/>
      <c r="O327" s="1"/>
      <c r="P327" s="1" t="str">
        <f ca="1">IFERROR(__xludf.DUMMYFUNCTION("""COMPUTED_VALUE"""),"Full-time")</f>
        <v>Full-time</v>
      </c>
      <c r="Q327" s="1">
        <f ca="1">IFERROR(__xludf.DUMMYFUNCTION("""COMPUTED_VALUE"""),20000000)</f>
        <v>20000000</v>
      </c>
      <c r="R327" s="3" t="str">
        <f ca="1">IFERROR(__xludf.DUMMYFUNCTION("""COMPUTED_VALUE"""),"https://drive.google.com/open?id=cWMVPKwhYu1exHlJBcXa")</f>
        <v>https://drive.google.com/open?id=cWMVPKwhYu1exHlJBcXa</v>
      </c>
      <c r="S327" s="1">
        <f ca="1">IFERROR(__xludf.DUMMYFUNCTION("""COMPUTED_VALUE"""),60000000)</f>
        <v>60000000</v>
      </c>
      <c r="T327" s="1" t="str">
        <f ca="1">IFERROR(__xludf.DUMMYFUNCTION("""COMPUTED_VALUE"""),"Gold")</f>
        <v>Gold</v>
      </c>
      <c r="U327" s="1" t="str">
        <f ca="1">IFERROR(__xludf.DUMMYFUNCTION("""COMPUTED_VALUE"""),"Online")</f>
        <v>Online</v>
      </c>
    </row>
    <row r="328" spans="1:21" x14ac:dyDescent="0.25">
      <c r="A328" s="2" t="str">
        <f ca="1">IFERROR(__xludf.DUMMYFUNCTION("""COMPUTED_VALUE"""),"APP0327")</f>
        <v>APP0327</v>
      </c>
      <c r="B328" s="2">
        <f ca="1">IFERROR(__xludf.DUMMYFUNCTION("""COMPUTED_VALUE"""),45916.1135185185)</f>
        <v>45916.113518518498</v>
      </c>
      <c r="C328" s="1" t="str">
        <f ca="1">IFERROR(__xludf.DUMMYFUNCTION("""COMPUTED_VALUE"""),"Ngô Thị Châu")</f>
        <v>Ngô Thị Châu</v>
      </c>
      <c r="D328" s="1" t="str">
        <f ca="1">IFERROR(__xludf.DUMMYFUNCTION("""COMPUTED_VALUE"""),"03/04/1997")</f>
        <v>03/04/1997</v>
      </c>
      <c r="E328" s="1" t="str">
        <f ca="1">IFERROR(__xludf.DUMMYFUNCTION("""COMPUTED_VALUE"""),"Female")</f>
        <v>Female</v>
      </c>
      <c r="F328" s="1" t="str">
        <f ca="1">IFERROR(__xludf.DUMMYFUNCTION("""COMPUTED_VALUE"""),"Vietnam")</f>
        <v>Vietnam</v>
      </c>
      <c r="G328" s="1" t="str">
        <f ca="1">IFERROR(__xludf.DUMMYFUNCTION("""COMPUTED_VALUE"""),"0954901964")</f>
        <v>0954901964</v>
      </c>
      <c r="H328" s="1" t="str">
        <f ca="1">IFERROR(__xludf.DUMMYFUNCTION("""COMPUTED_VALUE"""),"ngothichau@gmail.com")</f>
        <v>ngothichau@gmail.com</v>
      </c>
      <c r="I328" s="1" t="str">
        <f ca="1">IFERROR(__xludf.DUMMYFUNCTION("""COMPUTED_VALUE"""),"10 Le Loi, Quan 7, TP Ho Chi Minh, Viet Nam")</f>
        <v>10 Le Loi, Quan 7, TP Ho Chi Minh, Viet Nam</v>
      </c>
      <c r="J328" s="1" t="str">
        <f ca="1">IFERROR(__xludf.DUMMYFUNCTION("""COMPUTED_VALUE"""),"011558024315")</f>
        <v>011558024315</v>
      </c>
      <c r="K328" s="3" t="str">
        <f ca="1">IFERROR(__xludf.DUMMYFUNCTION("""COMPUTED_VALUE"""),"https://drive.google.com/open?id=CJJQJQx1tO0qL2yWSlhj")</f>
        <v>https://drive.google.com/open?id=CJJQJQx1tO0qL2yWSlhj</v>
      </c>
      <c r="L328" s="3" t="str">
        <f ca="1">IFERROR(__xludf.DUMMYFUNCTION("""COMPUTED_VALUE"""),"https://drive.google.com/open?id=f4gI4WWOQYBTC1MuAOPv")</f>
        <v>https://drive.google.com/open?id=f4gI4WWOQYBTC1MuAOPv</v>
      </c>
      <c r="M328" s="1"/>
      <c r="N328" s="1"/>
      <c r="O328" s="1"/>
      <c r="P328" s="1" t="str">
        <f ca="1">IFERROR(__xludf.DUMMYFUNCTION("""COMPUTED_VALUE"""),"Self-employed")</f>
        <v>Self-employed</v>
      </c>
      <c r="Q328" s="1">
        <f ca="1">IFERROR(__xludf.DUMMYFUNCTION("""COMPUTED_VALUE"""),50000000)</f>
        <v>50000000</v>
      </c>
      <c r="R328" s="3" t="str">
        <f ca="1">IFERROR(__xludf.DUMMYFUNCTION("""COMPUTED_VALUE"""),"https://drive.google.com/open?id=yjFKcxyVQ2uIcywvraG2")</f>
        <v>https://drive.google.com/open?id=yjFKcxyVQ2uIcywvraG2</v>
      </c>
      <c r="S328" s="1">
        <f ca="1">IFERROR(__xludf.DUMMYFUNCTION("""COMPUTED_VALUE"""),100000000)</f>
        <v>100000000</v>
      </c>
      <c r="T328" s="1" t="str">
        <f ca="1">IFERROR(__xludf.DUMMYFUNCTION("""COMPUTED_VALUE"""),"Gold")</f>
        <v>Gold</v>
      </c>
      <c r="U328" s="1" t="str">
        <f ca="1">IFERROR(__xludf.DUMMYFUNCTION("""COMPUTED_VALUE"""),"Partner")</f>
        <v>Partner</v>
      </c>
    </row>
    <row r="329" spans="1:21" x14ac:dyDescent="0.25">
      <c r="A329" s="2" t="str">
        <f ca="1">IFERROR(__xludf.DUMMYFUNCTION("""COMPUTED_VALUE"""),"APP0328")</f>
        <v>APP0328</v>
      </c>
      <c r="B329" s="2">
        <f ca="1">IFERROR(__xludf.DUMMYFUNCTION("""COMPUTED_VALUE"""),45916.1205787037)</f>
        <v>45916.120578703703</v>
      </c>
      <c r="C329" s="1" t="str">
        <f ca="1">IFERROR(__xludf.DUMMYFUNCTION("""COMPUTED_VALUE"""),"Nguyễn Đức Hùng")</f>
        <v>Nguyễn Đức Hùng</v>
      </c>
      <c r="D329" s="1" t="str">
        <f ca="1">IFERROR(__xludf.DUMMYFUNCTION("""COMPUTED_VALUE"""),"25/03/1972")</f>
        <v>25/03/1972</v>
      </c>
      <c r="E329" s="1" t="str">
        <f ca="1">IFERROR(__xludf.DUMMYFUNCTION("""COMPUTED_VALUE"""),"Male")</f>
        <v>Male</v>
      </c>
      <c r="F329" s="1" t="str">
        <f ca="1">IFERROR(__xludf.DUMMYFUNCTION("""COMPUTED_VALUE"""),"Vietnam")</f>
        <v>Vietnam</v>
      </c>
      <c r="G329" s="1" t="str">
        <f ca="1">IFERROR(__xludf.DUMMYFUNCTION("""COMPUTED_VALUE"""),"0919550384")</f>
        <v>0919550384</v>
      </c>
      <c r="H329" s="1" t="str">
        <f ca="1">IFERROR(__xludf.DUMMYFUNCTION("""COMPUTED_VALUE"""),"nguyenduchung@gmail.com")</f>
        <v>nguyenduchung@gmail.com</v>
      </c>
      <c r="I329" s="1" t="str">
        <f ca="1">IFERROR(__xludf.DUMMYFUNCTION("""COMPUTED_VALUE"""),"150 Nguyen Trai, Quan 1, Da Nang, Viet Nam")</f>
        <v>150 Nguyen Trai, Quan 1, Da Nang, Viet Nam</v>
      </c>
      <c r="J329" s="1" t="str">
        <f ca="1">IFERROR(__xludf.DUMMYFUNCTION("""COMPUTED_VALUE"""),"041395220335")</f>
        <v>041395220335</v>
      </c>
      <c r="K329" s="3" t="str">
        <f ca="1">IFERROR(__xludf.DUMMYFUNCTION("""COMPUTED_VALUE"""),"https://drive.google.com/open?id=WmJm73uxvrKnL2CTaXEu")</f>
        <v>https://drive.google.com/open?id=WmJm73uxvrKnL2CTaXEu</v>
      </c>
      <c r="L329" s="3" t="str">
        <f ca="1">IFERROR(__xludf.DUMMYFUNCTION("""COMPUTED_VALUE"""),"https://drive.google.com/open?id=H1sqEkI89D8uVEtOKiFG")</f>
        <v>https://drive.google.com/open?id=H1sqEkI89D8uVEtOKiFG</v>
      </c>
      <c r="M329" s="1"/>
      <c r="N329" s="1"/>
      <c r="O329" s="1"/>
      <c r="P329" s="1" t="str">
        <f ca="1">IFERROR(__xludf.DUMMYFUNCTION("""COMPUTED_VALUE"""),"Self-employed")</f>
        <v>Self-employed</v>
      </c>
      <c r="Q329" s="1">
        <f ca="1">IFERROR(__xludf.DUMMYFUNCTION("""COMPUTED_VALUE"""),12000000)</f>
        <v>12000000</v>
      </c>
      <c r="R329" s="3" t="str">
        <f ca="1">IFERROR(__xludf.DUMMYFUNCTION("""COMPUTED_VALUE"""),"https://drive.google.com/open?id=76HjbVx139qDkRwHHorE")</f>
        <v>https://drive.google.com/open?id=76HjbVx139qDkRwHHorE</v>
      </c>
      <c r="S329" s="1">
        <f ca="1">IFERROR(__xludf.DUMMYFUNCTION("""COMPUTED_VALUE"""),24000000)</f>
        <v>24000000</v>
      </c>
      <c r="T329" s="1" t="str">
        <f ca="1">IFERROR(__xludf.DUMMYFUNCTION("""COMPUTED_VALUE"""),"Classic")</f>
        <v>Classic</v>
      </c>
      <c r="U329" s="1" t="str">
        <f ca="1">IFERROR(__xludf.DUMMYFUNCTION("""COMPUTED_VALUE"""),"Branch")</f>
        <v>Branch</v>
      </c>
    </row>
    <row r="330" spans="1:21" x14ac:dyDescent="0.25">
      <c r="A330" s="2" t="str">
        <f ca="1">IFERROR(__xludf.DUMMYFUNCTION("""COMPUTED_VALUE"""),"APP0329")</f>
        <v>APP0329</v>
      </c>
      <c r="B330" s="2">
        <f ca="1">IFERROR(__xludf.DUMMYFUNCTION("""COMPUTED_VALUE"""),45916.1823148148)</f>
        <v>45916.182314814803</v>
      </c>
      <c r="C330" s="1" t="str">
        <f ca="1">IFERROR(__xludf.DUMMYFUNCTION("""COMPUTED_VALUE"""),"Lê Thanh Quân")</f>
        <v>Lê Thanh Quân</v>
      </c>
      <c r="D330" s="1" t="str">
        <f ca="1">IFERROR(__xludf.DUMMYFUNCTION("""COMPUTED_VALUE"""),"22/01/1973")</f>
        <v>22/01/1973</v>
      </c>
      <c r="E330" s="1" t="str">
        <f ca="1">IFERROR(__xludf.DUMMYFUNCTION("""COMPUTED_VALUE"""),"Male")</f>
        <v>Male</v>
      </c>
      <c r="F330" s="1" t="str">
        <f ca="1">IFERROR(__xludf.DUMMYFUNCTION("""COMPUTED_VALUE"""),"Vietnam")</f>
        <v>Vietnam</v>
      </c>
      <c r="G330" s="1" t="str">
        <f ca="1">IFERROR(__xludf.DUMMYFUNCTION("""COMPUTED_VALUE"""),"0722710924")</f>
        <v>0722710924</v>
      </c>
      <c r="H330" s="1" t="str">
        <f ca="1">IFERROR(__xludf.DUMMYFUNCTION("""COMPUTED_VALUE"""),"lethanhquan@gmail.com")</f>
        <v>lethanhquan@gmail.com</v>
      </c>
      <c r="I330" s="1" t="str">
        <f ca="1">IFERROR(__xludf.DUMMYFUNCTION("""COMPUTED_VALUE"""),"23 Nguyen Trai, Quan 3, Da Nang, Viet Nam")</f>
        <v>23 Nguyen Trai, Quan 3, Da Nang, Viet Nam</v>
      </c>
      <c r="J330" s="1" t="str">
        <f ca="1">IFERROR(__xludf.DUMMYFUNCTION("""COMPUTED_VALUE"""),"037672363410")</f>
        <v>037672363410</v>
      </c>
      <c r="K330" s="3" t="str">
        <f ca="1">IFERROR(__xludf.DUMMYFUNCTION("""COMPUTED_VALUE"""),"https://drive.google.com/open?id=ywxWK0O8Qbvyw6ys42MB")</f>
        <v>https://drive.google.com/open?id=ywxWK0O8Qbvyw6ys42MB</v>
      </c>
      <c r="L330" s="3" t="str">
        <f ca="1">IFERROR(__xludf.DUMMYFUNCTION("""COMPUTED_VALUE"""),"https://drive.google.com/open?id=9X8bMKtdktylra8GtWoQ")</f>
        <v>https://drive.google.com/open?id=9X8bMKtdktylra8GtWoQ</v>
      </c>
      <c r="M330" s="1"/>
      <c r="N330" s="1"/>
      <c r="O330" s="1"/>
      <c r="P330" s="1" t="str">
        <f ca="1">IFERROR(__xludf.DUMMYFUNCTION("""COMPUTED_VALUE"""),"Self-employed")</f>
        <v>Self-employed</v>
      </c>
      <c r="Q330" s="1">
        <f ca="1">IFERROR(__xludf.DUMMYFUNCTION("""COMPUTED_VALUE"""),50000000)</f>
        <v>50000000</v>
      </c>
      <c r="R330" s="3" t="str">
        <f ca="1">IFERROR(__xludf.DUMMYFUNCTION("""COMPUTED_VALUE"""),"https://drive.google.com/open?id=O8KnIHHWGESXUGKE6dkq")</f>
        <v>https://drive.google.com/open?id=O8KnIHHWGESXUGKE6dkq</v>
      </c>
      <c r="S330" s="1">
        <f ca="1">IFERROR(__xludf.DUMMYFUNCTION("""COMPUTED_VALUE"""),150000000)</f>
        <v>150000000</v>
      </c>
      <c r="T330" s="1" t="str">
        <f ca="1">IFERROR(__xludf.DUMMYFUNCTION("""COMPUTED_VALUE"""),"Gold")</f>
        <v>Gold</v>
      </c>
      <c r="U330" s="1" t="str">
        <f ca="1">IFERROR(__xludf.DUMMYFUNCTION("""COMPUTED_VALUE"""),"Branch")</f>
        <v>Branch</v>
      </c>
    </row>
    <row r="331" spans="1:21" x14ac:dyDescent="0.25">
      <c r="A331" s="2" t="str">
        <f ca="1">IFERROR(__xludf.DUMMYFUNCTION("""COMPUTED_VALUE"""),"APP0330")</f>
        <v>APP0330</v>
      </c>
      <c r="B331" s="2">
        <f ca="1">IFERROR(__xludf.DUMMYFUNCTION("""COMPUTED_VALUE"""),45916.1839351851)</f>
        <v>45916.183935185101</v>
      </c>
      <c r="C331" s="1" t="str">
        <f ca="1">IFERROR(__xludf.DUMMYFUNCTION("""COMPUTED_VALUE"""),"Huỳnh Văn Vy")</f>
        <v>Huỳnh Văn Vy</v>
      </c>
      <c r="D331" s="1" t="str">
        <f ca="1">IFERROR(__xludf.DUMMYFUNCTION("""COMPUTED_VALUE"""),"18/12/1967")</f>
        <v>18/12/1967</v>
      </c>
      <c r="E331" s="1" t="str">
        <f ca="1">IFERROR(__xludf.DUMMYFUNCTION("""COMPUTED_VALUE"""),"Male")</f>
        <v>Male</v>
      </c>
      <c r="F331" s="1" t="str">
        <f ca="1">IFERROR(__xludf.DUMMYFUNCTION("""COMPUTED_VALUE"""),"Vietnam")</f>
        <v>Vietnam</v>
      </c>
      <c r="G331" s="1" t="str">
        <f ca="1">IFERROR(__xludf.DUMMYFUNCTION("""COMPUTED_VALUE"""),"0940117531")</f>
        <v>0940117531</v>
      </c>
      <c r="H331" s="1" t="str">
        <f ca="1">IFERROR(__xludf.DUMMYFUNCTION("""COMPUTED_VALUE"""),"huynhvanvy@gmail.com")</f>
        <v>huynhvanvy@gmail.com</v>
      </c>
      <c r="I331" s="1" t="str">
        <f ca="1">IFERROR(__xludf.DUMMYFUNCTION("""COMPUTED_VALUE"""),"92 Pham Van Dong, Quan 7, Can Tho, Viet Nam")</f>
        <v>92 Pham Van Dong, Quan 7, Can Tho, Viet Nam</v>
      </c>
      <c r="J331" s="1" t="str">
        <f ca="1">IFERROR(__xludf.DUMMYFUNCTION("""COMPUTED_VALUE"""),"076413761657")</f>
        <v>076413761657</v>
      </c>
      <c r="K331" s="3" t="str">
        <f ca="1">IFERROR(__xludf.DUMMYFUNCTION("""COMPUTED_VALUE"""),"https://drive.google.com/open?id=ciJQaemQMhybA5fYEse2")</f>
        <v>https://drive.google.com/open?id=ciJQaemQMhybA5fYEse2</v>
      </c>
      <c r="L331" s="3" t="str">
        <f ca="1">IFERROR(__xludf.DUMMYFUNCTION("""COMPUTED_VALUE"""),"https://drive.google.com/open?id=RyC8vIPJwsXEn8eyl67y")</f>
        <v>https://drive.google.com/open?id=RyC8vIPJwsXEn8eyl67y</v>
      </c>
      <c r="M331" s="1"/>
      <c r="N331" s="1"/>
      <c r="O331" s="1"/>
      <c r="P331" s="1" t="str">
        <f ca="1">IFERROR(__xludf.DUMMYFUNCTION("""COMPUTED_VALUE"""),"Freelancer")</f>
        <v>Freelancer</v>
      </c>
      <c r="Q331" s="1">
        <f ca="1">IFERROR(__xludf.DUMMYFUNCTION("""COMPUTED_VALUE"""),20000000)</f>
        <v>20000000</v>
      </c>
      <c r="R331" s="3" t="str">
        <f ca="1">IFERROR(__xludf.DUMMYFUNCTION("""COMPUTED_VALUE"""),"https://drive.google.com/open?id=rJMGOpjH1aIySPbMXq8K")</f>
        <v>https://drive.google.com/open?id=rJMGOpjH1aIySPbMXq8K</v>
      </c>
      <c r="S331" s="1">
        <f ca="1">IFERROR(__xludf.DUMMYFUNCTION("""COMPUTED_VALUE"""),60000000)</f>
        <v>60000000</v>
      </c>
      <c r="T331" s="1" t="str">
        <f ca="1">IFERROR(__xludf.DUMMYFUNCTION("""COMPUTED_VALUE"""),"Platinum")</f>
        <v>Platinum</v>
      </c>
      <c r="U331" s="1" t="str">
        <f ca="1">IFERROR(__xludf.DUMMYFUNCTION("""COMPUTED_VALUE"""),"Partner")</f>
        <v>Partner</v>
      </c>
    </row>
    <row r="332" spans="1:21" x14ac:dyDescent="0.25">
      <c r="A332" s="2" t="str">
        <f ca="1">IFERROR(__xludf.DUMMYFUNCTION("""COMPUTED_VALUE"""),"APP0331")</f>
        <v>APP0331</v>
      </c>
      <c r="B332" s="2">
        <f ca="1">IFERROR(__xludf.DUMMYFUNCTION("""COMPUTED_VALUE"""),45916.2437847222)</f>
        <v>45916.243784722203</v>
      </c>
      <c r="C332" s="1" t="str">
        <f ca="1">IFERROR(__xludf.DUMMYFUNCTION("""COMPUTED_VALUE"""),"Hồ Anh Dũng")</f>
        <v>Hồ Anh Dũng</v>
      </c>
      <c r="D332" s="1" t="str">
        <f ca="1">IFERROR(__xludf.DUMMYFUNCTION("""COMPUTED_VALUE"""),"01/07/1975")</f>
        <v>01/07/1975</v>
      </c>
      <c r="E332" s="1" t="str">
        <f ca="1">IFERROR(__xludf.DUMMYFUNCTION("""COMPUTED_VALUE"""),"Male")</f>
        <v>Male</v>
      </c>
      <c r="F332" s="1" t="str">
        <f ca="1">IFERROR(__xludf.DUMMYFUNCTION("""COMPUTED_VALUE"""),"Vietnam")</f>
        <v>Vietnam</v>
      </c>
      <c r="G332" s="1" t="str">
        <f ca="1">IFERROR(__xludf.DUMMYFUNCTION("""COMPUTED_VALUE"""),"0838135415")</f>
        <v>0838135415</v>
      </c>
      <c r="H332" s="1" t="str">
        <f ca="1">IFERROR(__xludf.DUMMYFUNCTION("""COMPUTED_VALUE"""),"hoanhdung@gmail.com")</f>
        <v>hoanhdung@gmail.com</v>
      </c>
      <c r="I332" s="1" t="str">
        <f ca="1">IFERROR(__xludf.DUMMYFUNCTION("""COMPUTED_VALUE"""),"177 Nguyen Trai, Dong Da, Ha Noi, Viet Nam")</f>
        <v>177 Nguyen Trai, Dong Da, Ha Noi, Viet Nam</v>
      </c>
      <c r="J332" s="1" t="str">
        <f ca="1">IFERROR(__xludf.DUMMYFUNCTION("""COMPUTED_VALUE"""),"068849026540")</f>
        <v>068849026540</v>
      </c>
      <c r="K332" s="3" t="str">
        <f ca="1">IFERROR(__xludf.DUMMYFUNCTION("""COMPUTED_VALUE"""),"https://drive.google.com/open?id=fj8qreFlYaYPHNT0FM9D")</f>
        <v>https://drive.google.com/open?id=fj8qreFlYaYPHNT0FM9D</v>
      </c>
      <c r="L332" s="3" t="str">
        <f ca="1">IFERROR(__xludf.DUMMYFUNCTION("""COMPUTED_VALUE"""),"https://drive.google.com/open?id=nL6C5bjgsdH1kJHWr9GM")</f>
        <v>https://drive.google.com/open?id=nL6C5bjgsdH1kJHWr9GM</v>
      </c>
      <c r="M332" s="1"/>
      <c r="N332" s="1"/>
      <c r="O332" s="1"/>
      <c r="P332" s="1" t="str">
        <f ca="1">IFERROR(__xludf.DUMMYFUNCTION("""COMPUTED_VALUE"""),"Full-time")</f>
        <v>Full-time</v>
      </c>
      <c r="Q332" s="1">
        <f ca="1">IFERROR(__xludf.DUMMYFUNCTION("""COMPUTED_VALUE"""),20000000)</f>
        <v>20000000</v>
      </c>
      <c r="R332" s="3" t="str">
        <f ca="1">IFERROR(__xludf.DUMMYFUNCTION("""COMPUTED_VALUE"""),"https://drive.google.com/open?id=Ql7879Bfh8FGyuw8f12H")</f>
        <v>https://drive.google.com/open?id=Ql7879Bfh8FGyuw8f12H</v>
      </c>
      <c r="S332" s="1">
        <f ca="1">IFERROR(__xludf.DUMMYFUNCTION("""COMPUTED_VALUE"""),60000000)</f>
        <v>60000000</v>
      </c>
      <c r="T332" s="1" t="str">
        <f ca="1">IFERROR(__xludf.DUMMYFUNCTION("""COMPUTED_VALUE"""),"Gold")</f>
        <v>Gold</v>
      </c>
      <c r="U332" s="1" t="str">
        <f ca="1">IFERROR(__xludf.DUMMYFUNCTION("""COMPUTED_VALUE"""),"Online")</f>
        <v>Online</v>
      </c>
    </row>
    <row r="333" spans="1:21" x14ac:dyDescent="0.25">
      <c r="A333" s="2" t="str">
        <f ca="1">IFERROR(__xludf.DUMMYFUNCTION("""COMPUTED_VALUE"""),"APP0332")</f>
        <v>APP0332</v>
      </c>
      <c r="B333" s="2">
        <f ca="1">IFERROR(__xludf.DUMMYFUNCTION("""COMPUTED_VALUE"""),45916.3527893518)</f>
        <v>45916.352789351797</v>
      </c>
      <c r="C333" s="1" t="str">
        <f ca="1">IFERROR(__xludf.DUMMYFUNCTION("""COMPUTED_VALUE"""),"Võ Minh Yến")</f>
        <v>Võ Minh Yến</v>
      </c>
      <c r="D333" s="1" t="str">
        <f ca="1">IFERROR(__xludf.DUMMYFUNCTION("""COMPUTED_VALUE"""),"03/03/1993")</f>
        <v>03/03/1993</v>
      </c>
      <c r="E333" s="1" t="str">
        <f ca="1">IFERROR(__xludf.DUMMYFUNCTION("""COMPUTED_VALUE"""),"Female")</f>
        <v>Female</v>
      </c>
      <c r="F333" s="1" t="str">
        <f ca="1">IFERROR(__xludf.DUMMYFUNCTION("""COMPUTED_VALUE"""),"Vietnam")</f>
        <v>Vietnam</v>
      </c>
      <c r="G333" s="1" t="str">
        <f ca="1">IFERROR(__xludf.DUMMYFUNCTION("""COMPUTED_VALUE"""),"0966848825")</f>
        <v>0966848825</v>
      </c>
      <c r="H333" s="1" t="str">
        <f ca="1">IFERROR(__xludf.DUMMYFUNCTION("""COMPUTED_VALUE"""),"vominhyen@gmail.com")</f>
        <v>vominhyen@gmail.com</v>
      </c>
      <c r="I333" s="1" t="str">
        <f ca="1">IFERROR(__xludf.DUMMYFUNCTION("""COMPUTED_VALUE"""),"36 Nguyen Trai, Quan 7, TP Ho Chi Minh, Viet Nam")</f>
        <v>36 Nguyen Trai, Quan 7, TP Ho Chi Minh, Viet Nam</v>
      </c>
      <c r="J333" s="1" t="str">
        <f ca="1">IFERROR(__xludf.DUMMYFUNCTION("""COMPUTED_VALUE"""),"036585910737")</f>
        <v>036585910737</v>
      </c>
      <c r="K333" s="3" t="str">
        <f ca="1">IFERROR(__xludf.DUMMYFUNCTION("""COMPUTED_VALUE"""),"https://drive.google.com/open?id=s9gL6frsAugNLslRpUmM")</f>
        <v>https://drive.google.com/open?id=s9gL6frsAugNLslRpUmM</v>
      </c>
      <c r="L333" s="3" t="str">
        <f ca="1">IFERROR(__xludf.DUMMYFUNCTION("""COMPUTED_VALUE"""),"https://drive.google.com/open?id=hNbsUcGLFpyRHeihQiQG")</f>
        <v>https://drive.google.com/open?id=hNbsUcGLFpyRHeihQiQG</v>
      </c>
      <c r="M333" s="1"/>
      <c r="N333" s="1"/>
      <c r="O333" s="1"/>
      <c r="P333" s="1" t="str">
        <f ca="1">IFERROR(__xludf.DUMMYFUNCTION("""COMPUTED_VALUE"""),"Part-time")</f>
        <v>Part-time</v>
      </c>
      <c r="Q333" s="1">
        <f ca="1">IFERROR(__xludf.DUMMYFUNCTION("""COMPUTED_VALUE"""),5000000)</f>
        <v>5000000</v>
      </c>
      <c r="R333" s="3" t="str">
        <f ca="1">IFERROR(__xludf.DUMMYFUNCTION("""COMPUTED_VALUE"""),"https://drive.google.com/open?id=hE9TNrsS7RtiEcrHm3B3")</f>
        <v>https://drive.google.com/open?id=hE9TNrsS7RtiEcrHm3B3</v>
      </c>
      <c r="S333" s="1">
        <f ca="1">IFERROR(__xludf.DUMMYFUNCTION("""COMPUTED_VALUE"""),10000000)</f>
        <v>10000000</v>
      </c>
      <c r="T333" s="1" t="str">
        <f ca="1">IFERROR(__xludf.DUMMYFUNCTION("""COMPUTED_VALUE"""),"Classic")</f>
        <v>Classic</v>
      </c>
      <c r="U333" s="1" t="str">
        <f ca="1">IFERROR(__xludf.DUMMYFUNCTION("""COMPUTED_VALUE"""),"Partner")</f>
        <v>Partner</v>
      </c>
    </row>
    <row r="334" spans="1:21" x14ac:dyDescent="0.25">
      <c r="A334" s="2" t="str">
        <f ca="1">IFERROR(__xludf.DUMMYFUNCTION("""COMPUTED_VALUE"""),"APP0333")</f>
        <v>APP0333</v>
      </c>
      <c r="B334" s="2">
        <f ca="1">IFERROR(__xludf.DUMMYFUNCTION("""COMPUTED_VALUE"""),45916.5299189814)</f>
        <v>45916.529918981403</v>
      </c>
      <c r="C334" s="1" t="str">
        <f ca="1">IFERROR(__xludf.DUMMYFUNCTION("""COMPUTED_VALUE"""),"Bùi Đức Bình")</f>
        <v>Bùi Đức Bình</v>
      </c>
      <c r="D334" s="1" t="str">
        <f ca="1">IFERROR(__xludf.DUMMYFUNCTION("""COMPUTED_VALUE"""),"27/02/1989")</f>
        <v>27/02/1989</v>
      </c>
      <c r="E334" s="1" t="str">
        <f ca="1">IFERROR(__xludf.DUMMYFUNCTION("""COMPUTED_VALUE"""),"Female")</f>
        <v>Female</v>
      </c>
      <c r="F334" s="1" t="str">
        <f ca="1">IFERROR(__xludf.DUMMYFUNCTION("""COMPUTED_VALUE"""),"Vietnam")</f>
        <v>Vietnam</v>
      </c>
      <c r="G334" s="1" t="str">
        <f ca="1">IFERROR(__xludf.DUMMYFUNCTION("""COMPUTED_VALUE"""),"0817403068")</f>
        <v>0817403068</v>
      </c>
      <c r="H334" s="1" t="str">
        <f ca="1">IFERROR(__xludf.DUMMYFUNCTION("""COMPUTED_VALUE"""),"buiducbinh@gmail.com")</f>
        <v>buiducbinh@gmail.com</v>
      </c>
      <c r="I334" s="1" t="str">
        <f ca="1">IFERROR(__xludf.DUMMYFUNCTION("""COMPUTED_VALUE"""),"67 Pham Van Dong, Quan 3, Hai Phong, Viet Nam")</f>
        <v>67 Pham Van Dong, Quan 3, Hai Phong, Viet Nam</v>
      </c>
      <c r="J334" s="1" t="str">
        <f ca="1">IFERROR(__xludf.DUMMYFUNCTION("""COMPUTED_VALUE"""),"087699473422")</f>
        <v>087699473422</v>
      </c>
      <c r="K334" s="3" t="str">
        <f ca="1">IFERROR(__xludf.DUMMYFUNCTION("""COMPUTED_VALUE"""),"https://drive.google.com/open?id=ZOmg0TEyaHR7IiQt1vwn")</f>
        <v>https://drive.google.com/open?id=ZOmg0TEyaHR7IiQt1vwn</v>
      </c>
      <c r="L334" s="3" t="str">
        <f ca="1">IFERROR(__xludf.DUMMYFUNCTION("""COMPUTED_VALUE"""),"https://drive.google.com/open?id=laTeIl3v1OVZZ62FgrPC")</f>
        <v>https://drive.google.com/open?id=laTeIl3v1OVZZ62FgrPC</v>
      </c>
      <c r="M334" s="1"/>
      <c r="N334" s="1"/>
      <c r="O334" s="1"/>
      <c r="P334" s="1" t="str">
        <f ca="1">IFERROR(__xludf.DUMMYFUNCTION("""COMPUTED_VALUE"""),"Contract")</f>
        <v>Contract</v>
      </c>
      <c r="Q334" s="1">
        <f ca="1">IFERROR(__xludf.DUMMYFUNCTION("""COMPUTED_VALUE"""),50000000)</f>
        <v>50000000</v>
      </c>
      <c r="R334" s="3" t="str">
        <f ca="1">IFERROR(__xludf.DUMMYFUNCTION("""COMPUTED_VALUE"""),"https://drive.google.com/open?id=6Vj17f9RAj7Gil2EGOLj")</f>
        <v>https://drive.google.com/open?id=6Vj17f9RAj7Gil2EGOLj</v>
      </c>
      <c r="S334" s="1">
        <f ca="1">IFERROR(__xludf.DUMMYFUNCTION("""COMPUTED_VALUE"""),150000000)</f>
        <v>150000000</v>
      </c>
      <c r="T334" s="1" t="str">
        <f ca="1">IFERROR(__xludf.DUMMYFUNCTION("""COMPUTED_VALUE"""),"Platinum")</f>
        <v>Platinum</v>
      </c>
      <c r="U334" s="1" t="str">
        <f ca="1">IFERROR(__xludf.DUMMYFUNCTION("""COMPUTED_VALUE"""),"Online")</f>
        <v>Online</v>
      </c>
    </row>
    <row r="335" spans="1:21" x14ac:dyDescent="0.25">
      <c r="A335" s="2" t="str">
        <f ca="1">IFERROR(__xludf.DUMMYFUNCTION("""COMPUTED_VALUE"""),"APP0334")</f>
        <v>APP0334</v>
      </c>
      <c r="B335" s="2">
        <f ca="1">IFERROR(__xludf.DUMMYFUNCTION("""COMPUTED_VALUE"""),45916.5851736111)</f>
        <v>45916.5851736111</v>
      </c>
      <c r="C335" s="1" t="str">
        <f ca="1">IFERROR(__xludf.DUMMYFUNCTION("""COMPUTED_VALUE"""),"Võ Hữu Quỳnh")</f>
        <v>Võ Hữu Quỳnh</v>
      </c>
      <c r="D335" s="1" t="str">
        <f ca="1">IFERROR(__xludf.DUMMYFUNCTION("""COMPUTED_VALUE"""),"17/11/1995")</f>
        <v>17/11/1995</v>
      </c>
      <c r="E335" s="1" t="str">
        <f ca="1">IFERROR(__xludf.DUMMYFUNCTION("""COMPUTED_VALUE"""),"Male")</f>
        <v>Male</v>
      </c>
      <c r="F335" s="1" t="str">
        <f ca="1">IFERROR(__xludf.DUMMYFUNCTION("""COMPUTED_VALUE"""),"Vietnam")</f>
        <v>Vietnam</v>
      </c>
      <c r="G335" s="1" t="str">
        <f ca="1">IFERROR(__xludf.DUMMYFUNCTION("""COMPUTED_VALUE"""),"0991470574")</f>
        <v>0991470574</v>
      </c>
      <c r="H335" s="1" t="str">
        <f ca="1">IFERROR(__xludf.DUMMYFUNCTION("""COMPUTED_VALUE"""),"vohuuquynh@gmail.com")</f>
        <v>vohuuquynh@gmail.com</v>
      </c>
      <c r="I335" s="1" t="str">
        <f ca="1">IFERROR(__xludf.DUMMYFUNCTION("""COMPUTED_VALUE"""),"89 Nguyen Trai, Quan 3, Can Tho, Viet Nam")</f>
        <v>89 Nguyen Trai, Quan 3, Can Tho, Viet Nam</v>
      </c>
      <c r="J335" s="1" t="str">
        <f ca="1">IFERROR(__xludf.DUMMYFUNCTION("""COMPUTED_VALUE"""),"057711854043")</f>
        <v>057711854043</v>
      </c>
      <c r="K335" s="3" t="str">
        <f ca="1">IFERROR(__xludf.DUMMYFUNCTION("""COMPUTED_VALUE"""),"https://drive.google.com/open?id=3t2N3rNVix3xKaE9bhrA")</f>
        <v>https://drive.google.com/open?id=3t2N3rNVix3xKaE9bhrA</v>
      </c>
      <c r="L335" s="3" t="str">
        <f ca="1">IFERROR(__xludf.DUMMYFUNCTION("""COMPUTED_VALUE"""),"https://drive.google.com/open?id=BbdjovaxwGD3ExrNqBFE")</f>
        <v>https://drive.google.com/open?id=BbdjovaxwGD3ExrNqBFE</v>
      </c>
      <c r="M335" s="1"/>
      <c r="N335" s="1"/>
      <c r="O335" s="1"/>
      <c r="P335" s="1" t="str">
        <f ca="1">IFERROR(__xludf.DUMMYFUNCTION("""COMPUTED_VALUE"""),"Self-employed")</f>
        <v>Self-employed</v>
      </c>
      <c r="Q335" s="1">
        <f ca="1">IFERROR(__xludf.DUMMYFUNCTION("""COMPUTED_VALUE"""),20000000)</f>
        <v>20000000</v>
      </c>
      <c r="R335" s="3" t="str">
        <f ca="1">IFERROR(__xludf.DUMMYFUNCTION("""COMPUTED_VALUE"""),"https://drive.google.com/open?id=YknwSFNjWILIuUwcCaOM")</f>
        <v>https://drive.google.com/open?id=YknwSFNjWILIuUwcCaOM</v>
      </c>
      <c r="S335" s="1">
        <f ca="1">IFERROR(__xludf.DUMMYFUNCTION("""COMPUTED_VALUE"""),100000000)</f>
        <v>100000000</v>
      </c>
      <c r="T335" s="1" t="str">
        <f ca="1">IFERROR(__xludf.DUMMYFUNCTION("""COMPUTED_VALUE"""),"Platinum")</f>
        <v>Platinum</v>
      </c>
      <c r="U335" s="1" t="str">
        <f ca="1">IFERROR(__xludf.DUMMYFUNCTION("""COMPUTED_VALUE"""),"Branch")</f>
        <v>Branch</v>
      </c>
    </row>
    <row r="336" spans="1:21" x14ac:dyDescent="0.25">
      <c r="A336" s="2" t="str">
        <f ca="1">IFERROR(__xludf.DUMMYFUNCTION("""COMPUTED_VALUE"""),"APP0335")</f>
        <v>APP0335</v>
      </c>
      <c r="B336" s="2">
        <f ca="1">IFERROR(__xludf.DUMMYFUNCTION("""COMPUTED_VALUE"""),45916.6035185185)</f>
        <v>45916.603518518503</v>
      </c>
      <c r="C336" s="1" t="str">
        <f ca="1">IFERROR(__xludf.DUMMYFUNCTION("""COMPUTED_VALUE"""),"Bùi Văn Quân")</f>
        <v>Bùi Văn Quân</v>
      </c>
      <c r="D336" s="1" t="str">
        <f ca="1">IFERROR(__xludf.DUMMYFUNCTION("""COMPUTED_VALUE"""),"10/01/2006")</f>
        <v>10/01/2006</v>
      </c>
      <c r="E336" s="1" t="str">
        <f ca="1">IFERROR(__xludf.DUMMYFUNCTION("""COMPUTED_VALUE"""),"Female")</f>
        <v>Female</v>
      </c>
      <c r="F336" s="1" t="str">
        <f ca="1">IFERROR(__xludf.DUMMYFUNCTION("""COMPUTED_VALUE"""),"Vietnam")</f>
        <v>Vietnam</v>
      </c>
      <c r="G336" s="1" t="str">
        <f ca="1">IFERROR(__xludf.DUMMYFUNCTION("""COMPUTED_VALUE"""),"0775566608")</f>
        <v>0775566608</v>
      </c>
      <c r="H336" s="1" t="str">
        <f ca="1">IFERROR(__xludf.DUMMYFUNCTION("""COMPUTED_VALUE"""),"buivanquan@gmail.com")</f>
        <v>buivanquan@gmail.com</v>
      </c>
      <c r="I336" s="1" t="str">
        <f ca="1">IFERROR(__xludf.DUMMYFUNCTION("""COMPUTED_VALUE"""),"7 Nguyen Hue, Hai Chau, TP Ho Chi Minh, Viet Nam")</f>
        <v>7 Nguyen Hue, Hai Chau, TP Ho Chi Minh, Viet Nam</v>
      </c>
      <c r="J336" s="1" t="str">
        <f ca="1">IFERROR(__xludf.DUMMYFUNCTION("""COMPUTED_VALUE"""),"0376261819")</f>
        <v>0376261819</v>
      </c>
      <c r="K336" s="3" t="str">
        <f ca="1">IFERROR(__xludf.DUMMYFUNCTION("""COMPUTED_VALUE"""),"https://drive.google.com/open?id=dI27fCwak8bcRdEMrOB9")</f>
        <v>https://drive.google.com/open?id=dI27fCwak8bcRdEMrOB9</v>
      </c>
      <c r="L336" s="3" t="str">
        <f ca="1">IFERROR(__xludf.DUMMYFUNCTION("""COMPUTED_VALUE"""),"https://drive.google.com/open?id=xNuqWRnN6oOb69sPN2Db")</f>
        <v>https://drive.google.com/open?id=xNuqWRnN6oOb69sPN2Db</v>
      </c>
      <c r="M336" s="1"/>
      <c r="N336" s="1"/>
      <c r="O336" s="1"/>
      <c r="P336" s="1" t="str">
        <f ca="1">IFERROR(__xludf.DUMMYFUNCTION("""COMPUTED_VALUE"""),"Freelancer")</f>
        <v>Freelancer</v>
      </c>
      <c r="Q336" s="1">
        <f ca="1">IFERROR(__xludf.DUMMYFUNCTION("""COMPUTED_VALUE"""),20000000)</f>
        <v>20000000</v>
      </c>
      <c r="R336" s="3" t="str">
        <f ca="1">IFERROR(__xludf.DUMMYFUNCTION("""COMPUTED_VALUE"""),"https://drive.google.com/open?id=ViVl3GwVBgnJ7ttw53Br")</f>
        <v>https://drive.google.com/open?id=ViVl3GwVBgnJ7ttw53Br</v>
      </c>
      <c r="S336" s="1">
        <f ca="1">IFERROR(__xludf.DUMMYFUNCTION("""COMPUTED_VALUE"""),60000000)</f>
        <v>60000000</v>
      </c>
      <c r="T336" s="1" t="str">
        <f ca="1">IFERROR(__xludf.DUMMYFUNCTION("""COMPUTED_VALUE"""),"Platinum")</f>
        <v>Platinum</v>
      </c>
      <c r="U336" s="1" t="str">
        <f ca="1">IFERROR(__xludf.DUMMYFUNCTION("""COMPUTED_VALUE"""),"Online")</f>
        <v>Online</v>
      </c>
    </row>
    <row r="337" spans="1:21" x14ac:dyDescent="0.25">
      <c r="A337" s="2" t="str">
        <f ca="1">IFERROR(__xludf.DUMMYFUNCTION("""COMPUTED_VALUE"""),"APP0336")</f>
        <v>APP0336</v>
      </c>
      <c r="B337" s="2">
        <f ca="1">IFERROR(__xludf.DUMMYFUNCTION("""COMPUTED_VALUE"""),45916.8312268518)</f>
        <v>45916.831226851798</v>
      </c>
      <c r="C337" s="1" t="str">
        <f ca="1">IFERROR(__xludf.DUMMYFUNCTION("""COMPUTED_VALUE"""),"Calvin Miller")</f>
        <v>Calvin Miller</v>
      </c>
      <c r="D337" s="1" t="str">
        <f ca="1">IFERROR(__xludf.DUMMYFUNCTION("""COMPUTED_VALUE"""),"06/06/2000")</f>
        <v>06/06/2000</v>
      </c>
      <c r="E337" s="1" t="str">
        <f ca="1">IFERROR(__xludf.DUMMYFUNCTION("""COMPUTED_VALUE"""),"Female")</f>
        <v>Female</v>
      </c>
      <c r="F337" s="1" t="str">
        <f ca="1">IFERROR(__xludf.DUMMYFUNCTION("""COMPUTED_VALUE"""),"Other")</f>
        <v>Other</v>
      </c>
      <c r="G337" s="1" t="str">
        <f ca="1">IFERROR(__xludf.DUMMYFUNCTION("""COMPUTED_VALUE"""),"+81 4309683745")</f>
        <v>+81 4309683745</v>
      </c>
      <c r="H337" s="1" t="str">
        <f ca="1">IFERROR(__xludf.DUMMYFUNCTION("""COMPUTED_VALUE"""),"calvinmiller@gmail.com")</f>
        <v>calvinmiller@gmail.com</v>
      </c>
      <c r="I337" s="1" t="str">
        <f ca="1">IFERROR(__xludf.DUMMYFUNCTION("""COMPUTED_VALUE"""),"77257 Dustin Drives Suite 320, Ericmouth, AS 06282")</f>
        <v>77257 Dustin Drives Suite 320, Ericmouth, AS 06282</v>
      </c>
      <c r="J337" s="1"/>
      <c r="K337" s="1"/>
      <c r="L337" s="1"/>
      <c r="M337" s="1" t="str">
        <f ca="1">IFERROR(__xludf.DUMMYFUNCTION("""COMPUTED_VALUE"""),"qw469390")</f>
        <v>qw469390</v>
      </c>
      <c r="N337" s="3" t="str">
        <f ca="1">IFERROR(__xludf.DUMMYFUNCTION("""COMPUTED_VALUE"""),"https://drive.google.com/open?id=EKXwPJD1Uxx45wfbeHd3")</f>
        <v>https://drive.google.com/open?id=EKXwPJD1Uxx45wfbeHd3</v>
      </c>
      <c r="O337" s="3" t="str">
        <f ca="1">IFERROR(__xludf.DUMMYFUNCTION("""COMPUTED_VALUE"""),"https://drive.google.com/open?id=pvTR7hCokj8N1bLW5BF1")</f>
        <v>https://drive.google.com/open?id=pvTR7hCokj8N1bLW5BF1</v>
      </c>
      <c r="P337" s="1" t="str">
        <f ca="1">IFERROR(__xludf.DUMMYFUNCTION("""COMPUTED_VALUE"""),"Contract")</f>
        <v>Contract</v>
      </c>
      <c r="Q337" s="1">
        <f ca="1">IFERROR(__xludf.DUMMYFUNCTION("""COMPUTED_VALUE"""),50000000)</f>
        <v>50000000</v>
      </c>
      <c r="R337" s="3" t="str">
        <f ca="1">IFERROR(__xludf.DUMMYFUNCTION("""COMPUTED_VALUE"""),"https://drive.google.com/open?id=0vqcSSnoy7tX2RFMu40b")</f>
        <v>https://drive.google.com/open?id=0vqcSSnoy7tX2RFMu40b</v>
      </c>
      <c r="S337" s="1">
        <f ca="1">IFERROR(__xludf.DUMMYFUNCTION("""COMPUTED_VALUE"""),150000000)</f>
        <v>150000000</v>
      </c>
      <c r="T337" s="1" t="str">
        <f ca="1">IFERROR(__xludf.DUMMYFUNCTION("""COMPUTED_VALUE"""),"Classic")</f>
        <v>Classic</v>
      </c>
      <c r="U337" s="1" t="str">
        <f ca="1">IFERROR(__xludf.DUMMYFUNCTION("""COMPUTED_VALUE"""),"Branch")</f>
        <v>Branch</v>
      </c>
    </row>
    <row r="338" spans="1:21" x14ac:dyDescent="0.25">
      <c r="A338" s="2" t="str">
        <f ca="1">IFERROR(__xludf.DUMMYFUNCTION("""COMPUTED_VALUE"""),"APP0337")</f>
        <v>APP0337</v>
      </c>
      <c r="B338" s="2">
        <f ca="1">IFERROR(__xludf.DUMMYFUNCTION("""COMPUTED_VALUE"""),45916.9756481481)</f>
        <v>45916.975648148102</v>
      </c>
      <c r="C338" s="1" t="str">
        <f ca="1">IFERROR(__xludf.DUMMYFUNCTION("""COMPUTED_VALUE"""),"Vũ Ngọc Thảo")</f>
        <v>Vũ Ngọc Thảo</v>
      </c>
      <c r="D338" s="1" t="str">
        <f ca="1">IFERROR(__xludf.DUMMYFUNCTION("""COMPUTED_VALUE"""),"24/01/1969")</f>
        <v>24/01/1969</v>
      </c>
      <c r="E338" s="1" t="str">
        <f ca="1">IFERROR(__xludf.DUMMYFUNCTION("""COMPUTED_VALUE"""),"Female")</f>
        <v>Female</v>
      </c>
      <c r="F338" s="1" t="str">
        <f ca="1">IFERROR(__xludf.DUMMYFUNCTION("""COMPUTED_VALUE"""),"Vietnam")</f>
        <v>Vietnam</v>
      </c>
      <c r="G338" s="1" t="str">
        <f ca="1">IFERROR(__xludf.DUMMYFUNCTION("""COMPUTED_VALUE"""),"0820322395")</f>
        <v>0820322395</v>
      </c>
      <c r="H338" s="1" t="str">
        <f ca="1">IFERROR(__xludf.DUMMYFUNCTION("""COMPUTED_VALUE"""),"vungocthao@gmail.com")</f>
        <v>vungocthao@gmail.com</v>
      </c>
      <c r="I338" s="1" t="str">
        <f ca="1">IFERROR(__xludf.DUMMYFUNCTION("""COMPUTED_VALUE"""),"21 Pham Van Dong, Dong Da, Can Tho, Viet Nam")</f>
        <v>21 Pham Van Dong, Dong Da, Can Tho, Viet Nam</v>
      </c>
      <c r="J338" s="1" t="str">
        <f ca="1">IFERROR(__xludf.DUMMYFUNCTION("""COMPUTED_VALUE"""),"037319041487")</f>
        <v>037319041487</v>
      </c>
      <c r="K338" s="3" t="str">
        <f ca="1">IFERROR(__xludf.DUMMYFUNCTION("""COMPUTED_VALUE"""),"https://drive.google.com/open?id=G0YEu05H0V3sSJt4ZHMH")</f>
        <v>https://drive.google.com/open?id=G0YEu05H0V3sSJt4ZHMH</v>
      </c>
      <c r="L338" s="3" t="str">
        <f ca="1">IFERROR(__xludf.DUMMYFUNCTION("""COMPUTED_VALUE"""),"https://drive.google.com/open?id=ylF0azcvBXT0fnB93ci4")</f>
        <v>https://drive.google.com/open?id=ylF0azcvBXT0fnB93ci4</v>
      </c>
      <c r="M338" s="1"/>
      <c r="N338" s="1"/>
      <c r="O338" s="1"/>
      <c r="P338" s="1" t="str">
        <f ca="1">IFERROR(__xludf.DUMMYFUNCTION("""COMPUTED_VALUE"""),"Full-time")</f>
        <v>Full-time</v>
      </c>
      <c r="Q338" s="1">
        <f ca="1">IFERROR(__xludf.DUMMYFUNCTION("""COMPUTED_VALUE"""),20000000)</f>
        <v>20000000</v>
      </c>
      <c r="R338" s="3" t="str">
        <f ca="1">IFERROR(__xludf.DUMMYFUNCTION("""COMPUTED_VALUE"""),"https://drive.google.com/open?id=Ss39mPRPkHpqfO7WLxSZ")</f>
        <v>https://drive.google.com/open?id=Ss39mPRPkHpqfO7WLxSZ</v>
      </c>
      <c r="S338" s="1">
        <f ca="1">IFERROR(__xludf.DUMMYFUNCTION("""COMPUTED_VALUE"""),40000000)</f>
        <v>40000000</v>
      </c>
      <c r="T338" s="1" t="str">
        <f ca="1">IFERROR(__xludf.DUMMYFUNCTION("""COMPUTED_VALUE"""),"Classic")</f>
        <v>Classic</v>
      </c>
      <c r="U338" s="1" t="str">
        <f ca="1">IFERROR(__xludf.DUMMYFUNCTION("""COMPUTED_VALUE"""),"Partner")</f>
        <v>Partner</v>
      </c>
    </row>
    <row r="339" spans="1:21" x14ac:dyDescent="0.25">
      <c r="A339" s="2" t="str">
        <f ca="1">IFERROR(__xludf.DUMMYFUNCTION("""COMPUTED_VALUE"""),"APP0338")</f>
        <v>APP0338</v>
      </c>
      <c r="B339" s="2">
        <f ca="1">IFERROR(__xludf.DUMMYFUNCTION("""COMPUTED_VALUE"""),45917.0009722222)</f>
        <v>45917.000972222202</v>
      </c>
      <c r="C339" s="1" t="str">
        <f ca="1">IFERROR(__xludf.DUMMYFUNCTION("""COMPUTED_VALUE"""),"Lê Đức Dũng")</f>
        <v>Lê Đức Dũng</v>
      </c>
      <c r="D339" s="1" t="str">
        <f ca="1">IFERROR(__xludf.DUMMYFUNCTION("""COMPUTED_VALUE"""),"05/05/1985")</f>
        <v>05/05/1985</v>
      </c>
      <c r="E339" s="1" t="str">
        <f ca="1">IFERROR(__xludf.DUMMYFUNCTION("""COMPUTED_VALUE"""),"Male")</f>
        <v>Male</v>
      </c>
      <c r="F339" s="1" t="str">
        <f ca="1">IFERROR(__xludf.DUMMYFUNCTION("""COMPUTED_VALUE"""),"Vietnam")</f>
        <v>Vietnam</v>
      </c>
      <c r="G339" s="1" t="str">
        <f ca="1">IFERROR(__xludf.DUMMYFUNCTION("""COMPUTED_VALUE"""),"0731003365")</f>
        <v>0731003365</v>
      </c>
      <c r="H339" s="1" t="str">
        <f ca="1">IFERROR(__xludf.DUMMYFUNCTION("""COMPUTED_VALUE"""),"leducdung@gmail.com")</f>
        <v>leducdung@gmail.com</v>
      </c>
      <c r="I339" s="1" t="str">
        <f ca="1">IFERROR(__xludf.DUMMYFUNCTION("""COMPUTED_VALUE"""),"96 Ly Thuong Kiet, Hai Chau, Ha Noi, Viet Nam")</f>
        <v>96 Ly Thuong Kiet, Hai Chau, Ha Noi, Viet Nam</v>
      </c>
      <c r="J339" s="1" t="str">
        <f ca="1">IFERROR(__xludf.DUMMYFUNCTION("""COMPUTED_VALUE"""),"032884257747")</f>
        <v>032884257747</v>
      </c>
      <c r="K339" s="3" t="str">
        <f ca="1">IFERROR(__xludf.DUMMYFUNCTION("""COMPUTED_VALUE"""),"https://drive.google.com/open?id=I9KTZoJG5uGbMvNxDMYF")</f>
        <v>https://drive.google.com/open?id=I9KTZoJG5uGbMvNxDMYF</v>
      </c>
      <c r="L339" s="3" t="str">
        <f ca="1">IFERROR(__xludf.DUMMYFUNCTION("""COMPUTED_VALUE"""),"https://drive.google.com/open?id=JW4KYUciHJPMrlpz9DAj")</f>
        <v>https://drive.google.com/open?id=JW4KYUciHJPMrlpz9DAj</v>
      </c>
      <c r="M339" s="1"/>
      <c r="N339" s="1"/>
      <c r="O339" s="1"/>
      <c r="P339" s="1" t="str">
        <f ca="1">IFERROR(__xludf.DUMMYFUNCTION("""COMPUTED_VALUE"""),"Self-employed")</f>
        <v>Self-employed</v>
      </c>
      <c r="Q339" s="1">
        <f ca="1">IFERROR(__xludf.DUMMYFUNCTION("""COMPUTED_VALUE"""),8000000)</f>
        <v>8000000</v>
      </c>
      <c r="R339" s="3" t="str">
        <f ca="1">IFERROR(__xludf.DUMMYFUNCTION("""COMPUTED_VALUE"""),"https://drive.google.com/open?id=AFnS3uOdCDnGMAreDv2d")</f>
        <v>https://drive.google.com/open?id=AFnS3uOdCDnGMAreDv2d</v>
      </c>
      <c r="S339" s="1">
        <f ca="1">IFERROR(__xludf.DUMMYFUNCTION("""COMPUTED_VALUE"""),16000000)</f>
        <v>16000000</v>
      </c>
      <c r="T339" s="1" t="str">
        <f ca="1">IFERROR(__xludf.DUMMYFUNCTION("""COMPUTED_VALUE"""),"Classic")</f>
        <v>Classic</v>
      </c>
      <c r="U339" s="1" t="str">
        <f ca="1">IFERROR(__xludf.DUMMYFUNCTION("""COMPUTED_VALUE"""),"Online")</f>
        <v>Online</v>
      </c>
    </row>
    <row r="340" spans="1:21" x14ac:dyDescent="0.25">
      <c r="A340" s="2" t="str">
        <f ca="1">IFERROR(__xludf.DUMMYFUNCTION("""COMPUTED_VALUE"""),"APP0339")</f>
        <v>APP0339</v>
      </c>
      <c r="B340" s="2">
        <f ca="1">IFERROR(__xludf.DUMMYFUNCTION("""COMPUTED_VALUE"""),45917.0306597222)</f>
        <v>45917.030659722201</v>
      </c>
      <c r="C340" s="1" t="str">
        <f ca="1">IFERROR(__xludf.DUMMYFUNCTION("""COMPUTED_VALUE"""),"Trần Đức Tú")</f>
        <v>Trần Đức Tú</v>
      </c>
      <c r="D340" s="1" t="str">
        <f ca="1">IFERROR(__xludf.DUMMYFUNCTION("""COMPUTED_VALUE"""),"12/11/1997")</f>
        <v>12/11/1997</v>
      </c>
      <c r="E340" s="1" t="str">
        <f ca="1">IFERROR(__xludf.DUMMYFUNCTION("""COMPUTED_VALUE"""),"Female")</f>
        <v>Female</v>
      </c>
      <c r="F340" s="1" t="str">
        <f ca="1">IFERROR(__xludf.DUMMYFUNCTION("""COMPUTED_VALUE"""),"Vietnam")</f>
        <v>Vietnam</v>
      </c>
      <c r="G340" s="1" t="str">
        <f ca="1">IFERROR(__xludf.DUMMYFUNCTION("""COMPUTED_VALUE"""),"0925566409")</f>
        <v>0925566409</v>
      </c>
      <c r="H340" s="1" t="str">
        <f ca="1">IFERROR(__xludf.DUMMYFUNCTION("""COMPUTED_VALUE"""),"tranductu@gmail.com")</f>
        <v>tranductu@gmail.com</v>
      </c>
      <c r="I340" s="1" t="str">
        <f ca="1">IFERROR(__xludf.DUMMYFUNCTION("""COMPUTED_VALUE"""),"166 Tran Hung Dao, Quan 7, Ha Noi, Viet Nam")</f>
        <v>166 Tran Hung Dao, Quan 7, Ha Noi, Viet Nam</v>
      </c>
      <c r="J340" s="1" t="str">
        <f ca="1">IFERROR(__xludf.DUMMYFUNCTION("""COMPUTED_VALUE"""),"058143723258")</f>
        <v>058143723258</v>
      </c>
      <c r="K340" s="3" t="str">
        <f ca="1">IFERROR(__xludf.DUMMYFUNCTION("""COMPUTED_VALUE"""),"https://drive.google.com/open?id=2Tt9YCQnMmzFKBnne5op")</f>
        <v>https://drive.google.com/open?id=2Tt9YCQnMmzFKBnne5op</v>
      </c>
      <c r="L340" s="3" t="str">
        <f ca="1">IFERROR(__xludf.DUMMYFUNCTION("""COMPUTED_VALUE"""),"https://drive.google.com/open?id=Fd2isp6c9tCQUOoYS2jJ")</f>
        <v>https://drive.google.com/open?id=Fd2isp6c9tCQUOoYS2jJ</v>
      </c>
      <c r="M340" s="1"/>
      <c r="N340" s="1"/>
      <c r="O340" s="1"/>
      <c r="P340" s="1" t="str">
        <f ca="1">IFERROR(__xludf.DUMMYFUNCTION("""COMPUTED_VALUE"""),"Freelancer")</f>
        <v>Freelancer</v>
      </c>
      <c r="Q340" s="1">
        <f ca="1">IFERROR(__xludf.DUMMYFUNCTION("""COMPUTED_VALUE"""),5000000)</f>
        <v>5000000</v>
      </c>
      <c r="R340" s="3" t="str">
        <f ca="1">IFERROR(__xludf.DUMMYFUNCTION("""COMPUTED_VALUE"""),"https://drive.google.com/open?id=q6WajbqYHOc3KK2SAPng")</f>
        <v>https://drive.google.com/open?id=q6WajbqYHOc3KK2SAPng</v>
      </c>
      <c r="S340" s="1">
        <f ca="1">IFERROR(__xludf.DUMMYFUNCTION("""COMPUTED_VALUE"""),10000000)</f>
        <v>10000000</v>
      </c>
      <c r="T340" s="1" t="str">
        <f ca="1">IFERROR(__xludf.DUMMYFUNCTION("""COMPUTED_VALUE"""),"Gold")</f>
        <v>Gold</v>
      </c>
      <c r="U340" s="1" t="str">
        <f ca="1">IFERROR(__xludf.DUMMYFUNCTION("""COMPUTED_VALUE"""),"Online")</f>
        <v>Online</v>
      </c>
    </row>
    <row r="341" spans="1:21" x14ac:dyDescent="0.25">
      <c r="A341" s="2" t="str">
        <f ca="1">IFERROR(__xludf.DUMMYFUNCTION("""COMPUTED_VALUE"""),"APP0340")</f>
        <v>APP0340</v>
      </c>
      <c r="B341" s="2">
        <f ca="1">IFERROR(__xludf.DUMMYFUNCTION("""COMPUTED_VALUE"""),45917.119386574)</f>
        <v>45917.119386573999</v>
      </c>
      <c r="C341" s="1" t="str">
        <f ca="1">IFERROR(__xludf.DUMMYFUNCTION("""COMPUTED_VALUE"""),"Lý Văn Thảo")</f>
        <v>Lý Văn Thảo</v>
      </c>
      <c r="D341" s="1" t="str">
        <f ca="1">IFERROR(__xludf.DUMMYFUNCTION("""COMPUTED_VALUE"""),"21/07/1977")</f>
        <v>21/07/1977</v>
      </c>
      <c r="E341" s="1" t="str">
        <f ca="1">IFERROR(__xludf.DUMMYFUNCTION("""COMPUTED_VALUE"""),"Male")</f>
        <v>Male</v>
      </c>
      <c r="F341" s="1" t="str">
        <f ca="1">IFERROR(__xludf.DUMMYFUNCTION("""COMPUTED_VALUE"""),"Vietnam")</f>
        <v>Vietnam</v>
      </c>
      <c r="G341" s="1" t="str">
        <f ca="1">IFERROR(__xludf.DUMMYFUNCTION("""COMPUTED_VALUE"""),"0944032968")</f>
        <v>0944032968</v>
      </c>
      <c r="H341" s="1" t="str">
        <f ca="1">IFERROR(__xludf.DUMMYFUNCTION("""COMPUTED_VALUE"""),"lyvanthao@gmail.com")</f>
        <v>lyvanthao@gmail.com</v>
      </c>
      <c r="I341" s="1" t="str">
        <f ca="1">IFERROR(__xludf.DUMMYFUNCTION("""COMPUTED_VALUE"""),"120 Nguyen Trai, Quan 1, TP Ho Chi Minh, Viet Nam")</f>
        <v>120 Nguyen Trai, Quan 1, TP Ho Chi Minh, Viet Nam</v>
      </c>
      <c r="J341" s="1" t="str">
        <f ca="1">IFERROR(__xludf.DUMMYFUNCTION("""COMPUTED_VALUE"""),"013896054033")</f>
        <v>013896054033</v>
      </c>
      <c r="K341" s="3" t="str">
        <f ca="1">IFERROR(__xludf.DUMMYFUNCTION("""COMPUTED_VALUE"""),"https://drive.google.com/open?id=nnNu2cOC41McbsPW3o1B")</f>
        <v>https://drive.google.com/open?id=nnNu2cOC41McbsPW3o1B</v>
      </c>
      <c r="L341" s="3" t="str">
        <f ca="1">IFERROR(__xludf.DUMMYFUNCTION("""COMPUTED_VALUE"""),"https://drive.google.com/open?id=LTZGzrk4orqHRa9Xf0s4")</f>
        <v>https://drive.google.com/open?id=LTZGzrk4orqHRa9Xf0s4</v>
      </c>
      <c r="M341" s="1"/>
      <c r="N341" s="1"/>
      <c r="O341" s="1"/>
      <c r="P341" s="1" t="str">
        <f ca="1">IFERROR(__xludf.DUMMYFUNCTION("""COMPUTED_VALUE"""),"Full-time")</f>
        <v>Full-time</v>
      </c>
      <c r="Q341" s="1">
        <f ca="1">IFERROR(__xludf.DUMMYFUNCTION("""COMPUTED_VALUE"""),12000000)</f>
        <v>12000000</v>
      </c>
      <c r="R341" s="3" t="str">
        <f ca="1">IFERROR(__xludf.DUMMYFUNCTION("""COMPUTED_VALUE"""),"https://drive.google.com/open?id=2kX6hm3MkT9geRx4OIeF")</f>
        <v>https://drive.google.com/open?id=2kX6hm3MkT9geRx4OIeF</v>
      </c>
      <c r="S341" s="1">
        <f ca="1">IFERROR(__xludf.DUMMYFUNCTION("""COMPUTED_VALUE"""),24000000)</f>
        <v>24000000</v>
      </c>
      <c r="T341" s="1" t="str">
        <f ca="1">IFERROR(__xludf.DUMMYFUNCTION("""COMPUTED_VALUE"""),"Platinum")</f>
        <v>Platinum</v>
      </c>
      <c r="U341" s="1" t="str">
        <f ca="1">IFERROR(__xludf.DUMMYFUNCTION("""COMPUTED_VALUE"""),"Partner")</f>
        <v>Partner</v>
      </c>
    </row>
    <row r="342" spans="1:21" x14ac:dyDescent="0.25">
      <c r="A342" s="2" t="str">
        <f ca="1">IFERROR(__xludf.DUMMYFUNCTION("""COMPUTED_VALUE"""),"APP0341")</f>
        <v>APP0341</v>
      </c>
      <c r="B342" s="2">
        <f ca="1">IFERROR(__xludf.DUMMYFUNCTION("""COMPUTED_VALUE"""),45917.1194212962)</f>
        <v>45917.1194212962</v>
      </c>
      <c r="C342" s="1" t="str">
        <f ca="1">IFERROR(__xludf.DUMMYFUNCTION("""COMPUTED_VALUE"""),"Đỗ Thị An")</f>
        <v>Đỗ Thị An</v>
      </c>
      <c r="D342" s="1" t="str">
        <f ca="1">IFERROR(__xludf.DUMMYFUNCTION("""COMPUTED_VALUE"""),"25/01/1998")</f>
        <v>25/01/1998</v>
      </c>
      <c r="E342" s="1" t="str">
        <f ca="1">IFERROR(__xludf.DUMMYFUNCTION("""COMPUTED_VALUE"""),"Male")</f>
        <v>Male</v>
      </c>
      <c r="F342" s="1" t="str">
        <f ca="1">IFERROR(__xludf.DUMMYFUNCTION("""COMPUTED_VALUE"""),"Vietnam")</f>
        <v>Vietnam</v>
      </c>
      <c r="G342" s="1" t="str">
        <f ca="1">IFERROR(__xludf.DUMMYFUNCTION("""COMPUTED_VALUE"""),"0738701134")</f>
        <v>0738701134</v>
      </c>
      <c r="H342" s="1" t="str">
        <f ca="1">IFERROR(__xludf.DUMMYFUNCTION("""COMPUTED_VALUE"""),"dothian@gmail.com")</f>
        <v>dothian@gmail.com</v>
      </c>
      <c r="I342" s="1" t="str">
        <f ca="1">IFERROR(__xludf.DUMMYFUNCTION("""COMPUTED_VALUE"""),"169 Pham Van Dong, Hoan Kiem, Hai Phong, Viet Nam")</f>
        <v>169 Pham Van Dong, Hoan Kiem, Hai Phong, Viet Nam</v>
      </c>
      <c r="J342" s="1" t="str">
        <f ca="1">IFERROR(__xludf.DUMMYFUNCTION("""COMPUTED_VALUE"""),"09702691011")</f>
        <v>09702691011</v>
      </c>
      <c r="K342" s="3" t="str">
        <f ca="1">IFERROR(__xludf.DUMMYFUNCTION("""COMPUTED_VALUE"""),"https://drive.google.com/open?id=x2Wt5AXhuOZngHBmIuD3")</f>
        <v>https://drive.google.com/open?id=x2Wt5AXhuOZngHBmIuD3</v>
      </c>
      <c r="L342" s="3" t="str">
        <f ca="1">IFERROR(__xludf.DUMMYFUNCTION("""COMPUTED_VALUE"""),"https://drive.google.com/open?id=ODjqjTM82x97rFlsweZi")</f>
        <v>https://drive.google.com/open?id=ODjqjTM82x97rFlsweZi</v>
      </c>
      <c r="M342" s="1"/>
      <c r="N342" s="1"/>
      <c r="O342" s="1"/>
      <c r="P342" s="1" t="str">
        <f ca="1">IFERROR(__xludf.DUMMYFUNCTION("""COMPUTED_VALUE"""),"Contract")</f>
        <v>Contract</v>
      </c>
      <c r="Q342" s="1">
        <f ca="1">IFERROR(__xludf.DUMMYFUNCTION("""COMPUTED_VALUE"""),20000000)</f>
        <v>20000000</v>
      </c>
      <c r="R342" s="3" t="str">
        <f ca="1">IFERROR(__xludf.DUMMYFUNCTION("""COMPUTED_VALUE"""),"https://drive.google.com/open?id=9ssqWOKgyM0tcDvHLxWE")</f>
        <v>https://drive.google.com/open?id=9ssqWOKgyM0tcDvHLxWE</v>
      </c>
      <c r="S342" s="1">
        <f ca="1">IFERROR(__xludf.DUMMYFUNCTION("""COMPUTED_VALUE"""),40000000)</f>
        <v>40000000</v>
      </c>
      <c r="T342" s="1" t="str">
        <f ca="1">IFERROR(__xludf.DUMMYFUNCTION("""COMPUTED_VALUE"""),"Classic")</f>
        <v>Classic</v>
      </c>
      <c r="U342" s="1" t="str">
        <f ca="1">IFERROR(__xludf.DUMMYFUNCTION("""COMPUTED_VALUE"""),"Online")</f>
        <v>Online</v>
      </c>
    </row>
    <row r="343" spans="1:21" x14ac:dyDescent="0.25">
      <c r="A343" s="2" t="str">
        <f ca="1">IFERROR(__xludf.DUMMYFUNCTION("""COMPUTED_VALUE"""),"APP0342")</f>
        <v>APP0342</v>
      </c>
      <c r="B343" s="2">
        <f ca="1">IFERROR(__xludf.DUMMYFUNCTION("""COMPUTED_VALUE"""),45917.1266666666)</f>
        <v>45917.126666666598</v>
      </c>
      <c r="C343" s="1" t="str">
        <f ca="1">IFERROR(__xludf.DUMMYFUNCTION("""COMPUTED_VALUE"""),"Bùi Thị Tú")</f>
        <v>Bùi Thị Tú</v>
      </c>
      <c r="D343" s="1" t="str">
        <f ca="1">IFERROR(__xludf.DUMMYFUNCTION("""COMPUTED_VALUE"""),"23/03/1994")</f>
        <v>23/03/1994</v>
      </c>
      <c r="E343" s="1" t="str">
        <f ca="1">IFERROR(__xludf.DUMMYFUNCTION("""COMPUTED_VALUE"""),"Female")</f>
        <v>Female</v>
      </c>
      <c r="F343" s="1" t="str">
        <f ca="1">IFERROR(__xludf.DUMMYFUNCTION("""COMPUTED_VALUE"""),"Vietnam")</f>
        <v>Vietnam</v>
      </c>
      <c r="G343" s="1" t="str">
        <f ca="1">IFERROR(__xludf.DUMMYFUNCTION("""COMPUTED_VALUE"""),"0946676032")</f>
        <v>0946676032</v>
      </c>
      <c r="H343" s="1" t="str">
        <f ca="1">IFERROR(__xludf.DUMMYFUNCTION("""COMPUTED_VALUE"""),"buithitu@gmail.com")</f>
        <v>buithitu@gmail.com</v>
      </c>
      <c r="I343" s="1" t="str">
        <f ca="1">IFERROR(__xludf.DUMMYFUNCTION("""COMPUTED_VALUE"""),"189 Pham Van Dong, Dong Da, Da Nang, Viet Nam")</f>
        <v>189 Pham Van Dong, Dong Da, Da Nang, Viet Nam</v>
      </c>
      <c r="J343" s="1" t="str">
        <f ca="1">IFERROR(__xludf.DUMMYFUNCTION("""COMPUTED_VALUE"""),"047196608626")</f>
        <v>047196608626</v>
      </c>
      <c r="K343" s="3" t="str">
        <f ca="1">IFERROR(__xludf.DUMMYFUNCTION("""COMPUTED_VALUE"""),"https://drive.google.com/open?id=CKbGivmjo5fjnu3sEx3Y")</f>
        <v>https://drive.google.com/open?id=CKbGivmjo5fjnu3sEx3Y</v>
      </c>
      <c r="L343" s="3" t="str">
        <f ca="1">IFERROR(__xludf.DUMMYFUNCTION("""COMPUTED_VALUE"""),"https://drive.google.com/open?id=1dtc2giYhWtH6bFsNTb6")</f>
        <v>https://drive.google.com/open?id=1dtc2giYhWtH6bFsNTb6</v>
      </c>
      <c r="M343" s="1"/>
      <c r="N343" s="1"/>
      <c r="O343" s="1"/>
      <c r="P343" s="1" t="str">
        <f ca="1">IFERROR(__xludf.DUMMYFUNCTION("""COMPUTED_VALUE"""),"Freelancer")</f>
        <v>Freelancer</v>
      </c>
      <c r="Q343" s="1">
        <f ca="1">IFERROR(__xludf.DUMMYFUNCTION("""COMPUTED_VALUE"""),20000000)</f>
        <v>20000000</v>
      </c>
      <c r="R343" s="3" t="str">
        <f ca="1">IFERROR(__xludf.DUMMYFUNCTION("""COMPUTED_VALUE"""),"https://drive.google.com/open?id=ef4iecgCiEmdqpaRzqkZ")</f>
        <v>https://drive.google.com/open?id=ef4iecgCiEmdqpaRzqkZ</v>
      </c>
      <c r="S343" s="1">
        <f ca="1">IFERROR(__xludf.DUMMYFUNCTION("""COMPUTED_VALUE"""),40000000)</f>
        <v>40000000</v>
      </c>
      <c r="T343" s="1" t="str">
        <f ca="1">IFERROR(__xludf.DUMMYFUNCTION("""COMPUTED_VALUE"""),"Gold")</f>
        <v>Gold</v>
      </c>
      <c r="U343" s="1" t="str">
        <f ca="1">IFERROR(__xludf.DUMMYFUNCTION("""COMPUTED_VALUE"""),"Online")</f>
        <v>Online</v>
      </c>
    </row>
    <row r="344" spans="1:21" x14ac:dyDescent="0.25">
      <c r="A344" s="2" t="str">
        <f ca="1">IFERROR(__xludf.DUMMYFUNCTION("""COMPUTED_VALUE"""),"APP0343")</f>
        <v>APP0343</v>
      </c>
      <c r="B344" s="2">
        <f ca="1">IFERROR(__xludf.DUMMYFUNCTION("""COMPUTED_VALUE"""),45917.1804166666)</f>
        <v>45917.180416666597</v>
      </c>
      <c r="C344" s="1" t="str">
        <f ca="1">IFERROR(__xludf.DUMMYFUNCTION("""COMPUTED_VALUE"""),"Ngô Thị Hà")</f>
        <v>Ngô Thị Hà</v>
      </c>
      <c r="D344" s="1" t="str">
        <f ca="1">IFERROR(__xludf.DUMMYFUNCTION("""COMPUTED_VALUE"""),"13/10/1995")</f>
        <v>13/10/1995</v>
      </c>
      <c r="E344" s="1" t="str">
        <f ca="1">IFERROR(__xludf.DUMMYFUNCTION("""COMPUTED_VALUE"""),"Male")</f>
        <v>Male</v>
      </c>
      <c r="F344" s="1" t="str">
        <f ca="1">IFERROR(__xludf.DUMMYFUNCTION("""COMPUTED_VALUE"""),"Vietnam")</f>
        <v>Vietnam</v>
      </c>
      <c r="G344" s="1" t="str">
        <f ca="1">IFERROR(__xludf.DUMMYFUNCTION("""COMPUTED_VALUE"""),"0793169690")</f>
        <v>0793169690</v>
      </c>
      <c r="H344" s="1" t="str">
        <f ca="1">IFERROR(__xludf.DUMMYFUNCTION("""COMPUTED_VALUE"""),"ngothiha@gmail.com")</f>
        <v>ngothiha@gmail.com</v>
      </c>
      <c r="I344" s="1" t="str">
        <f ca="1">IFERROR(__xludf.DUMMYFUNCTION("""COMPUTED_VALUE"""),"57 Tran Hung Dao, Quan 3, Can Tho, Viet Nam")</f>
        <v>57 Tran Hung Dao, Quan 3, Can Tho, Viet Nam</v>
      </c>
      <c r="J344" s="1" t="str">
        <f ca="1">IFERROR(__xludf.DUMMYFUNCTION("""COMPUTED_VALUE"""),"060919883102")</f>
        <v>060919883102</v>
      </c>
      <c r="K344" s="3" t="str">
        <f ca="1">IFERROR(__xludf.DUMMYFUNCTION("""COMPUTED_VALUE"""),"https://drive.google.com/open?id=WWtCLCsEc19YjSeFEbjU")</f>
        <v>https://drive.google.com/open?id=WWtCLCsEc19YjSeFEbjU</v>
      </c>
      <c r="L344" s="3" t="str">
        <f ca="1">IFERROR(__xludf.DUMMYFUNCTION("""COMPUTED_VALUE"""),"https://drive.google.com/open?id=5fwXcOnxbbLDFkEyj0VU")</f>
        <v>https://drive.google.com/open?id=5fwXcOnxbbLDFkEyj0VU</v>
      </c>
      <c r="M344" s="1"/>
      <c r="N344" s="1"/>
      <c r="O344" s="1"/>
      <c r="P344" s="1" t="str">
        <f ca="1">IFERROR(__xludf.DUMMYFUNCTION("""COMPUTED_VALUE"""),"Self-employed")</f>
        <v>Self-employed</v>
      </c>
      <c r="Q344" s="1">
        <f ca="1">IFERROR(__xludf.DUMMYFUNCTION("""COMPUTED_VALUE"""),50000000)</f>
        <v>50000000</v>
      </c>
      <c r="R344" s="3" t="str">
        <f ca="1">IFERROR(__xludf.DUMMYFUNCTION("""COMPUTED_VALUE"""),"https://drive.google.com/open?id=PsMRxmZHJhdXiVRGeTQ0")</f>
        <v>https://drive.google.com/open?id=PsMRxmZHJhdXiVRGeTQ0</v>
      </c>
      <c r="S344" s="1">
        <f ca="1">IFERROR(__xludf.DUMMYFUNCTION("""COMPUTED_VALUE"""),250000000)</f>
        <v>250000000</v>
      </c>
      <c r="T344" s="1" t="str">
        <f ca="1">IFERROR(__xludf.DUMMYFUNCTION("""COMPUTED_VALUE"""),"Classic")</f>
        <v>Classic</v>
      </c>
      <c r="U344" s="1" t="str">
        <f ca="1">IFERROR(__xludf.DUMMYFUNCTION("""COMPUTED_VALUE"""),"Online")</f>
        <v>Online</v>
      </c>
    </row>
    <row r="345" spans="1:21" x14ac:dyDescent="0.25">
      <c r="A345" s="2" t="str">
        <f ca="1">IFERROR(__xludf.DUMMYFUNCTION("""COMPUTED_VALUE"""),"APP0344")</f>
        <v>APP0344</v>
      </c>
      <c r="B345" s="2">
        <f ca="1">IFERROR(__xludf.DUMMYFUNCTION("""COMPUTED_VALUE"""),45917.1893287037)</f>
        <v>45917.189328703702</v>
      </c>
      <c r="C345" s="1" t="str">
        <f ca="1">IFERROR(__xludf.DUMMYFUNCTION("""COMPUTED_VALUE"""),"Ngô Thị Thắng")</f>
        <v>Ngô Thị Thắng</v>
      </c>
      <c r="D345" s="1" t="str">
        <f ca="1">IFERROR(__xludf.DUMMYFUNCTION("""COMPUTED_VALUE"""),"25/12/1988")</f>
        <v>25/12/1988</v>
      </c>
      <c r="E345" s="1" t="str">
        <f ca="1">IFERROR(__xludf.DUMMYFUNCTION("""COMPUTED_VALUE"""),"Male")</f>
        <v>Male</v>
      </c>
      <c r="F345" s="1" t="str">
        <f ca="1">IFERROR(__xludf.DUMMYFUNCTION("""COMPUTED_VALUE"""),"Vietnam")</f>
        <v>Vietnam</v>
      </c>
      <c r="G345" s="1" t="str">
        <f ca="1">IFERROR(__xludf.DUMMYFUNCTION("""COMPUTED_VALUE"""),"0976257793")</f>
        <v>0976257793</v>
      </c>
      <c r="H345" s="1" t="str">
        <f ca="1">IFERROR(__xludf.DUMMYFUNCTION("""COMPUTED_VALUE"""),"ngothithang@gmail.com")</f>
        <v>ngothithang@gmail.com</v>
      </c>
      <c r="I345" s="1" t="str">
        <f ca="1">IFERROR(__xludf.DUMMYFUNCTION("""COMPUTED_VALUE"""),"130 Pham Van Dong, Dong Da, TP Ho Chi Minh, Viet Nam")</f>
        <v>130 Pham Van Dong, Dong Da, TP Ho Chi Minh, Viet Nam</v>
      </c>
      <c r="J345" s="1" t="str">
        <f ca="1">IFERROR(__xludf.DUMMYFUNCTION("""COMPUTED_VALUE"""),"073700868418")</f>
        <v>073700868418</v>
      </c>
      <c r="K345" s="3" t="str">
        <f ca="1">IFERROR(__xludf.DUMMYFUNCTION("""COMPUTED_VALUE"""),"https://drive.google.com/open?id=d2o6zAVX4O6sdQjHvMD6")</f>
        <v>https://drive.google.com/open?id=d2o6zAVX4O6sdQjHvMD6</v>
      </c>
      <c r="L345" s="3" t="str">
        <f ca="1">IFERROR(__xludf.DUMMYFUNCTION("""COMPUTED_VALUE"""),"https://drive.google.com/open?id=aTdyX1BVcg6UcinngTiY")</f>
        <v>https://drive.google.com/open?id=aTdyX1BVcg6UcinngTiY</v>
      </c>
      <c r="M345" s="1"/>
      <c r="N345" s="1"/>
      <c r="O345" s="1"/>
      <c r="P345" s="1" t="str">
        <f ca="1">IFERROR(__xludf.DUMMYFUNCTION("""COMPUTED_VALUE"""),"Contract")</f>
        <v>Contract</v>
      </c>
      <c r="Q345" s="1">
        <f ca="1">IFERROR(__xludf.DUMMYFUNCTION("""COMPUTED_VALUE"""),12000000)</f>
        <v>12000000</v>
      </c>
      <c r="R345" s="3" t="str">
        <f ca="1">IFERROR(__xludf.DUMMYFUNCTION("""COMPUTED_VALUE"""),"https://drive.google.com/open?id=4x49NdbXiiLZiTYX0XTY")</f>
        <v>https://drive.google.com/open?id=4x49NdbXiiLZiTYX0XTY</v>
      </c>
      <c r="S345" s="1">
        <f ca="1">IFERROR(__xludf.DUMMYFUNCTION("""COMPUTED_VALUE"""),24000000)</f>
        <v>24000000</v>
      </c>
      <c r="T345" s="1" t="str">
        <f ca="1">IFERROR(__xludf.DUMMYFUNCTION("""COMPUTED_VALUE"""),"Classic")</f>
        <v>Classic</v>
      </c>
      <c r="U345" s="1" t="str">
        <f ca="1">IFERROR(__xludf.DUMMYFUNCTION("""COMPUTED_VALUE"""),"Branch")</f>
        <v>Branch</v>
      </c>
    </row>
    <row r="346" spans="1:21" x14ac:dyDescent="0.25">
      <c r="A346" s="2" t="str">
        <f ca="1">IFERROR(__xludf.DUMMYFUNCTION("""COMPUTED_VALUE"""),"APP0345")</f>
        <v>APP0345</v>
      </c>
      <c r="B346" s="2">
        <f ca="1">IFERROR(__xludf.DUMMYFUNCTION("""COMPUTED_VALUE"""),45917.1957175925)</f>
        <v>45917.195717592498</v>
      </c>
      <c r="C346" s="1" t="str">
        <f ca="1">IFERROR(__xludf.DUMMYFUNCTION("""COMPUTED_VALUE"""),"Trần Anh Lan")</f>
        <v>Trần Anh Lan</v>
      </c>
      <c r="D346" s="1" t="str">
        <f ca="1">IFERROR(__xludf.DUMMYFUNCTION("""COMPUTED_VALUE"""),"27/05/1995")</f>
        <v>27/05/1995</v>
      </c>
      <c r="E346" s="1" t="str">
        <f ca="1">IFERROR(__xludf.DUMMYFUNCTION("""COMPUTED_VALUE"""),"Male")</f>
        <v>Male</v>
      </c>
      <c r="F346" s="1" t="str">
        <f ca="1">IFERROR(__xludf.DUMMYFUNCTION("""COMPUTED_VALUE"""),"Vietnam")</f>
        <v>Vietnam</v>
      </c>
      <c r="G346" s="1" t="str">
        <f ca="1">IFERROR(__xludf.DUMMYFUNCTION("""COMPUTED_VALUE"""),"0795660550")</f>
        <v>0795660550</v>
      </c>
      <c r="H346" s="1" t="str">
        <f ca="1">IFERROR(__xludf.DUMMYFUNCTION("""COMPUTED_VALUE"""),"trananhlan@gmail.com")</f>
        <v>trananhlan@gmail.com</v>
      </c>
      <c r="I346" s="1" t="str">
        <f ca="1">IFERROR(__xludf.DUMMYFUNCTION("""COMPUTED_VALUE"""),"49 Nguyen Hue, Quan 3, Ha Noi, Viet Nam")</f>
        <v>49 Nguyen Hue, Quan 3, Ha Noi, Viet Nam</v>
      </c>
      <c r="J346" s="1" t="str">
        <f ca="1">IFERROR(__xludf.DUMMYFUNCTION("""COMPUTED_VALUE"""),"092922413030")</f>
        <v>092922413030</v>
      </c>
      <c r="K346" s="3" t="str">
        <f ca="1">IFERROR(__xludf.DUMMYFUNCTION("""COMPUTED_VALUE"""),"https://drive.google.com/open?id=4fsFjwEsSBpKXesWYo5t")</f>
        <v>https://drive.google.com/open?id=4fsFjwEsSBpKXesWYo5t</v>
      </c>
      <c r="L346" s="3" t="str">
        <f ca="1">IFERROR(__xludf.DUMMYFUNCTION("""COMPUTED_VALUE"""),"https://drive.google.com/open?id=nKAaYQCWslgrdF5AjFcp")</f>
        <v>https://drive.google.com/open?id=nKAaYQCWslgrdF5AjFcp</v>
      </c>
      <c r="M346" s="1"/>
      <c r="N346" s="1"/>
      <c r="O346" s="1"/>
      <c r="P346" s="1" t="str">
        <f ca="1">IFERROR(__xludf.DUMMYFUNCTION("""COMPUTED_VALUE"""),"Freelancer")</f>
        <v>Freelancer</v>
      </c>
      <c r="Q346" s="1">
        <f ca="1">IFERROR(__xludf.DUMMYFUNCTION("""COMPUTED_VALUE"""),8000000)</f>
        <v>8000000</v>
      </c>
      <c r="R346" s="3" t="str">
        <f ca="1">IFERROR(__xludf.DUMMYFUNCTION("""COMPUTED_VALUE"""),"https://drive.google.com/open?id=mfXhaE1Jk9r6cMPwatA0")</f>
        <v>https://drive.google.com/open?id=mfXhaE1Jk9r6cMPwatA0</v>
      </c>
      <c r="S346" s="1">
        <f ca="1">IFERROR(__xludf.DUMMYFUNCTION("""COMPUTED_VALUE"""),40000000)</f>
        <v>40000000</v>
      </c>
      <c r="T346" s="1" t="str">
        <f ca="1">IFERROR(__xludf.DUMMYFUNCTION("""COMPUTED_VALUE"""),"Gold")</f>
        <v>Gold</v>
      </c>
      <c r="U346" s="1" t="str">
        <f ca="1">IFERROR(__xludf.DUMMYFUNCTION("""COMPUTED_VALUE"""),"Branch")</f>
        <v>Branch</v>
      </c>
    </row>
    <row r="347" spans="1:21" x14ac:dyDescent="0.25">
      <c r="A347" s="2" t="str">
        <f ca="1">IFERROR(__xludf.DUMMYFUNCTION("""COMPUTED_VALUE"""),"APP0346")</f>
        <v>APP0346</v>
      </c>
      <c r="B347" s="2">
        <f ca="1">IFERROR(__xludf.DUMMYFUNCTION("""COMPUTED_VALUE"""),45917.1972222222)</f>
        <v>45917.197222222203</v>
      </c>
      <c r="C347" s="1" t="str">
        <f ca="1">IFERROR(__xludf.DUMMYFUNCTION("""COMPUTED_VALUE"""),"Ngô Đức Quân")</f>
        <v>Ngô Đức Quân</v>
      </c>
      <c r="D347" s="1" t="str">
        <f ca="1">IFERROR(__xludf.DUMMYFUNCTION("""COMPUTED_VALUE"""),"04/12/1980")</f>
        <v>04/12/1980</v>
      </c>
      <c r="E347" s="1" t="str">
        <f ca="1">IFERROR(__xludf.DUMMYFUNCTION("""COMPUTED_VALUE"""),"Female")</f>
        <v>Female</v>
      </c>
      <c r="F347" s="1" t="str">
        <f ca="1">IFERROR(__xludf.DUMMYFUNCTION("""COMPUTED_VALUE"""),"Vietnam")</f>
        <v>Vietnam</v>
      </c>
      <c r="G347" s="1" t="str">
        <f ca="1">IFERROR(__xludf.DUMMYFUNCTION("""COMPUTED_VALUE"""),"0716322959")</f>
        <v>0716322959</v>
      </c>
      <c r="H347" s="1" t="str">
        <f ca="1">IFERROR(__xludf.DUMMYFUNCTION("""COMPUTED_VALUE"""),"ngoducquan@gmail.com")</f>
        <v>ngoducquan@gmail.com</v>
      </c>
      <c r="I347" s="1" t="str">
        <f ca="1">IFERROR(__xludf.DUMMYFUNCTION("""COMPUTED_VALUE"""),"137 Pham Van Dong, Dong Da, Can Tho, Viet Nam")</f>
        <v>137 Pham Van Dong, Dong Da, Can Tho, Viet Nam</v>
      </c>
      <c r="J347" s="1" t="str">
        <f ca="1">IFERROR(__xludf.DUMMYFUNCTION("""COMPUTED_VALUE"""),"02849136236")</f>
        <v>02849136236</v>
      </c>
      <c r="K347" s="3" t="str">
        <f ca="1">IFERROR(__xludf.DUMMYFUNCTION("""COMPUTED_VALUE"""),"https://drive.google.com/open?id=qUSQrAfGsJzSQAcHfFVb")</f>
        <v>https://drive.google.com/open?id=qUSQrAfGsJzSQAcHfFVb</v>
      </c>
      <c r="L347" s="3" t="str">
        <f ca="1">IFERROR(__xludf.DUMMYFUNCTION("""COMPUTED_VALUE"""),"https://drive.google.com/open?id=utg5uxliX6nGwTyjVOlF")</f>
        <v>https://drive.google.com/open?id=utg5uxliX6nGwTyjVOlF</v>
      </c>
      <c r="M347" s="1"/>
      <c r="N347" s="1"/>
      <c r="O347" s="1"/>
      <c r="P347" s="1" t="str">
        <f ca="1">IFERROR(__xludf.DUMMYFUNCTION("""COMPUTED_VALUE"""),"Part-time")</f>
        <v>Part-time</v>
      </c>
      <c r="Q347" s="1">
        <f ca="1">IFERROR(__xludf.DUMMYFUNCTION("""COMPUTED_VALUE"""),5000000)</f>
        <v>5000000</v>
      </c>
      <c r="R347" s="3" t="str">
        <f ca="1">IFERROR(__xludf.DUMMYFUNCTION("""COMPUTED_VALUE"""),"https://drive.google.com/open?id=yH01uiKD7L3jL6ja3k4E")</f>
        <v>https://drive.google.com/open?id=yH01uiKD7L3jL6ja3k4E</v>
      </c>
      <c r="S347" s="1">
        <f ca="1">IFERROR(__xludf.DUMMYFUNCTION("""COMPUTED_VALUE"""),10000000)</f>
        <v>10000000</v>
      </c>
      <c r="T347" s="1" t="str">
        <f ca="1">IFERROR(__xludf.DUMMYFUNCTION("""COMPUTED_VALUE"""),"Platinum")</f>
        <v>Platinum</v>
      </c>
      <c r="U347" s="1" t="str">
        <f ca="1">IFERROR(__xludf.DUMMYFUNCTION("""COMPUTED_VALUE"""),"Branch")</f>
        <v>Branch</v>
      </c>
    </row>
    <row r="348" spans="1:21" x14ac:dyDescent="0.25">
      <c r="A348" s="2" t="str">
        <f ca="1">IFERROR(__xludf.DUMMYFUNCTION("""COMPUTED_VALUE"""),"APP0347")</f>
        <v>APP0347</v>
      </c>
      <c r="B348" s="2">
        <f ca="1">IFERROR(__xludf.DUMMYFUNCTION("""COMPUTED_VALUE"""),45917.2288194444)</f>
        <v>45917.228819444397</v>
      </c>
      <c r="C348" s="1" t="str">
        <f ca="1">IFERROR(__xludf.DUMMYFUNCTION("""COMPUTED_VALUE"""),"Richard Rush")</f>
        <v>Richard Rush</v>
      </c>
      <c r="D348" s="1" t="str">
        <f ca="1">IFERROR(__xludf.DUMMYFUNCTION("""COMPUTED_VALUE"""),"01/10/1995")</f>
        <v>01/10/1995</v>
      </c>
      <c r="E348" s="1" t="str">
        <f ca="1">IFERROR(__xludf.DUMMYFUNCTION("""COMPUTED_VALUE"""),"Female")</f>
        <v>Female</v>
      </c>
      <c r="F348" s="1" t="str">
        <f ca="1">IFERROR(__xludf.DUMMYFUNCTION("""COMPUTED_VALUE"""),"Other")</f>
        <v>Other</v>
      </c>
      <c r="G348" s="1" t="str">
        <f ca="1">IFERROR(__xludf.DUMMYFUNCTION("""COMPUTED_VALUE"""),"+91 5676670879")</f>
        <v>+91 5676670879</v>
      </c>
      <c r="H348" s="1" t="str">
        <f ca="1">IFERROR(__xludf.DUMMYFUNCTION("""COMPUTED_VALUE"""),"richardrush@gmail.com")</f>
        <v>richardrush@gmail.com</v>
      </c>
      <c r="I348" s="1" t="str">
        <f ca="1">IFERROR(__xludf.DUMMYFUNCTION("""COMPUTED_VALUE"""),"0093 Ruiz Junction, Lake Timothyport, AR 34778")</f>
        <v>0093 Ruiz Junction, Lake Timothyport, AR 34778</v>
      </c>
      <c r="J348" s="1"/>
      <c r="K348" s="1"/>
      <c r="L348" s="1"/>
      <c r="M348" s="1" t="str">
        <f ca="1">IFERROR(__xludf.DUMMYFUNCTION("""COMPUTED_VALUE"""),"de592862")</f>
        <v>de592862</v>
      </c>
      <c r="N348" s="3" t="str">
        <f ca="1">IFERROR(__xludf.DUMMYFUNCTION("""COMPUTED_VALUE"""),"https://drive.google.com/open?id=Te5flZ4Eq4i9ishiGmXn")</f>
        <v>https://drive.google.com/open?id=Te5flZ4Eq4i9ishiGmXn</v>
      </c>
      <c r="O348" s="3" t="str">
        <f ca="1">IFERROR(__xludf.DUMMYFUNCTION("""COMPUTED_VALUE"""),"https://drive.google.com/open?id=UEGazcngjTeGnnzbswRE")</f>
        <v>https://drive.google.com/open?id=UEGazcngjTeGnnzbswRE</v>
      </c>
      <c r="P348" s="1" t="str">
        <f ca="1">IFERROR(__xludf.DUMMYFUNCTION("""COMPUTED_VALUE"""),"Contract")</f>
        <v>Contract</v>
      </c>
      <c r="Q348" s="1">
        <f ca="1">IFERROR(__xludf.DUMMYFUNCTION("""COMPUTED_VALUE"""),5000000)</f>
        <v>5000000</v>
      </c>
      <c r="R348" s="3" t="str">
        <f ca="1">IFERROR(__xludf.DUMMYFUNCTION("""COMPUTED_VALUE"""),"https://drive.google.com/open?id=939zkymUTQhvYlR8WiLI")</f>
        <v>https://drive.google.com/open?id=939zkymUTQhvYlR8WiLI</v>
      </c>
      <c r="S348" s="1">
        <f ca="1">IFERROR(__xludf.DUMMYFUNCTION("""COMPUTED_VALUE"""),15000000)</f>
        <v>15000000</v>
      </c>
      <c r="T348" s="1" t="str">
        <f ca="1">IFERROR(__xludf.DUMMYFUNCTION("""COMPUTED_VALUE"""),"Classic")</f>
        <v>Classic</v>
      </c>
      <c r="U348" s="1" t="str">
        <f ca="1">IFERROR(__xludf.DUMMYFUNCTION("""COMPUTED_VALUE"""),"Online")</f>
        <v>Online</v>
      </c>
    </row>
    <row r="349" spans="1:21" x14ac:dyDescent="0.25">
      <c r="A349" s="2" t="str">
        <f ca="1">IFERROR(__xludf.DUMMYFUNCTION("""COMPUTED_VALUE"""),"APP0348")</f>
        <v>APP0348</v>
      </c>
      <c r="B349" s="2">
        <f ca="1">IFERROR(__xludf.DUMMYFUNCTION("""COMPUTED_VALUE"""),45917.2583564814)</f>
        <v>45917.258356481398</v>
      </c>
      <c r="C349" s="1" t="str">
        <f ca="1">IFERROR(__xludf.DUMMYFUNCTION("""COMPUTED_VALUE"""),"Suzanne Warren")</f>
        <v>Suzanne Warren</v>
      </c>
      <c r="D349" s="1" t="str">
        <f ca="1">IFERROR(__xludf.DUMMYFUNCTION("""COMPUTED_VALUE"""),"11/04/1987")</f>
        <v>11/04/1987</v>
      </c>
      <c r="E349" s="1" t="str">
        <f ca="1">IFERROR(__xludf.DUMMYFUNCTION("""COMPUTED_VALUE"""),"Female")</f>
        <v>Female</v>
      </c>
      <c r="F349" s="1" t="str">
        <f ca="1">IFERROR(__xludf.DUMMYFUNCTION("""COMPUTED_VALUE"""),"Other")</f>
        <v>Other</v>
      </c>
      <c r="G349" s="1" t="str">
        <f ca="1">IFERROR(__xludf.DUMMYFUNCTION("""COMPUTED_VALUE"""),"+33 8128005379")</f>
        <v>+33 8128005379</v>
      </c>
      <c r="H349" s="1" t="str">
        <f ca="1">IFERROR(__xludf.DUMMYFUNCTION("""COMPUTED_VALUE"""),"suzannewarren@gmail.com")</f>
        <v>suzannewarren@gmail.com</v>
      </c>
      <c r="I349" s="1" t="str">
        <f ca="1">IFERROR(__xludf.DUMMYFUNCTION("""COMPUTED_VALUE"""),"79527 Oscar Forest Apt. 887, Port Sonya, LA 06085")</f>
        <v>79527 Oscar Forest Apt. 887, Port Sonya, LA 06085</v>
      </c>
      <c r="J349" s="1"/>
      <c r="K349" s="1"/>
      <c r="L349" s="1"/>
      <c r="M349" s="1" t="str">
        <f ca="1">IFERROR(__xludf.DUMMYFUNCTION("""COMPUTED_VALUE"""),"Dc567002")</f>
        <v>Dc567002</v>
      </c>
      <c r="N349" s="3" t="str">
        <f ca="1">IFERROR(__xludf.DUMMYFUNCTION("""COMPUTED_VALUE"""),"https://drive.google.com/open?id=6KS03M25Ejr8DfTF3Bdf")</f>
        <v>https://drive.google.com/open?id=6KS03M25Ejr8DfTF3Bdf</v>
      </c>
      <c r="O349" s="3" t="str">
        <f ca="1">IFERROR(__xludf.DUMMYFUNCTION("""COMPUTED_VALUE"""),"https://drive.google.com/open?id=8pLvbjoEZNCVoUzqctr2")</f>
        <v>https://drive.google.com/open?id=8pLvbjoEZNCVoUzqctr2</v>
      </c>
      <c r="P349" s="1" t="str">
        <f ca="1">IFERROR(__xludf.DUMMYFUNCTION("""COMPUTED_VALUE"""),"Full-time")</f>
        <v>Full-time</v>
      </c>
      <c r="Q349" s="1">
        <f ca="1">IFERROR(__xludf.DUMMYFUNCTION("""COMPUTED_VALUE"""),12000000)</f>
        <v>12000000</v>
      </c>
      <c r="R349" s="3" t="str">
        <f ca="1">IFERROR(__xludf.DUMMYFUNCTION("""COMPUTED_VALUE"""),"https://drive.google.com/open?id=geTscWIWK4F2zewSpaT3")</f>
        <v>https://drive.google.com/open?id=geTscWIWK4F2zewSpaT3</v>
      </c>
      <c r="S349" s="1">
        <f ca="1">IFERROR(__xludf.DUMMYFUNCTION("""COMPUTED_VALUE"""),60000000)</f>
        <v>60000000</v>
      </c>
      <c r="T349" s="1" t="str">
        <f ca="1">IFERROR(__xludf.DUMMYFUNCTION("""COMPUTED_VALUE"""),"Classic")</f>
        <v>Classic</v>
      </c>
      <c r="U349" s="1" t="str">
        <f ca="1">IFERROR(__xludf.DUMMYFUNCTION("""COMPUTED_VALUE"""),"Partner")</f>
        <v>Partner</v>
      </c>
    </row>
    <row r="350" spans="1:21" x14ac:dyDescent="0.25">
      <c r="A350" s="2" t="str">
        <f ca="1">IFERROR(__xludf.DUMMYFUNCTION("""COMPUTED_VALUE"""),"APP0349")</f>
        <v>APP0349</v>
      </c>
      <c r="B350" s="2">
        <f ca="1">IFERROR(__xludf.DUMMYFUNCTION("""COMPUTED_VALUE"""),45917.2608796296)</f>
        <v>45917.260879629597</v>
      </c>
      <c r="C350" s="1" t="str">
        <f ca="1">IFERROR(__xludf.DUMMYFUNCTION("""COMPUTED_VALUE"""),"Huỳnh Đức Giang")</f>
        <v>Huỳnh Đức Giang</v>
      </c>
      <c r="D350" s="1" t="str">
        <f ca="1">IFERROR(__xludf.DUMMYFUNCTION("""COMPUTED_VALUE"""),"27/04/1975")</f>
        <v>27/04/1975</v>
      </c>
      <c r="E350" s="1" t="str">
        <f ca="1">IFERROR(__xludf.DUMMYFUNCTION("""COMPUTED_VALUE"""),"Male")</f>
        <v>Male</v>
      </c>
      <c r="F350" s="1" t="str">
        <f ca="1">IFERROR(__xludf.DUMMYFUNCTION("""COMPUTED_VALUE"""),"Vietnam")</f>
        <v>Vietnam</v>
      </c>
      <c r="G350" s="1" t="str">
        <f ca="1">IFERROR(__xludf.DUMMYFUNCTION("""COMPUTED_VALUE"""),"0739640685")</f>
        <v>0739640685</v>
      </c>
      <c r="H350" s="1" t="str">
        <f ca="1">IFERROR(__xludf.DUMMYFUNCTION("""COMPUTED_VALUE"""),"huynhducgiang@gmail.com")</f>
        <v>huynhducgiang@gmail.com</v>
      </c>
      <c r="I350" s="1" t="str">
        <f ca="1">IFERROR(__xludf.DUMMYFUNCTION("""COMPUTED_VALUE"""),"8 Pham Van Dong, Dong Da, TP Ho Chi Minh, Viet Nam")</f>
        <v>8 Pham Van Dong, Dong Da, TP Ho Chi Minh, Viet Nam</v>
      </c>
      <c r="J350" s="1" t="str">
        <f ca="1">IFERROR(__xludf.DUMMYFUNCTION("""COMPUTED_VALUE"""),"097625783290")</f>
        <v>097625783290</v>
      </c>
      <c r="K350" s="3" t="str">
        <f ca="1">IFERROR(__xludf.DUMMYFUNCTION("""COMPUTED_VALUE"""),"https://drive.google.com/open?id=31DT7NFsKM5HaWSx8ise")</f>
        <v>https://drive.google.com/open?id=31DT7NFsKM5HaWSx8ise</v>
      </c>
      <c r="L350" s="3" t="str">
        <f ca="1">IFERROR(__xludf.DUMMYFUNCTION("""COMPUTED_VALUE"""),"https://drive.google.com/open?id=t3wfgMU8PZUahnIie54y")</f>
        <v>https://drive.google.com/open?id=t3wfgMU8PZUahnIie54y</v>
      </c>
      <c r="M350" s="1"/>
      <c r="N350" s="1"/>
      <c r="O350" s="1"/>
      <c r="P350" s="1" t="str">
        <f ca="1">IFERROR(__xludf.DUMMYFUNCTION("""COMPUTED_VALUE"""),"Contract")</f>
        <v>Contract</v>
      </c>
      <c r="Q350" s="1">
        <f ca="1">IFERROR(__xludf.DUMMYFUNCTION("""COMPUTED_VALUE"""),50000000)</f>
        <v>50000000</v>
      </c>
      <c r="R350" s="3" t="str">
        <f ca="1">IFERROR(__xludf.DUMMYFUNCTION("""COMPUTED_VALUE"""),"https://drive.google.com/open?id=rV5sVSyBeafsNDTA5Ntf")</f>
        <v>https://drive.google.com/open?id=rV5sVSyBeafsNDTA5Ntf</v>
      </c>
      <c r="S350" s="1">
        <f ca="1">IFERROR(__xludf.DUMMYFUNCTION("""COMPUTED_VALUE"""),100000000)</f>
        <v>100000000</v>
      </c>
      <c r="T350" s="1" t="str">
        <f ca="1">IFERROR(__xludf.DUMMYFUNCTION("""COMPUTED_VALUE"""),"Platinum")</f>
        <v>Platinum</v>
      </c>
      <c r="U350" s="1" t="str">
        <f ca="1">IFERROR(__xludf.DUMMYFUNCTION("""COMPUTED_VALUE"""),"Branch")</f>
        <v>Branch</v>
      </c>
    </row>
    <row r="351" spans="1:21" x14ac:dyDescent="0.25">
      <c r="A351" s="2" t="str">
        <f ca="1">IFERROR(__xludf.DUMMYFUNCTION("""COMPUTED_VALUE"""),"APP0350")</f>
        <v>APP0350</v>
      </c>
      <c r="B351" s="2">
        <f ca="1">IFERROR(__xludf.DUMMYFUNCTION("""COMPUTED_VALUE"""),45917.3345601851)</f>
        <v>45917.334560185103</v>
      </c>
      <c r="C351" s="1" t="str">
        <f ca="1">IFERROR(__xludf.DUMMYFUNCTION("""COMPUTED_VALUE"""),"Hồ Minh Hải")</f>
        <v>Hồ Minh Hải</v>
      </c>
      <c r="D351" s="1" t="str">
        <f ca="1">IFERROR(__xludf.DUMMYFUNCTION("""COMPUTED_VALUE"""),"27/02/1970")</f>
        <v>27/02/1970</v>
      </c>
      <c r="E351" s="1" t="str">
        <f ca="1">IFERROR(__xludf.DUMMYFUNCTION("""COMPUTED_VALUE"""),"Male")</f>
        <v>Male</v>
      </c>
      <c r="F351" s="1" t="str">
        <f ca="1">IFERROR(__xludf.DUMMYFUNCTION("""COMPUTED_VALUE"""),"Vietnam")</f>
        <v>Vietnam</v>
      </c>
      <c r="G351" s="1" t="str">
        <f ca="1">IFERROR(__xludf.DUMMYFUNCTION("""COMPUTED_VALUE"""),"0952955513")</f>
        <v>0952955513</v>
      </c>
      <c r="H351" s="1" t="str">
        <f ca="1">IFERROR(__xludf.DUMMYFUNCTION("""COMPUTED_VALUE"""),"hominhhai@gmail.com")</f>
        <v>hominhhai@gmail.com</v>
      </c>
      <c r="I351" s="1" t="str">
        <f ca="1">IFERROR(__xludf.DUMMYFUNCTION("""COMPUTED_VALUE"""),"37 Pham Van Dong, Hai Chau, Hai Phong, Viet Nam")</f>
        <v>37 Pham Van Dong, Hai Chau, Hai Phong, Viet Nam</v>
      </c>
      <c r="J351" s="1" t="str">
        <f ca="1">IFERROR(__xludf.DUMMYFUNCTION("""COMPUTED_VALUE"""),"072992784898")</f>
        <v>072992784898</v>
      </c>
      <c r="K351" s="3" t="str">
        <f ca="1">IFERROR(__xludf.DUMMYFUNCTION("""COMPUTED_VALUE"""),"https://drive.google.com/open?id=5kFHMWQaqlYeLwwDPgny")</f>
        <v>https://drive.google.com/open?id=5kFHMWQaqlYeLwwDPgny</v>
      </c>
      <c r="L351" s="3" t="str">
        <f ca="1">IFERROR(__xludf.DUMMYFUNCTION("""COMPUTED_VALUE"""),"https://drive.google.com/open?id=vXkJO30w8hLLSSTERlpx")</f>
        <v>https://drive.google.com/open?id=vXkJO30w8hLLSSTERlpx</v>
      </c>
      <c r="M351" s="1"/>
      <c r="N351" s="1"/>
      <c r="O351" s="1"/>
      <c r="P351" s="1" t="str">
        <f ca="1">IFERROR(__xludf.DUMMYFUNCTION("""COMPUTED_VALUE"""),"Contract")</f>
        <v>Contract</v>
      </c>
      <c r="Q351" s="1">
        <f ca="1">IFERROR(__xludf.DUMMYFUNCTION("""COMPUTED_VALUE"""),12000000)</f>
        <v>12000000</v>
      </c>
      <c r="R351" s="3" t="str">
        <f ca="1">IFERROR(__xludf.DUMMYFUNCTION("""COMPUTED_VALUE"""),"https://drive.google.com/open?id=Jij6iWYGiyWQGXsKgt0j")</f>
        <v>https://drive.google.com/open?id=Jij6iWYGiyWQGXsKgt0j</v>
      </c>
      <c r="S351" s="1">
        <f ca="1">IFERROR(__xludf.DUMMYFUNCTION("""COMPUTED_VALUE"""),24000000)</f>
        <v>24000000</v>
      </c>
      <c r="T351" s="1" t="str">
        <f ca="1">IFERROR(__xludf.DUMMYFUNCTION("""COMPUTED_VALUE"""),"Platinum")</f>
        <v>Platinum</v>
      </c>
      <c r="U351" s="1" t="str">
        <f ca="1">IFERROR(__xludf.DUMMYFUNCTION("""COMPUTED_VALUE"""),"Branch")</f>
        <v>Branch</v>
      </c>
    </row>
    <row r="352" spans="1:21" x14ac:dyDescent="0.25">
      <c r="A352" s="2" t="str">
        <f ca="1">IFERROR(__xludf.DUMMYFUNCTION("""COMPUTED_VALUE"""),"APP0351")</f>
        <v>APP0351</v>
      </c>
      <c r="B352" s="2">
        <f ca="1">IFERROR(__xludf.DUMMYFUNCTION("""COMPUTED_VALUE"""),45917.3748032407)</f>
        <v>45917.374803240702</v>
      </c>
      <c r="C352" s="1" t="str">
        <f ca="1">IFERROR(__xludf.DUMMYFUNCTION("""COMPUTED_VALUE"""),"Nguyễn Văn Trung")</f>
        <v>Nguyễn Văn Trung</v>
      </c>
      <c r="D352" s="1" t="str">
        <f ca="1">IFERROR(__xludf.DUMMYFUNCTION("""COMPUTED_VALUE"""),"11/06/1982")</f>
        <v>11/06/1982</v>
      </c>
      <c r="E352" s="1" t="str">
        <f ca="1">IFERROR(__xludf.DUMMYFUNCTION("""COMPUTED_VALUE"""),"Male")</f>
        <v>Male</v>
      </c>
      <c r="F352" s="1" t="str">
        <f ca="1">IFERROR(__xludf.DUMMYFUNCTION("""COMPUTED_VALUE"""),"Vietnam")</f>
        <v>Vietnam</v>
      </c>
      <c r="G352" s="1" t="str">
        <f ca="1">IFERROR(__xludf.DUMMYFUNCTION("""COMPUTED_VALUE"""),"0983512057")</f>
        <v>0983512057</v>
      </c>
      <c r="H352" s="1" t="str">
        <f ca="1">IFERROR(__xludf.DUMMYFUNCTION("""COMPUTED_VALUE"""),"nguyenvantrung@gmail.com")</f>
        <v>nguyenvantrung@gmail.com</v>
      </c>
      <c r="I352" s="1" t="str">
        <f ca="1">IFERROR(__xludf.DUMMYFUNCTION("""COMPUTED_VALUE"""),"23 Nguyen Hue, Dong Da, TP Ho Chi Minh, Viet Nam")</f>
        <v>23 Nguyen Hue, Dong Da, TP Ho Chi Minh, Viet Nam</v>
      </c>
      <c r="J352" s="1" t="str">
        <f ca="1">IFERROR(__xludf.DUMMYFUNCTION("""COMPUTED_VALUE"""),"023994482434")</f>
        <v>023994482434</v>
      </c>
      <c r="K352" s="3" t="str">
        <f ca="1">IFERROR(__xludf.DUMMYFUNCTION("""COMPUTED_VALUE"""),"https://drive.google.com/open?id=NOIHHWMpnN2CS1BKShB2")</f>
        <v>https://drive.google.com/open?id=NOIHHWMpnN2CS1BKShB2</v>
      </c>
      <c r="L352" s="3" t="str">
        <f ca="1">IFERROR(__xludf.DUMMYFUNCTION("""COMPUTED_VALUE"""),"https://drive.google.com/open?id=gFSYjGq7rLZLZJQdWQxO")</f>
        <v>https://drive.google.com/open?id=gFSYjGq7rLZLZJQdWQxO</v>
      </c>
      <c r="M352" s="1"/>
      <c r="N352" s="1"/>
      <c r="O352" s="1"/>
      <c r="P352" s="1" t="str">
        <f ca="1">IFERROR(__xludf.DUMMYFUNCTION("""COMPUTED_VALUE"""),"Part-time")</f>
        <v>Part-time</v>
      </c>
      <c r="Q352" s="1">
        <f ca="1">IFERROR(__xludf.DUMMYFUNCTION("""COMPUTED_VALUE"""),50000000)</f>
        <v>50000000</v>
      </c>
      <c r="R352" s="3" t="str">
        <f ca="1">IFERROR(__xludf.DUMMYFUNCTION("""COMPUTED_VALUE"""),"https://drive.google.com/open?id=OIkaLQfHB6Lbs9NnlnEO")</f>
        <v>https://drive.google.com/open?id=OIkaLQfHB6Lbs9NnlnEO</v>
      </c>
      <c r="S352" s="1">
        <f ca="1">IFERROR(__xludf.DUMMYFUNCTION("""COMPUTED_VALUE"""),150000000)</f>
        <v>150000000</v>
      </c>
      <c r="T352" s="1" t="str">
        <f ca="1">IFERROR(__xludf.DUMMYFUNCTION("""COMPUTED_VALUE"""),"Gold")</f>
        <v>Gold</v>
      </c>
      <c r="U352" s="1" t="str">
        <f ca="1">IFERROR(__xludf.DUMMYFUNCTION("""COMPUTED_VALUE"""),"Partner")</f>
        <v>Partner</v>
      </c>
    </row>
    <row r="353" spans="1:21" x14ac:dyDescent="0.25">
      <c r="A353" s="2" t="str">
        <f ca="1">IFERROR(__xludf.DUMMYFUNCTION("""COMPUTED_VALUE"""),"APP0352")</f>
        <v>APP0352</v>
      </c>
      <c r="B353" s="2">
        <f ca="1">IFERROR(__xludf.DUMMYFUNCTION("""COMPUTED_VALUE"""),45917.5792708333)</f>
        <v>45917.579270833303</v>
      </c>
      <c r="C353" s="1" t="str">
        <f ca="1">IFERROR(__xludf.DUMMYFUNCTION("""COMPUTED_VALUE"""),"Võ Minh Giang")</f>
        <v>Võ Minh Giang</v>
      </c>
      <c r="D353" s="1" t="str">
        <f ca="1">IFERROR(__xludf.DUMMYFUNCTION("""COMPUTED_VALUE"""),"20/09/1986")</f>
        <v>20/09/1986</v>
      </c>
      <c r="E353" s="1" t="str">
        <f ca="1">IFERROR(__xludf.DUMMYFUNCTION("""COMPUTED_VALUE"""),"Female")</f>
        <v>Female</v>
      </c>
      <c r="F353" s="1" t="str">
        <f ca="1">IFERROR(__xludf.DUMMYFUNCTION("""COMPUTED_VALUE"""),"Vietnam")</f>
        <v>Vietnam</v>
      </c>
      <c r="G353" s="1" t="str">
        <f ca="1">IFERROR(__xludf.DUMMYFUNCTION("""COMPUTED_VALUE"""),"0868299183")</f>
        <v>0868299183</v>
      </c>
      <c r="H353" s="1" t="str">
        <f ca="1">IFERROR(__xludf.DUMMYFUNCTION("""COMPUTED_VALUE"""),"vominhgiang@gmail.com")</f>
        <v>vominhgiang@gmail.com</v>
      </c>
      <c r="I353" s="1" t="str">
        <f ca="1">IFERROR(__xludf.DUMMYFUNCTION("""COMPUTED_VALUE"""),"62 Tran Hung Dao, Quan 7, Da Nang, Viet Nam")</f>
        <v>62 Tran Hung Dao, Quan 7, Da Nang, Viet Nam</v>
      </c>
      <c r="J353" s="1" t="str">
        <f ca="1">IFERROR(__xludf.DUMMYFUNCTION("""COMPUTED_VALUE"""),"054188801555")</f>
        <v>054188801555</v>
      </c>
      <c r="K353" s="3" t="str">
        <f ca="1">IFERROR(__xludf.DUMMYFUNCTION("""COMPUTED_VALUE"""),"https://drive.google.com/open?id=xFOfmjOHExuZTImmPYuf")</f>
        <v>https://drive.google.com/open?id=xFOfmjOHExuZTImmPYuf</v>
      </c>
      <c r="L353" s="3" t="str">
        <f ca="1">IFERROR(__xludf.DUMMYFUNCTION("""COMPUTED_VALUE"""),"https://drive.google.com/open?id=HbFGQcYx8005Dc7dUVY6")</f>
        <v>https://drive.google.com/open?id=HbFGQcYx8005Dc7dUVY6</v>
      </c>
      <c r="M353" s="1"/>
      <c r="N353" s="1"/>
      <c r="O353" s="1"/>
      <c r="P353" s="1" t="str">
        <f ca="1">IFERROR(__xludf.DUMMYFUNCTION("""COMPUTED_VALUE"""),"Contract")</f>
        <v>Contract</v>
      </c>
      <c r="Q353" s="1">
        <f ca="1">IFERROR(__xludf.DUMMYFUNCTION("""COMPUTED_VALUE"""),8000000)</f>
        <v>8000000</v>
      </c>
      <c r="R353" s="3" t="str">
        <f ca="1">IFERROR(__xludf.DUMMYFUNCTION("""COMPUTED_VALUE"""),"https://drive.google.com/open?id=BEvLRGxFrFFZYLcm54Em")</f>
        <v>https://drive.google.com/open?id=BEvLRGxFrFFZYLcm54Em</v>
      </c>
      <c r="S353" s="1">
        <f ca="1">IFERROR(__xludf.DUMMYFUNCTION("""COMPUTED_VALUE"""),40000000)</f>
        <v>40000000</v>
      </c>
      <c r="T353" s="1" t="str">
        <f ca="1">IFERROR(__xludf.DUMMYFUNCTION("""COMPUTED_VALUE"""),"Platinum")</f>
        <v>Platinum</v>
      </c>
      <c r="U353" s="1" t="str">
        <f ca="1">IFERROR(__xludf.DUMMYFUNCTION("""COMPUTED_VALUE"""),"Online")</f>
        <v>Online</v>
      </c>
    </row>
    <row r="354" spans="1:21" x14ac:dyDescent="0.25">
      <c r="A354" s="2" t="str">
        <f ca="1">IFERROR(__xludf.DUMMYFUNCTION("""COMPUTED_VALUE"""),"APP0353")</f>
        <v>APP0353</v>
      </c>
      <c r="B354" s="2">
        <f ca="1">IFERROR(__xludf.DUMMYFUNCTION("""COMPUTED_VALUE"""),45917.6413657407)</f>
        <v>45917.641365740703</v>
      </c>
      <c r="C354" s="1" t="str">
        <f ca="1">IFERROR(__xludf.DUMMYFUNCTION("""COMPUTED_VALUE"""),"Hoàng Minh Thắng")</f>
        <v>Hoàng Minh Thắng</v>
      </c>
      <c r="D354" s="1" t="str">
        <f ca="1">IFERROR(__xludf.DUMMYFUNCTION("""COMPUTED_VALUE"""),"17/07/1987")</f>
        <v>17/07/1987</v>
      </c>
      <c r="E354" s="1" t="str">
        <f ca="1">IFERROR(__xludf.DUMMYFUNCTION("""COMPUTED_VALUE"""),"Male")</f>
        <v>Male</v>
      </c>
      <c r="F354" s="1" t="str">
        <f ca="1">IFERROR(__xludf.DUMMYFUNCTION("""COMPUTED_VALUE"""),"Vietnam")</f>
        <v>Vietnam</v>
      </c>
      <c r="G354" s="1" t="str">
        <f ca="1">IFERROR(__xludf.DUMMYFUNCTION("""COMPUTED_VALUE"""),"0956980196")</f>
        <v>0956980196</v>
      </c>
      <c r="H354" s="1" t="str">
        <f ca="1">IFERROR(__xludf.DUMMYFUNCTION("""COMPUTED_VALUE"""),"hoangminhthang@gmail.com")</f>
        <v>hoangminhthang@gmail.com</v>
      </c>
      <c r="I354" s="1" t="str">
        <f ca="1">IFERROR(__xludf.DUMMYFUNCTION("""COMPUTED_VALUE"""),"1 Nguyen Hue, Dong Da, Da Nang, Viet Nam")</f>
        <v>1 Nguyen Hue, Dong Da, Da Nang, Viet Nam</v>
      </c>
      <c r="J354" s="1" t="str">
        <f ca="1">IFERROR(__xludf.DUMMYFUNCTION("""COMPUTED_VALUE"""),"015530170168")</f>
        <v>015530170168</v>
      </c>
      <c r="K354" s="3" t="str">
        <f ca="1">IFERROR(__xludf.DUMMYFUNCTION("""COMPUTED_VALUE"""),"https://drive.google.com/open?id=HCfqPsdYlpigOI4BTqWU")</f>
        <v>https://drive.google.com/open?id=HCfqPsdYlpigOI4BTqWU</v>
      </c>
      <c r="L354" s="3" t="str">
        <f ca="1">IFERROR(__xludf.DUMMYFUNCTION("""COMPUTED_VALUE"""),"https://drive.google.com/open?id=nttg6pAY83kwHEwetnFz")</f>
        <v>https://drive.google.com/open?id=nttg6pAY83kwHEwetnFz</v>
      </c>
      <c r="M354" s="1"/>
      <c r="N354" s="1"/>
      <c r="O354" s="1"/>
      <c r="P354" s="1" t="str">
        <f ca="1">IFERROR(__xludf.DUMMYFUNCTION("""COMPUTED_VALUE"""),"Part-time")</f>
        <v>Part-time</v>
      </c>
      <c r="Q354" s="1">
        <f ca="1">IFERROR(__xludf.DUMMYFUNCTION("""COMPUTED_VALUE"""),12000000)</f>
        <v>12000000</v>
      </c>
      <c r="R354" s="3" t="str">
        <f ca="1">IFERROR(__xludf.DUMMYFUNCTION("""COMPUTED_VALUE"""),"https://drive.google.com/open?id=6sBTKNO2PwOnRwZ8oUzC")</f>
        <v>https://drive.google.com/open?id=6sBTKNO2PwOnRwZ8oUzC</v>
      </c>
      <c r="S354" s="1">
        <f ca="1">IFERROR(__xludf.DUMMYFUNCTION("""COMPUTED_VALUE"""),24000000)</f>
        <v>24000000</v>
      </c>
      <c r="T354" s="1" t="str">
        <f ca="1">IFERROR(__xludf.DUMMYFUNCTION("""COMPUTED_VALUE"""),"Classic")</f>
        <v>Classic</v>
      </c>
      <c r="U354" s="1" t="str">
        <f ca="1">IFERROR(__xludf.DUMMYFUNCTION("""COMPUTED_VALUE"""),"Partner")</f>
        <v>Partner</v>
      </c>
    </row>
    <row r="355" spans="1:21" x14ac:dyDescent="0.25">
      <c r="A355" s="2" t="str">
        <f ca="1">IFERROR(__xludf.DUMMYFUNCTION("""COMPUTED_VALUE"""),"APP0354")</f>
        <v>APP0354</v>
      </c>
      <c r="B355" s="2">
        <f ca="1">IFERROR(__xludf.DUMMYFUNCTION("""COMPUTED_VALUE"""),45917.6608217592)</f>
        <v>45917.6608217592</v>
      </c>
      <c r="C355" s="1" t="str">
        <f ca="1">IFERROR(__xludf.DUMMYFUNCTION("""COMPUTED_VALUE"""),"Huỳnh Thanh Hùng")</f>
        <v>Huỳnh Thanh Hùng</v>
      </c>
      <c r="D355" s="1" t="str">
        <f ca="1">IFERROR(__xludf.DUMMYFUNCTION("""COMPUTED_VALUE"""),"12/06/1979")</f>
        <v>12/06/1979</v>
      </c>
      <c r="E355" s="1" t="str">
        <f ca="1">IFERROR(__xludf.DUMMYFUNCTION("""COMPUTED_VALUE"""),"Male")</f>
        <v>Male</v>
      </c>
      <c r="F355" s="1" t="str">
        <f ca="1">IFERROR(__xludf.DUMMYFUNCTION("""COMPUTED_VALUE"""),"Vietnam")</f>
        <v>Vietnam</v>
      </c>
      <c r="G355" s="1" t="str">
        <f ca="1">IFERROR(__xludf.DUMMYFUNCTION("""COMPUTED_VALUE"""),"0746921367")</f>
        <v>0746921367</v>
      </c>
      <c r="H355" s="1" t="str">
        <f ca="1">IFERROR(__xludf.DUMMYFUNCTION("""COMPUTED_VALUE"""),"huynhthanhhung@gmail.com")</f>
        <v>huynhthanhhung@gmail.com</v>
      </c>
      <c r="I355" s="1" t="str">
        <f ca="1">IFERROR(__xludf.DUMMYFUNCTION("""COMPUTED_VALUE"""),"110 Pham Van Dong, Dong Da, Hai Phong, Viet Nam")</f>
        <v>110 Pham Van Dong, Dong Da, Hai Phong, Viet Nam</v>
      </c>
      <c r="J355" s="1" t="str">
        <f ca="1">IFERROR(__xludf.DUMMYFUNCTION("""COMPUTED_VALUE"""),"037147725157")</f>
        <v>037147725157</v>
      </c>
      <c r="K355" s="3" t="str">
        <f ca="1">IFERROR(__xludf.DUMMYFUNCTION("""COMPUTED_VALUE"""),"https://drive.google.com/open?id=7zs1md7gBhnrgYTHDdgR")</f>
        <v>https://drive.google.com/open?id=7zs1md7gBhnrgYTHDdgR</v>
      </c>
      <c r="L355" s="3" t="str">
        <f ca="1">IFERROR(__xludf.DUMMYFUNCTION("""COMPUTED_VALUE"""),"https://drive.google.com/open?id=qxtd6WjzJQQexUtKXkMy")</f>
        <v>https://drive.google.com/open?id=qxtd6WjzJQQexUtKXkMy</v>
      </c>
      <c r="M355" s="1"/>
      <c r="N355" s="1"/>
      <c r="O355" s="1"/>
      <c r="P355" s="1" t="str">
        <f ca="1">IFERROR(__xludf.DUMMYFUNCTION("""COMPUTED_VALUE"""),"Freelancer")</f>
        <v>Freelancer</v>
      </c>
      <c r="Q355" s="1">
        <f ca="1">IFERROR(__xludf.DUMMYFUNCTION("""COMPUTED_VALUE"""),8000000)</f>
        <v>8000000</v>
      </c>
      <c r="R355" s="3" t="str">
        <f ca="1">IFERROR(__xludf.DUMMYFUNCTION("""COMPUTED_VALUE"""),"https://drive.google.com/open?id=Tt8F1FkIzxGSTcP7fqVE")</f>
        <v>https://drive.google.com/open?id=Tt8F1FkIzxGSTcP7fqVE</v>
      </c>
      <c r="S355" s="1">
        <f ca="1">IFERROR(__xludf.DUMMYFUNCTION("""COMPUTED_VALUE"""),24000000)</f>
        <v>24000000</v>
      </c>
      <c r="T355" s="1" t="str">
        <f ca="1">IFERROR(__xludf.DUMMYFUNCTION("""COMPUTED_VALUE"""),"Classic")</f>
        <v>Classic</v>
      </c>
      <c r="U355" s="1" t="str">
        <f ca="1">IFERROR(__xludf.DUMMYFUNCTION("""COMPUTED_VALUE"""),"Branch")</f>
        <v>Branch</v>
      </c>
    </row>
    <row r="356" spans="1:21" x14ac:dyDescent="0.25">
      <c r="A356" s="2" t="str">
        <f ca="1">IFERROR(__xludf.DUMMYFUNCTION("""COMPUTED_VALUE"""),"APP0355")</f>
        <v>APP0355</v>
      </c>
      <c r="B356" s="2">
        <f ca="1">IFERROR(__xludf.DUMMYFUNCTION("""COMPUTED_VALUE"""),45917.6639583333)</f>
        <v>45917.663958333302</v>
      </c>
      <c r="C356" s="1" t="str">
        <f ca="1">IFERROR(__xludf.DUMMYFUNCTION("""COMPUTED_VALUE"""),"Huỳnh Đức Tuấn")</f>
        <v>Huỳnh Đức Tuấn</v>
      </c>
      <c r="D356" s="1" t="str">
        <f ca="1">IFERROR(__xludf.DUMMYFUNCTION("""COMPUTED_VALUE"""),"19/07/1968")</f>
        <v>19/07/1968</v>
      </c>
      <c r="E356" s="1" t="str">
        <f ca="1">IFERROR(__xludf.DUMMYFUNCTION("""COMPUTED_VALUE"""),"Female")</f>
        <v>Female</v>
      </c>
      <c r="F356" s="1" t="str">
        <f ca="1">IFERROR(__xludf.DUMMYFUNCTION("""COMPUTED_VALUE"""),"Vietnam")</f>
        <v>Vietnam</v>
      </c>
      <c r="G356" s="1" t="str">
        <f ca="1">IFERROR(__xludf.DUMMYFUNCTION("""COMPUTED_VALUE"""),"0750207527")</f>
        <v>0750207527</v>
      </c>
      <c r="H356" s="1" t="str">
        <f ca="1">IFERROR(__xludf.DUMMYFUNCTION("""COMPUTED_VALUE"""),"huynhductuan@gmail.com")</f>
        <v>huynhductuan@gmail.com</v>
      </c>
      <c r="I356" s="1" t="str">
        <f ca="1">IFERROR(__xludf.DUMMYFUNCTION("""COMPUTED_VALUE"""),"90 Le Loi, Quan 1, Hai Phong, Viet Nam")</f>
        <v>90 Le Loi, Quan 1, Hai Phong, Viet Nam</v>
      </c>
      <c r="J356" s="1" t="str">
        <f ca="1">IFERROR(__xludf.DUMMYFUNCTION("""COMPUTED_VALUE"""),"095206570878")</f>
        <v>095206570878</v>
      </c>
      <c r="K356" s="3" t="str">
        <f ca="1">IFERROR(__xludf.DUMMYFUNCTION("""COMPUTED_VALUE"""),"https://drive.google.com/open?id=WcE0kHhlOxkXZklrC2k4")</f>
        <v>https://drive.google.com/open?id=WcE0kHhlOxkXZklrC2k4</v>
      </c>
      <c r="L356" s="3" t="str">
        <f ca="1">IFERROR(__xludf.DUMMYFUNCTION("""COMPUTED_VALUE"""),"https://drive.google.com/open?id=osw3aIdwMVMTVJ8c3k97")</f>
        <v>https://drive.google.com/open?id=osw3aIdwMVMTVJ8c3k97</v>
      </c>
      <c r="M356" s="1"/>
      <c r="N356" s="1"/>
      <c r="O356" s="1"/>
      <c r="P356" s="1" t="str">
        <f ca="1">IFERROR(__xludf.DUMMYFUNCTION("""COMPUTED_VALUE"""),"Full-time")</f>
        <v>Full-time</v>
      </c>
      <c r="Q356" s="1">
        <f ca="1">IFERROR(__xludf.DUMMYFUNCTION("""COMPUTED_VALUE"""),12000000)</f>
        <v>12000000</v>
      </c>
      <c r="R356" s="3" t="str">
        <f ca="1">IFERROR(__xludf.DUMMYFUNCTION("""COMPUTED_VALUE"""),"https://drive.google.com/open?id=6eF4nrWlMbrVxJxRQarE")</f>
        <v>https://drive.google.com/open?id=6eF4nrWlMbrVxJxRQarE</v>
      </c>
      <c r="S356" s="1">
        <f ca="1">IFERROR(__xludf.DUMMYFUNCTION("""COMPUTED_VALUE"""),24000000)</f>
        <v>24000000</v>
      </c>
      <c r="T356" s="1" t="str">
        <f ca="1">IFERROR(__xludf.DUMMYFUNCTION("""COMPUTED_VALUE"""),"Gold")</f>
        <v>Gold</v>
      </c>
      <c r="U356" s="1" t="str">
        <f ca="1">IFERROR(__xludf.DUMMYFUNCTION("""COMPUTED_VALUE"""),"Online")</f>
        <v>Online</v>
      </c>
    </row>
    <row r="357" spans="1:21" x14ac:dyDescent="0.25">
      <c r="A357" s="2" t="str">
        <f ca="1">IFERROR(__xludf.DUMMYFUNCTION("""COMPUTED_VALUE"""),"APP0356")</f>
        <v>APP0356</v>
      </c>
      <c r="B357" s="2">
        <f ca="1">IFERROR(__xludf.DUMMYFUNCTION("""COMPUTED_VALUE"""),45917.6967708333)</f>
        <v>45917.696770833303</v>
      </c>
      <c r="C357" s="1" t="str">
        <f ca="1">IFERROR(__xludf.DUMMYFUNCTION("""COMPUTED_VALUE"""),"Robin Steele")</f>
        <v>Robin Steele</v>
      </c>
      <c r="D357" s="1" t="str">
        <f ca="1">IFERROR(__xludf.DUMMYFUNCTION("""COMPUTED_VALUE"""),"22/08/1987")</f>
        <v>22/08/1987</v>
      </c>
      <c r="E357" s="1" t="str">
        <f ca="1">IFERROR(__xludf.DUMMYFUNCTION("""COMPUTED_VALUE"""),"Female")</f>
        <v>Female</v>
      </c>
      <c r="F357" s="1" t="str">
        <f ca="1">IFERROR(__xludf.DUMMYFUNCTION("""COMPUTED_VALUE"""),"Other")</f>
        <v>Other</v>
      </c>
      <c r="G357" s="1" t="str">
        <f ca="1">IFERROR(__xludf.DUMMYFUNCTION("""COMPUTED_VALUE"""),"+44 8191625050")</f>
        <v>+44 8191625050</v>
      </c>
      <c r="H357" s="1" t="str">
        <f ca="1">IFERROR(__xludf.DUMMYFUNCTION("""COMPUTED_VALUE"""),"robinsteele@gmail.com")</f>
        <v>robinsteele@gmail.com</v>
      </c>
      <c r="I357" s="1" t="str">
        <f ca="1">IFERROR(__xludf.DUMMYFUNCTION("""COMPUTED_VALUE"""),"9108 Hamilton Brooks, Kathystad, WI 60513")</f>
        <v>9108 Hamilton Brooks, Kathystad, WI 60513</v>
      </c>
      <c r="J357" s="1"/>
      <c r="K357" s="1"/>
      <c r="L357" s="1"/>
      <c r="M357" s="1" t="str">
        <f ca="1">IFERROR(__xludf.DUMMYFUNCTION("""COMPUTED_VALUE"""),"mW367552")</f>
        <v>mW367552</v>
      </c>
      <c r="N357" s="3" t="str">
        <f ca="1">IFERROR(__xludf.DUMMYFUNCTION("""COMPUTED_VALUE"""),"https://drive.google.com/open?id=Qfnl3G61eA6xmoILhEtp")</f>
        <v>https://drive.google.com/open?id=Qfnl3G61eA6xmoILhEtp</v>
      </c>
      <c r="O357" s="3" t="str">
        <f ca="1">IFERROR(__xludf.DUMMYFUNCTION("""COMPUTED_VALUE"""),"https://drive.google.com/open?id=lJtq2tRgcfplriomkssI")</f>
        <v>https://drive.google.com/open?id=lJtq2tRgcfplriomkssI</v>
      </c>
      <c r="P357" s="1" t="str">
        <f ca="1">IFERROR(__xludf.DUMMYFUNCTION("""COMPUTED_VALUE"""),"Contract")</f>
        <v>Contract</v>
      </c>
      <c r="Q357" s="1">
        <f ca="1">IFERROR(__xludf.DUMMYFUNCTION("""COMPUTED_VALUE"""),50000000)</f>
        <v>50000000</v>
      </c>
      <c r="R357" s="3" t="str">
        <f ca="1">IFERROR(__xludf.DUMMYFUNCTION("""COMPUTED_VALUE"""),"https://drive.google.com/open?id=2z4bd02L3oAxZxjWxeJj")</f>
        <v>https://drive.google.com/open?id=2z4bd02L3oAxZxjWxeJj</v>
      </c>
      <c r="S357" s="1">
        <f ca="1">IFERROR(__xludf.DUMMYFUNCTION("""COMPUTED_VALUE"""),250000000)</f>
        <v>250000000</v>
      </c>
      <c r="T357" s="1" t="str">
        <f ca="1">IFERROR(__xludf.DUMMYFUNCTION("""COMPUTED_VALUE"""),"Platinum")</f>
        <v>Platinum</v>
      </c>
      <c r="U357" s="1" t="str">
        <f ca="1">IFERROR(__xludf.DUMMYFUNCTION("""COMPUTED_VALUE"""),"Branch")</f>
        <v>Branch</v>
      </c>
    </row>
    <row r="358" spans="1:21" x14ac:dyDescent="0.25">
      <c r="A358" s="2" t="str">
        <f ca="1">IFERROR(__xludf.DUMMYFUNCTION("""COMPUTED_VALUE"""),"APP0357")</f>
        <v>APP0357</v>
      </c>
      <c r="B358" s="2">
        <f ca="1">IFERROR(__xludf.DUMMYFUNCTION("""COMPUTED_VALUE"""),45917.7305092592)</f>
        <v>45917.7305092592</v>
      </c>
      <c r="C358" s="1" t="str">
        <f ca="1">IFERROR(__xludf.DUMMYFUNCTION("""COMPUTED_VALUE"""),"Michelle Turner")</f>
        <v>Michelle Turner</v>
      </c>
      <c r="D358" s="1" t="str">
        <f ca="1">IFERROR(__xludf.DUMMYFUNCTION("""COMPUTED_VALUE"""),"19/04/1995")</f>
        <v>19/04/1995</v>
      </c>
      <c r="E358" s="1" t="str">
        <f ca="1">IFERROR(__xludf.DUMMYFUNCTION("""COMPUTED_VALUE"""),"Female")</f>
        <v>Female</v>
      </c>
      <c r="F358" s="1" t="str">
        <f ca="1">IFERROR(__xludf.DUMMYFUNCTION("""COMPUTED_VALUE"""),"Other")</f>
        <v>Other</v>
      </c>
      <c r="G358" s="1" t="str">
        <f ca="1">IFERROR(__xludf.DUMMYFUNCTION("""COMPUTED_VALUE"""),"+91 8381482879")</f>
        <v>+91 8381482879</v>
      </c>
      <c r="H358" s="1" t="str">
        <f ca="1">IFERROR(__xludf.DUMMYFUNCTION("""COMPUTED_VALUE"""),"michelleturner@gmail.com")</f>
        <v>michelleturner@gmail.com</v>
      </c>
      <c r="I358" s="1" t="str">
        <f ca="1">IFERROR(__xludf.DUMMYFUNCTION("""COMPUTED_VALUE"""),"USCGC Green, FPO AP 41606")</f>
        <v>USCGC Green, FPO AP 41606</v>
      </c>
      <c r="J358" s="1"/>
      <c r="K358" s="1"/>
      <c r="L358" s="1"/>
      <c r="M358" s="1" t="str">
        <f ca="1">IFERROR(__xludf.DUMMYFUNCTION("""COMPUTED_VALUE"""),"vo798262")</f>
        <v>vo798262</v>
      </c>
      <c r="N358" s="3" t="str">
        <f ca="1">IFERROR(__xludf.DUMMYFUNCTION("""COMPUTED_VALUE"""),"https://drive.google.com/open?id=6Jq923zIgC6EuQxiXko7")</f>
        <v>https://drive.google.com/open?id=6Jq923zIgC6EuQxiXko7</v>
      </c>
      <c r="O358" s="3" t="str">
        <f ca="1">IFERROR(__xludf.DUMMYFUNCTION("""COMPUTED_VALUE"""),"https://drive.google.com/open?id=o0OaUSz6lMMOloUi4oyR")</f>
        <v>https://drive.google.com/open?id=o0OaUSz6lMMOloUi4oyR</v>
      </c>
      <c r="P358" s="1" t="str">
        <f ca="1">IFERROR(__xludf.DUMMYFUNCTION("""COMPUTED_VALUE"""),"Part-time")</f>
        <v>Part-time</v>
      </c>
      <c r="Q358" s="1">
        <f ca="1">IFERROR(__xludf.DUMMYFUNCTION("""COMPUTED_VALUE"""),5000000)</f>
        <v>5000000</v>
      </c>
      <c r="R358" s="3" t="str">
        <f ca="1">IFERROR(__xludf.DUMMYFUNCTION("""COMPUTED_VALUE"""),"https://drive.google.com/open?id=lpHBMVvTV83fZvz5UVGP")</f>
        <v>https://drive.google.com/open?id=lpHBMVvTV83fZvz5UVGP</v>
      </c>
      <c r="S358" s="1">
        <f ca="1">IFERROR(__xludf.DUMMYFUNCTION("""COMPUTED_VALUE"""),15000000)</f>
        <v>15000000</v>
      </c>
      <c r="T358" s="1" t="str">
        <f ca="1">IFERROR(__xludf.DUMMYFUNCTION("""COMPUTED_VALUE"""),"Classic")</f>
        <v>Classic</v>
      </c>
      <c r="U358" s="1" t="str">
        <f ca="1">IFERROR(__xludf.DUMMYFUNCTION("""COMPUTED_VALUE"""),"Partner")</f>
        <v>Partner</v>
      </c>
    </row>
    <row r="359" spans="1:21" x14ac:dyDescent="0.25">
      <c r="A359" s="2" t="str">
        <f ca="1">IFERROR(__xludf.DUMMYFUNCTION("""COMPUTED_VALUE"""),"APP0358")</f>
        <v>APP0358</v>
      </c>
      <c r="B359" s="2">
        <f ca="1">IFERROR(__xludf.DUMMYFUNCTION("""COMPUTED_VALUE"""),45917.89625)</f>
        <v>45917.896249999998</v>
      </c>
      <c r="C359" s="1" t="str">
        <f ca="1">IFERROR(__xludf.DUMMYFUNCTION("""COMPUTED_VALUE"""),"Phan Thị Quân")</f>
        <v>Phan Thị Quân</v>
      </c>
      <c r="D359" s="1" t="str">
        <f ca="1">IFERROR(__xludf.DUMMYFUNCTION("""COMPUTED_VALUE"""),"10/04/2003")</f>
        <v>10/04/2003</v>
      </c>
      <c r="E359" s="1" t="str">
        <f ca="1">IFERROR(__xludf.DUMMYFUNCTION("""COMPUTED_VALUE"""),"Female")</f>
        <v>Female</v>
      </c>
      <c r="F359" s="1" t="str">
        <f ca="1">IFERROR(__xludf.DUMMYFUNCTION("""COMPUTED_VALUE"""),"Vietnam")</f>
        <v>Vietnam</v>
      </c>
      <c r="G359" s="1" t="str">
        <f ca="1">IFERROR(__xludf.DUMMYFUNCTION("""COMPUTED_VALUE"""),"0923681166")</f>
        <v>0923681166</v>
      </c>
      <c r="H359" s="1" t="str">
        <f ca="1">IFERROR(__xludf.DUMMYFUNCTION("""COMPUTED_VALUE"""),"phanthiquan@gmail.com")</f>
        <v>phanthiquan@gmail.com</v>
      </c>
      <c r="I359" s="1" t="str">
        <f ca="1">IFERROR(__xludf.DUMMYFUNCTION("""COMPUTED_VALUE"""),"32 Ly Thuong Kiet, Hai Chau, Can Tho, Viet Nam")</f>
        <v>32 Ly Thuong Kiet, Hai Chau, Can Tho, Viet Nam</v>
      </c>
      <c r="J359" s="1" t="str">
        <f ca="1">IFERROR(__xludf.DUMMYFUNCTION("""COMPUTED_VALUE"""),"054317896464")</f>
        <v>054317896464</v>
      </c>
      <c r="K359" s="3" t="str">
        <f ca="1">IFERROR(__xludf.DUMMYFUNCTION("""COMPUTED_VALUE"""),"https://drive.google.com/open?id=igBAmaBp7GLOsj2GUPwe")</f>
        <v>https://drive.google.com/open?id=igBAmaBp7GLOsj2GUPwe</v>
      </c>
      <c r="L359" s="3" t="str">
        <f ca="1">IFERROR(__xludf.DUMMYFUNCTION("""COMPUTED_VALUE"""),"https://drive.google.com/open?id=jZdiW70OrdePDxF8kIN4")</f>
        <v>https://drive.google.com/open?id=jZdiW70OrdePDxF8kIN4</v>
      </c>
      <c r="M359" s="1"/>
      <c r="N359" s="1"/>
      <c r="O359" s="1"/>
      <c r="P359" s="1" t="str">
        <f ca="1">IFERROR(__xludf.DUMMYFUNCTION("""COMPUTED_VALUE"""),"Self-employed")</f>
        <v>Self-employed</v>
      </c>
      <c r="Q359" s="1">
        <f ca="1">IFERROR(__xludf.DUMMYFUNCTION("""COMPUTED_VALUE"""),20000000)</f>
        <v>20000000</v>
      </c>
      <c r="R359" s="3" t="str">
        <f ca="1">IFERROR(__xludf.DUMMYFUNCTION("""COMPUTED_VALUE"""),"https://drive.google.com/open?id=T4zzDI7nY56NAIM3r6mv")</f>
        <v>https://drive.google.com/open?id=T4zzDI7nY56NAIM3r6mv</v>
      </c>
      <c r="S359" s="1">
        <f ca="1">IFERROR(__xludf.DUMMYFUNCTION("""COMPUTED_VALUE"""),40000000)</f>
        <v>40000000</v>
      </c>
      <c r="T359" s="1" t="str">
        <f ca="1">IFERROR(__xludf.DUMMYFUNCTION("""COMPUTED_VALUE"""),"Platinum")</f>
        <v>Platinum</v>
      </c>
      <c r="U359" s="1" t="str">
        <f ca="1">IFERROR(__xludf.DUMMYFUNCTION("""COMPUTED_VALUE"""),"Branch")</f>
        <v>Branch</v>
      </c>
    </row>
    <row r="360" spans="1:21" x14ac:dyDescent="0.25">
      <c r="A360" s="2" t="str">
        <f ca="1">IFERROR(__xludf.DUMMYFUNCTION("""COMPUTED_VALUE"""),"APP0359")</f>
        <v>APP0359</v>
      </c>
      <c r="B360" s="2">
        <f ca="1">IFERROR(__xludf.DUMMYFUNCTION("""COMPUTED_VALUE"""),45917.9801504629)</f>
        <v>45917.980150462899</v>
      </c>
      <c r="C360" s="1" t="str">
        <f ca="1">IFERROR(__xludf.DUMMYFUNCTION("""COMPUTED_VALUE"""),"Hoàng Thanh Hiếu")</f>
        <v>Hoàng Thanh Hiếu</v>
      </c>
      <c r="D360" s="1" t="str">
        <f ca="1">IFERROR(__xludf.DUMMYFUNCTION("""COMPUTED_VALUE"""),"02/11/2006")</f>
        <v>02/11/2006</v>
      </c>
      <c r="E360" s="1" t="str">
        <f ca="1">IFERROR(__xludf.DUMMYFUNCTION("""COMPUTED_VALUE"""),"Male")</f>
        <v>Male</v>
      </c>
      <c r="F360" s="1" t="str">
        <f ca="1">IFERROR(__xludf.DUMMYFUNCTION("""COMPUTED_VALUE"""),"Vietnam")</f>
        <v>Vietnam</v>
      </c>
      <c r="G360" s="1" t="str">
        <f ca="1">IFERROR(__xludf.DUMMYFUNCTION("""COMPUTED_VALUE"""),"0984968086")</f>
        <v>0984968086</v>
      </c>
      <c r="H360" s="1" t="str">
        <f ca="1">IFERROR(__xludf.DUMMYFUNCTION("""COMPUTED_VALUE"""),"hoangthanhhieu@gmail.com")</f>
        <v>hoangthanhhieu@gmail.com</v>
      </c>
      <c r="I360" s="1" t="str">
        <f ca="1">IFERROR(__xludf.DUMMYFUNCTION("""COMPUTED_VALUE"""),"56 Nguyen Trai, Quan 7, Ha Noi, Viet Nam")</f>
        <v>56 Nguyen Trai, Quan 7, Ha Noi, Viet Nam</v>
      </c>
      <c r="J360" s="1" t="str">
        <f ca="1">IFERROR(__xludf.DUMMYFUNCTION("""COMPUTED_VALUE"""),"020181445112")</f>
        <v>020181445112</v>
      </c>
      <c r="K360" s="3" t="str">
        <f ca="1">IFERROR(__xludf.DUMMYFUNCTION("""COMPUTED_VALUE"""),"https://drive.google.com/open?id=ZpVxNodxImpiQVkAUZff")</f>
        <v>https://drive.google.com/open?id=ZpVxNodxImpiQVkAUZff</v>
      </c>
      <c r="L360" s="3" t="str">
        <f ca="1">IFERROR(__xludf.DUMMYFUNCTION("""COMPUTED_VALUE"""),"https://drive.google.com/open?id=AXAcRpsC3vJIoNByXz7m")</f>
        <v>https://drive.google.com/open?id=AXAcRpsC3vJIoNByXz7m</v>
      </c>
      <c r="M360" s="1"/>
      <c r="N360" s="1"/>
      <c r="O360" s="1"/>
      <c r="P360" s="1" t="str">
        <f ca="1">IFERROR(__xludf.DUMMYFUNCTION("""COMPUTED_VALUE"""),"Part-time")</f>
        <v>Part-time</v>
      </c>
      <c r="Q360" s="1">
        <f ca="1">IFERROR(__xludf.DUMMYFUNCTION("""COMPUTED_VALUE"""),5000000)</f>
        <v>5000000</v>
      </c>
      <c r="R360" s="3" t="str">
        <f ca="1">IFERROR(__xludf.DUMMYFUNCTION("""COMPUTED_VALUE"""),"https://drive.google.com/open?id=u059SuYgNeSuHoeapCqN")</f>
        <v>https://drive.google.com/open?id=u059SuYgNeSuHoeapCqN</v>
      </c>
      <c r="S360" s="1">
        <f ca="1">IFERROR(__xludf.DUMMYFUNCTION("""COMPUTED_VALUE"""),25000000)</f>
        <v>25000000</v>
      </c>
      <c r="T360" s="1" t="str">
        <f ca="1">IFERROR(__xludf.DUMMYFUNCTION("""COMPUTED_VALUE"""),"Gold")</f>
        <v>Gold</v>
      </c>
      <c r="U360" s="1" t="str">
        <f ca="1">IFERROR(__xludf.DUMMYFUNCTION("""COMPUTED_VALUE"""),"Online")</f>
        <v>Online</v>
      </c>
    </row>
    <row r="361" spans="1:21" x14ac:dyDescent="0.25">
      <c r="A361" s="2" t="str">
        <f ca="1">IFERROR(__xludf.DUMMYFUNCTION("""COMPUTED_VALUE"""),"APP0360")</f>
        <v>APP0360</v>
      </c>
      <c r="B361" s="2">
        <f ca="1">IFERROR(__xludf.DUMMYFUNCTION("""COMPUTED_VALUE"""),45918.0290856481)</f>
        <v>45918.029085648101</v>
      </c>
      <c r="C361" s="1" t="str">
        <f ca="1">IFERROR(__xludf.DUMMYFUNCTION("""COMPUTED_VALUE"""),"Vũ Đức Yến")</f>
        <v>Vũ Đức Yến</v>
      </c>
      <c r="D361" s="1" t="str">
        <f ca="1">IFERROR(__xludf.DUMMYFUNCTION("""COMPUTED_VALUE"""),"02/10/1978")</f>
        <v>02/10/1978</v>
      </c>
      <c r="E361" s="1" t="str">
        <f ca="1">IFERROR(__xludf.DUMMYFUNCTION("""COMPUTED_VALUE"""),"Female")</f>
        <v>Female</v>
      </c>
      <c r="F361" s="1" t="str">
        <f ca="1">IFERROR(__xludf.DUMMYFUNCTION("""COMPUTED_VALUE"""),"Vietnam")</f>
        <v>Vietnam</v>
      </c>
      <c r="G361" s="1" t="str">
        <f ca="1">IFERROR(__xludf.DUMMYFUNCTION("""COMPUTED_VALUE"""),"0761539775")</f>
        <v>0761539775</v>
      </c>
      <c r="H361" s="1" t="str">
        <f ca="1">IFERROR(__xludf.DUMMYFUNCTION("""COMPUTED_VALUE"""),"vuducyen@gmail.com")</f>
        <v>vuducyen@gmail.com</v>
      </c>
      <c r="I361" s="1" t="str">
        <f ca="1">IFERROR(__xludf.DUMMYFUNCTION("""COMPUTED_VALUE"""),"164 Nguyen Trai, Hoan Kiem, Hai Phong, Viet Nam")</f>
        <v>164 Nguyen Trai, Hoan Kiem, Hai Phong, Viet Nam</v>
      </c>
      <c r="J361" s="1" t="str">
        <f ca="1">IFERROR(__xludf.DUMMYFUNCTION("""COMPUTED_VALUE"""),"059688748039")</f>
        <v>059688748039</v>
      </c>
      <c r="K361" s="3" t="str">
        <f ca="1">IFERROR(__xludf.DUMMYFUNCTION("""COMPUTED_VALUE"""),"https://drive.google.com/open?id=AF8e97vCKNgp0ujHxzQN")</f>
        <v>https://drive.google.com/open?id=AF8e97vCKNgp0ujHxzQN</v>
      </c>
      <c r="L361" s="3" t="str">
        <f ca="1">IFERROR(__xludf.DUMMYFUNCTION("""COMPUTED_VALUE"""),"https://drive.google.com/open?id=Rtw1BFNPgOQyx9cyxaap")</f>
        <v>https://drive.google.com/open?id=Rtw1BFNPgOQyx9cyxaap</v>
      </c>
      <c r="M361" s="1"/>
      <c r="N361" s="1"/>
      <c r="O361" s="1"/>
      <c r="P361" s="1" t="str">
        <f ca="1">IFERROR(__xludf.DUMMYFUNCTION("""COMPUTED_VALUE"""),"Self-employed")</f>
        <v>Self-employed</v>
      </c>
      <c r="Q361" s="1">
        <f ca="1">IFERROR(__xludf.DUMMYFUNCTION("""COMPUTED_VALUE"""),20000000)</f>
        <v>20000000</v>
      </c>
      <c r="R361" s="3" t="str">
        <f ca="1">IFERROR(__xludf.DUMMYFUNCTION("""COMPUTED_VALUE"""),"https://drive.google.com/open?id=cw43bhIVpwLWT8IxYXs9")</f>
        <v>https://drive.google.com/open?id=cw43bhIVpwLWT8IxYXs9</v>
      </c>
      <c r="S361" s="1">
        <f ca="1">IFERROR(__xludf.DUMMYFUNCTION("""COMPUTED_VALUE"""),40000000)</f>
        <v>40000000</v>
      </c>
      <c r="T361" s="1" t="str">
        <f ca="1">IFERROR(__xludf.DUMMYFUNCTION("""COMPUTED_VALUE"""),"Gold")</f>
        <v>Gold</v>
      </c>
      <c r="U361" s="1" t="str">
        <f ca="1">IFERROR(__xludf.DUMMYFUNCTION("""COMPUTED_VALUE"""),"Branch")</f>
        <v>Branch</v>
      </c>
    </row>
    <row r="362" spans="1:21" x14ac:dyDescent="0.25">
      <c r="A362" s="2" t="str">
        <f ca="1">IFERROR(__xludf.DUMMYFUNCTION("""COMPUTED_VALUE"""),"APP0361")</f>
        <v>APP0361</v>
      </c>
      <c r="B362" s="2">
        <f ca="1">IFERROR(__xludf.DUMMYFUNCTION("""COMPUTED_VALUE"""),45918.0596296296)</f>
        <v>45918.059629629599</v>
      </c>
      <c r="C362" s="1" t="str">
        <f ca="1">IFERROR(__xludf.DUMMYFUNCTION("""COMPUTED_VALUE"""),"Dương Hữu Linh")</f>
        <v>Dương Hữu Linh</v>
      </c>
      <c r="D362" s="1" t="str">
        <f ca="1">IFERROR(__xludf.DUMMYFUNCTION("""COMPUTED_VALUE"""),"14/08/1995")</f>
        <v>14/08/1995</v>
      </c>
      <c r="E362" s="1" t="str">
        <f ca="1">IFERROR(__xludf.DUMMYFUNCTION("""COMPUTED_VALUE"""),"Male")</f>
        <v>Male</v>
      </c>
      <c r="F362" s="1" t="str">
        <f ca="1">IFERROR(__xludf.DUMMYFUNCTION("""COMPUTED_VALUE"""),"Vietnam")</f>
        <v>Vietnam</v>
      </c>
      <c r="G362" s="1" t="str">
        <f ca="1">IFERROR(__xludf.DUMMYFUNCTION("""COMPUTED_VALUE"""),"0755679597")</f>
        <v>0755679597</v>
      </c>
      <c r="H362" s="1" t="str">
        <f ca="1">IFERROR(__xludf.DUMMYFUNCTION("""COMPUTED_VALUE"""),"duonghuulinh@gmail.com")</f>
        <v>duonghuulinh@gmail.com</v>
      </c>
      <c r="I362" s="1" t="str">
        <f ca="1">IFERROR(__xludf.DUMMYFUNCTION("""COMPUTED_VALUE"""),"2 Ly Thuong Kiet, Quan 3, Da Nang, Viet Nam")</f>
        <v>2 Ly Thuong Kiet, Quan 3, Da Nang, Viet Nam</v>
      </c>
      <c r="J362" s="1" t="str">
        <f ca="1">IFERROR(__xludf.DUMMYFUNCTION("""COMPUTED_VALUE"""),"092064689621")</f>
        <v>092064689621</v>
      </c>
      <c r="K362" s="3" t="str">
        <f ca="1">IFERROR(__xludf.DUMMYFUNCTION("""COMPUTED_VALUE"""),"https://drive.google.com/open?id=ro3K35Srzly5BrtaGDgF")</f>
        <v>https://drive.google.com/open?id=ro3K35Srzly5BrtaGDgF</v>
      </c>
      <c r="L362" s="3" t="str">
        <f ca="1">IFERROR(__xludf.DUMMYFUNCTION("""COMPUTED_VALUE"""),"https://drive.google.com/open?id=46FhNC9EPMnnG5b432pe")</f>
        <v>https://drive.google.com/open?id=46FhNC9EPMnnG5b432pe</v>
      </c>
      <c r="M362" s="1"/>
      <c r="N362" s="1"/>
      <c r="O362" s="1"/>
      <c r="P362" s="1" t="str">
        <f ca="1">IFERROR(__xludf.DUMMYFUNCTION("""COMPUTED_VALUE"""),"Freelancer")</f>
        <v>Freelancer</v>
      </c>
      <c r="Q362" s="1">
        <f ca="1">IFERROR(__xludf.DUMMYFUNCTION("""COMPUTED_VALUE"""),50000000)</f>
        <v>50000000</v>
      </c>
      <c r="R362" s="3" t="str">
        <f ca="1">IFERROR(__xludf.DUMMYFUNCTION("""COMPUTED_VALUE"""),"https://drive.google.com/open?id=MUgrrF2F0Dk1kS8fd23h")</f>
        <v>https://drive.google.com/open?id=MUgrrF2F0Dk1kS8fd23h</v>
      </c>
      <c r="S362" s="1">
        <f ca="1">IFERROR(__xludf.DUMMYFUNCTION("""COMPUTED_VALUE"""),100000000)</f>
        <v>100000000</v>
      </c>
      <c r="T362" s="1" t="str">
        <f ca="1">IFERROR(__xludf.DUMMYFUNCTION("""COMPUTED_VALUE"""),"Platinum")</f>
        <v>Platinum</v>
      </c>
      <c r="U362" s="1" t="str">
        <f ca="1">IFERROR(__xludf.DUMMYFUNCTION("""COMPUTED_VALUE"""),"Branch")</f>
        <v>Branch</v>
      </c>
    </row>
    <row r="363" spans="1:21" x14ac:dyDescent="0.25">
      <c r="A363" s="2" t="str">
        <f ca="1">IFERROR(__xludf.DUMMYFUNCTION("""COMPUTED_VALUE"""),"APP0362")</f>
        <v>APP0362</v>
      </c>
      <c r="B363" s="2">
        <f ca="1">IFERROR(__xludf.DUMMYFUNCTION("""COMPUTED_VALUE"""),45918.0785185185)</f>
        <v>45918.078518518501</v>
      </c>
      <c r="C363" s="1" t="str">
        <f ca="1">IFERROR(__xludf.DUMMYFUNCTION("""COMPUTED_VALUE"""),"Huỳnh Minh Phúc")</f>
        <v>Huỳnh Minh Phúc</v>
      </c>
      <c r="D363" s="1" t="str">
        <f ca="1">IFERROR(__xludf.DUMMYFUNCTION("""COMPUTED_VALUE"""),"05/03/1980")</f>
        <v>05/03/1980</v>
      </c>
      <c r="E363" s="1" t="str">
        <f ca="1">IFERROR(__xludf.DUMMYFUNCTION("""COMPUTED_VALUE"""),"Male")</f>
        <v>Male</v>
      </c>
      <c r="F363" s="1" t="str">
        <f ca="1">IFERROR(__xludf.DUMMYFUNCTION("""COMPUTED_VALUE"""),"Vietnam")</f>
        <v>Vietnam</v>
      </c>
      <c r="G363" s="1" t="str">
        <f ca="1">IFERROR(__xludf.DUMMYFUNCTION("""COMPUTED_VALUE"""),"0928923121")</f>
        <v>0928923121</v>
      </c>
      <c r="H363" s="1" t="str">
        <f ca="1">IFERROR(__xludf.DUMMYFUNCTION("""COMPUTED_VALUE"""),"huynhminhphuc@gmail.com")</f>
        <v>huynhminhphuc@gmail.com</v>
      </c>
      <c r="I363" s="1" t="str">
        <f ca="1">IFERROR(__xludf.DUMMYFUNCTION("""COMPUTED_VALUE"""),"40 Nguyen Trai, Quan 7, Hai Phong, Viet Nam")</f>
        <v>40 Nguyen Trai, Quan 7, Hai Phong, Viet Nam</v>
      </c>
      <c r="J363" s="1" t="str">
        <f ca="1">IFERROR(__xludf.DUMMYFUNCTION("""COMPUTED_VALUE"""),"091634525771")</f>
        <v>091634525771</v>
      </c>
      <c r="K363" s="3" t="str">
        <f ca="1">IFERROR(__xludf.DUMMYFUNCTION("""COMPUTED_VALUE"""),"https://drive.google.com/open?id=tXX9doWcBBf9mkfl0Omn")</f>
        <v>https://drive.google.com/open?id=tXX9doWcBBf9mkfl0Omn</v>
      </c>
      <c r="L363" s="3" t="str">
        <f ca="1">IFERROR(__xludf.DUMMYFUNCTION("""COMPUTED_VALUE"""),"https://drive.google.com/open?id=EjI8X9ROe1oyJ5pm8lQH")</f>
        <v>https://drive.google.com/open?id=EjI8X9ROe1oyJ5pm8lQH</v>
      </c>
      <c r="M363" s="1"/>
      <c r="N363" s="1"/>
      <c r="O363" s="1"/>
      <c r="P363" s="1" t="str">
        <f ca="1">IFERROR(__xludf.DUMMYFUNCTION("""COMPUTED_VALUE"""),"Part-time")</f>
        <v>Part-time</v>
      </c>
      <c r="Q363" s="1">
        <f ca="1">IFERROR(__xludf.DUMMYFUNCTION("""COMPUTED_VALUE"""),5000000)</f>
        <v>5000000</v>
      </c>
      <c r="R363" s="3" t="str">
        <f ca="1">IFERROR(__xludf.DUMMYFUNCTION("""COMPUTED_VALUE"""),"https://drive.google.com/open?id=bSqusicFPTssVzGM2IsJ")</f>
        <v>https://drive.google.com/open?id=bSqusicFPTssVzGM2IsJ</v>
      </c>
      <c r="S363" s="1">
        <f ca="1">IFERROR(__xludf.DUMMYFUNCTION("""COMPUTED_VALUE"""),15000000)</f>
        <v>15000000</v>
      </c>
      <c r="T363" s="1" t="str">
        <f ca="1">IFERROR(__xludf.DUMMYFUNCTION("""COMPUTED_VALUE"""),"Gold")</f>
        <v>Gold</v>
      </c>
      <c r="U363" s="1" t="str">
        <f ca="1">IFERROR(__xludf.DUMMYFUNCTION("""COMPUTED_VALUE"""),"Online")</f>
        <v>Online</v>
      </c>
    </row>
    <row r="364" spans="1:21" x14ac:dyDescent="0.25">
      <c r="A364" s="2" t="str">
        <f ca="1">IFERROR(__xludf.DUMMYFUNCTION("""COMPUTED_VALUE"""),"APP0363")</f>
        <v>APP0363</v>
      </c>
      <c r="B364" s="2">
        <f ca="1">IFERROR(__xludf.DUMMYFUNCTION("""COMPUTED_VALUE"""),45918.0935763888)</f>
        <v>45918.093576388797</v>
      </c>
      <c r="C364" s="1" t="str">
        <f ca="1">IFERROR(__xludf.DUMMYFUNCTION("""COMPUTED_VALUE"""),"Võ Hữu Sơn")</f>
        <v>Võ Hữu Sơn</v>
      </c>
      <c r="D364" s="1" t="str">
        <f ca="1">IFERROR(__xludf.DUMMYFUNCTION("""COMPUTED_VALUE"""),"22/10/2006")</f>
        <v>22/10/2006</v>
      </c>
      <c r="E364" s="1" t="str">
        <f ca="1">IFERROR(__xludf.DUMMYFUNCTION("""COMPUTED_VALUE"""),"Female")</f>
        <v>Female</v>
      </c>
      <c r="F364" s="1" t="str">
        <f ca="1">IFERROR(__xludf.DUMMYFUNCTION("""COMPUTED_VALUE"""),"Vietnam")</f>
        <v>Vietnam</v>
      </c>
      <c r="G364" s="1" t="str">
        <f ca="1">IFERROR(__xludf.DUMMYFUNCTION("""COMPUTED_VALUE"""),"0716947773")</f>
        <v>0716947773</v>
      </c>
      <c r="H364" s="1" t="str">
        <f ca="1">IFERROR(__xludf.DUMMYFUNCTION("""COMPUTED_VALUE"""),"vohuuson@gmail.com")</f>
        <v>vohuuson@gmail.com</v>
      </c>
      <c r="I364" s="1" t="str">
        <f ca="1">IFERROR(__xludf.DUMMYFUNCTION("""COMPUTED_VALUE"""),"118 Nguyen Trai, Quan 1, Can Tho, Viet Nam")</f>
        <v>118 Nguyen Trai, Quan 1, Can Tho, Viet Nam</v>
      </c>
      <c r="J364" s="1" t="str">
        <f ca="1">IFERROR(__xludf.DUMMYFUNCTION("""COMPUTED_VALUE"""),"074207680173")</f>
        <v>074207680173</v>
      </c>
      <c r="K364" s="3" t="str">
        <f ca="1">IFERROR(__xludf.DUMMYFUNCTION("""COMPUTED_VALUE"""),"https://drive.google.com/open?id=dkR5sX0XD9vZetN8sB23")</f>
        <v>https://drive.google.com/open?id=dkR5sX0XD9vZetN8sB23</v>
      </c>
      <c r="L364" s="3" t="str">
        <f ca="1">IFERROR(__xludf.DUMMYFUNCTION("""COMPUTED_VALUE"""),"https://drive.google.com/open?id=mVhZrsMsWH1ROwkqTPOc")</f>
        <v>https://drive.google.com/open?id=mVhZrsMsWH1ROwkqTPOc</v>
      </c>
      <c r="M364" s="1"/>
      <c r="N364" s="1"/>
      <c r="O364" s="1"/>
      <c r="P364" s="1" t="str">
        <f ca="1">IFERROR(__xludf.DUMMYFUNCTION("""COMPUTED_VALUE"""),"Full-time")</f>
        <v>Full-time</v>
      </c>
      <c r="Q364" s="1">
        <f ca="1">IFERROR(__xludf.DUMMYFUNCTION("""COMPUTED_VALUE"""),5000000)</f>
        <v>5000000</v>
      </c>
      <c r="R364" s="3" t="str">
        <f ca="1">IFERROR(__xludf.DUMMYFUNCTION("""COMPUTED_VALUE"""),"https://drive.google.com/open?id=ykj85UUkrWrwD16tCwbP")</f>
        <v>https://drive.google.com/open?id=ykj85UUkrWrwD16tCwbP</v>
      </c>
      <c r="S364" s="1">
        <f ca="1">IFERROR(__xludf.DUMMYFUNCTION("""COMPUTED_VALUE"""),10000000)</f>
        <v>10000000</v>
      </c>
      <c r="T364" s="1" t="str">
        <f ca="1">IFERROR(__xludf.DUMMYFUNCTION("""COMPUTED_VALUE"""),"Platinum")</f>
        <v>Platinum</v>
      </c>
      <c r="U364" s="1" t="str">
        <f ca="1">IFERROR(__xludf.DUMMYFUNCTION("""COMPUTED_VALUE"""),"Partner")</f>
        <v>Partner</v>
      </c>
    </row>
    <row r="365" spans="1:21" x14ac:dyDescent="0.25">
      <c r="A365" s="2" t="str">
        <f ca="1">IFERROR(__xludf.DUMMYFUNCTION("""COMPUTED_VALUE"""),"APP0364")</f>
        <v>APP0364</v>
      </c>
      <c r="B365" s="2">
        <f ca="1">IFERROR(__xludf.DUMMYFUNCTION("""COMPUTED_VALUE"""),45918.1118171296)</f>
        <v>45918.111817129597</v>
      </c>
      <c r="C365" s="1" t="str">
        <f ca="1">IFERROR(__xludf.DUMMYFUNCTION("""COMPUTED_VALUE"""),"Renee Cooper")</f>
        <v>Renee Cooper</v>
      </c>
      <c r="D365" s="1" t="str">
        <f ca="1">IFERROR(__xludf.DUMMYFUNCTION("""COMPUTED_VALUE"""),"18/01/1978")</f>
        <v>18/01/1978</v>
      </c>
      <c r="E365" s="1" t="str">
        <f ca="1">IFERROR(__xludf.DUMMYFUNCTION("""COMPUTED_VALUE"""),"Male")</f>
        <v>Male</v>
      </c>
      <c r="F365" s="1" t="str">
        <f ca="1">IFERROR(__xludf.DUMMYFUNCTION("""COMPUTED_VALUE"""),"Other")</f>
        <v>Other</v>
      </c>
      <c r="G365" s="1" t="str">
        <f ca="1">IFERROR(__xludf.DUMMYFUNCTION("""COMPUTED_VALUE"""),"+852 416026927")</f>
        <v>+852 416026927</v>
      </c>
      <c r="H365" s="1" t="str">
        <f ca="1">IFERROR(__xludf.DUMMYFUNCTION("""COMPUTED_VALUE"""),"reneecooper@gmail.com")</f>
        <v>reneecooper@gmail.com</v>
      </c>
      <c r="I365" s="1" t="str">
        <f ca="1">IFERROR(__xludf.DUMMYFUNCTION("""COMPUTED_VALUE"""),"PSC 1634, Box 3421, APO AE 81176")</f>
        <v>PSC 1634, Box 3421, APO AE 81176</v>
      </c>
      <c r="J365" s="1"/>
      <c r="K365" s="1"/>
      <c r="L365" s="1"/>
      <c r="M365" s="1" t="str">
        <f ca="1">IFERROR(__xludf.DUMMYFUNCTION("""COMPUTED_VALUE"""),"ap052299")</f>
        <v>ap052299</v>
      </c>
      <c r="N365" s="3" t="str">
        <f ca="1">IFERROR(__xludf.DUMMYFUNCTION("""COMPUTED_VALUE"""),"https://drive.google.com/open?id=5jvNf8oV6pZiFaLIqJoX")</f>
        <v>https://drive.google.com/open?id=5jvNf8oV6pZiFaLIqJoX</v>
      </c>
      <c r="O365" s="3" t="str">
        <f ca="1">IFERROR(__xludf.DUMMYFUNCTION("""COMPUTED_VALUE"""),"https://drive.google.com/open?id=H2xxYQmXckzuRBRkEl1q")</f>
        <v>https://drive.google.com/open?id=H2xxYQmXckzuRBRkEl1q</v>
      </c>
      <c r="P365" s="1" t="str">
        <f ca="1">IFERROR(__xludf.DUMMYFUNCTION("""COMPUTED_VALUE"""),"Contract")</f>
        <v>Contract</v>
      </c>
      <c r="Q365" s="1">
        <f ca="1">IFERROR(__xludf.DUMMYFUNCTION("""COMPUTED_VALUE"""),50000000)</f>
        <v>50000000</v>
      </c>
      <c r="R365" s="3" t="str">
        <f ca="1">IFERROR(__xludf.DUMMYFUNCTION("""COMPUTED_VALUE"""),"https://drive.google.com/open?id=lk1ovK8CbnrnBy27m69A")</f>
        <v>https://drive.google.com/open?id=lk1ovK8CbnrnBy27m69A</v>
      </c>
      <c r="S365" s="1">
        <f ca="1">IFERROR(__xludf.DUMMYFUNCTION("""COMPUTED_VALUE"""),150000000)</f>
        <v>150000000</v>
      </c>
      <c r="T365" s="1" t="str">
        <f ca="1">IFERROR(__xludf.DUMMYFUNCTION("""COMPUTED_VALUE"""),"Gold")</f>
        <v>Gold</v>
      </c>
      <c r="U365" s="1" t="str">
        <f ca="1">IFERROR(__xludf.DUMMYFUNCTION("""COMPUTED_VALUE"""),"Branch")</f>
        <v>Branch</v>
      </c>
    </row>
    <row r="366" spans="1:21" x14ac:dyDescent="0.25">
      <c r="A366" s="2" t="str">
        <f ca="1">IFERROR(__xludf.DUMMYFUNCTION("""COMPUTED_VALUE"""),"APP0365")</f>
        <v>APP0365</v>
      </c>
      <c r="B366" s="2">
        <f ca="1">IFERROR(__xludf.DUMMYFUNCTION("""COMPUTED_VALUE"""),45918.118287037)</f>
        <v>45918.118287037003</v>
      </c>
      <c r="C366" s="1" t="str">
        <f ca="1">IFERROR(__xludf.DUMMYFUNCTION("""COMPUTED_VALUE"""),"Angel Park")</f>
        <v>Angel Park</v>
      </c>
      <c r="D366" s="1" t="str">
        <f ca="1">IFERROR(__xludf.DUMMYFUNCTION("""COMPUTED_VALUE"""),"21/10/1976")</f>
        <v>21/10/1976</v>
      </c>
      <c r="E366" s="1" t="str">
        <f ca="1">IFERROR(__xludf.DUMMYFUNCTION("""COMPUTED_VALUE"""),"Female")</f>
        <v>Female</v>
      </c>
      <c r="F366" s="1" t="str">
        <f ca="1">IFERROR(__xludf.DUMMYFUNCTION("""COMPUTED_VALUE"""),"Other")</f>
        <v>Other</v>
      </c>
      <c r="G366" s="1" t="str">
        <f ca="1">IFERROR(__xludf.DUMMYFUNCTION("""COMPUTED_VALUE"""),"+33 9981783760")</f>
        <v>+33 9981783760</v>
      </c>
      <c r="H366" s="1" t="str">
        <f ca="1">IFERROR(__xludf.DUMMYFUNCTION("""COMPUTED_VALUE"""),"angelpark@gmail.com")</f>
        <v>angelpark@gmail.com</v>
      </c>
      <c r="I366" s="1" t="str">
        <f ca="1">IFERROR(__xludf.DUMMYFUNCTION("""COMPUTED_VALUE"""),"0831 Horton Orchard Suite 145, South Tylerburgh, WA 99873")</f>
        <v>0831 Horton Orchard Suite 145, South Tylerburgh, WA 99873</v>
      </c>
      <c r="J366" s="1"/>
      <c r="K366" s="1"/>
      <c r="L366" s="1"/>
      <c r="M366" s="1" t="str">
        <f ca="1">IFERROR(__xludf.DUMMYFUNCTION("""COMPUTED_VALUE"""),"tw446950")</f>
        <v>tw446950</v>
      </c>
      <c r="N366" s="3" t="str">
        <f ca="1">IFERROR(__xludf.DUMMYFUNCTION("""COMPUTED_VALUE"""),"https://drive.google.com/open?id=3bSkDdQ2K7lou5xHkaP2")</f>
        <v>https://drive.google.com/open?id=3bSkDdQ2K7lou5xHkaP2</v>
      </c>
      <c r="O366" s="3" t="str">
        <f ca="1">IFERROR(__xludf.DUMMYFUNCTION("""COMPUTED_VALUE"""),"https://drive.google.com/open?id=CyjFPRpoPlySC8oHRcll")</f>
        <v>https://drive.google.com/open?id=CyjFPRpoPlySC8oHRcll</v>
      </c>
      <c r="P366" s="1" t="str">
        <f ca="1">IFERROR(__xludf.DUMMYFUNCTION("""COMPUTED_VALUE"""),"Full-time")</f>
        <v>Full-time</v>
      </c>
      <c r="Q366" s="1">
        <f ca="1">IFERROR(__xludf.DUMMYFUNCTION("""COMPUTED_VALUE"""),20000000)</f>
        <v>20000000</v>
      </c>
      <c r="R366" s="3" t="str">
        <f ca="1">IFERROR(__xludf.DUMMYFUNCTION("""COMPUTED_VALUE"""),"https://drive.google.com/open?id=dAxoEr9HXQIxpZGmHepN")</f>
        <v>https://drive.google.com/open?id=dAxoEr9HXQIxpZGmHepN</v>
      </c>
      <c r="S366" s="1">
        <f ca="1">IFERROR(__xludf.DUMMYFUNCTION("""COMPUTED_VALUE"""),100000000)</f>
        <v>100000000</v>
      </c>
      <c r="T366" s="1" t="str">
        <f ca="1">IFERROR(__xludf.DUMMYFUNCTION("""COMPUTED_VALUE"""),"Platinum")</f>
        <v>Platinum</v>
      </c>
      <c r="U366" s="1" t="str">
        <f ca="1">IFERROR(__xludf.DUMMYFUNCTION("""COMPUTED_VALUE"""),"Branch")</f>
        <v>Branch</v>
      </c>
    </row>
    <row r="367" spans="1:21" x14ac:dyDescent="0.25">
      <c r="A367" s="2" t="str">
        <f ca="1">IFERROR(__xludf.DUMMYFUNCTION("""COMPUTED_VALUE"""),"APP0366")</f>
        <v>APP0366</v>
      </c>
      <c r="B367" s="2">
        <f ca="1">IFERROR(__xludf.DUMMYFUNCTION("""COMPUTED_VALUE"""),45918.2596296296)</f>
        <v>45918.259629629603</v>
      </c>
      <c r="C367" s="1" t="str">
        <f ca="1">IFERROR(__xludf.DUMMYFUNCTION("""COMPUTED_VALUE"""),"Nguyễn Minh Nam")</f>
        <v>Nguyễn Minh Nam</v>
      </c>
      <c r="D367" s="1" t="str">
        <f ca="1">IFERROR(__xludf.DUMMYFUNCTION("""COMPUTED_VALUE"""),"19/01/1974")</f>
        <v>19/01/1974</v>
      </c>
      <c r="E367" s="1" t="str">
        <f ca="1">IFERROR(__xludf.DUMMYFUNCTION("""COMPUTED_VALUE"""),"Male")</f>
        <v>Male</v>
      </c>
      <c r="F367" s="1" t="str">
        <f ca="1">IFERROR(__xludf.DUMMYFUNCTION("""COMPUTED_VALUE"""),"Vietnam")</f>
        <v>Vietnam</v>
      </c>
      <c r="G367" s="1" t="str">
        <f ca="1">IFERROR(__xludf.DUMMYFUNCTION("""COMPUTED_VALUE"""),"0721258869")</f>
        <v>0721258869</v>
      </c>
      <c r="H367" s="1" t="str">
        <f ca="1">IFERROR(__xludf.DUMMYFUNCTION("""COMPUTED_VALUE"""),"nguyenminhnam@gmail.com")</f>
        <v>nguyenminhnam@gmail.com</v>
      </c>
      <c r="I367" s="1" t="str">
        <f ca="1">IFERROR(__xludf.DUMMYFUNCTION("""COMPUTED_VALUE"""),"143 Le Loi, Quan 1, TP Ho Chi Minh, Viet Nam")</f>
        <v>143 Le Loi, Quan 1, TP Ho Chi Minh, Viet Nam</v>
      </c>
      <c r="J367" s="1" t="str">
        <f ca="1">IFERROR(__xludf.DUMMYFUNCTION("""COMPUTED_VALUE"""),"062334734764")</f>
        <v>062334734764</v>
      </c>
      <c r="K367" s="3" t="str">
        <f ca="1">IFERROR(__xludf.DUMMYFUNCTION("""COMPUTED_VALUE"""),"https://drive.google.com/open?id=iIhALSC0AvaXyGGX4SnY")</f>
        <v>https://drive.google.com/open?id=iIhALSC0AvaXyGGX4SnY</v>
      </c>
      <c r="L367" s="3" t="str">
        <f ca="1">IFERROR(__xludf.DUMMYFUNCTION("""COMPUTED_VALUE"""),"https://drive.google.com/open?id=5lel3IWWJVvsOYPWBWLO")</f>
        <v>https://drive.google.com/open?id=5lel3IWWJVvsOYPWBWLO</v>
      </c>
      <c r="M367" s="1"/>
      <c r="N367" s="1"/>
      <c r="O367" s="1"/>
      <c r="P367" s="1" t="str">
        <f ca="1">IFERROR(__xludf.DUMMYFUNCTION("""COMPUTED_VALUE"""),"Contract")</f>
        <v>Contract</v>
      </c>
      <c r="Q367" s="1">
        <f ca="1">IFERROR(__xludf.DUMMYFUNCTION("""COMPUTED_VALUE"""),12000000)</f>
        <v>12000000</v>
      </c>
      <c r="R367" s="3" t="str">
        <f ca="1">IFERROR(__xludf.DUMMYFUNCTION("""COMPUTED_VALUE"""),"https://drive.google.com/open?id=ciizIKy0SU4uRobATSce")</f>
        <v>https://drive.google.com/open?id=ciizIKy0SU4uRobATSce</v>
      </c>
      <c r="S367" s="1">
        <f ca="1">IFERROR(__xludf.DUMMYFUNCTION("""COMPUTED_VALUE"""),60000000)</f>
        <v>60000000</v>
      </c>
      <c r="T367" s="1" t="str">
        <f ca="1">IFERROR(__xludf.DUMMYFUNCTION("""COMPUTED_VALUE"""),"Gold")</f>
        <v>Gold</v>
      </c>
      <c r="U367" s="1" t="str">
        <f ca="1">IFERROR(__xludf.DUMMYFUNCTION("""COMPUTED_VALUE"""),"Online")</f>
        <v>Online</v>
      </c>
    </row>
    <row r="368" spans="1:21" x14ac:dyDescent="0.25">
      <c r="A368" s="2" t="str">
        <f ca="1">IFERROR(__xludf.DUMMYFUNCTION("""COMPUTED_VALUE"""),"APP0367")</f>
        <v>APP0367</v>
      </c>
      <c r="B368" s="2">
        <f ca="1">IFERROR(__xludf.DUMMYFUNCTION("""COMPUTED_VALUE"""),45918.3334953703)</f>
        <v>45918.333495370302</v>
      </c>
      <c r="C368" s="1" t="str">
        <f ca="1">IFERROR(__xludf.DUMMYFUNCTION("""COMPUTED_VALUE"""),"Bùi Văn Thịnh")</f>
        <v>Bùi Văn Thịnh</v>
      </c>
      <c r="D368" s="1" t="str">
        <f ca="1">IFERROR(__xludf.DUMMYFUNCTION("""COMPUTED_VALUE"""),"21/12/1993")</f>
        <v>21/12/1993</v>
      </c>
      <c r="E368" s="1" t="str">
        <f ca="1">IFERROR(__xludf.DUMMYFUNCTION("""COMPUTED_VALUE"""),"Female")</f>
        <v>Female</v>
      </c>
      <c r="F368" s="1" t="str">
        <f ca="1">IFERROR(__xludf.DUMMYFUNCTION("""COMPUTED_VALUE"""),"Vietnam")</f>
        <v>Vietnam</v>
      </c>
      <c r="G368" s="1" t="str">
        <f ca="1">IFERROR(__xludf.DUMMYFUNCTION("""COMPUTED_VALUE"""),"0748884041")</f>
        <v>0748884041</v>
      </c>
      <c r="H368" s="1" t="str">
        <f ca="1">IFERROR(__xludf.DUMMYFUNCTION("""COMPUTED_VALUE"""),"buivanthinh@gmail.com")</f>
        <v>buivanthinh@gmail.com</v>
      </c>
      <c r="I368" s="1" t="str">
        <f ca="1">IFERROR(__xludf.DUMMYFUNCTION("""COMPUTED_VALUE"""),"194 Pham Van Dong, Quan 7, Da Nang, Viet Nam")</f>
        <v>194 Pham Van Dong, Quan 7, Da Nang, Viet Nam</v>
      </c>
      <c r="J368" s="1" t="str">
        <f ca="1">IFERROR(__xludf.DUMMYFUNCTION("""COMPUTED_VALUE"""),"033125511569")</f>
        <v>033125511569</v>
      </c>
      <c r="K368" s="3" t="str">
        <f ca="1">IFERROR(__xludf.DUMMYFUNCTION("""COMPUTED_VALUE"""),"https://drive.google.com/open?id=kWAAcIdLqQdeykqS2EHW")</f>
        <v>https://drive.google.com/open?id=kWAAcIdLqQdeykqS2EHW</v>
      </c>
      <c r="L368" s="3" t="str">
        <f ca="1">IFERROR(__xludf.DUMMYFUNCTION("""COMPUTED_VALUE"""),"https://drive.google.com/open?id=LA1bV75JmpBmye1mlefN")</f>
        <v>https://drive.google.com/open?id=LA1bV75JmpBmye1mlefN</v>
      </c>
      <c r="M368" s="1"/>
      <c r="N368" s="1"/>
      <c r="O368" s="1"/>
      <c r="P368" s="1" t="str">
        <f ca="1">IFERROR(__xludf.DUMMYFUNCTION("""COMPUTED_VALUE"""),"Contract")</f>
        <v>Contract</v>
      </c>
      <c r="Q368" s="1">
        <f ca="1">IFERROR(__xludf.DUMMYFUNCTION("""COMPUTED_VALUE"""),8000000)</f>
        <v>8000000</v>
      </c>
      <c r="R368" s="3" t="str">
        <f ca="1">IFERROR(__xludf.DUMMYFUNCTION("""COMPUTED_VALUE"""),"https://drive.google.com/open?id=TknkWpbsKnVjb1taBZ2g")</f>
        <v>https://drive.google.com/open?id=TknkWpbsKnVjb1taBZ2g</v>
      </c>
      <c r="S368" s="1">
        <f ca="1">IFERROR(__xludf.DUMMYFUNCTION("""COMPUTED_VALUE"""),24000000)</f>
        <v>24000000</v>
      </c>
      <c r="T368" s="1" t="str">
        <f ca="1">IFERROR(__xludf.DUMMYFUNCTION("""COMPUTED_VALUE"""),"Gold")</f>
        <v>Gold</v>
      </c>
      <c r="U368" s="1" t="str">
        <f ca="1">IFERROR(__xludf.DUMMYFUNCTION("""COMPUTED_VALUE"""),"Partner")</f>
        <v>Partner</v>
      </c>
    </row>
    <row r="369" spans="1:21" x14ac:dyDescent="0.25">
      <c r="A369" s="2" t="str">
        <f ca="1">IFERROR(__xludf.DUMMYFUNCTION("""COMPUTED_VALUE"""),"APP0368")</f>
        <v>APP0368</v>
      </c>
      <c r="B369" s="2">
        <f ca="1">IFERROR(__xludf.DUMMYFUNCTION("""COMPUTED_VALUE"""),45918.340474537)</f>
        <v>45918.340474536999</v>
      </c>
      <c r="C369" s="1" t="str">
        <f ca="1">IFERROR(__xludf.DUMMYFUNCTION("""COMPUTED_VALUE"""),"Vũ Thanh Thịnh")</f>
        <v>Vũ Thanh Thịnh</v>
      </c>
      <c r="D369" s="1" t="str">
        <f ca="1">IFERROR(__xludf.DUMMYFUNCTION("""COMPUTED_VALUE"""),"02/12/1972")</f>
        <v>02/12/1972</v>
      </c>
      <c r="E369" s="1" t="str">
        <f ca="1">IFERROR(__xludf.DUMMYFUNCTION("""COMPUTED_VALUE"""),"Male")</f>
        <v>Male</v>
      </c>
      <c r="F369" s="1" t="str">
        <f ca="1">IFERROR(__xludf.DUMMYFUNCTION("""COMPUTED_VALUE"""),"Vietnam")</f>
        <v>Vietnam</v>
      </c>
      <c r="G369" s="1" t="str">
        <f ca="1">IFERROR(__xludf.DUMMYFUNCTION("""COMPUTED_VALUE"""),"0734906319")</f>
        <v>0734906319</v>
      </c>
      <c r="H369" s="1" t="str">
        <f ca="1">IFERROR(__xludf.DUMMYFUNCTION("""COMPUTED_VALUE"""),"vuthanhthinh@gmail.com")</f>
        <v>vuthanhthinh@gmail.com</v>
      </c>
      <c r="I369" s="1" t="str">
        <f ca="1">IFERROR(__xludf.DUMMYFUNCTION("""COMPUTED_VALUE"""),"64 Tran Hung Dao, Quan 1, Hai Phong, Viet Nam")</f>
        <v>64 Tran Hung Dao, Quan 1, Hai Phong, Viet Nam</v>
      </c>
      <c r="J369" s="1" t="str">
        <f ca="1">IFERROR(__xludf.DUMMYFUNCTION("""COMPUTED_VALUE"""),"086872318293")</f>
        <v>086872318293</v>
      </c>
      <c r="K369" s="3" t="str">
        <f ca="1">IFERROR(__xludf.DUMMYFUNCTION("""COMPUTED_VALUE"""),"https://drive.google.com/open?id=HE0KqNUes3GFuhp303iA")</f>
        <v>https://drive.google.com/open?id=HE0KqNUes3GFuhp303iA</v>
      </c>
      <c r="L369" s="3" t="str">
        <f ca="1">IFERROR(__xludf.DUMMYFUNCTION("""COMPUTED_VALUE"""),"https://drive.google.com/open?id=G8AQfSIE64qMQ47lD3TH")</f>
        <v>https://drive.google.com/open?id=G8AQfSIE64qMQ47lD3TH</v>
      </c>
      <c r="M369" s="1"/>
      <c r="N369" s="1"/>
      <c r="O369" s="1"/>
      <c r="P369" s="1" t="str">
        <f ca="1">IFERROR(__xludf.DUMMYFUNCTION("""COMPUTED_VALUE"""),"Freelancer")</f>
        <v>Freelancer</v>
      </c>
      <c r="Q369" s="1">
        <f ca="1">IFERROR(__xludf.DUMMYFUNCTION("""COMPUTED_VALUE"""),20000000)</f>
        <v>20000000</v>
      </c>
      <c r="R369" s="3" t="str">
        <f ca="1">IFERROR(__xludf.DUMMYFUNCTION("""COMPUTED_VALUE"""),"https://drive.google.com/open?id=IjKGU9FnyYe9sWeD5x6i")</f>
        <v>https://drive.google.com/open?id=IjKGU9FnyYe9sWeD5x6i</v>
      </c>
      <c r="S369" s="1">
        <f ca="1">IFERROR(__xludf.DUMMYFUNCTION("""COMPUTED_VALUE"""),100000000)</f>
        <v>100000000</v>
      </c>
      <c r="T369" s="1" t="str">
        <f ca="1">IFERROR(__xludf.DUMMYFUNCTION("""COMPUTED_VALUE"""),"Platinum")</f>
        <v>Platinum</v>
      </c>
      <c r="U369" s="1" t="str">
        <f ca="1">IFERROR(__xludf.DUMMYFUNCTION("""COMPUTED_VALUE"""),"Branch")</f>
        <v>Branch</v>
      </c>
    </row>
    <row r="370" spans="1:21" x14ac:dyDescent="0.25">
      <c r="A370" s="2" t="str">
        <f ca="1">IFERROR(__xludf.DUMMYFUNCTION("""COMPUTED_VALUE"""),"APP0369")</f>
        <v>APP0369</v>
      </c>
      <c r="B370" s="2">
        <f ca="1">IFERROR(__xludf.DUMMYFUNCTION("""COMPUTED_VALUE"""),45918.4882638888)</f>
        <v>45918.488263888801</v>
      </c>
      <c r="C370" s="1" t="str">
        <f ca="1">IFERROR(__xludf.DUMMYFUNCTION("""COMPUTED_VALUE"""),"Phạm Minh An")</f>
        <v>Phạm Minh An</v>
      </c>
      <c r="D370" s="1" t="str">
        <f ca="1">IFERROR(__xludf.DUMMYFUNCTION("""COMPUTED_VALUE"""),"20/01/1966")</f>
        <v>20/01/1966</v>
      </c>
      <c r="E370" s="1" t="str">
        <f ca="1">IFERROR(__xludf.DUMMYFUNCTION("""COMPUTED_VALUE"""),"Female")</f>
        <v>Female</v>
      </c>
      <c r="F370" s="1" t="str">
        <f ca="1">IFERROR(__xludf.DUMMYFUNCTION("""COMPUTED_VALUE"""),"Vietnam")</f>
        <v>Vietnam</v>
      </c>
      <c r="G370" s="1" t="str">
        <f ca="1">IFERROR(__xludf.DUMMYFUNCTION("""COMPUTED_VALUE"""),"0793144059")</f>
        <v>0793144059</v>
      </c>
      <c r="H370" s="1" t="str">
        <f ca="1">IFERROR(__xludf.DUMMYFUNCTION("""COMPUTED_VALUE"""),"phamminhan@gmail.com")</f>
        <v>phamminhan@gmail.com</v>
      </c>
      <c r="I370" s="1" t="str">
        <f ca="1">IFERROR(__xludf.DUMMYFUNCTION("""COMPUTED_VALUE"""),"152 Pham Van Dong, Quan 3, Ha Noi, Viet Nam")</f>
        <v>152 Pham Van Dong, Quan 3, Ha Noi, Viet Nam</v>
      </c>
      <c r="J370" s="1" t="str">
        <f ca="1">IFERROR(__xludf.DUMMYFUNCTION("""COMPUTED_VALUE"""),"06718445823")</f>
        <v>06718445823</v>
      </c>
      <c r="K370" s="3" t="str">
        <f ca="1">IFERROR(__xludf.DUMMYFUNCTION("""COMPUTED_VALUE"""),"https://drive.google.com/open?id=GGkUYP4PWnH5S27vtNNl")</f>
        <v>https://drive.google.com/open?id=GGkUYP4PWnH5S27vtNNl</v>
      </c>
      <c r="L370" s="3" t="str">
        <f ca="1">IFERROR(__xludf.DUMMYFUNCTION("""COMPUTED_VALUE"""),"https://drive.google.com/open?id=Zsf9x5ST2W7OZocJwezy")</f>
        <v>https://drive.google.com/open?id=Zsf9x5ST2W7OZocJwezy</v>
      </c>
      <c r="M370" s="1"/>
      <c r="N370" s="1"/>
      <c r="O370" s="1"/>
      <c r="P370" s="1" t="str">
        <f ca="1">IFERROR(__xludf.DUMMYFUNCTION("""COMPUTED_VALUE"""),"Self-employed")</f>
        <v>Self-employed</v>
      </c>
      <c r="Q370" s="1">
        <f ca="1">IFERROR(__xludf.DUMMYFUNCTION("""COMPUTED_VALUE"""),12000000)</f>
        <v>12000000</v>
      </c>
      <c r="R370" s="3" t="str">
        <f ca="1">IFERROR(__xludf.DUMMYFUNCTION("""COMPUTED_VALUE"""),"https://drive.google.com/open?id=EMh2pOYaxRUqcCYfhlvH")</f>
        <v>https://drive.google.com/open?id=EMh2pOYaxRUqcCYfhlvH</v>
      </c>
      <c r="S370" s="1">
        <f ca="1">IFERROR(__xludf.DUMMYFUNCTION("""COMPUTED_VALUE"""),36000000)</f>
        <v>36000000</v>
      </c>
      <c r="T370" s="1" t="str">
        <f ca="1">IFERROR(__xludf.DUMMYFUNCTION("""COMPUTED_VALUE"""),"Classic")</f>
        <v>Classic</v>
      </c>
      <c r="U370" s="1" t="str">
        <f ca="1">IFERROR(__xludf.DUMMYFUNCTION("""COMPUTED_VALUE"""),"Online")</f>
        <v>Online</v>
      </c>
    </row>
    <row r="371" spans="1:21" x14ac:dyDescent="0.25">
      <c r="A371" s="2" t="str">
        <f ca="1">IFERROR(__xludf.DUMMYFUNCTION("""COMPUTED_VALUE"""),"APP0370")</f>
        <v>APP0370</v>
      </c>
      <c r="B371" s="2">
        <f ca="1">IFERROR(__xludf.DUMMYFUNCTION("""COMPUTED_VALUE"""),45918.5164236111)</f>
        <v>45918.516423611101</v>
      </c>
      <c r="C371" s="1" t="str">
        <f ca="1">IFERROR(__xludf.DUMMYFUNCTION("""COMPUTED_VALUE"""),"Nguyễn Thanh Quân")</f>
        <v>Nguyễn Thanh Quân</v>
      </c>
      <c r="D371" s="1" t="str">
        <f ca="1">IFERROR(__xludf.DUMMYFUNCTION("""COMPUTED_VALUE"""),"25/07/1971")</f>
        <v>25/07/1971</v>
      </c>
      <c r="E371" s="1" t="str">
        <f ca="1">IFERROR(__xludf.DUMMYFUNCTION("""COMPUTED_VALUE"""),"Female")</f>
        <v>Female</v>
      </c>
      <c r="F371" s="1" t="str">
        <f ca="1">IFERROR(__xludf.DUMMYFUNCTION("""COMPUTED_VALUE"""),"Vietnam")</f>
        <v>Vietnam</v>
      </c>
      <c r="G371" s="1" t="str">
        <f ca="1">IFERROR(__xludf.DUMMYFUNCTION("""COMPUTED_VALUE"""),"0789340930")</f>
        <v>0789340930</v>
      </c>
      <c r="H371" s="1" t="str">
        <f ca="1">IFERROR(__xludf.DUMMYFUNCTION("""COMPUTED_VALUE"""),"nguyenthanhquan@gmail.com")</f>
        <v>nguyenthanhquan@gmail.com</v>
      </c>
      <c r="I371" s="1" t="str">
        <f ca="1">IFERROR(__xludf.DUMMYFUNCTION("""COMPUTED_VALUE"""),"74 Le Loi, Quan 3, Ha Noi, Viet Nam")</f>
        <v>74 Le Loi, Quan 3, Ha Noi, Viet Nam</v>
      </c>
      <c r="J371" s="1" t="str">
        <f ca="1">IFERROR(__xludf.DUMMYFUNCTION("""COMPUTED_VALUE"""),"011562855058")</f>
        <v>011562855058</v>
      </c>
      <c r="K371" s="3" t="str">
        <f ca="1">IFERROR(__xludf.DUMMYFUNCTION("""COMPUTED_VALUE"""),"https://drive.google.com/open?id=oDOkbfjwHA90448Vqjzr")</f>
        <v>https://drive.google.com/open?id=oDOkbfjwHA90448Vqjzr</v>
      </c>
      <c r="L371" s="3" t="str">
        <f ca="1">IFERROR(__xludf.DUMMYFUNCTION("""COMPUTED_VALUE"""),"https://drive.google.com/open?id=vSAOFiFsXYydbI7ItM2c")</f>
        <v>https://drive.google.com/open?id=vSAOFiFsXYydbI7ItM2c</v>
      </c>
      <c r="M371" s="1"/>
      <c r="N371" s="1"/>
      <c r="O371" s="1"/>
      <c r="P371" s="1" t="str">
        <f ca="1">IFERROR(__xludf.DUMMYFUNCTION("""COMPUTED_VALUE"""),"Contract")</f>
        <v>Contract</v>
      </c>
      <c r="Q371" s="1">
        <f ca="1">IFERROR(__xludf.DUMMYFUNCTION("""COMPUTED_VALUE"""),8000000)</f>
        <v>8000000</v>
      </c>
      <c r="R371" s="3" t="str">
        <f ca="1">IFERROR(__xludf.DUMMYFUNCTION("""COMPUTED_VALUE"""),"https://drive.google.com/open?id=pzuPeCo44rUd3mbIa50m")</f>
        <v>https://drive.google.com/open?id=pzuPeCo44rUd3mbIa50m</v>
      </c>
      <c r="S371" s="1">
        <f ca="1">IFERROR(__xludf.DUMMYFUNCTION("""COMPUTED_VALUE"""),16000000)</f>
        <v>16000000</v>
      </c>
      <c r="T371" s="1" t="str">
        <f ca="1">IFERROR(__xludf.DUMMYFUNCTION("""COMPUTED_VALUE"""),"Platinum")</f>
        <v>Platinum</v>
      </c>
      <c r="U371" s="1" t="str">
        <f ca="1">IFERROR(__xludf.DUMMYFUNCTION("""COMPUTED_VALUE"""),"Partner")</f>
        <v>Partner</v>
      </c>
    </row>
    <row r="372" spans="1:21" x14ac:dyDescent="0.25">
      <c r="A372" s="2" t="str">
        <f ca="1">IFERROR(__xludf.DUMMYFUNCTION("""COMPUTED_VALUE"""),"APP0371")</f>
        <v>APP0371</v>
      </c>
      <c r="B372" s="2">
        <f ca="1">IFERROR(__xludf.DUMMYFUNCTION("""COMPUTED_VALUE"""),45918.5294444444)</f>
        <v>45918.529444444401</v>
      </c>
      <c r="C372" s="1" t="str">
        <f ca="1">IFERROR(__xludf.DUMMYFUNCTION("""COMPUTED_VALUE"""),"Lý Văn Hải")</f>
        <v>Lý Văn Hải</v>
      </c>
      <c r="D372" s="1" t="str">
        <f ca="1">IFERROR(__xludf.DUMMYFUNCTION("""COMPUTED_VALUE"""),"16/11/1997")</f>
        <v>16/11/1997</v>
      </c>
      <c r="E372" s="1" t="str">
        <f ca="1">IFERROR(__xludf.DUMMYFUNCTION("""COMPUTED_VALUE"""),"Female")</f>
        <v>Female</v>
      </c>
      <c r="F372" s="1" t="str">
        <f ca="1">IFERROR(__xludf.DUMMYFUNCTION("""COMPUTED_VALUE"""),"Vietnam")</f>
        <v>Vietnam</v>
      </c>
      <c r="G372" s="1" t="str">
        <f ca="1">IFERROR(__xludf.DUMMYFUNCTION("""COMPUTED_VALUE"""),"0919378543")</f>
        <v>0919378543</v>
      </c>
      <c r="H372" s="1" t="str">
        <f ca="1">IFERROR(__xludf.DUMMYFUNCTION("""COMPUTED_VALUE"""),"lyvanhai@gmail.com")</f>
        <v>lyvanhai@gmail.com</v>
      </c>
      <c r="I372" s="1" t="str">
        <f ca="1">IFERROR(__xludf.DUMMYFUNCTION("""COMPUTED_VALUE"""),"29 Tran Hung Dao, Quan 3, Can Tho, Viet Nam")</f>
        <v>29 Tran Hung Dao, Quan 3, Can Tho, Viet Nam</v>
      </c>
      <c r="J372" s="1" t="str">
        <f ca="1">IFERROR(__xludf.DUMMYFUNCTION("""COMPUTED_VALUE"""),"059145600896")</f>
        <v>059145600896</v>
      </c>
      <c r="K372" s="3" t="str">
        <f ca="1">IFERROR(__xludf.DUMMYFUNCTION("""COMPUTED_VALUE"""),"https://drive.google.com/open?id=5iP0zuXvSLUdgrXB6HuC")</f>
        <v>https://drive.google.com/open?id=5iP0zuXvSLUdgrXB6HuC</v>
      </c>
      <c r="L372" s="3" t="str">
        <f ca="1">IFERROR(__xludf.DUMMYFUNCTION("""COMPUTED_VALUE"""),"https://drive.google.com/open?id=FzDd1B7yNvjhusdIh8pR")</f>
        <v>https://drive.google.com/open?id=FzDd1B7yNvjhusdIh8pR</v>
      </c>
      <c r="M372" s="1"/>
      <c r="N372" s="1"/>
      <c r="O372" s="1"/>
      <c r="P372" s="1" t="str">
        <f ca="1">IFERROR(__xludf.DUMMYFUNCTION("""COMPUTED_VALUE"""),"Full-time")</f>
        <v>Full-time</v>
      </c>
      <c r="Q372" s="1">
        <f ca="1">IFERROR(__xludf.DUMMYFUNCTION("""COMPUTED_VALUE"""),12000000)</f>
        <v>12000000</v>
      </c>
      <c r="R372" s="3" t="str">
        <f ca="1">IFERROR(__xludf.DUMMYFUNCTION("""COMPUTED_VALUE"""),"https://drive.google.com/open?id=nsHTqAksUW2YHJBgxLw5")</f>
        <v>https://drive.google.com/open?id=nsHTqAksUW2YHJBgxLw5</v>
      </c>
      <c r="S372" s="1">
        <f ca="1">IFERROR(__xludf.DUMMYFUNCTION("""COMPUTED_VALUE"""),24000000)</f>
        <v>24000000</v>
      </c>
      <c r="T372" s="1" t="str">
        <f ca="1">IFERROR(__xludf.DUMMYFUNCTION("""COMPUTED_VALUE"""),"Platinum")</f>
        <v>Platinum</v>
      </c>
      <c r="U372" s="1" t="str">
        <f ca="1">IFERROR(__xludf.DUMMYFUNCTION("""COMPUTED_VALUE"""),"Branch")</f>
        <v>Branch</v>
      </c>
    </row>
    <row r="373" spans="1:21" x14ac:dyDescent="0.25">
      <c r="A373" s="2" t="str">
        <f ca="1">IFERROR(__xludf.DUMMYFUNCTION("""COMPUTED_VALUE"""),"APP0372")</f>
        <v>APP0372</v>
      </c>
      <c r="B373" s="2">
        <f ca="1">IFERROR(__xludf.DUMMYFUNCTION("""COMPUTED_VALUE"""),45918.5755439814)</f>
        <v>45918.575543981402</v>
      </c>
      <c r="C373" s="1" t="str">
        <f ca="1">IFERROR(__xludf.DUMMYFUNCTION("""COMPUTED_VALUE"""),"Hoàng Thị Giang")</f>
        <v>Hoàng Thị Giang</v>
      </c>
      <c r="D373" s="1" t="str">
        <f ca="1">IFERROR(__xludf.DUMMYFUNCTION("""COMPUTED_VALUE"""),"17/11/1995")</f>
        <v>17/11/1995</v>
      </c>
      <c r="E373" s="1" t="str">
        <f ca="1">IFERROR(__xludf.DUMMYFUNCTION("""COMPUTED_VALUE"""),"Male")</f>
        <v>Male</v>
      </c>
      <c r="F373" s="1" t="str">
        <f ca="1">IFERROR(__xludf.DUMMYFUNCTION("""COMPUTED_VALUE"""),"Vietnam")</f>
        <v>Vietnam</v>
      </c>
      <c r="G373" s="1" t="str">
        <f ca="1">IFERROR(__xludf.DUMMYFUNCTION("""COMPUTED_VALUE"""),"0860198172")</f>
        <v>0860198172</v>
      </c>
      <c r="H373" s="1" t="str">
        <f ca="1">IFERROR(__xludf.DUMMYFUNCTION("""COMPUTED_VALUE"""),"hoangthigiang@gmail.com")</f>
        <v>hoangthigiang@gmail.com</v>
      </c>
      <c r="I373" s="1" t="str">
        <f ca="1">IFERROR(__xludf.DUMMYFUNCTION("""COMPUTED_VALUE"""),"151 Tran Hung Dao, Hai Chau, Ha Noi, Viet Nam")</f>
        <v>151 Tran Hung Dao, Hai Chau, Ha Noi, Viet Nam</v>
      </c>
      <c r="J373" s="1" t="str">
        <f ca="1">IFERROR(__xludf.DUMMYFUNCTION("""COMPUTED_VALUE"""),"035551651806")</f>
        <v>035551651806</v>
      </c>
      <c r="K373" s="3" t="str">
        <f ca="1">IFERROR(__xludf.DUMMYFUNCTION("""COMPUTED_VALUE"""),"https://drive.google.com/open?id=LdYTqOvhN1MfiNLpn1nU")</f>
        <v>https://drive.google.com/open?id=LdYTqOvhN1MfiNLpn1nU</v>
      </c>
      <c r="L373" s="3" t="str">
        <f ca="1">IFERROR(__xludf.DUMMYFUNCTION("""COMPUTED_VALUE"""),"https://drive.google.com/open?id=IgXrVaKieLYiC2mzHq5I")</f>
        <v>https://drive.google.com/open?id=IgXrVaKieLYiC2mzHq5I</v>
      </c>
      <c r="M373" s="1"/>
      <c r="N373" s="1"/>
      <c r="O373" s="1"/>
      <c r="P373" s="1" t="str">
        <f ca="1">IFERROR(__xludf.DUMMYFUNCTION("""COMPUTED_VALUE"""),"Part-time")</f>
        <v>Part-time</v>
      </c>
      <c r="Q373" s="1">
        <f ca="1">IFERROR(__xludf.DUMMYFUNCTION("""COMPUTED_VALUE"""),50000000)</f>
        <v>50000000</v>
      </c>
      <c r="R373" s="3" t="str">
        <f ca="1">IFERROR(__xludf.DUMMYFUNCTION("""COMPUTED_VALUE"""),"https://drive.google.com/open?id=cxVmLgTLRd2s7rve5sXL")</f>
        <v>https://drive.google.com/open?id=cxVmLgTLRd2s7rve5sXL</v>
      </c>
      <c r="S373" s="1">
        <f ca="1">IFERROR(__xludf.DUMMYFUNCTION("""COMPUTED_VALUE"""),100000000)</f>
        <v>100000000</v>
      </c>
      <c r="T373" s="1" t="str">
        <f ca="1">IFERROR(__xludf.DUMMYFUNCTION("""COMPUTED_VALUE"""),"Gold")</f>
        <v>Gold</v>
      </c>
      <c r="U373" s="1" t="str">
        <f ca="1">IFERROR(__xludf.DUMMYFUNCTION("""COMPUTED_VALUE"""),"Partner")</f>
        <v>Partner</v>
      </c>
    </row>
    <row r="374" spans="1:21" x14ac:dyDescent="0.25">
      <c r="A374" s="2" t="str">
        <f ca="1">IFERROR(__xludf.DUMMYFUNCTION("""COMPUTED_VALUE"""),"APP0373")</f>
        <v>APP0373</v>
      </c>
      <c r="B374" s="2">
        <f ca="1">IFERROR(__xludf.DUMMYFUNCTION("""COMPUTED_VALUE"""),45918.6172800925)</f>
        <v>45918.617280092498</v>
      </c>
      <c r="C374" s="1" t="str">
        <f ca="1">IFERROR(__xludf.DUMMYFUNCTION("""COMPUTED_VALUE"""),"Phan Ngọc Bình")</f>
        <v>Phan Ngọc Bình</v>
      </c>
      <c r="D374" s="1" t="str">
        <f ca="1">IFERROR(__xludf.DUMMYFUNCTION("""COMPUTED_VALUE"""),"12/01/1988")</f>
        <v>12/01/1988</v>
      </c>
      <c r="E374" s="1" t="str">
        <f ca="1">IFERROR(__xludf.DUMMYFUNCTION("""COMPUTED_VALUE"""),"Male")</f>
        <v>Male</v>
      </c>
      <c r="F374" s="1" t="str">
        <f ca="1">IFERROR(__xludf.DUMMYFUNCTION("""COMPUTED_VALUE"""),"Vietnam")</f>
        <v>Vietnam</v>
      </c>
      <c r="G374" s="1" t="str">
        <f ca="1">IFERROR(__xludf.DUMMYFUNCTION("""COMPUTED_VALUE"""),"0969205453")</f>
        <v>0969205453</v>
      </c>
      <c r="H374" s="1" t="str">
        <f ca="1">IFERROR(__xludf.DUMMYFUNCTION("""COMPUTED_VALUE"""),"phanngocbinh@gmail.com")</f>
        <v>phanngocbinh@gmail.com</v>
      </c>
      <c r="I374" s="1" t="str">
        <f ca="1">IFERROR(__xludf.DUMMYFUNCTION("""COMPUTED_VALUE"""),"68 Tran Hung Dao, Quan 3, Hai Phong, Viet Nam")</f>
        <v>68 Tran Hung Dao, Quan 3, Hai Phong, Viet Nam</v>
      </c>
      <c r="J374" s="1" t="str">
        <f ca="1">IFERROR(__xludf.DUMMYFUNCTION("""COMPUTED_VALUE"""),"086898510697")</f>
        <v>086898510697</v>
      </c>
      <c r="K374" s="3" t="str">
        <f ca="1">IFERROR(__xludf.DUMMYFUNCTION("""COMPUTED_VALUE"""),"https://drive.google.com/open?id=GWcvMNBCHWtuc1yhSykV")</f>
        <v>https://drive.google.com/open?id=GWcvMNBCHWtuc1yhSykV</v>
      </c>
      <c r="L374" s="3" t="str">
        <f ca="1">IFERROR(__xludf.DUMMYFUNCTION("""COMPUTED_VALUE"""),"https://drive.google.com/open?id=WFel6SZOA4icUFMCQt4p")</f>
        <v>https://drive.google.com/open?id=WFel6SZOA4icUFMCQt4p</v>
      </c>
      <c r="M374" s="1"/>
      <c r="N374" s="1"/>
      <c r="O374" s="1"/>
      <c r="P374" s="1" t="str">
        <f ca="1">IFERROR(__xludf.DUMMYFUNCTION("""COMPUTED_VALUE"""),"Contract")</f>
        <v>Contract</v>
      </c>
      <c r="Q374" s="1">
        <f ca="1">IFERROR(__xludf.DUMMYFUNCTION("""COMPUTED_VALUE"""),50000000)</f>
        <v>50000000</v>
      </c>
      <c r="R374" s="3" t="str">
        <f ca="1">IFERROR(__xludf.DUMMYFUNCTION("""COMPUTED_VALUE"""),"https://drive.google.com/open?id=cx216DRKZKzGpi3o9Fwx")</f>
        <v>https://drive.google.com/open?id=cx216DRKZKzGpi3o9Fwx</v>
      </c>
      <c r="S374" s="1">
        <f ca="1">IFERROR(__xludf.DUMMYFUNCTION("""COMPUTED_VALUE"""),250000000)</f>
        <v>250000000</v>
      </c>
      <c r="T374" s="1" t="str">
        <f ca="1">IFERROR(__xludf.DUMMYFUNCTION("""COMPUTED_VALUE"""),"Platinum")</f>
        <v>Platinum</v>
      </c>
      <c r="U374" s="1" t="str">
        <f ca="1">IFERROR(__xludf.DUMMYFUNCTION("""COMPUTED_VALUE"""),"Online")</f>
        <v>Online</v>
      </c>
    </row>
    <row r="375" spans="1:21" x14ac:dyDescent="0.25">
      <c r="A375" s="2" t="str">
        <f ca="1">IFERROR(__xludf.DUMMYFUNCTION("""COMPUTED_VALUE"""),"APP0374")</f>
        <v>APP0374</v>
      </c>
      <c r="B375" s="2">
        <f ca="1">IFERROR(__xludf.DUMMYFUNCTION("""COMPUTED_VALUE"""),45918.8583333333)</f>
        <v>45918.858333333301</v>
      </c>
      <c r="C375" s="1" t="str">
        <f ca="1">IFERROR(__xludf.DUMMYFUNCTION("""COMPUTED_VALUE"""),"Bùi Thị Thảo")</f>
        <v>Bùi Thị Thảo</v>
      </c>
      <c r="D375" s="1" t="str">
        <f ca="1">IFERROR(__xludf.DUMMYFUNCTION("""COMPUTED_VALUE"""),"08/07/2007")</f>
        <v>08/07/2007</v>
      </c>
      <c r="E375" s="1" t="str">
        <f ca="1">IFERROR(__xludf.DUMMYFUNCTION("""COMPUTED_VALUE"""),"Female")</f>
        <v>Female</v>
      </c>
      <c r="F375" s="1" t="str">
        <f ca="1">IFERROR(__xludf.DUMMYFUNCTION("""COMPUTED_VALUE"""),"Vietnam")</f>
        <v>Vietnam</v>
      </c>
      <c r="G375" s="1" t="str">
        <f ca="1">IFERROR(__xludf.DUMMYFUNCTION("""COMPUTED_VALUE"""),"0992720201")</f>
        <v>0992720201</v>
      </c>
      <c r="H375" s="1" t="str">
        <f ca="1">IFERROR(__xludf.DUMMYFUNCTION("""COMPUTED_VALUE"""),"buithithao@gmail.com")</f>
        <v>buithithao@gmail.com</v>
      </c>
      <c r="I375" s="1" t="str">
        <f ca="1">IFERROR(__xludf.DUMMYFUNCTION("""COMPUTED_VALUE"""),"155 Le Loi, Quan 7, Da Nang, Viet Nam")</f>
        <v>155 Le Loi, Quan 7, Da Nang, Viet Nam</v>
      </c>
      <c r="J375" s="1" t="str">
        <f ca="1">IFERROR(__xludf.DUMMYFUNCTION("""COMPUTED_VALUE"""),"069989958622")</f>
        <v>069989958622</v>
      </c>
      <c r="K375" s="3" t="str">
        <f ca="1">IFERROR(__xludf.DUMMYFUNCTION("""COMPUTED_VALUE"""),"https://drive.google.com/open?id=T7Zye5cIoNcPvGpE1Mjb")</f>
        <v>https://drive.google.com/open?id=T7Zye5cIoNcPvGpE1Mjb</v>
      </c>
      <c r="L375" s="3" t="str">
        <f ca="1">IFERROR(__xludf.DUMMYFUNCTION("""COMPUTED_VALUE"""),"https://drive.google.com/open?id=VPEwy218BVzOpPWKXIlP")</f>
        <v>https://drive.google.com/open?id=VPEwy218BVzOpPWKXIlP</v>
      </c>
      <c r="M375" s="1"/>
      <c r="N375" s="1"/>
      <c r="O375" s="1"/>
      <c r="P375" s="1" t="str">
        <f ca="1">IFERROR(__xludf.DUMMYFUNCTION("""COMPUTED_VALUE"""),"Part-time")</f>
        <v>Part-time</v>
      </c>
      <c r="Q375" s="1">
        <f ca="1">IFERROR(__xludf.DUMMYFUNCTION("""COMPUTED_VALUE"""),20000000)</f>
        <v>20000000</v>
      </c>
      <c r="R375" s="3" t="str">
        <f ca="1">IFERROR(__xludf.DUMMYFUNCTION("""COMPUTED_VALUE"""),"https://drive.google.com/open?id=ZtAolFS0IjfMyQZhHTkL")</f>
        <v>https://drive.google.com/open?id=ZtAolFS0IjfMyQZhHTkL</v>
      </c>
      <c r="S375" s="1">
        <f ca="1">IFERROR(__xludf.DUMMYFUNCTION("""COMPUTED_VALUE"""),60000000)</f>
        <v>60000000</v>
      </c>
      <c r="T375" s="1" t="str">
        <f ca="1">IFERROR(__xludf.DUMMYFUNCTION("""COMPUTED_VALUE"""),"Gold")</f>
        <v>Gold</v>
      </c>
      <c r="U375" s="1" t="str">
        <f ca="1">IFERROR(__xludf.DUMMYFUNCTION("""COMPUTED_VALUE"""),"Branch")</f>
        <v>Branch</v>
      </c>
    </row>
    <row r="376" spans="1:21" x14ac:dyDescent="0.25">
      <c r="A376" s="2" t="str">
        <f ca="1">IFERROR(__xludf.DUMMYFUNCTION("""COMPUTED_VALUE"""),"APP0375")</f>
        <v>APP0375</v>
      </c>
      <c r="B376" s="2">
        <f ca="1">IFERROR(__xludf.DUMMYFUNCTION("""COMPUTED_VALUE"""),45918.8895486111)</f>
        <v>45918.8895486111</v>
      </c>
      <c r="C376" s="1" t="str">
        <f ca="1">IFERROR(__xludf.DUMMYFUNCTION("""COMPUTED_VALUE"""),"Ngô Thị Giang")</f>
        <v>Ngô Thị Giang</v>
      </c>
      <c r="D376" s="1" t="str">
        <f ca="1">IFERROR(__xludf.DUMMYFUNCTION("""COMPUTED_VALUE"""),"21/06/1966")</f>
        <v>21/06/1966</v>
      </c>
      <c r="E376" s="1" t="str">
        <f ca="1">IFERROR(__xludf.DUMMYFUNCTION("""COMPUTED_VALUE"""),"Male")</f>
        <v>Male</v>
      </c>
      <c r="F376" s="1" t="str">
        <f ca="1">IFERROR(__xludf.DUMMYFUNCTION("""COMPUTED_VALUE"""),"Vietnam")</f>
        <v>Vietnam</v>
      </c>
      <c r="G376" s="1" t="str">
        <f ca="1">IFERROR(__xludf.DUMMYFUNCTION("""COMPUTED_VALUE"""),"0820805999")</f>
        <v>0820805999</v>
      </c>
      <c r="H376" s="1" t="str">
        <f ca="1">IFERROR(__xludf.DUMMYFUNCTION("""COMPUTED_VALUE"""),"ngothigiang@gmail.com")</f>
        <v>ngothigiang@gmail.com</v>
      </c>
      <c r="I376" s="1" t="str">
        <f ca="1">IFERROR(__xludf.DUMMYFUNCTION("""COMPUTED_VALUE"""),"104 Nguyen Hue, Quan 1, Ha Noi, Viet Nam")</f>
        <v>104 Nguyen Hue, Quan 1, Ha Noi, Viet Nam</v>
      </c>
      <c r="J376" s="1" t="str">
        <f ca="1">IFERROR(__xludf.DUMMYFUNCTION("""COMPUTED_VALUE"""),"058076768447")</f>
        <v>058076768447</v>
      </c>
      <c r="K376" s="3" t="str">
        <f ca="1">IFERROR(__xludf.DUMMYFUNCTION("""COMPUTED_VALUE"""),"https://drive.google.com/open?id=hjgjdG13VXFXyAjZPv12")</f>
        <v>https://drive.google.com/open?id=hjgjdG13VXFXyAjZPv12</v>
      </c>
      <c r="L376" s="3" t="str">
        <f ca="1">IFERROR(__xludf.DUMMYFUNCTION("""COMPUTED_VALUE"""),"https://drive.google.com/open?id=kaNa7mG1Ug2kvcPEzOAS")</f>
        <v>https://drive.google.com/open?id=kaNa7mG1Ug2kvcPEzOAS</v>
      </c>
      <c r="M376" s="1"/>
      <c r="N376" s="1"/>
      <c r="O376" s="1"/>
      <c r="P376" s="1" t="str">
        <f ca="1">IFERROR(__xludf.DUMMYFUNCTION("""COMPUTED_VALUE"""),"Freelancer")</f>
        <v>Freelancer</v>
      </c>
      <c r="Q376" s="1">
        <f ca="1">IFERROR(__xludf.DUMMYFUNCTION("""COMPUTED_VALUE"""),50000000)</f>
        <v>50000000</v>
      </c>
      <c r="R376" s="3" t="str">
        <f ca="1">IFERROR(__xludf.DUMMYFUNCTION("""COMPUTED_VALUE"""),"https://drive.google.com/open?id=yIItXt5IIDd34szqLuDy")</f>
        <v>https://drive.google.com/open?id=yIItXt5IIDd34szqLuDy</v>
      </c>
      <c r="S376" s="1">
        <f ca="1">IFERROR(__xludf.DUMMYFUNCTION("""COMPUTED_VALUE"""),250000000)</f>
        <v>250000000</v>
      </c>
      <c r="T376" s="1" t="str">
        <f ca="1">IFERROR(__xludf.DUMMYFUNCTION("""COMPUTED_VALUE"""),"Gold")</f>
        <v>Gold</v>
      </c>
      <c r="U376" s="1" t="str">
        <f ca="1">IFERROR(__xludf.DUMMYFUNCTION("""COMPUTED_VALUE"""),"Branch")</f>
        <v>Branch</v>
      </c>
    </row>
    <row r="377" spans="1:21" x14ac:dyDescent="0.25">
      <c r="A377" s="2" t="str">
        <f ca="1">IFERROR(__xludf.DUMMYFUNCTION("""COMPUTED_VALUE"""),"APP0376")</f>
        <v>APP0376</v>
      </c>
      <c r="B377" s="2">
        <f ca="1">IFERROR(__xludf.DUMMYFUNCTION("""COMPUTED_VALUE"""),45918.9501273148)</f>
        <v>45918.950127314798</v>
      </c>
      <c r="C377" s="1" t="str">
        <f ca="1">IFERROR(__xludf.DUMMYFUNCTION("""COMPUTED_VALUE"""),"Võ Ngọc Châu")</f>
        <v>Võ Ngọc Châu</v>
      </c>
      <c r="D377" s="1" t="str">
        <f ca="1">IFERROR(__xludf.DUMMYFUNCTION("""COMPUTED_VALUE"""),"19/11/1985")</f>
        <v>19/11/1985</v>
      </c>
      <c r="E377" s="1" t="str">
        <f ca="1">IFERROR(__xludf.DUMMYFUNCTION("""COMPUTED_VALUE"""),"Male")</f>
        <v>Male</v>
      </c>
      <c r="F377" s="1" t="str">
        <f ca="1">IFERROR(__xludf.DUMMYFUNCTION("""COMPUTED_VALUE"""),"Vietnam")</f>
        <v>Vietnam</v>
      </c>
      <c r="G377" s="1" t="str">
        <f ca="1">IFERROR(__xludf.DUMMYFUNCTION("""COMPUTED_VALUE"""),"0775080942")</f>
        <v>0775080942</v>
      </c>
      <c r="H377" s="1" t="str">
        <f ca="1">IFERROR(__xludf.DUMMYFUNCTION("""COMPUTED_VALUE"""),"vongocchau@gmail.com")</f>
        <v>vongocchau@gmail.com</v>
      </c>
      <c r="I377" s="1" t="str">
        <f ca="1">IFERROR(__xludf.DUMMYFUNCTION("""COMPUTED_VALUE"""),"182 Nguyen Trai, Quan 3, Ha Noi, Viet Nam")</f>
        <v>182 Nguyen Trai, Quan 3, Ha Noi, Viet Nam</v>
      </c>
      <c r="J377" s="1" t="str">
        <f ca="1">IFERROR(__xludf.DUMMYFUNCTION("""COMPUTED_VALUE"""),"074350899210")</f>
        <v>074350899210</v>
      </c>
      <c r="K377" s="3" t="str">
        <f ca="1">IFERROR(__xludf.DUMMYFUNCTION("""COMPUTED_VALUE"""),"https://drive.google.com/open?id=OJLuBMS5qfWJdOLI0CGd")</f>
        <v>https://drive.google.com/open?id=OJLuBMS5qfWJdOLI0CGd</v>
      </c>
      <c r="L377" s="3" t="str">
        <f ca="1">IFERROR(__xludf.DUMMYFUNCTION("""COMPUTED_VALUE"""),"https://drive.google.com/open?id=UdAv8TenIXyZKKpgRM4a")</f>
        <v>https://drive.google.com/open?id=UdAv8TenIXyZKKpgRM4a</v>
      </c>
      <c r="M377" s="1"/>
      <c r="N377" s="1"/>
      <c r="O377" s="1"/>
      <c r="P377" s="1" t="str">
        <f ca="1">IFERROR(__xludf.DUMMYFUNCTION("""COMPUTED_VALUE"""),"Part-time")</f>
        <v>Part-time</v>
      </c>
      <c r="Q377" s="1">
        <f ca="1">IFERROR(__xludf.DUMMYFUNCTION("""COMPUTED_VALUE"""),50000000)</f>
        <v>50000000</v>
      </c>
      <c r="R377" s="3" t="str">
        <f ca="1">IFERROR(__xludf.DUMMYFUNCTION("""COMPUTED_VALUE"""),"https://drive.google.com/open?id=KVf1yjgG7excrNDURoHS")</f>
        <v>https://drive.google.com/open?id=KVf1yjgG7excrNDURoHS</v>
      </c>
      <c r="S377" s="1">
        <f ca="1">IFERROR(__xludf.DUMMYFUNCTION("""COMPUTED_VALUE"""),250000000)</f>
        <v>250000000</v>
      </c>
      <c r="T377" s="1" t="str">
        <f ca="1">IFERROR(__xludf.DUMMYFUNCTION("""COMPUTED_VALUE"""),"Gold")</f>
        <v>Gold</v>
      </c>
      <c r="U377" s="1" t="str">
        <f ca="1">IFERROR(__xludf.DUMMYFUNCTION("""COMPUTED_VALUE"""),"Online")</f>
        <v>Online</v>
      </c>
    </row>
    <row r="378" spans="1:21" x14ac:dyDescent="0.25">
      <c r="A378" s="2" t="str">
        <f ca="1">IFERROR(__xludf.DUMMYFUNCTION("""COMPUTED_VALUE"""),"APP0377")</f>
        <v>APP0377</v>
      </c>
      <c r="B378" s="2">
        <f ca="1">IFERROR(__xludf.DUMMYFUNCTION("""COMPUTED_VALUE"""),45918.9564004629)</f>
        <v>45918.956400462899</v>
      </c>
      <c r="C378" s="1" t="str">
        <f ca="1">IFERROR(__xludf.DUMMYFUNCTION("""COMPUTED_VALUE"""),"Hồ Quang Thảo")</f>
        <v>Hồ Quang Thảo</v>
      </c>
      <c r="D378" s="1" t="str">
        <f ca="1">IFERROR(__xludf.DUMMYFUNCTION("""COMPUTED_VALUE"""),"11/09/1971")</f>
        <v>11/09/1971</v>
      </c>
      <c r="E378" s="1" t="str">
        <f ca="1">IFERROR(__xludf.DUMMYFUNCTION("""COMPUTED_VALUE"""),"Female")</f>
        <v>Female</v>
      </c>
      <c r="F378" s="1" t="str">
        <f ca="1">IFERROR(__xludf.DUMMYFUNCTION("""COMPUTED_VALUE"""),"Vietnam")</f>
        <v>Vietnam</v>
      </c>
      <c r="G378" s="1" t="str">
        <f ca="1">IFERROR(__xludf.DUMMYFUNCTION("""COMPUTED_VALUE"""),"0763817480")</f>
        <v>0763817480</v>
      </c>
      <c r="H378" s="1" t="str">
        <f ca="1">IFERROR(__xludf.DUMMYFUNCTION("""COMPUTED_VALUE"""),"hoquangthao@gmail.com")</f>
        <v>hoquangthao@gmail.com</v>
      </c>
      <c r="I378" s="1" t="str">
        <f ca="1">IFERROR(__xludf.DUMMYFUNCTION("""COMPUTED_VALUE"""),"173 Le Loi, Hoan Kiem, TP Ho Chi Minh, Viet Nam")</f>
        <v>173 Le Loi, Hoan Kiem, TP Ho Chi Minh, Viet Nam</v>
      </c>
      <c r="J378" s="1" t="str">
        <f ca="1">IFERROR(__xludf.DUMMYFUNCTION("""COMPUTED_VALUE"""),"065010376599")</f>
        <v>065010376599</v>
      </c>
      <c r="K378" s="3" t="str">
        <f ca="1">IFERROR(__xludf.DUMMYFUNCTION("""COMPUTED_VALUE"""),"https://drive.google.com/open?id=Hds23OpU33drmqi5KBsx")</f>
        <v>https://drive.google.com/open?id=Hds23OpU33drmqi5KBsx</v>
      </c>
      <c r="L378" s="3" t="str">
        <f ca="1">IFERROR(__xludf.DUMMYFUNCTION("""COMPUTED_VALUE"""),"https://drive.google.com/open?id=s2GQXzDRfpMyIAlHnixU")</f>
        <v>https://drive.google.com/open?id=s2GQXzDRfpMyIAlHnixU</v>
      </c>
      <c r="M378" s="1"/>
      <c r="N378" s="1"/>
      <c r="O378" s="1"/>
      <c r="P378" s="1" t="str">
        <f ca="1">IFERROR(__xludf.DUMMYFUNCTION("""COMPUTED_VALUE"""),"Self-employed")</f>
        <v>Self-employed</v>
      </c>
      <c r="Q378" s="1">
        <f ca="1">IFERROR(__xludf.DUMMYFUNCTION("""COMPUTED_VALUE"""),8000000)</f>
        <v>8000000</v>
      </c>
      <c r="R378" s="3" t="str">
        <f ca="1">IFERROR(__xludf.DUMMYFUNCTION("""COMPUTED_VALUE"""),"https://drive.google.com/open?id=rl3mGPr82v4E5kRF1xCC")</f>
        <v>https://drive.google.com/open?id=rl3mGPr82v4E5kRF1xCC</v>
      </c>
      <c r="S378" s="1">
        <f ca="1">IFERROR(__xludf.DUMMYFUNCTION("""COMPUTED_VALUE"""),24000000)</f>
        <v>24000000</v>
      </c>
      <c r="T378" s="1" t="str">
        <f ca="1">IFERROR(__xludf.DUMMYFUNCTION("""COMPUTED_VALUE"""),"Platinum")</f>
        <v>Platinum</v>
      </c>
      <c r="U378" s="1" t="str">
        <f ca="1">IFERROR(__xludf.DUMMYFUNCTION("""COMPUTED_VALUE"""),"Partner")</f>
        <v>Partner</v>
      </c>
    </row>
    <row r="379" spans="1:21" x14ac:dyDescent="0.25">
      <c r="A379" s="2" t="str">
        <f ca="1">IFERROR(__xludf.DUMMYFUNCTION("""COMPUTED_VALUE"""),"APP0378")</f>
        <v>APP0378</v>
      </c>
      <c r="B379" s="2">
        <f ca="1">IFERROR(__xludf.DUMMYFUNCTION("""COMPUTED_VALUE"""),45919.0532291666)</f>
        <v>45919.053229166602</v>
      </c>
      <c r="C379" s="1" t="str">
        <f ca="1">IFERROR(__xludf.DUMMYFUNCTION("""COMPUTED_VALUE"""),"Huỳnh Anh Hà")</f>
        <v>Huỳnh Anh Hà</v>
      </c>
      <c r="D379" s="1" t="str">
        <f ca="1">IFERROR(__xludf.DUMMYFUNCTION("""COMPUTED_VALUE"""),"02/04/1980")</f>
        <v>02/04/1980</v>
      </c>
      <c r="E379" s="1" t="str">
        <f ca="1">IFERROR(__xludf.DUMMYFUNCTION("""COMPUTED_VALUE"""),"Female")</f>
        <v>Female</v>
      </c>
      <c r="F379" s="1" t="str">
        <f ca="1">IFERROR(__xludf.DUMMYFUNCTION("""COMPUTED_VALUE"""),"Vietnam")</f>
        <v>Vietnam</v>
      </c>
      <c r="G379" s="1" t="str">
        <f ca="1">IFERROR(__xludf.DUMMYFUNCTION("""COMPUTED_VALUE"""),"0914507775")</f>
        <v>0914507775</v>
      </c>
      <c r="H379" s="1" t="str">
        <f ca="1">IFERROR(__xludf.DUMMYFUNCTION("""COMPUTED_VALUE"""),"huynhanhha@gmail.com")</f>
        <v>huynhanhha@gmail.com</v>
      </c>
      <c r="I379" s="1" t="str">
        <f ca="1">IFERROR(__xludf.DUMMYFUNCTION("""COMPUTED_VALUE"""),"193 Tran Hung Dao, Dong Da, Ha Noi, Viet Nam")</f>
        <v>193 Tran Hung Dao, Dong Da, Ha Noi, Viet Nam</v>
      </c>
      <c r="J379" s="1" t="str">
        <f ca="1">IFERROR(__xludf.DUMMYFUNCTION("""COMPUTED_VALUE"""),"087534231350")</f>
        <v>087534231350</v>
      </c>
      <c r="K379" s="3" t="str">
        <f ca="1">IFERROR(__xludf.DUMMYFUNCTION("""COMPUTED_VALUE"""),"https://drive.google.com/open?id=ToK6PsDSaV12M6sIagkN")</f>
        <v>https://drive.google.com/open?id=ToK6PsDSaV12M6sIagkN</v>
      </c>
      <c r="L379" s="3" t="str">
        <f ca="1">IFERROR(__xludf.DUMMYFUNCTION("""COMPUTED_VALUE"""),"https://drive.google.com/open?id=HBRFV4hTp2Ze55xJUy4f")</f>
        <v>https://drive.google.com/open?id=HBRFV4hTp2Ze55xJUy4f</v>
      </c>
      <c r="M379" s="1"/>
      <c r="N379" s="1"/>
      <c r="O379" s="1"/>
      <c r="P379" s="1" t="str">
        <f ca="1">IFERROR(__xludf.DUMMYFUNCTION("""COMPUTED_VALUE"""),"Freelancer")</f>
        <v>Freelancer</v>
      </c>
      <c r="Q379" s="1">
        <f ca="1">IFERROR(__xludf.DUMMYFUNCTION("""COMPUTED_VALUE"""),12000000)</f>
        <v>12000000</v>
      </c>
      <c r="R379" s="3" t="str">
        <f ca="1">IFERROR(__xludf.DUMMYFUNCTION("""COMPUTED_VALUE"""),"https://drive.google.com/open?id=GAsqB8hJP1XZkTUROANK")</f>
        <v>https://drive.google.com/open?id=GAsqB8hJP1XZkTUROANK</v>
      </c>
      <c r="S379" s="1">
        <f ca="1">IFERROR(__xludf.DUMMYFUNCTION("""COMPUTED_VALUE"""),60000000)</f>
        <v>60000000</v>
      </c>
      <c r="T379" s="1" t="str">
        <f ca="1">IFERROR(__xludf.DUMMYFUNCTION("""COMPUTED_VALUE"""),"Gold")</f>
        <v>Gold</v>
      </c>
      <c r="U379" s="1" t="str">
        <f ca="1">IFERROR(__xludf.DUMMYFUNCTION("""COMPUTED_VALUE"""),"Branch")</f>
        <v>Branch</v>
      </c>
    </row>
    <row r="380" spans="1:21" x14ac:dyDescent="0.25">
      <c r="A380" s="2" t="str">
        <f ca="1">IFERROR(__xludf.DUMMYFUNCTION("""COMPUTED_VALUE"""),"APP0379")</f>
        <v>APP0379</v>
      </c>
      <c r="B380" s="2">
        <f ca="1">IFERROR(__xludf.DUMMYFUNCTION("""COMPUTED_VALUE"""),45919.0539004629)</f>
        <v>45919.053900462903</v>
      </c>
      <c r="C380" s="1" t="str">
        <f ca="1">IFERROR(__xludf.DUMMYFUNCTION("""COMPUTED_VALUE"""),"Ngô Đức Hải")</f>
        <v>Ngô Đức Hải</v>
      </c>
      <c r="D380" s="1" t="str">
        <f ca="1">IFERROR(__xludf.DUMMYFUNCTION("""COMPUTED_VALUE"""),"22/03/2006")</f>
        <v>22/03/2006</v>
      </c>
      <c r="E380" s="1" t="str">
        <f ca="1">IFERROR(__xludf.DUMMYFUNCTION("""COMPUTED_VALUE"""),"Female")</f>
        <v>Female</v>
      </c>
      <c r="F380" s="1" t="str">
        <f ca="1">IFERROR(__xludf.DUMMYFUNCTION("""COMPUTED_VALUE"""),"Vietnam")</f>
        <v>Vietnam</v>
      </c>
      <c r="G380" s="1" t="str">
        <f ca="1">IFERROR(__xludf.DUMMYFUNCTION("""COMPUTED_VALUE"""),"0939276470")</f>
        <v>0939276470</v>
      </c>
      <c r="H380" s="1" t="str">
        <f ca="1">IFERROR(__xludf.DUMMYFUNCTION("""COMPUTED_VALUE"""),"ngoduchai@gmail.com")</f>
        <v>ngoduchai@gmail.com</v>
      </c>
      <c r="I380" s="1" t="str">
        <f ca="1">IFERROR(__xludf.DUMMYFUNCTION("""COMPUTED_VALUE"""),"8 Nguyen Hue, Hoan Kiem, Da Nang, Viet Nam")</f>
        <v>8 Nguyen Hue, Hoan Kiem, Da Nang, Viet Nam</v>
      </c>
      <c r="J380" s="1" t="str">
        <f ca="1">IFERROR(__xludf.DUMMYFUNCTION("""COMPUTED_VALUE"""),"094618378954")</f>
        <v>094618378954</v>
      </c>
      <c r="K380" s="3" t="str">
        <f ca="1">IFERROR(__xludf.DUMMYFUNCTION("""COMPUTED_VALUE"""),"https://drive.google.com/open?id=E538M69oSJSjeXGgwPRM")</f>
        <v>https://drive.google.com/open?id=E538M69oSJSjeXGgwPRM</v>
      </c>
      <c r="L380" s="3" t="str">
        <f ca="1">IFERROR(__xludf.DUMMYFUNCTION("""COMPUTED_VALUE"""),"https://drive.google.com/open?id=G5wLpQsrcV8dJGS8YhWY")</f>
        <v>https://drive.google.com/open?id=G5wLpQsrcV8dJGS8YhWY</v>
      </c>
      <c r="M380" s="1"/>
      <c r="N380" s="1"/>
      <c r="O380" s="1"/>
      <c r="P380" s="1" t="str">
        <f ca="1">IFERROR(__xludf.DUMMYFUNCTION("""COMPUTED_VALUE"""),"Part-time")</f>
        <v>Part-time</v>
      </c>
      <c r="Q380" s="1">
        <f ca="1">IFERROR(__xludf.DUMMYFUNCTION("""COMPUTED_VALUE"""),8000000)</f>
        <v>8000000</v>
      </c>
      <c r="R380" s="3" t="str">
        <f ca="1">IFERROR(__xludf.DUMMYFUNCTION("""COMPUTED_VALUE"""),"https://drive.google.com/open?id=583gZ4Ipcs87gMiTXUf5")</f>
        <v>https://drive.google.com/open?id=583gZ4Ipcs87gMiTXUf5</v>
      </c>
      <c r="S380" s="1">
        <f ca="1">IFERROR(__xludf.DUMMYFUNCTION("""COMPUTED_VALUE"""),40000000)</f>
        <v>40000000</v>
      </c>
      <c r="T380" s="1" t="str">
        <f ca="1">IFERROR(__xludf.DUMMYFUNCTION("""COMPUTED_VALUE"""),"Gold")</f>
        <v>Gold</v>
      </c>
      <c r="U380" s="1" t="str">
        <f ca="1">IFERROR(__xludf.DUMMYFUNCTION("""COMPUTED_VALUE"""),"Branch")</f>
        <v>Branch</v>
      </c>
    </row>
    <row r="381" spans="1:21" x14ac:dyDescent="0.25">
      <c r="A381" s="2" t="str">
        <f ca="1">IFERROR(__xludf.DUMMYFUNCTION("""COMPUTED_VALUE"""),"APP0380")</f>
        <v>APP0380</v>
      </c>
      <c r="B381" s="2">
        <f ca="1">IFERROR(__xludf.DUMMYFUNCTION("""COMPUTED_VALUE"""),45919.1476736111)</f>
        <v>45919.1476736111</v>
      </c>
      <c r="C381" s="1" t="str">
        <f ca="1">IFERROR(__xludf.DUMMYFUNCTION("""COMPUTED_VALUE"""),"Đỗ Minh Linh")</f>
        <v>Đỗ Minh Linh</v>
      </c>
      <c r="D381" s="1" t="str">
        <f ca="1">IFERROR(__xludf.DUMMYFUNCTION("""COMPUTED_VALUE"""),"17/02/1967")</f>
        <v>17/02/1967</v>
      </c>
      <c r="E381" s="1" t="str">
        <f ca="1">IFERROR(__xludf.DUMMYFUNCTION("""COMPUTED_VALUE"""),"Female")</f>
        <v>Female</v>
      </c>
      <c r="F381" s="1" t="str">
        <f ca="1">IFERROR(__xludf.DUMMYFUNCTION("""COMPUTED_VALUE"""),"Vietnam")</f>
        <v>Vietnam</v>
      </c>
      <c r="G381" s="1" t="str">
        <f ca="1">IFERROR(__xludf.DUMMYFUNCTION("""COMPUTED_VALUE"""),"0722299335")</f>
        <v>0722299335</v>
      </c>
      <c r="H381" s="1" t="str">
        <f ca="1">IFERROR(__xludf.DUMMYFUNCTION("""COMPUTED_VALUE"""),"dominhlinh@gmail.com")</f>
        <v>dominhlinh@gmail.com</v>
      </c>
      <c r="I381" s="1" t="str">
        <f ca="1">IFERROR(__xludf.DUMMYFUNCTION("""COMPUTED_VALUE"""),"118 Ly Thuong Kiet, Quan 1, Da Nang, Viet Nam")</f>
        <v>118 Ly Thuong Kiet, Quan 1, Da Nang, Viet Nam</v>
      </c>
      <c r="J381" s="1" t="str">
        <f ca="1">IFERROR(__xludf.DUMMYFUNCTION("""COMPUTED_VALUE"""),"028949262051")</f>
        <v>028949262051</v>
      </c>
      <c r="K381" s="3" t="str">
        <f ca="1">IFERROR(__xludf.DUMMYFUNCTION("""COMPUTED_VALUE"""),"https://drive.google.com/open?id=NbBnuVhNsbb5K6f1e1na")</f>
        <v>https://drive.google.com/open?id=NbBnuVhNsbb5K6f1e1na</v>
      </c>
      <c r="L381" s="3" t="str">
        <f ca="1">IFERROR(__xludf.DUMMYFUNCTION("""COMPUTED_VALUE"""),"https://drive.google.com/open?id=he6FJX8pmwFTH1D5iDWN")</f>
        <v>https://drive.google.com/open?id=he6FJX8pmwFTH1D5iDWN</v>
      </c>
      <c r="M381" s="1"/>
      <c r="N381" s="1"/>
      <c r="O381" s="1"/>
      <c r="P381" s="1" t="str">
        <f ca="1">IFERROR(__xludf.DUMMYFUNCTION("""COMPUTED_VALUE"""),"Freelancer")</f>
        <v>Freelancer</v>
      </c>
      <c r="Q381" s="1">
        <f ca="1">IFERROR(__xludf.DUMMYFUNCTION("""COMPUTED_VALUE"""),50000000)</f>
        <v>50000000</v>
      </c>
      <c r="R381" s="3" t="str">
        <f ca="1">IFERROR(__xludf.DUMMYFUNCTION("""COMPUTED_VALUE"""),"https://drive.google.com/open?id=69i5Es7KPr4hLLntMzkr")</f>
        <v>https://drive.google.com/open?id=69i5Es7KPr4hLLntMzkr</v>
      </c>
      <c r="S381" s="1">
        <f ca="1">IFERROR(__xludf.DUMMYFUNCTION("""COMPUTED_VALUE"""),150000000)</f>
        <v>150000000</v>
      </c>
      <c r="T381" s="1" t="str">
        <f ca="1">IFERROR(__xludf.DUMMYFUNCTION("""COMPUTED_VALUE"""),"Gold")</f>
        <v>Gold</v>
      </c>
      <c r="U381" s="1" t="str">
        <f ca="1">IFERROR(__xludf.DUMMYFUNCTION("""COMPUTED_VALUE"""),"Partner")</f>
        <v>Partner</v>
      </c>
    </row>
    <row r="382" spans="1:21" x14ac:dyDescent="0.25">
      <c r="A382" s="2" t="str">
        <f ca="1">IFERROR(__xludf.DUMMYFUNCTION("""COMPUTED_VALUE"""),"APP0381")</f>
        <v>APP0381</v>
      </c>
      <c r="B382" s="2">
        <f ca="1">IFERROR(__xludf.DUMMYFUNCTION("""COMPUTED_VALUE"""),45919.19125)</f>
        <v>45919.191250000003</v>
      </c>
      <c r="C382" s="1" t="str">
        <f ca="1">IFERROR(__xludf.DUMMYFUNCTION("""COMPUTED_VALUE"""),"Võ Anh Yến")</f>
        <v>Võ Anh Yến</v>
      </c>
      <c r="D382" s="1" t="str">
        <f ca="1">IFERROR(__xludf.DUMMYFUNCTION("""COMPUTED_VALUE"""),"08/08/2001")</f>
        <v>08/08/2001</v>
      </c>
      <c r="E382" s="1" t="str">
        <f ca="1">IFERROR(__xludf.DUMMYFUNCTION("""COMPUTED_VALUE"""),"Male")</f>
        <v>Male</v>
      </c>
      <c r="F382" s="1" t="str">
        <f ca="1">IFERROR(__xludf.DUMMYFUNCTION("""COMPUTED_VALUE"""),"Vietnam")</f>
        <v>Vietnam</v>
      </c>
      <c r="G382" s="1" t="str">
        <f ca="1">IFERROR(__xludf.DUMMYFUNCTION("""COMPUTED_VALUE"""),"0989957321")</f>
        <v>0989957321</v>
      </c>
      <c r="H382" s="1" t="str">
        <f ca="1">IFERROR(__xludf.DUMMYFUNCTION("""COMPUTED_VALUE"""),"voanhyen@gmail.com")</f>
        <v>voanhyen@gmail.com</v>
      </c>
      <c r="I382" s="1" t="str">
        <f ca="1">IFERROR(__xludf.DUMMYFUNCTION("""COMPUTED_VALUE"""),"29 Ly Thuong Kiet, Hoan Kiem, Hai Phong, Viet Nam")</f>
        <v>29 Ly Thuong Kiet, Hoan Kiem, Hai Phong, Viet Nam</v>
      </c>
      <c r="J382" s="1" t="str">
        <f ca="1">IFERROR(__xludf.DUMMYFUNCTION("""COMPUTED_VALUE"""),"043071068081")</f>
        <v>043071068081</v>
      </c>
      <c r="K382" s="3" t="str">
        <f ca="1">IFERROR(__xludf.DUMMYFUNCTION("""COMPUTED_VALUE"""),"https://drive.google.com/open?id=jL8knrMoyCHBOTuA8aXs")</f>
        <v>https://drive.google.com/open?id=jL8knrMoyCHBOTuA8aXs</v>
      </c>
      <c r="L382" s="3" t="str">
        <f ca="1">IFERROR(__xludf.DUMMYFUNCTION("""COMPUTED_VALUE"""),"https://drive.google.com/open?id=Tpy0iI19n4r8OnoUFR8v")</f>
        <v>https://drive.google.com/open?id=Tpy0iI19n4r8OnoUFR8v</v>
      </c>
      <c r="M382" s="1"/>
      <c r="N382" s="1"/>
      <c r="O382" s="1"/>
      <c r="P382" s="1" t="str">
        <f ca="1">IFERROR(__xludf.DUMMYFUNCTION("""COMPUTED_VALUE"""),"Part-time")</f>
        <v>Part-time</v>
      </c>
      <c r="Q382" s="1">
        <f ca="1">IFERROR(__xludf.DUMMYFUNCTION("""COMPUTED_VALUE"""),12000000)</f>
        <v>12000000</v>
      </c>
      <c r="R382" s="3" t="str">
        <f ca="1">IFERROR(__xludf.DUMMYFUNCTION("""COMPUTED_VALUE"""),"https://drive.google.com/open?id=3QEN1BU8HmHPrZi4giTQ")</f>
        <v>https://drive.google.com/open?id=3QEN1BU8HmHPrZi4giTQ</v>
      </c>
      <c r="S382" s="1">
        <f ca="1">IFERROR(__xludf.DUMMYFUNCTION("""COMPUTED_VALUE"""),24000000)</f>
        <v>24000000</v>
      </c>
      <c r="T382" s="1" t="str">
        <f ca="1">IFERROR(__xludf.DUMMYFUNCTION("""COMPUTED_VALUE"""),"Platinum")</f>
        <v>Platinum</v>
      </c>
      <c r="U382" s="1" t="str">
        <f ca="1">IFERROR(__xludf.DUMMYFUNCTION("""COMPUTED_VALUE"""),"Branch")</f>
        <v>Branch</v>
      </c>
    </row>
    <row r="383" spans="1:21" x14ac:dyDescent="0.25">
      <c r="A383" s="2" t="str">
        <f ca="1">IFERROR(__xludf.DUMMYFUNCTION("""COMPUTED_VALUE"""),"APP0382")</f>
        <v>APP0382</v>
      </c>
      <c r="B383" s="2">
        <f ca="1">IFERROR(__xludf.DUMMYFUNCTION("""COMPUTED_VALUE"""),45919.2304513888)</f>
        <v>45919.230451388801</v>
      </c>
      <c r="C383" s="1" t="str">
        <f ca="1">IFERROR(__xludf.DUMMYFUNCTION("""COMPUTED_VALUE"""),"Trần Thị Bình")</f>
        <v>Trần Thị Bình</v>
      </c>
      <c r="D383" s="1" t="str">
        <f ca="1">IFERROR(__xludf.DUMMYFUNCTION("""COMPUTED_VALUE"""),"07/08/1982")</f>
        <v>07/08/1982</v>
      </c>
      <c r="E383" s="1" t="str">
        <f ca="1">IFERROR(__xludf.DUMMYFUNCTION("""COMPUTED_VALUE"""),"Female")</f>
        <v>Female</v>
      </c>
      <c r="F383" s="1" t="str">
        <f ca="1">IFERROR(__xludf.DUMMYFUNCTION("""COMPUTED_VALUE"""),"Vietnam")</f>
        <v>Vietnam</v>
      </c>
      <c r="G383" s="1" t="str">
        <f ca="1">IFERROR(__xludf.DUMMYFUNCTION("""COMPUTED_VALUE"""),"0766040324")</f>
        <v>0766040324</v>
      </c>
      <c r="H383" s="1" t="str">
        <f ca="1">IFERROR(__xludf.DUMMYFUNCTION("""COMPUTED_VALUE"""),"tranthibinh@gmail.com")</f>
        <v>tranthibinh@gmail.com</v>
      </c>
      <c r="I383" s="1" t="str">
        <f ca="1">IFERROR(__xludf.DUMMYFUNCTION("""COMPUTED_VALUE"""),"111 Nguyen Hue, Hoan Kiem, Da Nang, Viet Nam")</f>
        <v>111 Nguyen Hue, Hoan Kiem, Da Nang, Viet Nam</v>
      </c>
      <c r="J383" s="1" t="str">
        <f ca="1">IFERROR(__xludf.DUMMYFUNCTION("""COMPUTED_VALUE"""),"080730712238")</f>
        <v>080730712238</v>
      </c>
      <c r="K383" s="3" t="str">
        <f ca="1">IFERROR(__xludf.DUMMYFUNCTION("""COMPUTED_VALUE"""),"https://drive.google.com/open?id=eqWNOkdeqQiDEXoLe8mB")</f>
        <v>https://drive.google.com/open?id=eqWNOkdeqQiDEXoLe8mB</v>
      </c>
      <c r="L383" s="3" t="str">
        <f ca="1">IFERROR(__xludf.DUMMYFUNCTION("""COMPUTED_VALUE"""),"https://drive.google.com/open?id=2MJCwkDXvvEng7tN3wIg")</f>
        <v>https://drive.google.com/open?id=2MJCwkDXvvEng7tN3wIg</v>
      </c>
      <c r="M383" s="1"/>
      <c r="N383" s="1"/>
      <c r="O383" s="1"/>
      <c r="P383" s="1" t="str">
        <f ca="1">IFERROR(__xludf.DUMMYFUNCTION("""COMPUTED_VALUE"""),"Part-time")</f>
        <v>Part-time</v>
      </c>
      <c r="Q383" s="1">
        <f ca="1">IFERROR(__xludf.DUMMYFUNCTION("""COMPUTED_VALUE"""),5000000)</f>
        <v>5000000</v>
      </c>
      <c r="R383" s="3" t="str">
        <f ca="1">IFERROR(__xludf.DUMMYFUNCTION("""COMPUTED_VALUE"""),"https://drive.google.com/open?id=HfhdIJgf52JbDmeJOsog")</f>
        <v>https://drive.google.com/open?id=HfhdIJgf52JbDmeJOsog</v>
      </c>
      <c r="S383" s="1">
        <f ca="1">IFERROR(__xludf.DUMMYFUNCTION("""COMPUTED_VALUE"""),15000000)</f>
        <v>15000000</v>
      </c>
      <c r="T383" s="1" t="str">
        <f ca="1">IFERROR(__xludf.DUMMYFUNCTION("""COMPUTED_VALUE"""),"Platinum")</f>
        <v>Platinum</v>
      </c>
      <c r="U383" s="1" t="str">
        <f ca="1">IFERROR(__xludf.DUMMYFUNCTION("""COMPUTED_VALUE"""),"Branch")</f>
        <v>Branch</v>
      </c>
    </row>
    <row r="384" spans="1:21" x14ac:dyDescent="0.25">
      <c r="A384" s="2" t="str">
        <f ca="1">IFERROR(__xludf.DUMMYFUNCTION("""COMPUTED_VALUE"""),"APP0383")</f>
        <v>APP0383</v>
      </c>
      <c r="B384" s="2">
        <f ca="1">IFERROR(__xludf.DUMMYFUNCTION("""COMPUTED_VALUE"""),45919.2578472222)</f>
        <v>45919.257847222201</v>
      </c>
      <c r="C384" s="1" t="str">
        <f ca="1">IFERROR(__xludf.DUMMYFUNCTION("""COMPUTED_VALUE"""),"Hồ Ngọc Quân")</f>
        <v>Hồ Ngọc Quân</v>
      </c>
      <c r="D384" s="1" t="str">
        <f ca="1">IFERROR(__xludf.DUMMYFUNCTION("""COMPUTED_VALUE"""),"28/12/1981")</f>
        <v>28/12/1981</v>
      </c>
      <c r="E384" s="1" t="str">
        <f ca="1">IFERROR(__xludf.DUMMYFUNCTION("""COMPUTED_VALUE"""),"Male")</f>
        <v>Male</v>
      </c>
      <c r="F384" s="1" t="str">
        <f ca="1">IFERROR(__xludf.DUMMYFUNCTION("""COMPUTED_VALUE"""),"Vietnam")</f>
        <v>Vietnam</v>
      </c>
      <c r="G384" s="1" t="str">
        <f ca="1">IFERROR(__xludf.DUMMYFUNCTION("""COMPUTED_VALUE"""),"0841350570")</f>
        <v>0841350570</v>
      </c>
      <c r="H384" s="1" t="str">
        <f ca="1">IFERROR(__xludf.DUMMYFUNCTION("""COMPUTED_VALUE"""),"hongocquan@gmail.com")</f>
        <v>hongocquan@gmail.com</v>
      </c>
      <c r="I384" s="1" t="str">
        <f ca="1">IFERROR(__xludf.DUMMYFUNCTION("""COMPUTED_VALUE"""),"125 Tran Hung Dao, Hai Chau, Hai Phong, Viet Nam")</f>
        <v>125 Tran Hung Dao, Hai Chau, Hai Phong, Viet Nam</v>
      </c>
      <c r="J384" s="1" t="str">
        <f ca="1">IFERROR(__xludf.DUMMYFUNCTION("""COMPUTED_VALUE"""),"085191984978")</f>
        <v>085191984978</v>
      </c>
      <c r="K384" s="3" t="str">
        <f ca="1">IFERROR(__xludf.DUMMYFUNCTION("""COMPUTED_VALUE"""),"https://drive.google.com/open?id=tB4sWTjACsughtxTTmTb")</f>
        <v>https://drive.google.com/open?id=tB4sWTjACsughtxTTmTb</v>
      </c>
      <c r="L384" s="3" t="str">
        <f ca="1">IFERROR(__xludf.DUMMYFUNCTION("""COMPUTED_VALUE"""),"https://drive.google.com/open?id=YYhvIF8GGFCvn1sU7Z1E")</f>
        <v>https://drive.google.com/open?id=YYhvIF8GGFCvn1sU7Z1E</v>
      </c>
      <c r="M384" s="1"/>
      <c r="N384" s="1"/>
      <c r="O384" s="1"/>
      <c r="P384" s="1" t="str">
        <f ca="1">IFERROR(__xludf.DUMMYFUNCTION("""COMPUTED_VALUE"""),"Contract")</f>
        <v>Contract</v>
      </c>
      <c r="Q384" s="1">
        <f ca="1">IFERROR(__xludf.DUMMYFUNCTION("""COMPUTED_VALUE"""),50000000)</f>
        <v>50000000</v>
      </c>
      <c r="R384" s="3" t="str">
        <f ca="1">IFERROR(__xludf.DUMMYFUNCTION("""COMPUTED_VALUE"""),"https://drive.google.com/open?id=3IZSDLrh6KJ1RaPuF26t")</f>
        <v>https://drive.google.com/open?id=3IZSDLrh6KJ1RaPuF26t</v>
      </c>
      <c r="S384" s="1">
        <f ca="1">IFERROR(__xludf.DUMMYFUNCTION("""COMPUTED_VALUE"""),150000000)</f>
        <v>150000000</v>
      </c>
      <c r="T384" s="1" t="str">
        <f ca="1">IFERROR(__xludf.DUMMYFUNCTION("""COMPUTED_VALUE"""),"Gold")</f>
        <v>Gold</v>
      </c>
      <c r="U384" s="1" t="str">
        <f ca="1">IFERROR(__xludf.DUMMYFUNCTION("""COMPUTED_VALUE"""),"Online")</f>
        <v>Online</v>
      </c>
    </row>
    <row r="385" spans="1:21" x14ac:dyDescent="0.25">
      <c r="A385" s="2" t="str">
        <f ca="1">IFERROR(__xludf.DUMMYFUNCTION("""COMPUTED_VALUE"""),"APP0384")</f>
        <v>APP0384</v>
      </c>
      <c r="B385" s="2">
        <f ca="1">IFERROR(__xludf.DUMMYFUNCTION("""COMPUTED_VALUE"""),45919.3333680555)</f>
        <v>45919.333368055501</v>
      </c>
      <c r="C385" s="1" t="str">
        <f ca="1">IFERROR(__xludf.DUMMYFUNCTION("""COMPUTED_VALUE"""),"Phan Anh Hải")</f>
        <v>Phan Anh Hải</v>
      </c>
      <c r="D385" s="1" t="str">
        <f ca="1">IFERROR(__xludf.DUMMYFUNCTION("""COMPUTED_VALUE"""),"06/12/1983")</f>
        <v>06/12/1983</v>
      </c>
      <c r="E385" s="1" t="str">
        <f ca="1">IFERROR(__xludf.DUMMYFUNCTION("""COMPUTED_VALUE"""),"Male")</f>
        <v>Male</v>
      </c>
      <c r="F385" s="1" t="str">
        <f ca="1">IFERROR(__xludf.DUMMYFUNCTION("""COMPUTED_VALUE"""),"Vietnam")</f>
        <v>Vietnam</v>
      </c>
      <c r="G385" s="1" t="str">
        <f ca="1">IFERROR(__xludf.DUMMYFUNCTION("""COMPUTED_VALUE"""),"0977445873")</f>
        <v>0977445873</v>
      </c>
      <c r="H385" s="1" t="str">
        <f ca="1">IFERROR(__xludf.DUMMYFUNCTION("""COMPUTED_VALUE"""),"phananhhai@gmail.com")</f>
        <v>phananhhai@gmail.com</v>
      </c>
      <c r="I385" s="1" t="str">
        <f ca="1">IFERROR(__xludf.DUMMYFUNCTION("""COMPUTED_VALUE"""),"95 Nguyen Hue, Hai Chau, Da Nang, Viet Nam")</f>
        <v>95 Nguyen Hue, Hai Chau, Da Nang, Viet Nam</v>
      </c>
      <c r="J385" s="1" t="str">
        <f ca="1">IFERROR(__xludf.DUMMYFUNCTION("""COMPUTED_VALUE"""),"097255582566")</f>
        <v>097255582566</v>
      </c>
      <c r="K385" s="3" t="str">
        <f ca="1">IFERROR(__xludf.DUMMYFUNCTION("""COMPUTED_VALUE"""),"https://drive.google.com/open?id=3bC8nuCV0f4OgmUlRZhz")</f>
        <v>https://drive.google.com/open?id=3bC8nuCV0f4OgmUlRZhz</v>
      </c>
      <c r="L385" s="3" t="str">
        <f ca="1">IFERROR(__xludf.DUMMYFUNCTION("""COMPUTED_VALUE"""),"https://drive.google.com/open?id=ThvRoyQOHpTIJueq0Ci4")</f>
        <v>https://drive.google.com/open?id=ThvRoyQOHpTIJueq0Ci4</v>
      </c>
      <c r="M385" s="1"/>
      <c r="N385" s="1"/>
      <c r="O385" s="1"/>
      <c r="P385" s="1" t="str">
        <f ca="1">IFERROR(__xludf.DUMMYFUNCTION("""COMPUTED_VALUE"""),"Freelancer")</f>
        <v>Freelancer</v>
      </c>
      <c r="Q385" s="1">
        <f ca="1">IFERROR(__xludf.DUMMYFUNCTION("""COMPUTED_VALUE"""),20000000)</f>
        <v>20000000</v>
      </c>
      <c r="R385" s="3" t="str">
        <f ca="1">IFERROR(__xludf.DUMMYFUNCTION("""COMPUTED_VALUE"""),"https://drive.google.com/open?id=VSP5afWoExEWkrRcw2AI")</f>
        <v>https://drive.google.com/open?id=VSP5afWoExEWkrRcw2AI</v>
      </c>
      <c r="S385" s="1">
        <f ca="1">IFERROR(__xludf.DUMMYFUNCTION("""COMPUTED_VALUE"""),100000000)</f>
        <v>100000000</v>
      </c>
      <c r="T385" s="1" t="str">
        <f ca="1">IFERROR(__xludf.DUMMYFUNCTION("""COMPUTED_VALUE"""),"Gold")</f>
        <v>Gold</v>
      </c>
      <c r="U385" s="1" t="str">
        <f ca="1">IFERROR(__xludf.DUMMYFUNCTION("""COMPUTED_VALUE"""),"Branch")</f>
        <v>Branch</v>
      </c>
    </row>
    <row r="386" spans="1:21" x14ac:dyDescent="0.25">
      <c r="A386" s="2" t="str">
        <f ca="1">IFERROR(__xludf.DUMMYFUNCTION("""COMPUTED_VALUE"""),"APP0385")</f>
        <v>APP0385</v>
      </c>
      <c r="B386" s="2">
        <f ca="1">IFERROR(__xludf.DUMMYFUNCTION("""COMPUTED_VALUE"""),45919.445324074)</f>
        <v>45919.445324073997</v>
      </c>
      <c r="C386" s="1" t="str">
        <f ca="1">IFERROR(__xludf.DUMMYFUNCTION("""COMPUTED_VALUE"""),"Trần Quang Phúc")</f>
        <v>Trần Quang Phúc</v>
      </c>
      <c r="D386" s="1" t="str">
        <f ca="1">IFERROR(__xludf.DUMMYFUNCTION("""COMPUTED_VALUE"""),"20/05/1999")</f>
        <v>20/05/1999</v>
      </c>
      <c r="E386" s="1" t="str">
        <f ca="1">IFERROR(__xludf.DUMMYFUNCTION("""COMPUTED_VALUE"""),"Male")</f>
        <v>Male</v>
      </c>
      <c r="F386" s="1" t="str">
        <f ca="1">IFERROR(__xludf.DUMMYFUNCTION("""COMPUTED_VALUE"""),"Vietnam")</f>
        <v>Vietnam</v>
      </c>
      <c r="G386" s="1" t="str">
        <f ca="1">IFERROR(__xludf.DUMMYFUNCTION("""COMPUTED_VALUE"""),"0928663421")</f>
        <v>0928663421</v>
      </c>
      <c r="H386" s="1" t="str">
        <f ca="1">IFERROR(__xludf.DUMMYFUNCTION("""COMPUTED_VALUE"""),"tranquangphuc@gmail.com")</f>
        <v>tranquangphuc@gmail.com</v>
      </c>
      <c r="I386" s="1" t="str">
        <f ca="1">IFERROR(__xludf.DUMMYFUNCTION("""COMPUTED_VALUE"""),"73 Nguyen Trai, Quan 3, TP Ho Chi Minh, Viet Nam")</f>
        <v>73 Nguyen Trai, Quan 3, TP Ho Chi Minh, Viet Nam</v>
      </c>
      <c r="J386" s="1" t="str">
        <f ca="1">IFERROR(__xludf.DUMMYFUNCTION("""COMPUTED_VALUE"""),"020423474987")</f>
        <v>020423474987</v>
      </c>
      <c r="K386" s="3" t="str">
        <f ca="1">IFERROR(__xludf.DUMMYFUNCTION("""COMPUTED_VALUE"""),"https://drive.google.com/open?id=8LY86n2kVQPcg1kv7FYo")</f>
        <v>https://drive.google.com/open?id=8LY86n2kVQPcg1kv7FYo</v>
      </c>
      <c r="L386" s="3" t="str">
        <f ca="1">IFERROR(__xludf.DUMMYFUNCTION("""COMPUTED_VALUE"""),"https://drive.google.com/open?id=cXZVqqzERq5AowcfHFJ8")</f>
        <v>https://drive.google.com/open?id=cXZVqqzERq5AowcfHFJ8</v>
      </c>
      <c r="M386" s="1"/>
      <c r="N386" s="1"/>
      <c r="O386" s="1"/>
      <c r="P386" s="1" t="str">
        <f ca="1">IFERROR(__xludf.DUMMYFUNCTION("""COMPUTED_VALUE"""),"Full-time")</f>
        <v>Full-time</v>
      </c>
      <c r="Q386" s="1">
        <f ca="1">IFERROR(__xludf.DUMMYFUNCTION("""COMPUTED_VALUE"""),8000000)</f>
        <v>8000000</v>
      </c>
      <c r="R386" s="3" t="str">
        <f ca="1">IFERROR(__xludf.DUMMYFUNCTION("""COMPUTED_VALUE"""),"https://drive.google.com/open?id=xuXSZRdr2drFvv0ndHG5")</f>
        <v>https://drive.google.com/open?id=xuXSZRdr2drFvv0ndHG5</v>
      </c>
      <c r="S386" s="1">
        <f ca="1">IFERROR(__xludf.DUMMYFUNCTION("""COMPUTED_VALUE"""),40000000)</f>
        <v>40000000</v>
      </c>
      <c r="T386" s="1" t="str">
        <f ca="1">IFERROR(__xludf.DUMMYFUNCTION("""COMPUTED_VALUE"""),"Gold")</f>
        <v>Gold</v>
      </c>
      <c r="U386" s="1" t="str">
        <f ca="1">IFERROR(__xludf.DUMMYFUNCTION("""COMPUTED_VALUE"""),"Partner")</f>
        <v>Partner</v>
      </c>
    </row>
    <row r="387" spans="1:21" x14ac:dyDescent="0.25">
      <c r="A387" s="2" t="str">
        <f ca="1">IFERROR(__xludf.DUMMYFUNCTION("""COMPUTED_VALUE"""),"APP0386")</f>
        <v>APP0386</v>
      </c>
      <c r="B387" s="2">
        <f ca="1">IFERROR(__xludf.DUMMYFUNCTION("""COMPUTED_VALUE"""),45919.4596180555)</f>
        <v>45919.459618055502</v>
      </c>
      <c r="C387" s="1" t="str">
        <f ca="1">IFERROR(__xludf.DUMMYFUNCTION("""COMPUTED_VALUE"""),"Dương Thanh Hiếu")</f>
        <v>Dương Thanh Hiếu</v>
      </c>
      <c r="D387" s="1" t="str">
        <f ca="1">IFERROR(__xludf.DUMMYFUNCTION("""COMPUTED_VALUE"""),"25/12/1986")</f>
        <v>25/12/1986</v>
      </c>
      <c r="E387" s="1" t="str">
        <f ca="1">IFERROR(__xludf.DUMMYFUNCTION("""COMPUTED_VALUE"""),"Female")</f>
        <v>Female</v>
      </c>
      <c r="F387" s="1" t="str">
        <f ca="1">IFERROR(__xludf.DUMMYFUNCTION("""COMPUTED_VALUE"""),"Vietnam")</f>
        <v>Vietnam</v>
      </c>
      <c r="G387" s="1" t="str">
        <f ca="1">IFERROR(__xludf.DUMMYFUNCTION("""COMPUTED_VALUE"""),"0935764477")</f>
        <v>0935764477</v>
      </c>
      <c r="H387" s="1" t="str">
        <f ca="1">IFERROR(__xludf.DUMMYFUNCTION("""COMPUTED_VALUE"""),"duongthanhhieu@gmail.com")</f>
        <v>duongthanhhieu@gmail.com</v>
      </c>
      <c r="I387" s="1" t="str">
        <f ca="1">IFERROR(__xludf.DUMMYFUNCTION("""COMPUTED_VALUE"""),"48 Pham Van Dong, Hoan Kiem, Can Tho, Viet Nam")</f>
        <v>48 Pham Van Dong, Hoan Kiem, Can Tho, Viet Nam</v>
      </c>
      <c r="J387" s="1" t="str">
        <f ca="1">IFERROR(__xludf.DUMMYFUNCTION("""COMPUTED_VALUE"""),"047405264774")</f>
        <v>047405264774</v>
      </c>
      <c r="K387" s="3" t="str">
        <f ca="1">IFERROR(__xludf.DUMMYFUNCTION("""COMPUTED_VALUE"""),"https://drive.google.com/open?id=RUpTCT0SxBFwMDzemthd")</f>
        <v>https://drive.google.com/open?id=RUpTCT0SxBFwMDzemthd</v>
      </c>
      <c r="L387" s="3" t="str">
        <f ca="1">IFERROR(__xludf.DUMMYFUNCTION("""COMPUTED_VALUE"""),"https://drive.google.com/open?id=QTa4WNv5TEWjXYxrZDUJ")</f>
        <v>https://drive.google.com/open?id=QTa4WNv5TEWjXYxrZDUJ</v>
      </c>
      <c r="M387" s="1"/>
      <c r="N387" s="1"/>
      <c r="O387" s="1"/>
      <c r="P387" s="1" t="str">
        <f ca="1">IFERROR(__xludf.DUMMYFUNCTION("""COMPUTED_VALUE"""),"Self-employed")</f>
        <v>Self-employed</v>
      </c>
      <c r="Q387" s="1">
        <f ca="1">IFERROR(__xludf.DUMMYFUNCTION("""COMPUTED_VALUE"""),5000000)</f>
        <v>5000000</v>
      </c>
      <c r="R387" s="3" t="str">
        <f ca="1">IFERROR(__xludf.DUMMYFUNCTION("""COMPUTED_VALUE"""),"https://drive.google.com/open?id=QioOLCOojHuHHsVtLkrl")</f>
        <v>https://drive.google.com/open?id=QioOLCOojHuHHsVtLkrl</v>
      </c>
      <c r="S387" s="1">
        <f ca="1">IFERROR(__xludf.DUMMYFUNCTION("""COMPUTED_VALUE"""),10000000)</f>
        <v>10000000</v>
      </c>
      <c r="T387" s="1" t="str">
        <f ca="1">IFERROR(__xludf.DUMMYFUNCTION("""COMPUTED_VALUE"""),"Gold")</f>
        <v>Gold</v>
      </c>
      <c r="U387" s="1" t="str">
        <f ca="1">IFERROR(__xludf.DUMMYFUNCTION("""COMPUTED_VALUE"""),"Online")</f>
        <v>Online</v>
      </c>
    </row>
    <row r="388" spans="1:21" x14ac:dyDescent="0.25">
      <c r="A388" s="2" t="str">
        <f ca="1">IFERROR(__xludf.DUMMYFUNCTION("""COMPUTED_VALUE"""),"APP0387")</f>
        <v>APP0387</v>
      </c>
      <c r="B388" s="2">
        <f ca="1">IFERROR(__xludf.DUMMYFUNCTION("""COMPUTED_VALUE"""),45919.4833449074)</f>
        <v>45919.483344907399</v>
      </c>
      <c r="C388" s="1" t="str">
        <f ca="1">IFERROR(__xludf.DUMMYFUNCTION("""COMPUTED_VALUE"""),"Trần Anh Bình")</f>
        <v>Trần Anh Bình</v>
      </c>
      <c r="D388" s="1" t="str">
        <f ca="1">IFERROR(__xludf.DUMMYFUNCTION("""COMPUTED_VALUE"""),"23/04/1995")</f>
        <v>23/04/1995</v>
      </c>
      <c r="E388" s="1" t="str">
        <f ca="1">IFERROR(__xludf.DUMMYFUNCTION("""COMPUTED_VALUE"""),"Female")</f>
        <v>Female</v>
      </c>
      <c r="F388" s="1" t="str">
        <f ca="1">IFERROR(__xludf.DUMMYFUNCTION("""COMPUTED_VALUE"""),"Vietnam")</f>
        <v>Vietnam</v>
      </c>
      <c r="G388" s="1" t="str">
        <f ca="1">IFERROR(__xludf.DUMMYFUNCTION("""COMPUTED_VALUE"""),"0982768974")</f>
        <v>0982768974</v>
      </c>
      <c r="H388" s="1" t="str">
        <f ca="1">IFERROR(__xludf.DUMMYFUNCTION("""COMPUTED_VALUE"""),"trananhbinh@gmail.com")</f>
        <v>trananhbinh@gmail.com</v>
      </c>
      <c r="I388" s="1" t="str">
        <f ca="1">IFERROR(__xludf.DUMMYFUNCTION("""COMPUTED_VALUE"""),"27 Ly Thuong Kiet, Quan 3, Da Nang, Viet Nam")</f>
        <v>27 Ly Thuong Kiet, Quan 3, Da Nang, Viet Nam</v>
      </c>
      <c r="J388" s="1" t="str">
        <f ca="1">IFERROR(__xludf.DUMMYFUNCTION("""COMPUTED_VALUE"""),"083169776416")</f>
        <v>083169776416</v>
      </c>
      <c r="K388" s="3" t="str">
        <f ca="1">IFERROR(__xludf.DUMMYFUNCTION("""COMPUTED_VALUE"""),"https://drive.google.com/open?id=wCS5UtEGfwOzzPZxHCjd")</f>
        <v>https://drive.google.com/open?id=wCS5UtEGfwOzzPZxHCjd</v>
      </c>
      <c r="L388" s="3" t="str">
        <f ca="1">IFERROR(__xludf.DUMMYFUNCTION("""COMPUTED_VALUE"""),"https://drive.google.com/open?id=a4lJgr9ou1JmmcwKA7GB")</f>
        <v>https://drive.google.com/open?id=a4lJgr9ou1JmmcwKA7GB</v>
      </c>
      <c r="M388" s="1"/>
      <c r="N388" s="1"/>
      <c r="O388" s="1"/>
      <c r="P388" s="1" t="str">
        <f ca="1">IFERROR(__xludf.DUMMYFUNCTION("""COMPUTED_VALUE"""),"Self-employed")</f>
        <v>Self-employed</v>
      </c>
      <c r="Q388" s="1">
        <f ca="1">IFERROR(__xludf.DUMMYFUNCTION("""COMPUTED_VALUE"""),12000000)</f>
        <v>12000000</v>
      </c>
      <c r="R388" s="3" t="str">
        <f ca="1">IFERROR(__xludf.DUMMYFUNCTION("""COMPUTED_VALUE"""),"https://drive.google.com/open?id=nGMkCKI6eBUEe0EmUePJ")</f>
        <v>https://drive.google.com/open?id=nGMkCKI6eBUEe0EmUePJ</v>
      </c>
      <c r="S388" s="1">
        <f ca="1">IFERROR(__xludf.DUMMYFUNCTION("""COMPUTED_VALUE"""),60000000)</f>
        <v>60000000</v>
      </c>
      <c r="T388" s="1" t="str">
        <f ca="1">IFERROR(__xludf.DUMMYFUNCTION("""COMPUTED_VALUE"""),"Platinum")</f>
        <v>Platinum</v>
      </c>
      <c r="U388" s="1" t="str">
        <f ca="1">IFERROR(__xludf.DUMMYFUNCTION("""COMPUTED_VALUE"""),"Branch")</f>
        <v>Branch</v>
      </c>
    </row>
    <row r="389" spans="1:21" x14ac:dyDescent="0.25">
      <c r="A389" s="2" t="str">
        <f ca="1">IFERROR(__xludf.DUMMYFUNCTION("""COMPUTED_VALUE"""),"APP0388")</f>
        <v>APP0388</v>
      </c>
      <c r="B389" s="2">
        <f ca="1">IFERROR(__xludf.DUMMYFUNCTION("""COMPUTED_VALUE"""),45919.4882060185)</f>
        <v>45919.488206018497</v>
      </c>
      <c r="C389" s="1" t="str">
        <f ca="1">IFERROR(__xludf.DUMMYFUNCTION("""COMPUTED_VALUE"""),"Đỗ Quang Tú")</f>
        <v>Đỗ Quang Tú</v>
      </c>
      <c r="D389" s="1" t="str">
        <f ca="1">IFERROR(__xludf.DUMMYFUNCTION("""COMPUTED_VALUE"""),"04/06/1997")</f>
        <v>04/06/1997</v>
      </c>
      <c r="E389" s="1" t="str">
        <f ca="1">IFERROR(__xludf.DUMMYFUNCTION("""COMPUTED_VALUE"""),"Female")</f>
        <v>Female</v>
      </c>
      <c r="F389" s="1" t="str">
        <f ca="1">IFERROR(__xludf.DUMMYFUNCTION("""COMPUTED_VALUE"""),"Vietnam")</f>
        <v>Vietnam</v>
      </c>
      <c r="G389" s="1" t="str">
        <f ca="1">IFERROR(__xludf.DUMMYFUNCTION("""COMPUTED_VALUE"""),"0989757728")</f>
        <v>0989757728</v>
      </c>
      <c r="H389" s="1" t="str">
        <f ca="1">IFERROR(__xludf.DUMMYFUNCTION("""COMPUTED_VALUE"""),"doquangtu@gmail.com")</f>
        <v>doquangtu@gmail.com</v>
      </c>
      <c r="I389" s="1" t="str">
        <f ca="1">IFERROR(__xludf.DUMMYFUNCTION("""COMPUTED_VALUE"""),"99 Tran Hung Dao, Quan 7, Can Tho, Viet Nam")</f>
        <v>99 Tran Hung Dao, Quan 7, Can Tho, Viet Nam</v>
      </c>
      <c r="J389" s="1" t="str">
        <f ca="1">IFERROR(__xludf.DUMMYFUNCTION("""COMPUTED_VALUE"""),"052655842710")</f>
        <v>052655842710</v>
      </c>
      <c r="K389" s="3" t="str">
        <f ca="1">IFERROR(__xludf.DUMMYFUNCTION("""COMPUTED_VALUE"""),"https://drive.google.com/open?id=U8xu3jcovwzWtbBrMuAC")</f>
        <v>https://drive.google.com/open?id=U8xu3jcovwzWtbBrMuAC</v>
      </c>
      <c r="L389" s="3" t="str">
        <f ca="1">IFERROR(__xludf.DUMMYFUNCTION("""COMPUTED_VALUE"""),"https://drive.google.com/open?id=GI0QtLRVb9dwI1WQdswq")</f>
        <v>https://drive.google.com/open?id=GI0QtLRVb9dwI1WQdswq</v>
      </c>
      <c r="M389" s="1"/>
      <c r="N389" s="1"/>
      <c r="O389" s="1"/>
      <c r="P389" s="1" t="str">
        <f ca="1">IFERROR(__xludf.DUMMYFUNCTION("""COMPUTED_VALUE"""),"Freelancer")</f>
        <v>Freelancer</v>
      </c>
      <c r="Q389" s="1">
        <f ca="1">IFERROR(__xludf.DUMMYFUNCTION("""COMPUTED_VALUE"""),5000000)</f>
        <v>5000000</v>
      </c>
      <c r="R389" s="3" t="str">
        <f ca="1">IFERROR(__xludf.DUMMYFUNCTION("""COMPUTED_VALUE"""),"https://drive.google.com/open?id=RrHDOrxUnBE6lg92jPxo")</f>
        <v>https://drive.google.com/open?id=RrHDOrxUnBE6lg92jPxo</v>
      </c>
      <c r="S389" s="1">
        <f ca="1">IFERROR(__xludf.DUMMYFUNCTION("""COMPUTED_VALUE"""),10000000)</f>
        <v>10000000</v>
      </c>
      <c r="T389" s="1" t="str">
        <f ca="1">IFERROR(__xludf.DUMMYFUNCTION("""COMPUTED_VALUE"""),"Gold")</f>
        <v>Gold</v>
      </c>
      <c r="U389" s="1" t="str">
        <f ca="1">IFERROR(__xludf.DUMMYFUNCTION("""COMPUTED_VALUE"""),"Branch")</f>
        <v>Branch</v>
      </c>
    </row>
    <row r="390" spans="1:21" x14ac:dyDescent="0.25">
      <c r="A390" s="2" t="str">
        <f ca="1">IFERROR(__xludf.DUMMYFUNCTION("""COMPUTED_VALUE"""),"APP0389")</f>
        <v>APP0389</v>
      </c>
      <c r="B390" s="2">
        <f ca="1">IFERROR(__xludf.DUMMYFUNCTION("""COMPUTED_VALUE"""),45919.5937962963)</f>
        <v>45919.5937962963</v>
      </c>
      <c r="C390" s="1" t="str">
        <f ca="1">IFERROR(__xludf.DUMMYFUNCTION("""COMPUTED_VALUE"""),"Hoàng Đức Hải")</f>
        <v>Hoàng Đức Hải</v>
      </c>
      <c r="D390" s="1" t="str">
        <f ca="1">IFERROR(__xludf.DUMMYFUNCTION("""COMPUTED_VALUE"""),"25/04/1992")</f>
        <v>25/04/1992</v>
      </c>
      <c r="E390" s="1" t="str">
        <f ca="1">IFERROR(__xludf.DUMMYFUNCTION("""COMPUTED_VALUE"""),"Male")</f>
        <v>Male</v>
      </c>
      <c r="F390" s="1" t="str">
        <f ca="1">IFERROR(__xludf.DUMMYFUNCTION("""COMPUTED_VALUE"""),"Vietnam")</f>
        <v>Vietnam</v>
      </c>
      <c r="G390" s="1" t="str">
        <f ca="1">IFERROR(__xludf.DUMMYFUNCTION("""COMPUTED_VALUE"""),"0936910256")</f>
        <v>0936910256</v>
      </c>
      <c r="H390" s="1" t="str">
        <f ca="1">IFERROR(__xludf.DUMMYFUNCTION("""COMPUTED_VALUE"""),"hoangduchai@gmail.com")</f>
        <v>hoangduchai@gmail.com</v>
      </c>
      <c r="I390" s="1" t="str">
        <f ca="1">IFERROR(__xludf.DUMMYFUNCTION("""COMPUTED_VALUE"""),"49 Le Loi, Hoan Kiem, TP Ho Chi Minh, Viet Nam")</f>
        <v>49 Le Loi, Hoan Kiem, TP Ho Chi Minh, Viet Nam</v>
      </c>
      <c r="J390" s="1" t="str">
        <f ca="1">IFERROR(__xludf.DUMMYFUNCTION("""COMPUTED_VALUE"""),"092338404600")</f>
        <v>092338404600</v>
      </c>
      <c r="K390" s="3" t="str">
        <f ca="1">IFERROR(__xludf.DUMMYFUNCTION("""COMPUTED_VALUE"""),"https://drive.google.com/open?id=joUtDYGOgXFJyygJeG88")</f>
        <v>https://drive.google.com/open?id=joUtDYGOgXFJyygJeG88</v>
      </c>
      <c r="L390" s="3" t="str">
        <f ca="1">IFERROR(__xludf.DUMMYFUNCTION("""COMPUTED_VALUE"""),"https://drive.google.com/open?id=bCPYlgjmNTNxmux68nWi")</f>
        <v>https://drive.google.com/open?id=bCPYlgjmNTNxmux68nWi</v>
      </c>
      <c r="M390" s="1"/>
      <c r="N390" s="1"/>
      <c r="O390" s="1"/>
      <c r="P390" s="1" t="str">
        <f ca="1">IFERROR(__xludf.DUMMYFUNCTION("""COMPUTED_VALUE"""),"Self-employed")</f>
        <v>Self-employed</v>
      </c>
      <c r="Q390" s="1">
        <f ca="1">IFERROR(__xludf.DUMMYFUNCTION("""COMPUTED_VALUE"""),8000000)</f>
        <v>8000000</v>
      </c>
      <c r="R390" s="3" t="str">
        <f ca="1">IFERROR(__xludf.DUMMYFUNCTION("""COMPUTED_VALUE"""),"https://drive.google.com/open?id=dVZ6lopt0vMh805eHpRu")</f>
        <v>https://drive.google.com/open?id=dVZ6lopt0vMh805eHpRu</v>
      </c>
      <c r="S390" s="1">
        <f ca="1">IFERROR(__xludf.DUMMYFUNCTION("""COMPUTED_VALUE"""),40000000)</f>
        <v>40000000</v>
      </c>
      <c r="T390" s="1" t="str">
        <f ca="1">IFERROR(__xludf.DUMMYFUNCTION("""COMPUTED_VALUE"""),"Platinum")</f>
        <v>Platinum</v>
      </c>
      <c r="U390" s="1" t="str">
        <f ca="1">IFERROR(__xludf.DUMMYFUNCTION("""COMPUTED_VALUE"""),"Partner")</f>
        <v>Partner</v>
      </c>
    </row>
    <row r="391" spans="1:21" x14ac:dyDescent="0.25">
      <c r="A391" s="2" t="str">
        <f ca="1">IFERROR(__xludf.DUMMYFUNCTION("""COMPUTED_VALUE"""),"APP0390")</f>
        <v>APP0390</v>
      </c>
      <c r="B391" s="2">
        <f ca="1">IFERROR(__xludf.DUMMYFUNCTION("""COMPUTED_VALUE"""),45919.5972222222)</f>
        <v>45919.597222222197</v>
      </c>
      <c r="C391" s="1" t="str">
        <f ca="1">IFERROR(__xludf.DUMMYFUNCTION("""COMPUTED_VALUE"""),"Danny Shepherd")</f>
        <v>Danny Shepherd</v>
      </c>
      <c r="D391" s="1" t="str">
        <f ca="1">IFERROR(__xludf.DUMMYFUNCTION("""COMPUTED_VALUE"""),"28/10/1976")</f>
        <v>28/10/1976</v>
      </c>
      <c r="E391" s="1" t="str">
        <f ca="1">IFERROR(__xludf.DUMMYFUNCTION("""COMPUTED_VALUE"""),"Male")</f>
        <v>Male</v>
      </c>
      <c r="F391" s="1" t="str">
        <f ca="1">IFERROR(__xludf.DUMMYFUNCTION("""COMPUTED_VALUE"""),"Other")</f>
        <v>Other</v>
      </c>
      <c r="G391" s="1" t="str">
        <f ca="1">IFERROR(__xludf.DUMMYFUNCTION("""COMPUTED_VALUE"""),"+44 2717301338")</f>
        <v>+44 2717301338</v>
      </c>
      <c r="H391" s="1" t="str">
        <f ca="1">IFERROR(__xludf.DUMMYFUNCTION("""COMPUTED_VALUE"""),"dannyshepherd@gmail.com")</f>
        <v>dannyshepherd@gmail.com</v>
      </c>
      <c r="I391" s="1" t="str">
        <f ca="1">IFERROR(__xludf.DUMMYFUNCTION("""COMPUTED_VALUE"""),"0067 Curtis Rest, Richardsville, GA 69045")</f>
        <v>0067 Curtis Rest, Richardsville, GA 69045</v>
      </c>
      <c r="J391" s="1"/>
      <c r="K391" s="1"/>
      <c r="L391" s="1"/>
      <c r="M391" s="1" t="str">
        <f ca="1">IFERROR(__xludf.DUMMYFUNCTION("""COMPUTED_VALUE"""),"SK735357")</f>
        <v>SK735357</v>
      </c>
      <c r="N391" s="3" t="str">
        <f ca="1">IFERROR(__xludf.DUMMYFUNCTION("""COMPUTED_VALUE"""),"https://drive.google.com/open?id=9XIDxsY6nLViwAqO90sW")</f>
        <v>https://drive.google.com/open?id=9XIDxsY6nLViwAqO90sW</v>
      </c>
      <c r="O391" s="3" t="str">
        <f ca="1">IFERROR(__xludf.DUMMYFUNCTION("""COMPUTED_VALUE"""),"https://drive.google.com/open?id=Ez1cnZtBAMy2W9Ip7ixb")</f>
        <v>https://drive.google.com/open?id=Ez1cnZtBAMy2W9Ip7ixb</v>
      </c>
      <c r="P391" s="1" t="str">
        <f ca="1">IFERROR(__xludf.DUMMYFUNCTION("""COMPUTED_VALUE"""),"Contract")</f>
        <v>Contract</v>
      </c>
      <c r="Q391" s="1">
        <f ca="1">IFERROR(__xludf.DUMMYFUNCTION("""COMPUTED_VALUE"""),12000000)</f>
        <v>12000000</v>
      </c>
      <c r="R391" s="3" t="str">
        <f ca="1">IFERROR(__xludf.DUMMYFUNCTION("""COMPUTED_VALUE"""),"https://drive.google.com/open?id=LpP7hjuB5Ctvyc67FR6a")</f>
        <v>https://drive.google.com/open?id=LpP7hjuB5Ctvyc67FR6a</v>
      </c>
      <c r="S391" s="1">
        <f ca="1">IFERROR(__xludf.DUMMYFUNCTION("""COMPUTED_VALUE"""),60000000)</f>
        <v>60000000</v>
      </c>
      <c r="T391" s="1" t="str">
        <f ca="1">IFERROR(__xludf.DUMMYFUNCTION("""COMPUTED_VALUE"""),"Classic")</f>
        <v>Classic</v>
      </c>
      <c r="U391" s="1" t="str">
        <f ca="1">IFERROR(__xludf.DUMMYFUNCTION("""COMPUTED_VALUE"""),"Branch")</f>
        <v>Branch</v>
      </c>
    </row>
    <row r="392" spans="1:21" x14ac:dyDescent="0.25">
      <c r="A392" s="2" t="str">
        <f ca="1">IFERROR(__xludf.DUMMYFUNCTION("""COMPUTED_VALUE"""),"APP0391")</f>
        <v>APP0391</v>
      </c>
      <c r="B392" s="2">
        <f ca="1">IFERROR(__xludf.DUMMYFUNCTION("""COMPUTED_VALUE"""),45919.6276273148)</f>
        <v>45919.627627314803</v>
      </c>
      <c r="C392" s="1" t="str">
        <f ca="1">IFERROR(__xludf.DUMMYFUNCTION("""COMPUTED_VALUE"""),"Lý Anh Hiếu")</f>
        <v>Lý Anh Hiếu</v>
      </c>
      <c r="D392" s="1" t="str">
        <f ca="1">IFERROR(__xludf.DUMMYFUNCTION("""COMPUTED_VALUE"""),"25/11/1981")</f>
        <v>25/11/1981</v>
      </c>
      <c r="E392" s="1" t="str">
        <f ca="1">IFERROR(__xludf.DUMMYFUNCTION("""COMPUTED_VALUE"""),"Female")</f>
        <v>Female</v>
      </c>
      <c r="F392" s="1" t="str">
        <f ca="1">IFERROR(__xludf.DUMMYFUNCTION("""COMPUTED_VALUE"""),"Vietnam")</f>
        <v>Vietnam</v>
      </c>
      <c r="G392" s="1" t="str">
        <f ca="1">IFERROR(__xludf.DUMMYFUNCTION("""COMPUTED_VALUE"""),"0999103789")</f>
        <v>0999103789</v>
      </c>
      <c r="H392" s="1" t="str">
        <f ca="1">IFERROR(__xludf.DUMMYFUNCTION("""COMPUTED_VALUE"""),"lyanhhieu@gmail.com")</f>
        <v>lyanhhieu@gmail.com</v>
      </c>
      <c r="I392" s="1" t="str">
        <f ca="1">IFERROR(__xludf.DUMMYFUNCTION("""COMPUTED_VALUE"""),"143 Pham Van Dong, Dong Da, Da Nang, Viet Nam")</f>
        <v>143 Pham Van Dong, Dong Da, Da Nang, Viet Nam</v>
      </c>
      <c r="J392" s="1" t="str">
        <f ca="1">IFERROR(__xludf.DUMMYFUNCTION("""COMPUTED_VALUE"""),"082830391623")</f>
        <v>082830391623</v>
      </c>
      <c r="K392" s="3" t="str">
        <f ca="1">IFERROR(__xludf.DUMMYFUNCTION("""COMPUTED_VALUE"""),"https://drive.google.com/open?id=TZ52TlvuS2onBrEmg5hm")</f>
        <v>https://drive.google.com/open?id=TZ52TlvuS2onBrEmg5hm</v>
      </c>
      <c r="L392" s="3" t="str">
        <f ca="1">IFERROR(__xludf.DUMMYFUNCTION("""COMPUTED_VALUE"""),"https://drive.google.com/open?id=zlVyVdKiGmZtMXfpKUhu")</f>
        <v>https://drive.google.com/open?id=zlVyVdKiGmZtMXfpKUhu</v>
      </c>
      <c r="M392" s="1"/>
      <c r="N392" s="1"/>
      <c r="O392" s="1"/>
      <c r="P392" s="1" t="str">
        <f ca="1">IFERROR(__xludf.DUMMYFUNCTION("""COMPUTED_VALUE"""),"Contract")</f>
        <v>Contract</v>
      </c>
      <c r="Q392" s="1">
        <f ca="1">IFERROR(__xludf.DUMMYFUNCTION("""COMPUTED_VALUE"""),5000000)</f>
        <v>5000000</v>
      </c>
      <c r="R392" s="3" t="str">
        <f ca="1">IFERROR(__xludf.DUMMYFUNCTION("""COMPUTED_VALUE"""),"https://drive.google.com/open?id=Ku9nexHTjtL5dXL5uYTh")</f>
        <v>https://drive.google.com/open?id=Ku9nexHTjtL5dXL5uYTh</v>
      </c>
      <c r="S392" s="1">
        <f ca="1">IFERROR(__xludf.DUMMYFUNCTION("""COMPUTED_VALUE"""),25000000)</f>
        <v>25000000</v>
      </c>
      <c r="T392" s="1" t="str">
        <f ca="1">IFERROR(__xludf.DUMMYFUNCTION("""COMPUTED_VALUE"""),"Classic")</f>
        <v>Classic</v>
      </c>
      <c r="U392" s="1" t="str">
        <f ca="1">IFERROR(__xludf.DUMMYFUNCTION("""COMPUTED_VALUE"""),"Online")</f>
        <v>Online</v>
      </c>
    </row>
    <row r="393" spans="1:21" x14ac:dyDescent="0.25">
      <c r="A393" s="2" t="str">
        <f ca="1">IFERROR(__xludf.DUMMYFUNCTION("""COMPUTED_VALUE"""),"APP0392")</f>
        <v>APP0392</v>
      </c>
      <c r="B393" s="2">
        <f ca="1">IFERROR(__xludf.DUMMYFUNCTION("""COMPUTED_VALUE"""),45919.6375694444)</f>
        <v>45919.6375694444</v>
      </c>
      <c r="C393" s="1" t="str">
        <f ca="1">IFERROR(__xludf.DUMMYFUNCTION("""COMPUTED_VALUE"""),"Đỗ Anh Sơn")</f>
        <v>Đỗ Anh Sơn</v>
      </c>
      <c r="D393" s="1" t="str">
        <f ca="1">IFERROR(__xludf.DUMMYFUNCTION("""COMPUTED_VALUE"""),"15/03/1983")</f>
        <v>15/03/1983</v>
      </c>
      <c r="E393" s="1" t="str">
        <f ca="1">IFERROR(__xludf.DUMMYFUNCTION("""COMPUTED_VALUE"""),"Female")</f>
        <v>Female</v>
      </c>
      <c r="F393" s="1" t="str">
        <f ca="1">IFERROR(__xludf.DUMMYFUNCTION("""COMPUTED_VALUE"""),"Vietnam")</f>
        <v>Vietnam</v>
      </c>
      <c r="G393" s="1" t="str">
        <f ca="1">IFERROR(__xludf.DUMMYFUNCTION("""COMPUTED_VALUE"""),"0864473972")</f>
        <v>0864473972</v>
      </c>
      <c r="H393" s="1" t="str">
        <f ca="1">IFERROR(__xludf.DUMMYFUNCTION("""COMPUTED_VALUE"""),"doanhson@gmail.com")</f>
        <v>doanhson@gmail.com</v>
      </c>
      <c r="I393" s="1" t="str">
        <f ca="1">IFERROR(__xludf.DUMMYFUNCTION("""COMPUTED_VALUE"""),"117 Nguyen Trai, Quan 3, Ha Noi, Viet Nam")</f>
        <v>117 Nguyen Trai, Quan 3, Ha Noi, Viet Nam</v>
      </c>
      <c r="J393" s="1" t="str">
        <f ca="1">IFERROR(__xludf.DUMMYFUNCTION("""COMPUTED_VALUE"""),"053643011665")</f>
        <v>053643011665</v>
      </c>
      <c r="K393" s="3" t="str">
        <f ca="1">IFERROR(__xludf.DUMMYFUNCTION("""COMPUTED_VALUE"""),"https://drive.google.com/open?id=6W0njBC4X5Hw5ohRKYeY")</f>
        <v>https://drive.google.com/open?id=6W0njBC4X5Hw5ohRKYeY</v>
      </c>
      <c r="L393" s="3" t="str">
        <f ca="1">IFERROR(__xludf.DUMMYFUNCTION("""COMPUTED_VALUE"""),"https://drive.google.com/open?id=TaKDX0FVHcaRyuSiFini")</f>
        <v>https://drive.google.com/open?id=TaKDX0FVHcaRyuSiFini</v>
      </c>
      <c r="M393" s="1"/>
      <c r="N393" s="1"/>
      <c r="O393" s="1"/>
      <c r="P393" s="1" t="str">
        <f ca="1">IFERROR(__xludf.DUMMYFUNCTION("""COMPUTED_VALUE"""),"Part-time")</f>
        <v>Part-time</v>
      </c>
      <c r="Q393" s="1">
        <f ca="1">IFERROR(__xludf.DUMMYFUNCTION("""COMPUTED_VALUE"""),12000000)</f>
        <v>12000000</v>
      </c>
      <c r="R393" s="3" t="str">
        <f ca="1">IFERROR(__xludf.DUMMYFUNCTION("""COMPUTED_VALUE"""),"https://drive.google.com/open?id=kn1dArkjWcLZun77Wqyk")</f>
        <v>https://drive.google.com/open?id=kn1dArkjWcLZun77Wqyk</v>
      </c>
      <c r="S393" s="1">
        <f ca="1">IFERROR(__xludf.DUMMYFUNCTION("""COMPUTED_VALUE"""),36000000)</f>
        <v>36000000</v>
      </c>
      <c r="T393" s="1" t="str">
        <f ca="1">IFERROR(__xludf.DUMMYFUNCTION("""COMPUTED_VALUE"""),"Gold")</f>
        <v>Gold</v>
      </c>
      <c r="U393" s="1" t="str">
        <f ca="1">IFERROR(__xludf.DUMMYFUNCTION("""COMPUTED_VALUE"""),"Partner")</f>
        <v>Partner</v>
      </c>
    </row>
    <row r="394" spans="1:21" x14ac:dyDescent="0.25">
      <c r="A394" s="2" t="str">
        <f ca="1">IFERROR(__xludf.DUMMYFUNCTION("""COMPUTED_VALUE"""),"APP0393")</f>
        <v>APP0393</v>
      </c>
      <c r="B394" s="2">
        <f ca="1">IFERROR(__xludf.DUMMYFUNCTION("""COMPUTED_VALUE"""),45919.8578125)</f>
        <v>45919.857812499999</v>
      </c>
      <c r="C394" s="1" t="str">
        <f ca="1">IFERROR(__xludf.DUMMYFUNCTION("""COMPUTED_VALUE"""),"Võ Đức Bình")</f>
        <v>Võ Đức Bình</v>
      </c>
      <c r="D394" s="1" t="str">
        <f ca="1">IFERROR(__xludf.DUMMYFUNCTION("""COMPUTED_VALUE"""),"20/06/1990")</f>
        <v>20/06/1990</v>
      </c>
      <c r="E394" s="1" t="str">
        <f ca="1">IFERROR(__xludf.DUMMYFUNCTION("""COMPUTED_VALUE"""),"Male")</f>
        <v>Male</v>
      </c>
      <c r="F394" s="1" t="str">
        <f ca="1">IFERROR(__xludf.DUMMYFUNCTION("""COMPUTED_VALUE"""),"Vietnam")</f>
        <v>Vietnam</v>
      </c>
      <c r="G394" s="1" t="str">
        <f ca="1">IFERROR(__xludf.DUMMYFUNCTION("""COMPUTED_VALUE"""),"0988606062")</f>
        <v>0988606062</v>
      </c>
      <c r="H394" s="1" t="str">
        <f ca="1">IFERROR(__xludf.DUMMYFUNCTION("""COMPUTED_VALUE"""),"voducbinh@gmail.com")</f>
        <v>voducbinh@gmail.com</v>
      </c>
      <c r="I394" s="1" t="str">
        <f ca="1">IFERROR(__xludf.DUMMYFUNCTION("""COMPUTED_VALUE"""),"169 Ly Thuong Kiet, Quan 1, Hai Phong, Viet Nam")</f>
        <v>169 Ly Thuong Kiet, Quan 1, Hai Phong, Viet Nam</v>
      </c>
      <c r="J394" s="1" t="str">
        <f ca="1">IFERROR(__xludf.DUMMYFUNCTION("""COMPUTED_VALUE"""),"040203150574")</f>
        <v>040203150574</v>
      </c>
      <c r="K394" s="3" t="str">
        <f ca="1">IFERROR(__xludf.DUMMYFUNCTION("""COMPUTED_VALUE"""),"https://drive.google.com/open?id=j00h96E1tj6AljTyYcJ5")</f>
        <v>https://drive.google.com/open?id=j00h96E1tj6AljTyYcJ5</v>
      </c>
      <c r="L394" s="3" t="str">
        <f ca="1">IFERROR(__xludf.DUMMYFUNCTION("""COMPUTED_VALUE"""),"https://drive.google.com/open?id=XszniS9LJULSiBxMiXjx")</f>
        <v>https://drive.google.com/open?id=XszniS9LJULSiBxMiXjx</v>
      </c>
      <c r="M394" s="1"/>
      <c r="N394" s="1"/>
      <c r="O394" s="1"/>
      <c r="P394" s="1" t="str">
        <f ca="1">IFERROR(__xludf.DUMMYFUNCTION("""COMPUTED_VALUE"""),"Self-employed")</f>
        <v>Self-employed</v>
      </c>
      <c r="Q394" s="1">
        <f ca="1">IFERROR(__xludf.DUMMYFUNCTION("""COMPUTED_VALUE"""),8000000)</f>
        <v>8000000</v>
      </c>
      <c r="R394" s="3" t="str">
        <f ca="1">IFERROR(__xludf.DUMMYFUNCTION("""COMPUTED_VALUE"""),"https://drive.google.com/open?id=Xf2CnuWF7lJzylCMD6MT")</f>
        <v>https://drive.google.com/open?id=Xf2CnuWF7lJzylCMD6MT</v>
      </c>
      <c r="S394" s="1">
        <f ca="1">IFERROR(__xludf.DUMMYFUNCTION("""COMPUTED_VALUE"""),16000000)</f>
        <v>16000000</v>
      </c>
      <c r="T394" s="1" t="str">
        <f ca="1">IFERROR(__xludf.DUMMYFUNCTION("""COMPUTED_VALUE"""),"Classic")</f>
        <v>Classic</v>
      </c>
      <c r="U394" s="1" t="str">
        <f ca="1">IFERROR(__xludf.DUMMYFUNCTION("""COMPUTED_VALUE"""),"Branch")</f>
        <v>Branch</v>
      </c>
    </row>
    <row r="395" spans="1:21" x14ac:dyDescent="0.25">
      <c r="A395" s="2" t="str">
        <f ca="1">IFERROR(__xludf.DUMMYFUNCTION("""COMPUTED_VALUE"""),"APP0394")</f>
        <v>APP0394</v>
      </c>
      <c r="B395" s="2">
        <f ca="1">IFERROR(__xludf.DUMMYFUNCTION("""COMPUTED_VALUE"""),45919.957511574)</f>
        <v>45919.957511574001</v>
      </c>
      <c r="C395" s="1" t="str">
        <f ca="1">IFERROR(__xludf.DUMMYFUNCTION("""COMPUTED_VALUE"""),"Sandra Wilson")</f>
        <v>Sandra Wilson</v>
      </c>
      <c r="D395" s="1" t="str">
        <f ca="1">IFERROR(__xludf.DUMMYFUNCTION("""COMPUTED_VALUE"""),"05/05/1978")</f>
        <v>05/05/1978</v>
      </c>
      <c r="E395" s="1" t="str">
        <f ca="1">IFERROR(__xludf.DUMMYFUNCTION("""COMPUTED_VALUE"""),"Male")</f>
        <v>Male</v>
      </c>
      <c r="F395" s="1" t="str">
        <f ca="1">IFERROR(__xludf.DUMMYFUNCTION("""COMPUTED_VALUE"""),"Other")</f>
        <v>Other</v>
      </c>
      <c r="G395" s="1" t="str">
        <f ca="1">IFERROR(__xludf.DUMMYFUNCTION("""COMPUTED_VALUE"""),"+91 5574301295")</f>
        <v>+91 5574301295</v>
      </c>
      <c r="H395" s="1" t="str">
        <f ca="1">IFERROR(__xludf.DUMMYFUNCTION("""COMPUTED_VALUE"""),"sandrawilson@gmail.com")</f>
        <v>sandrawilson@gmail.com</v>
      </c>
      <c r="I395" s="1" t="str">
        <f ca="1">IFERROR(__xludf.DUMMYFUNCTION("""COMPUTED_VALUE"""),"78619 Christine Mountain, East Eric, VA 55770")</f>
        <v>78619 Christine Mountain, East Eric, VA 55770</v>
      </c>
      <c r="J395" s="1"/>
      <c r="K395" s="1"/>
      <c r="L395" s="1"/>
      <c r="M395" s="1" t="str">
        <f ca="1">IFERROR(__xludf.DUMMYFUNCTION("""COMPUTED_VALUE"""),"Iw878606")</f>
        <v>Iw878606</v>
      </c>
      <c r="N395" s="3" t="str">
        <f ca="1">IFERROR(__xludf.DUMMYFUNCTION("""COMPUTED_VALUE"""),"https://drive.google.com/open?id=sN8xPgr93daKvJmxFk6o")</f>
        <v>https://drive.google.com/open?id=sN8xPgr93daKvJmxFk6o</v>
      </c>
      <c r="O395" s="3" t="str">
        <f ca="1">IFERROR(__xludf.DUMMYFUNCTION("""COMPUTED_VALUE"""),"https://drive.google.com/open?id=wZioW1Q8e1VPY1v97XfX")</f>
        <v>https://drive.google.com/open?id=wZioW1Q8e1VPY1v97XfX</v>
      </c>
      <c r="P395" s="1" t="str">
        <f ca="1">IFERROR(__xludf.DUMMYFUNCTION("""COMPUTED_VALUE"""),"Contract")</f>
        <v>Contract</v>
      </c>
      <c r="Q395" s="1">
        <f ca="1">IFERROR(__xludf.DUMMYFUNCTION("""COMPUTED_VALUE"""),8000000)</f>
        <v>8000000</v>
      </c>
      <c r="R395" s="3" t="str">
        <f ca="1">IFERROR(__xludf.DUMMYFUNCTION("""COMPUTED_VALUE"""),"https://drive.google.com/open?id=Pt5gx9MwUjf8RPbr2Og3")</f>
        <v>https://drive.google.com/open?id=Pt5gx9MwUjf8RPbr2Og3</v>
      </c>
      <c r="S395" s="1">
        <f ca="1">IFERROR(__xludf.DUMMYFUNCTION("""COMPUTED_VALUE"""),40000000)</f>
        <v>40000000</v>
      </c>
      <c r="T395" s="1" t="str">
        <f ca="1">IFERROR(__xludf.DUMMYFUNCTION("""COMPUTED_VALUE"""),"Classic")</f>
        <v>Classic</v>
      </c>
      <c r="U395" s="1" t="str">
        <f ca="1">IFERROR(__xludf.DUMMYFUNCTION("""COMPUTED_VALUE"""),"Partner")</f>
        <v>Partner</v>
      </c>
    </row>
    <row r="396" spans="1:21" x14ac:dyDescent="0.25">
      <c r="A396" s="2" t="str">
        <f ca="1">IFERROR(__xludf.DUMMYFUNCTION("""COMPUTED_VALUE"""),"APP0395")</f>
        <v>APP0395</v>
      </c>
      <c r="B396" s="2">
        <f ca="1">IFERROR(__xludf.DUMMYFUNCTION("""COMPUTED_VALUE"""),45919.9864930555)</f>
        <v>45919.986493055498</v>
      </c>
      <c r="C396" s="1" t="str">
        <f ca="1">IFERROR(__xludf.DUMMYFUNCTION("""COMPUTED_VALUE"""),"Bùi Minh Lan")</f>
        <v>Bùi Minh Lan</v>
      </c>
      <c r="D396" s="1" t="str">
        <f ca="1">IFERROR(__xludf.DUMMYFUNCTION("""COMPUTED_VALUE"""),"16/04/1982")</f>
        <v>16/04/1982</v>
      </c>
      <c r="E396" s="1" t="str">
        <f ca="1">IFERROR(__xludf.DUMMYFUNCTION("""COMPUTED_VALUE"""),"Male")</f>
        <v>Male</v>
      </c>
      <c r="F396" s="1" t="str">
        <f ca="1">IFERROR(__xludf.DUMMYFUNCTION("""COMPUTED_VALUE"""),"Vietnam")</f>
        <v>Vietnam</v>
      </c>
      <c r="G396" s="1" t="str">
        <f ca="1">IFERROR(__xludf.DUMMYFUNCTION("""COMPUTED_VALUE"""),"0860977330")</f>
        <v>0860977330</v>
      </c>
      <c r="H396" s="1" t="str">
        <f ca="1">IFERROR(__xludf.DUMMYFUNCTION("""COMPUTED_VALUE"""),"buiminhlan@gmail.com")</f>
        <v>buiminhlan@gmail.com</v>
      </c>
      <c r="I396" s="1" t="str">
        <f ca="1">IFERROR(__xludf.DUMMYFUNCTION("""COMPUTED_VALUE"""),"129 Pham Van Dong, Hoan Kiem, Ha Noi, Viet Nam")</f>
        <v>129 Pham Van Dong, Hoan Kiem, Ha Noi, Viet Nam</v>
      </c>
      <c r="J396" s="1" t="str">
        <f ca="1">IFERROR(__xludf.DUMMYFUNCTION("""COMPUTED_VALUE"""),"033460339045")</f>
        <v>033460339045</v>
      </c>
      <c r="K396" s="3" t="str">
        <f ca="1">IFERROR(__xludf.DUMMYFUNCTION("""COMPUTED_VALUE"""),"https://drive.google.com/open?id=v8MFibkQ0mSL3yF1zP3a")</f>
        <v>https://drive.google.com/open?id=v8MFibkQ0mSL3yF1zP3a</v>
      </c>
      <c r="L396" s="3" t="str">
        <f ca="1">IFERROR(__xludf.DUMMYFUNCTION("""COMPUTED_VALUE"""),"https://drive.google.com/open?id=kV8dh0Fwxmke9a9QJ8nH")</f>
        <v>https://drive.google.com/open?id=kV8dh0Fwxmke9a9QJ8nH</v>
      </c>
      <c r="M396" s="1"/>
      <c r="N396" s="1"/>
      <c r="O396" s="1"/>
      <c r="P396" s="1" t="str">
        <f ca="1">IFERROR(__xludf.DUMMYFUNCTION("""COMPUTED_VALUE"""),"Contract")</f>
        <v>Contract</v>
      </c>
      <c r="Q396" s="1">
        <f ca="1">IFERROR(__xludf.DUMMYFUNCTION("""COMPUTED_VALUE"""),50000000)</f>
        <v>50000000</v>
      </c>
      <c r="R396" s="3" t="str">
        <f ca="1">IFERROR(__xludf.DUMMYFUNCTION("""COMPUTED_VALUE"""),"https://drive.google.com/open?id=zGWGgH1XUf2cCKO65MD6")</f>
        <v>https://drive.google.com/open?id=zGWGgH1XUf2cCKO65MD6</v>
      </c>
      <c r="S396" s="1">
        <f ca="1">IFERROR(__xludf.DUMMYFUNCTION("""COMPUTED_VALUE"""),100000000)</f>
        <v>100000000</v>
      </c>
      <c r="T396" s="1" t="str">
        <f ca="1">IFERROR(__xludf.DUMMYFUNCTION("""COMPUTED_VALUE"""),"Classic")</f>
        <v>Classic</v>
      </c>
      <c r="U396" s="1" t="str">
        <f ca="1">IFERROR(__xludf.DUMMYFUNCTION("""COMPUTED_VALUE"""),"Branch")</f>
        <v>Branch</v>
      </c>
    </row>
    <row r="397" spans="1:21" x14ac:dyDescent="0.25">
      <c r="A397" s="2" t="str">
        <f ca="1">IFERROR(__xludf.DUMMYFUNCTION("""COMPUTED_VALUE"""),"APP0396")</f>
        <v>APP0396</v>
      </c>
      <c r="B397" s="2">
        <f ca="1">IFERROR(__xludf.DUMMYFUNCTION("""COMPUTED_VALUE"""),45920.0144212963)</f>
        <v>45920.014421296299</v>
      </c>
      <c r="C397" s="1" t="str">
        <f ca="1">IFERROR(__xludf.DUMMYFUNCTION("""COMPUTED_VALUE"""),"Trần Văn Trang")</f>
        <v>Trần Văn Trang</v>
      </c>
      <c r="D397" s="1" t="str">
        <f ca="1">IFERROR(__xludf.DUMMYFUNCTION("""COMPUTED_VALUE"""),"15/06/1966")</f>
        <v>15/06/1966</v>
      </c>
      <c r="E397" s="1" t="str">
        <f ca="1">IFERROR(__xludf.DUMMYFUNCTION("""COMPUTED_VALUE"""),"Female")</f>
        <v>Female</v>
      </c>
      <c r="F397" s="1" t="str">
        <f ca="1">IFERROR(__xludf.DUMMYFUNCTION("""COMPUTED_VALUE"""),"Vietnam")</f>
        <v>Vietnam</v>
      </c>
      <c r="G397" s="1" t="str">
        <f ca="1">IFERROR(__xludf.DUMMYFUNCTION("""COMPUTED_VALUE"""),"0852838217")</f>
        <v>0852838217</v>
      </c>
      <c r="H397" s="1" t="str">
        <f ca="1">IFERROR(__xludf.DUMMYFUNCTION("""COMPUTED_VALUE"""),"tranvantrang@gmail.com")</f>
        <v>tranvantrang@gmail.com</v>
      </c>
      <c r="I397" s="1" t="str">
        <f ca="1">IFERROR(__xludf.DUMMYFUNCTION("""COMPUTED_VALUE"""),"4 Nguyen Trai, Quan 3, Da Nang, Viet Nam")</f>
        <v>4 Nguyen Trai, Quan 3, Da Nang, Viet Nam</v>
      </c>
      <c r="J397" s="1" t="str">
        <f ca="1">IFERROR(__xludf.DUMMYFUNCTION("""COMPUTED_VALUE"""),"011183419709")</f>
        <v>011183419709</v>
      </c>
      <c r="K397" s="3" t="str">
        <f ca="1">IFERROR(__xludf.DUMMYFUNCTION("""COMPUTED_VALUE"""),"https://drive.google.com/open?id=EE6nprDoTow7rzYsEM4i")</f>
        <v>https://drive.google.com/open?id=EE6nprDoTow7rzYsEM4i</v>
      </c>
      <c r="L397" s="3" t="str">
        <f ca="1">IFERROR(__xludf.DUMMYFUNCTION("""COMPUTED_VALUE"""),"https://drive.google.com/open?id=K6MuHh5382YRP3EA2aX7")</f>
        <v>https://drive.google.com/open?id=K6MuHh5382YRP3EA2aX7</v>
      </c>
      <c r="M397" s="1"/>
      <c r="N397" s="1"/>
      <c r="O397" s="1"/>
      <c r="P397" s="1" t="str">
        <f ca="1">IFERROR(__xludf.DUMMYFUNCTION("""COMPUTED_VALUE"""),"Freelancer")</f>
        <v>Freelancer</v>
      </c>
      <c r="Q397" s="1">
        <f ca="1">IFERROR(__xludf.DUMMYFUNCTION("""COMPUTED_VALUE"""),50000000)</f>
        <v>50000000</v>
      </c>
      <c r="R397" s="3" t="str">
        <f ca="1">IFERROR(__xludf.DUMMYFUNCTION("""COMPUTED_VALUE"""),"https://drive.google.com/open?id=MYBPrcdAkGDcocAXCCgO")</f>
        <v>https://drive.google.com/open?id=MYBPrcdAkGDcocAXCCgO</v>
      </c>
      <c r="S397" s="1">
        <f ca="1">IFERROR(__xludf.DUMMYFUNCTION("""COMPUTED_VALUE"""),150000000)</f>
        <v>150000000</v>
      </c>
      <c r="T397" s="1" t="str">
        <f ca="1">IFERROR(__xludf.DUMMYFUNCTION("""COMPUTED_VALUE"""),"Platinum")</f>
        <v>Platinum</v>
      </c>
      <c r="U397" s="1" t="str">
        <f ca="1">IFERROR(__xludf.DUMMYFUNCTION("""COMPUTED_VALUE"""),"Branch")</f>
        <v>Branch</v>
      </c>
    </row>
    <row r="398" spans="1:21" x14ac:dyDescent="0.25">
      <c r="A398" s="2" t="str">
        <f ca="1">IFERROR(__xludf.DUMMYFUNCTION("""COMPUTED_VALUE"""),"APP0397")</f>
        <v>APP0397</v>
      </c>
      <c r="B398" s="2">
        <f ca="1">IFERROR(__xludf.DUMMYFUNCTION("""COMPUTED_VALUE"""),45920.0898379629)</f>
        <v>45920.0898379629</v>
      </c>
      <c r="C398" s="1" t="str">
        <f ca="1">IFERROR(__xludf.DUMMYFUNCTION("""COMPUTED_VALUE"""),"Dương Thị Yến")</f>
        <v>Dương Thị Yến</v>
      </c>
      <c r="D398" s="1" t="str">
        <f ca="1">IFERROR(__xludf.DUMMYFUNCTION("""COMPUTED_VALUE"""),"18/12/1972")</f>
        <v>18/12/1972</v>
      </c>
      <c r="E398" s="1" t="str">
        <f ca="1">IFERROR(__xludf.DUMMYFUNCTION("""COMPUTED_VALUE"""),"Male")</f>
        <v>Male</v>
      </c>
      <c r="F398" s="1" t="str">
        <f ca="1">IFERROR(__xludf.DUMMYFUNCTION("""COMPUTED_VALUE"""),"Vietnam")</f>
        <v>Vietnam</v>
      </c>
      <c r="G398" s="1" t="str">
        <f ca="1">IFERROR(__xludf.DUMMYFUNCTION("""COMPUTED_VALUE"""),"0757983614")</f>
        <v>0757983614</v>
      </c>
      <c r="H398" s="1" t="str">
        <f ca="1">IFERROR(__xludf.DUMMYFUNCTION("""COMPUTED_VALUE"""),"duongthiyen@gmail.com")</f>
        <v>duongthiyen@gmail.com</v>
      </c>
      <c r="I398" s="1" t="str">
        <f ca="1">IFERROR(__xludf.DUMMYFUNCTION("""COMPUTED_VALUE"""),"178 Nguyen Trai, Hoan Kiem, Can Tho, Viet Nam")</f>
        <v>178 Nguyen Trai, Hoan Kiem, Can Tho, Viet Nam</v>
      </c>
      <c r="J398" s="1" t="str">
        <f ca="1">IFERROR(__xludf.DUMMYFUNCTION("""COMPUTED_VALUE"""),"035325107269")</f>
        <v>035325107269</v>
      </c>
      <c r="K398" s="3" t="str">
        <f ca="1">IFERROR(__xludf.DUMMYFUNCTION("""COMPUTED_VALUE"""),"https://drive.google.com/open?id=tTYjpVcBXHY0gjwxMQcD")</f>
        <v>https://drive.google.com/open?id=tTYjpVcBXHY0gjwxMQcD</v>
      </c>
      <c r="L398" s="3" t="str">
        <f ca="1">IFERROR(__xludf.DUMMYFUNCTION("""COMPUTED_VALUE"""),"https://drive.google.com/open?id=SXgd397GAL4A89M4GvZb")</f>
        <v>https://drive.google.com/open?id=SXgd397GAL4A89M4GvZb</v>
      </c>
      <c r="M398" s="1"/>
      <c r="N398" s="1"/>
      <c r="O398" s="1"/>
      <c r="P398" s="1" t="str">
        <f ca="1">IFERROR(__xludf.DUMMYFUNCTION("""COMPUTED_VALUE"""),"Freelancer")</f>
        <v>Freelancer</v>
      </c>
      <c r="Q398" s="1">
        <f ca="1">IFERROR(__xludf.DUMMYFUNCTION("""COMPUTED_VALUE"""),12000000)</f>
        <v>12000000</v>
      </c>
      <c r="R398" s="3" t="str">
        <f ca="1">IFERROR(__xludf.DUMMYFUNCTION("""COMPUTED_VALUE"""),"https://drive.google.com/open?id=IiuaYt1i7qTNxLqnRQG9")</f>
        <v>https://drive.google.com/open?id=IiuaYt1i7qTNxLqnRQG9</v>
      </c>
      <c r="S398" s="1">
        <f ca="1">IFERROR(__xludf.DUMMYFUNCTION("""COMPUTED_VALUE"""),60000000)</f>
        <v>60000000</v>
      </c>
      <c r="T398" s="1" t="str">
        <f ca="1">IFERROR(__xludf.DUMMYFUNCTION("""COMPUTED_VALUE"""),"Platinum")</f>
        <v>Platinum</v>
      </c>
      <c r="U398" s="1" t="str">
        <f ca="1">IFERROR(__xludf.DUMMYFUNCTION("""COMPUTED_VALUE"""),"Partner")</f>
        <v>Partner</v>
      </c>
    </row>
    <row r="399" spans="1:21" x14ac:dyDescent="0.25">
      <c r="A399" s="2" t="str">
        <f ca="1">IFERROR(__xludf.DUMMYFUNCTION("""COMPUTED_VALUE"""),"APP0398")</f>
        <v>APP0398</v>
      </c>
      <c r="B399" s="2">
        <f ca="1">IFERROR(__xludf.DUMMYFUNCTION("""COMPUTED_VALUE"""),45920.1056944444)</f>
        <v>45920.105694444399</v>
      </c>
      <c r="C399" s="1" t="str">
        <f ca="1">IFERROR(__xludf.DUMMYFUNCTION("""COMPUTED_VALUE"""),"Phan Ngọc Châu")</f>
        <v>Phan Ngọc Châu</v>
      </c>
      <c r="D399" s="1" t="str">
        <f ca="1">IFERROR(__xludf.DUMMYFUNCTION("""COMPUTED_VALUE"""),"15/02/2006")</f>
        <v>15/02/2006</v>
      </c>
      <c r="E399" s="1" t="str">
        <f ca="1">IFERROR(__xludf.DUMMYFUNCTION("""COMPUTED_VALUE"""),"Female")</f>
        <v>Female</v>
      </c>
      <c r="F399" s="1" t="str">
        <f ca="1">IFERROR(__xludf.DUMMYFUNCTION("""COMPUTED_VALUE"""),"Vietnam")</f>
        <v>Vietnam</v>
      </c>
      <c r="G399" s="1" t="str">
        <f ca="1">IFERROR(__xludf.DUMMYFUNCTION("""COMPUTED_VALUE"""),"0777208792")</f>
        <v>0777208792</v>
      </c>
      <c r="H399" s="1" t="str">
        <f ca="1">IFERROR(__xludf.DUMMYFUNCTION("""COMPUTED_VALUE"""),"phanngocchau@gmail.com")</f>
        <v>phanngocchau@gmail.com</v>
      </c>
      <c r="I399" s="1" t="str">
        <f ca="1">IFERROR(__xludf.DUMMYFUNCTION("""COMPUTED_VALUE"""),"63 Pham Van Dong, Dong Da, Can Tho, Viet Nam")</f>
        <v>63 Pham Van Dong, Dong Da, Can Tho, Viet Nam</v>
      </c>
      <c r="J399" s="1" t="str">
        <f ca="1">IFERROR(__xludf.DUMMYFUNCTION("""COMPUTED_VALUE"""),"06311070277")</f>
        <v>06311070277</v>
      </c>
      <c r="K399" s="3" t="str">
        <f ca="1">IFERROR(__xludf.DUMMYFUNCTION("""COMPUTED_VALUE"""),"https://drive.google.com/open?id=GYSnyouUBKj3808WQ9Wd")</f>
        <v>https://drive.google.com/open?id=GYSnyouUBKj3808WQ9Wd</v>
      </c>
      <c r="L399" s="3" t="str">
        <f ca="1">IFERROR(__xludf.DUMMYFUNCTION("""COMPUTED_VALUE"""),"https://drive.google.com/open?id=iOvg4nRrjgBY36bAn3Hs")</f>
        <v>https://drive.google.com/open?id=iOvg4nRrjgBY36bAn3Hs</v>
      </c>
      <c r="M399" s="1"/>
      <c r="N399" s="1"/>
      <c r="O399" s="1"/>
      <c r="P399" s="1" t="str">
        <f ca="1">IFERROR(__xludf.DUMMYFUNCTION("""COMPUTED_VALUE"""),"Part-time")</f>
        <v>Part-time</v>
      </c>
      <c r="Q399" s="1">
        <f ca="1">IFERROR(__xludf.DUMMYFUNCTION("""COMPUTED_VALUE"""),20000000)</f>
        <v>20000000</v>
      </c>
      <c r="R399" s="3" t="str">
        <f ca="1">IFERROR(__xludf.DUMMYFUNCTION("""COMPUTED_VALUE"""),"https://drive.google.com/open?id=1xwfW39i789p8UNwsiCg")</f>
        <v>https://drive.google.com/open?id=1xwfW39i789p8UNwsiCg</v>
      </c>
      <c r="S399" s="1">
        <f ca="1">IFERROR(__xludf.DUMMYFUNCTION("""COMPUTED_VALUE"""),60000000)</f>
        <v>60000000</v>
      </c>
      <c r="T399" s="1" t="str">
        <f ca="1">IFERROR(__xludf.DUMMYFUNCTION("""COMPUTED_VALUE"""),"Platinum")</f>
        <v>Platinum</v>
      </c>
      <c r="U399" s="1" t="str">
        <f ca="1">IFERROR(__xludf.DUMMYFUNCTION("""COMPUTED_VALUE"""),"Branch")</f>
        <v>Branch</v>
      </c>
    </row>
    <row r="400" spans="1:21" x14ac:dyDescent="0.25">
      <c r="A400" s="2" t="str">
        <f ca="1">IFERROR(__xludf.DUMMYFUNCTION("""COMPUTED_VALUE"""),"APP0399")</f>
        <v>APP0399</v>
      </c>
      <c r="B400" s="2">
        <f ca="1">IFERROR(__xludf.DUMMYFUNCTION("""COMPUTED_VALUE"""),45920.1167361111)</f>
        <v>45920.1167361111</v>
      </c>
      <c r="C400" s="1" t="str">
        <f ca="1">IFERROR(__xludf.DUMMYFUNCTION("""COMPUTED_VALUE"""),"Huỳnh Thanh Sơn")</f>
        <v>Huỳnh Thanh Sơn</v>
      </c>
      <c r="D400" s="1" t="str">
        <f ca="1">IFERROR(__xludf.DUMMYFUNCTION("""COMPUTED_VALUE"""),"11/12/1965")</f>
        <v>11/12/1965</v>
      </c>
      <c r="E400" s="1" t="str">
        <f ca="1">IFERROR(__xludf.DUMMYFUNCTION("""COMPUTED_VALUE"""),"Female")</f>
        <v>Female</v>
      </c>
      <c r="F400" s="1" t="str">
        <f ca="1">IFERROR(__xludf.DUMMYFUNCTION("""COMPUTED_VALUE"""),"Vietnam")</f>
        <v>Vietnam</v>
      </c>
      <c r="G400" s="1" t="str">
        <f ca="1">IFERROR(__xludf.DUMMYFUNCTION("""COMPUTED_VALUE"""),"0781058310")</f>
        <v>0781058310</v>
      </c>
      <c r="H400" s="1" t="str">
        <f ca="1">IFERROR(__xludf.DUMMYFUNCTION("""COMPUTED_VALUE"""),"huynhthanhson@gmail.com")</f>
        <v>huynhthanhson@gmail.com</v>
      </c>
      <c r="I400" s="1" t="str">
        <f ca="1">IFERROR(__xludf.DUMMYFUNCTION("""COMPUTED_VALUE"""),"184 Nguyen Hue, Hai Chau, Da Nang, Viet Nam")</f>
        <v>184 Nguyen Hue, Hai Chau, Da Nang, Viet Nam</v>
      </c>
      <c r="J400" s="1" t="str">
        <f ca="1">IFERROR(__xludf.DUMMYFUNCTION("""COMPUTED_VALUE"""),"017462696206")</f>
        <v>017462696206</v>
      </c>
      <c r="K400" s="3" t="str">
        <f ca="1">IFERROR(__xludf.DUMMYFUNCTION("""COMPUTED_VALUE"""),"https://drive.google.com/open?id=6X1x5UAQMiZOAA7rat3j")</f>
        <v>https://drive.google.com/open?id=6X1x5UAQMiZOAA7rat3j</v>
      </c>
      <c r="L400" s="3" t="str">
        <f ca="1">IFERROR(__xludf.DUMMYFUNCTION("""COMPUTED_VALUE"""),"https://drive.google.com/open?id=hbJoC2CSlVbpatwQ9ELD")</f>
        <v>https://drive.google.com/open?id=hbJoC2CSlVbpatwQ9ELD</v>
      </c>
      <c r="M400" s="1"/>
      <c r="N400" s="1"/>
      <c r="O400" s="1"/>
      <c r="P400" s="1" t="str">
        <f ca="1">IFERROR(__xludf.DUMMYFUNCTION("""COMPUTED_VALUE"""),"Freelancer")</f>
        <v>Freelancer</v>
      </c>
      <c r="Q400" s="1">
        <f ca="1">IFERROR(__xludf.DUMMYFUNCTION("""COMPUTED_VALUE"""),50000000)</f>
        <v>50000000</v>
      </c>
      <c r="R400" s="3" t="str">
        <f ca="1">IFERROR(__xludf.DUMMYFUNCTION("""COMPUTED_VALUE"""),"https://drive.google.com/open?id=RyfUu6XxLXUV6JwirLX4")</f>
        <v>https://drive.google.com/open?id=RyfUu6XxLXUV6JwirLX4</v>
      </c>
      <c r="S400" s="1">
        <f ca="1">IFERROR(__xludf.DUMMYFUNCTION("""COMPUTED_VALUE"""),100000000)</f>
        <v>100000000</v>
      </c>
      <c r="T400" s="1" t="str">
        <f ca="1">IFERROR(__xludf.DUMMYFUNCTION("""COMPUTED_VALUE"""),"Platinum")</f>
        <v>Platinum</v>
      </c>
      <c r="U400" s="1" t="str">
        <f ca="1">IFERROR(__xludf.DUMMYFUNCTION("""COMPUTED_VALUE"""),"Branch")</f>
        <v>Branch</v>
      </c>
    </row>
    <row r="401" spans="1:21" x14ac:dyDescent="0.25">
      <c r="A401" s="2" t="str">
        <f ca="1">IFERROR(__xludf.DUMMYFUNCTION("""COMPUTED_VALUE"""),"APP0400")</f>
        <v>APP0400</v>
      </c>
      <c r="B401" s="2">
        <f ca="1">IFERROR(__xludf.DUMMYFUNCTION("""COMPUTED_VALUE"""),45920.3632060185)</f>
        <v>45920.363206018497</v>
      </c>
      <c r="C401" s="1" t="str">
        <f ca="1">IFERROR(__xludf.DUMMYFUNCTION("""COMPUTED_VALUE"""),"Lê Quang Khánh")</f>
        <v>Lê Quang Khánh</v>
      </c>
      <c r="D401" s="1" t="str">
        <f ca="1">IFERROR(__xludf.DUMMYFUNCTION("""COMPUTED_VALUE"""),"26/04/1991")</f>
        <v>26/04/1991</v>
      </c>
      <c r="E401" s="1" t="str">
        <f ca="1">IFERROR(__xludf.DUMMYFUNCTION("""COMPUTED_VALUE"""),"Female")</f>
        <v>Female</v>
      </c>
      <c r="F401" s="1" t="str">
        <f ca="1">IFERROR(__xludf.DUMMYFUNCTION("""COMPUTED_VALUE"""),"Vietnam")</f>
        <v>Vietnam</v>
      </c>
      <c r="G401" s="1" t="str">
        <f ca="1">IFERROR(__xludf.DUMMYFUNCTION("""COMPUTED_VALUE"""),"0865434460")</f>
        <v>0865434460</v>
      </c>
      <c r="H401" s="1" t="str">
        <f ca="1">IFERROR(__xludf.DUMMYFUNCTION("""COMPUTED_VALUE"""),"lequangkhanh@gmail.com")</f>
        <v>lequangkhanh@gmail.com</v>
      </c>
      <c r="I401" s="1" t="str">
        <f ca="1">IFERROR(__xludf.DUMMYFUNCTION("""COMPUTED_VALUE"""),"163 Nguyen Trai, Quan 3, Can Tho, Viet Nam")</f>
        <v>163 Nguyen Trai, Quan 3, Can Tho, Viet Nam</v>
      </c>
      <c r="J401" s="1" t="str">
        <f ca="1">IFERROR(__xludf.DUMMYFUNCTION("""COMPUTED_VALUE"""),"075963991223")</f>
        <v>075963991223</v>
      </c>
      <c r="K401" s="3" t="str">
        <f ca="1">IFERROR(__xludf.DUMMYFUNCTION("""COMPUTED_VALUE"""),"https://drive.google.com/open?id=0fCbSVCm3rQGXHSRL01j")</f>
        <v>https://drive.google.com/open?id=0fCbSVCm3rQGXHSRL01j</v>
      </c>
      <c r="L401" s="3" t="str">
        <f ca="1">IFERROR(__xludf.DUMMYFUNCTION("""COMPUTED_VALUE"""),"https://drive.google.com/open?id=PKFMnQUaR3afOGt5Ofi6")</f>
        <v>https://drive.google.com/open?id=PKFMnQUaR3afOGt5Ofi6</v>
      </c>
      <c r="M401" s="1"/>
      <c r="N401" s="1"/>
      <c r="O401" s="1"/>
      <c r="P401" s="1" t="str">
        <f ca="1">IFERROR(__xludf.DUMMYFUNCTION("""COMPUTED_VALUE"""),"Part-time")</f>
        <v>Part-time</v>
      </c>
      <c r="Q401" s="1">
        <f ca="1">IFERROR(__xludf.DUMMYFUNCTION("""COMPUTED_VALUE"""),20000000)</f>
        <v>20000000</v>
      </c>
      <c r="R401" s="3" t="str">
        <f ca="1">IFERROR(__xludf.DUMMYFUNCTION("""COMPUTED_VALUE"""),"https://drive.google.com/open?id=7Bu2mayvpaYeHdXE1vJj")</f>
        <v>https://drive.google.com/open?id=7Bu2mayvpaYeHdXE1vJj</v>
      </c>
      <c r="S401" s="1">
        <f ca="1">IFERROR(__xludf.DUMMYFUNCTION("""COMPUTED_VALUE"""),40000000)</f>
        <v>40000000</v>
      </c>
      <c r="T401" s="1" t="str">
        <f ca="1">IFERROR(__xludf.DUMMYFUNCTION("""COMPUTED_VALUE"""),"Gold")</f>
        <v>Gold</v>
      </c>
      <c r="U401" s="1" t="str">
        <f ca="1">IFERROR(__xludf.DUMMYFUNCTION("""COMPUTED_VALUE"""),"Online")</f>
        <v>Online</v>
      </c>
    </row>
    <row r="402" spans="1:21" x14ac:dyDescent="0.25">
      <c r="A402" s="2" t="str">
        <f ca="1">IFERROR(__xludf.DUMMYFUNCTION("""COMPUTED_VALUE"""),"APP0401")</f>
        <v>APP0401</v>
      </c>
      <c r="B402" s="2">
        <f ca="1">IFERROR(__xludf.DUMMYFUNCTION("""COMPUTED_VALUE"""),45920.4407638888)</f>
        <v>45920.440763888801</v>
      </c>
      <c r="C402" s="1" t="str">
        <f ca="1">IFERROR(__xludf.DUMMYFUNCTION("""COMPUTED_VALUE"""),"Đặng Ngọc Mai")</f>
        <v>Đặng Ngọc Mai</v>
      </c>
      <c r="D402" s="1" t="str">
        <f ca="1">IFERROR(__xludf.DUMMYFUNCTION("""COMPUTED_VALUE"""),"12/10/1976")</f>
        <v>12/10/1976</v>
      </c>
      <c r="E402" s="1" t="str">
        <f ca="1">IFERROR(__xludf.DUMMYFUNCTION("""COMPUTED_VALUE"""),"Female")</f>
        <v>Female</v>
      </c>
      <c r="F402" s="1" t="str">
        <f ca="1">IFERROR(__xludf.DUMMYFUNCTION("""COMPUTED_VALUE"""),"Vietnam")</f>
        <v>Vietnam</v>
      </c>
      <c r="G402" s="1" t="str">
        <f ca="1">IFERROR(__xludf.DUMMYFUNCTION("""COMPUTED_VALUE"""),"0812273846")</f>
        <v>0812273846</v>
      </c>
      <c r="H402" s="1" t="str">
        <f ca="1">IFERROR(__xludf.DUMMYFUNCTION("""COMPUTED_VALUE"""),"dangngocmai@gmail.com")</f>
        <v>dangngocmai@gmail.com</v>
      </c>
      <c r="I402" s="1" t="str">
        <f ca="1">IFERROR(__xludf.DUMMYFUNCTION("""COMPUTED_VALUE"""),"77 Tran Hung Dao, Quan 1, Ha Noi, Viet Nam")</f>
        <v>77 Tran Hung Dao, Quan 1, Ha Noi, Viet Nam</v>
      </c>
      <c r="J402" s="1" t="str">
        <f ca="1">IFERROR(__xludf.DUMMYFUNCTION("""COMPUTED_VALUE"""),"055900134206")</f>
        <v>055900134206</v>
      </c>
      <c r="K402" s="3" t="str">
        <f ca="1">IFERROR(__xludf.DUMMYFUNCTION("""COMPUTED_VALUE"""),"https://drive.google.com/open?id=NBNrRLWfZa7DadiF39g8")</f>
        <v>https://drive.google.com/open?id=NBNrRLWfZa7DadiF39g8</v>
      </c>
      <c r="L402" s="3" t="str">
        <f ca="1">IFERROR(__xludf.DUMMYFUNCTION("""COMPUTED_VALUE"""),"https://drive.google.com/open?id=SoKz97WEtVWVPwbBHZiz")</f>
        <v>https://drive.google.com/open?id=SoKz97WEtVWVPwbBHZiz</v>
      </c>
      <c r="M402" s="1"/>
      <c r="N402" s="1"/>
      <c r="O402" s="1"/>
      <c r="P402" s="1" t="str">
        <f ca="1">IFERROR(__xludf.DUMMYFUNCTION("""COMPUTED_VALUE"""),"Part-time")</f>
        <v>Part-time</v>
      </c>
      <c r="Q402" s="1">
        <f ca="1">IFERROR(__xludf.DUMMYFUNCTION("""COMPUTED_VALUE"""),12000000)</f>
        <v>12000000</v>
      </c>
      <c r="R402" s="3" t="str">
        <f ca="1">IFERROR(__xludf.DUMMYFUNCTION("""COMPUTED_VALUE"""),"https://drive.google.com/open?id=zFJxuuYTR7t9lcbnqeAI")</f>
        <v>https://drive.google.com/open?id=zFJxuuYTR7t9lcbnqeAI</v>
      </c>
      <c r="S402" s="1">
        <f ca="1">IFERROR(__xludf.DUMMYFUNCTION("""COMPUTED_VALUE"""),36000000)</f>
        <v>36000000</v>
      </c>
      <c r="T402" s="1" t="str">
        <f ca="1">IFERROR(__xludf.DUMMYFUNCTION("""COMPUTED_VALUE"""),"Platinum")</f>
        <v>Platinum</v>
      </c>
      <c r="U402" s="1" t="str">
        <f ca="1">IFERROR(__xludf.DUMMYFUNCTION("""COMPUTED_VALUE"""),"Online")</f>
        <v>Online</v>
      </c>
    </row>
    <row r="403" spans="1:21" x14ac:dyDescent="0.25">
      <c r="A403" s="2" t="str">
        <f ca="1">IFERROR(__xludf.DUMMYFUNCTION("""COMPUTED_VALUE"""),"APP0402")</f>
        <v>APP0402</v>
      </c>
      <c r="B403" s="2">
        <f ca="1">IFERROR(__xludf.DUMMYFUNCTION("""COMPUTED_VALUE"""),45920.6329282407)</f>
        <v>45920.632928240702</v>
      </c>
      <c r="C403" s="1" t="str">
        <f ca="1">IFERROR(__xludf.DUMMYFUNCTION("""COMPUTED_VALUE"""),"Hồ Thị An")</f>
        <v>Hồ Thị An</v>
      </c>
      <c r="D403" s="1" t="str">
        <f ca="1">IFERROR(__xludf.DUMMYFUNCTION("""COMPUTED_VALUE"""),"07/06/1992")</f>
        <v>07/06/1992</v>
      </c>
      <c r="E403" s="1" t="str">
        <f ca="1">IFERROR(__xludf.DUMMYFUNCTION("""COMPUTED_VALUE"""),"Male")</f>
        <v>Male</v>
      </c>
      <c r="F403" s="1" t="str">
        <f ca="1">IFERROR(__xludf.DUMMYFUNCTION("""COMPUTED_VALUE"""),"Vietnam")</f>
        <v>Vietnam</v>
      </c>
      <c r="G403" s="1" t="str">
        <f ca="1">IFERROR(__xludf.DUMMYFUNCTION("""COMPUTED_VALUE"""),"0780881959")</f>
        <v>0780881959</v>
      </c>
      <c r="H403" s="1" t="str">
        <f ca="1">IFERROR(__xludf.DUMMYFUNCTION("""COMPUTED_VALUE"""),"hothian@gmail.com")</f>
        <v>hothian@gmail.com</v>
      </c>
      <c r="I403" s="1" t="str">
        <f ca="1">IFERROR(__xludf.DUMMYFUNCTION("""COMPUTED_VALUE"""),"154 Pham Van Dong, Hai Chau, Da Nang, Viet Nam")</f>
        <v>154 Pham Van Dong, Hai Chau, Da Nang, Viet Nam</v>
      </c>
      <c r="J403" s="1" t="str">
        <f ca="1">IFERROR(__xludf.DUMMYFUNCTION("""COMPUTED_VALUE"""),"049447930064")</f>
        <v>049447930064</v>
      </c>
      <c r="K403" s="3" t="str">
        <f ca="1">IFERROR(__xludf.DUMMYFUNCTION("""COMPUTED_VALUE"""),"https://drive.google.com/open?id=1s33oiBzKrvxGdFi8T1T")</f>
        <v>https://drive.google.com/open?id=1s33oiBzKrvxGdFi8T1T</v>
      </c>
      <c r="L403" s="3" t="str">
        <f ca="1">IFERROR(__xludf.DUMMYFUNCTION("""COMPUTED_VALUE"""),"https://drive.google.com/open?id=RujajNgIxWp2nODjgakt")</f>
        <v>https://drive.google.com/open?id=RujajNgIxWp2nODjgakt</v>
      </c>
      <c r="M403" s="1"/>
      <c r="N403" s="1"/>
      <c r="O403" s="1"/>
      <c r="P403" s="1" t="str">
        <f ca="1">IFERROR(__xludf.DUMMYFUNCTION("""COMPUTED_VALUE"""),"Part-time")</f>
        <v>Part-time</v>
      </c>
      <c r="Q403" s="1">
        <f ca="1">IFERROR(__xludf.DUMMYFUNCTION("""COMPUTED_VALUE"""),20000000)</f>
        <v>20000000</v>
      </c>
      <c r="R403" s="3" t="str">
        <f ca="1">IFERROR(__xludf.DUMMYFUNCTION("""COMPUTED_VALUE"""),"https://drive.google.com/open?id=Yuz4ajXpzZPhH6smLQdh")</f>
        <v>https://drive.google.com/open?id=Yuz4ajXpzZPhH6smLQdh</v>
      </c>
      <c r="S403" s="1">
        <f ca="1">IFERROR(__xludf.DUMMYFUNCTION("""COMPUTED_VALUE"""),100000000)</f>
        <v>100000000</v>
      </c>
      <c r="T403" s="1" t="str">
        <f ca="1">IFERROR(__xludf.DUMMYFUNCTION("""COMPUTED_VALUE"""),"Classic")</f>
        <v>Classic</v>
      </c>
      <c r="U403" s="1" t="str">
        <f ca="1">IFERROR(__xludf.DUMMYFUNCTION("""COMPUTED_VALUE"""),"Branch")</f>
        <v>Branch</v>
      </c>
    </row>
    <row r="404" spans="1:21" x14ac:dyDescent="0.25">
      <c r="A404" s="2" t="str">
        <f ca="1">IFERROR(__xludf.DUMMYFUNCTION("""COMPUTED_VALUE"""),"APP0403")</f>
        <v>APP0403</v>
      </c>
      <c r="B404" s="2">
        <f ca="1">IFERROR(__xludf.DUMMYFUNCTION("""COMPUTED_VALUE"""),45920.6348611111)</f>
        <v>45920.634861111103</v>
      </c>
      <c r="C404" s="1" t="str">
        <f ca="1">IFERROR(__xludf.DUMMYFUNCTION("""COMPUTED_VALUE"""),"Vũ Đức Hải")</f>
        <v>Vũ Đức Hải</v>
      </c>
      <c r="D404" s="1" t="str">
        <f ca="1">IFERROR(__xludf.DUMMYFUNCTION("""COMPUTED_VALUE"""),"28/05/1996")</f>
        <v>28/05/1996</v>
      </c>
      <c r="E404" s="1" t="str">
        <f ca="1">IFERROR(__xludf.DUMMYFUNCTION("""COMPUTED_VALUE"""),"Female")</f>
        <v>Female</v>
      </c>
      <c r="F404" s="1" t="str">
        <f ca="1">IFERROR(__xludf.DUMMYFUNCTION("""COMPUTED_VALUE"""),"Vietnam")</f>
        <v>Vietnam</v>
      </c>
      <c r="G404" s="1" t="str">
        <f ca="1">IFERROR(__xludf.DUMMYFUNCTION("""COMPUTED_VALUE"""),"0750838988")</f>
        <v>0750838988</v>
      </c>
      <c r="H404" s="1" t="str">
        <f ca="1">IFERROR(__xludf.DUMMYFUNCTION("""COMPUTED_VALUE"""),"vuduchai@gmail.com")</f>
        <v>vuduchai@gmail.com</v>
      </c>
      <c r="I404" s="1" t="str">
        <f ca="1">IFERROR(__xludf.DUMMYFUNCTION("""COMPUTED_VALUE"""),"51 Le Loi, Quan 7, Da Nang, Viet Nam")</f>
        <v>51 Le Loi, Quan 7, Da Nang, Viet Nam</v>
      </c>
      <c r="J404" s="1" t="str">
        <f ca="1">IFERROR(__xludf.DUMMYFUNCTION("""COMPUTED_VALUE"""),"017624262056")</f>
        <v>017624262056</v>
      </c>
      <c r="K404" s="3" t="str">
        <f ca="1">IFERROR(__xludf.DUMMYFUNCTION("""COMPUTED_VALUE"""),"https://drive.google.com/open?id=DmZuhnO93ZJRKX5mmv5b")</f>
        <v>https://drive.google.com/open?id=DmZuhnO93ZJRKX5mmv5b</v>
      </c>
      <c r="L404" s="3" t="str">
        <f ca="1">IFERROR(__xludf.DUMMYFUNCTION("""COMPUTED_VALUE"""),"https://drive.google.com/open?id=RjOL9GQvsvZRJdnnjRwo")</f>
        <v>https://drive.google.com/open?id=RjOL9GQvsvZRJdnnjRwo</v>
      </c>
      <c r="M404" s="1"/>
      <c r="N404" s="1"/>
      <c r="O404" s="1"/>
      <c r="P404" s="1" t="str">
        <f ca="1">IFERROR(__xludf.DUMMYFUNCTION("""COMPUTED_VALUE"""),"Part-time")</f>
        <v>Part-time</v>
      </c>
      <c r="Q404" s="1">
        <f ca="1">IFERROR(__xludf.DUMMYFUNCTION("""COMPUTED_VALUE"""),8000000)</f>
        <v>8000000</v>
      </c>
      <c r="R404" s="3" t="str">
        <f ca="1">IFERROR(__xludf.DUMMYFUNCTION("""COMPUTED_VALUE"""),"https://drive.google.com/open?id=S1BBHPHh3EsQ6kfoM1Jo")</f>
        <v>https://drive.google.com/open?id=S1BBHPHh3EsQ6kfoM1Jo</v>
      </c>
      <c r="S404" s="1">
        <f ca="1">IFERROR(__xludf.DUMMYFUNCTION("""COMPUTED_VALUE"""),16000000)</f>
        <v>16000000</v>
      </c>
      <c r="T404" s="1" t="str">
        <f ca="1">IFERROR(__xludf.DUMMYFUNCTION("""COMPUTED_VALUE"""),"Gold")</f>
        <v>Gold</v>
      </c>
      <c r="U404" s="1" t="str">
        <f ca="1">IFERROR(__xludf.DUMMYFUNCTION("""COMPUTED_VALUE"""),"Online")</f>
        <v>Online</v>
      </c>
    </row>
    <row r="405" spans="1:21" x14ac:dyDescent="0.25">
      <c r="A405" s="2" t="str">
        <f ca="1">IFERROR(__xludf.DUMMYFUNCTION("""COMPUTED_VALUE"""),"APP0404")</f>
        <v>APP0404</v>
      </c>
      <c r="B405" s="2">
        <f ca="1">IFERROR(__xludf.DUMMYFUNCTION("""COMPUTED_VALUE"""),45920.6666203703)</f>
        <v>45920.666620370299</v>
      </c>
      <c r="C405" s="1" t="str">
        <f ca="1">IFERROR(__xludf.DUMMYFUNCTION("""COMPUTED_VALUE"""),"Ngô Hữu Hiếu")</f>
        <v>Ngô Hữu Hiếu</v>
      </c>
      <c r="D405" s="1" t="str">
        <f ca="1">IFERROR(__xludf.DUMMYFUNCTION("""COMPUTED_VALUE"""),"21/06/1967")</f>
        <v>21/06/1967</v>
      </c>
      <c r="E405" s="1" t="str">
        <f ca="1">IFERROR(__xludf.DUMMYFUNCTION("""COMPUTED_VALUE"""),"Male")</f>
        <v>Male</v>
      </c>
      <c r="F405" s="1" t="str">
        <f ca="1">IFERROR(__xludf.DUMMYFUNCTION("""COMPUTED_VALUE"""),"Vietnam")</f>
        <v>Vietnam</v>
      </c>
      <c r="G405" s="1" t="str">
        <f ca="1">IFERROR(__xludf.DUMMYFUNCTION("""COMPUTED_VALUE"""),"0820064556")</f>
        <v>0820064556</v>
      </c>
      <c r="H405" s="1" t="str">
        <f ca="1">IFERROR(__xludf.DUMMYFUNCTION("""COMPUTED_VALUE"""),"ngohuuhieu@gmail.com")</f>
        <v>ngohuuhieu@gmail.com</v>
      </c>
      <c r="I405" s="1" t="str">
        <f ca="1">IFERROR(__xludf.DUMMYFUNCTION("""COMPUTED_VALUE"""),"73 Ly Thuong Kiet, Hai Chau, TP Ho Chi Minh, Viet Nam")</f>
        <v>73 Ly Thuong Kiet, Hai Chau, TP Ho Chi Minh, Viet Nam</v>
      </c>
      <c r="J405" s="1" t="str">
        <f ca="1">IFERROR(__xludf.DUMMYFUNCTION("""COMPUTED_VALUE"""),"092398564641")</f>
        <v>092398564641</v>
      </c>
      <c r="K405" s="3" t="str">
        <f ca="1">IFERROR(__xludf.DUMMYFUNCTION("""COMPUTED_VALUE"""),"https://drive.google.com/open?id=s3205TUl9wxcpcxTtbsV")</f>
        <v>https://drive.google.com/open?id=s3205TUl9wxcpcxTtbsV</v>
      </c>
      <c r="L405" s="3" t="str">
        <f ca="1">IFERROR(__xludf.DUMMYFUNCTION("""COMPUTED_VALUE"""),"https://drive.google.com/open?id=pEqKjRZmvaBTVTW1NElM")</f>
        <v>https://drive.google.com/open?id=pEqKjRZmvaBTVTW1NElM</v>
      </c>
      <c r="M405" s="1"/>
      <c r="N405" s="1"/>
      <c r="O405" s="1"/>
      <c r="P405" s="1" t="str">
        <f ca="1">IFERROR(__xludf.DUMMYFUNCTION("""COMPUTED_VALUE"""),"Contract")</f>
        <v>Contract</v>
      </c>
      <c r="Q405" s="1">
        <f ca="1">IFERROR(__xludf.DUMMYFUNCTION("""COMPUTED_VALUE"""),8000000)</f>
        <v>8000000</v>
      </c>
      <c r="R405" s="3" t="str">
        <f ca="1">IFERROR(__xludf.DUMMYFUNCTION("""COMPUTED_VALUE"""),"https://drive.google.com/open?id=a5awX2HR5R0WSv2TJ8Ng")</f>
        <v>https://drive.google.com/open?id=a5awX2HR5R0WSv2TJ8Ng</v>
      </c>
      <c r="S405" s="1">
        <f ca="1">IFERROR(__xludf.DUMMYFUNCTION("""COMPUTED_VALUE"""),24000000)</f>
        <v>24000000</v>
      </c>
      <c r="T405" s="1" t="str">
        <f ca="1">IFERROR(__xludf.DUMMYFUNCTION("""COMPUTED_VALUE"""),"Classic")</f>
        <v>Classic</v>
      </c>
      <c r="U405" s="1" t="str">
        <f ca="1">IFERROR(__xludf.DUMMYFUNCTION("""COMPUTED_VALUE"""),"Branch")</f>
        <v>Branch</v>
      </c>
    </row>
    <row r="406" spans="1:21" x14ac:dyDescent="0.25">
      <c r="A406" s="2" t="str">
        <f ca="1">IFERROR(__xludf.DUMMYFUNCTION("""COMPUTED_VALUE"""),"APP0405")</f>
        <v>APP0405</v>
      </c>
      <c r="B406" s="2">
        <f ca="1">IFERROR(__xludf.DUMMYFUNCTION("""COMPUTED_VALUE"""),45920.781886574)</f>
        <v>45920.781886573997</v>
      </c>
      <c r="C406" s="1" t="str">
        <f ca="1">IFERROR(__xludf.DUMMYFUNCTION("""COMPUTED_VALUE"""),"Phạm Anh Thịnh")</f>
        <v>Phạm Anh Thịnh</v>
      </c>
      <c r="D406" s="1" t="str">
        <f ca="1">IFERROR(__xludf.DUMMYFUNCTION("""COMPUTED_VALUE"""),"03/12/1982")</f>
        <v>03/12/1982</v>
      </c>
      <c r="E406" s="1" t="str">
        <f ca="1">IFERROR(__xludf.DUMMYFUNCTION("""COMPUTED_VALUE"""),"Male")</f>
        <v>Male</v>
      </c>
      <c r="F406" s="1" t="str">
        <f ca="1">IFERROR(__xludf.DUMMYFUNCTION("""COMPUTED_VALUE"""),"Vietnam")</f>
        <v>Vietnam</v>
      </c>
      <c r="G406" s="1" t="str">
        <f ca="1">IFERROR(__xludf.DUMMYFUNCTION("""COMPUTED_VALUE"""),"0813539321")</f>
        <v>0813539321</v>
      </c>
      <c r="H406" s="1" t="str">
        <f ca="1">IFERROR(__xludf.DUMMYFUNCTION("""COMPUTED_VALUE"""),"phamanhthinh@gmail.com")</f>
        <v>phamanhthinh@gmail.com</v>
      </c>
      <c r="I406" s="1" t="str">
        <f ca="1">IFERROR(__xludf.DUMMYFUNCTION("""COMPUTED_VALUE"""),"24 Nguyen Trai, Dong Da, Can Tho, Viet Nam")</f>
        <v>24 Nguyen Trai, Dong Da, Can Tho, Viet Nam</v>
      </c>
      <c r="J406" s="1" t="str">
        <f ca="1">IFERROR(__xludf.DUMMYFUNCTION("""COMPUTED_VALUE"""),"097115032010")</f>
        <v>097115032010</v>
      </c>
      <c r="K406" s="3" t="str">
        <f ca="1">IFERROR(__xludf.DUMMYFUNCTION("""COMPUTED_VALUE"""),"https://drive.google.com/open?id=E5yd2ZrCFaYdIfKeIAFT")</f>
        <v>https://drive.google.com/open?id=E5yd2ZrCFaYdIfKeIAFT</v>
      </c>
      <c r="L406" s="3" t="str">
        <f ca="1">IFERROR(__xludf.DUMMYFUNCTION("""COMPUTED_VALUE"""),"https://drive.google.com/open?id=88p2TAtxVeGDGyV1KhsL")</f>
        <v>https://drive.google.com/open?id=88p2TAtxVeGDGyV1KhsL</v>
      </c>
      <c r="M406" s="1"/>
      <c r="N406" s="1"/>
      <c r="O406" s="1"/>
      <c r="P406" s="1" t="str">
        <f ca="1">IFERROR(__xludf.DUMMYFUNCTION("""COMPUTED_VALUE"""),"Part-time")</f>
        <v>Part-time</v>
      </c>
      <c r="Q406" s="1">
        <f ca="1">IFERROR(__xludf.DUMMYFUNCTION("""COMPUTED_VALUE"""),12000000)</f>
        <v>12000000</v>
      </c>
      <c r="R406" s="3" t="str">
        <f ca="1">IFERROR(__xludf.DUMMYFUNCTION("""COMPUTED_VALUE"""),"https://drive.google.com/open?id=vxirXOdQjgvZ5m3zdd7R")</f>
        <v>https://drive.google.com/open?id=vxirXOdQjgvZ5m3zdd7R</v>
      </c>
      <c r="S406" s="1">
        <f ca="1">IFERROR(__xludf.DUMMYFUNCTION("""COMPUTED_VALUE"""),36000000)</f>
        <v>36000000</v>
      </c>
      <c r="T406" s="1" t="str">
        <f ca="1">IFERROR(__xludf.DUMMYFUNCTION("""COMPUTED_VALUE"""),"Gold")</f>
        <v>Gold</v>
      </c>
      <c r="U406" s="1" t="str">
        <f ca="1">IFERROR(__xludf.DUMMYFUNCTION("""COMPUTED_VALUE"""),"Online")</f>
        <v>Online</v>
      </c>
    </row>
    <row r="407" spans="1:21" x14ac:dyDescent="0.25">
      <c r="A407" s="2" t="str">
        <f ca="1">IFERROR(__xludf.DUMMYFUNCTION("""COMPUTED_VALUE"""),"APP0406")</f>
        <v>APP0406</v>
      </c>
      <c r="B407" s="2">
        <f ca="1">IFERROR(__xludf.DUMMYFUNCTION("""COMPUTED_VALUE"""),45920.7821064814)</f>
        <v>45920.782106481398</v>
      </c>
      <c r="C407" s="1" t="str">
        <f ca="1">IFERROR(__xludf.DUMMYFUNCTION("""COMPUTED_VALUE"""),"Lý Anh Thắng")</f>
        <v>Lý Anh Thắng</v>
      </c>
      <c r="D407" s="1" t="str">
        <f ca="1">IFERROR(__xludf.DUMMYFUNCTION("""COMPUTED_VALUE"""),"11/09/1980")</f>
        <v>11/09/1980</v>
      </c>
      <c r="E407" s="1" t="str">
        <f ca="1">IFERROR(__xludf.DUMMYFUNCTION("""COMPUTED_VALUE"""),"Female")</f>
        <v>Female</v>
      </c>
      <c r="F407" s="1" t="str">
        <f ca="1">IFERROR(__xludf.DUMMYFUNCTION("""COMPUTED_VALUE"""),"Vietnam")</f>
        <v>Vietnam</v>
      </c>
      <c r="G407" s="1" t="str">
        <f ca="1">IFERROR(__xludf.DUMMYFUNCTION("""COMPUTED_VALUE"""),"0833462510")</f>
        <v>0833462510</v>
      </c>
      <c r="H407" s="1" t="str">
        <f ca="1">IFERROR(__xludf.DUMMYFUNCTION("""COMPUTED_VALUE"""),"lyanhthang@gmail.com")</f>
        <v>lyanhthang@gmail.com</v>
      </c>
      <c r="I407" s="1" t="str">
        <f ca="1">IFERROR(__xludf.DUMMYFUNCTION("""COMPUTED_VALUE"""),"92 Nguyen Trai, Dong Da, Ha Noi, Viet Nam")</f>
        <v>92 Nguyen Trai, Dong Da, Ha Noi, Viet Nam</v>
      </c>
      <c r="J407" s="1" t="str">
        <f ca="1">IFERROR(__xludf.DUMMYFUNCTION("""COMPUTED_VALUE"""),"087357237683")</f>
        <v>087357237683</v>
      </c>
      <c r="K407" s="3" t="str">
        <f ca="1">IFERROR(__xludf.DUMMYFUNCTION("""COMPUTED_VALUE"""),"https://drive.google.com/open?id=q8RZVQJmWcH2BBTPQi91")</f>
        <v>https://drive.google.com/open?id=q8RZVQJmWcH2BBTPQi91</v>
      </c>
      <c r="L407" s="3" t="str">
        <f ca="1">IFERROR(__xludf.DUMMYFUNCTION("""COMPUTED_VALUE"""),"https://drive.google.com/open?id=TDKdHgZ2Lp40sxGjbh5i")</f>
        <v>https://drive.google.com/open?id=TDKdHgZ2Lp40sxGjbh5i</v>
      </c>
      <c r="M407" s="1"/>
      <c r="N407" s="1"/>
      <c r="O407" s="1"/>
      <c r="P407" s="1" t="str">
        <f ca="1">IFERROR(__xludf.DUMMYFUNCTION("""COMPUTED_VALUE"""),"Freelancer")</f>
        <v>Freelancer</v>
      </c>
      <c r="Q407" s="1">
        <f ca="1">IFERROR(__xludf.DUMMYFUNCTION("""COMPUTED_VALUE"""),20000000)</f>
        <v>20000000</v>
      </c>
      <c r="R407" s="3" t="str">
        <f ca="1">IFERROR(__xludf.DUMMYFUNCTION("""COMPUTED_VALUE"""),"https://drive.google.com/open?id=NU9ffSETpphzGvh3OSyt")</f>
        <v>https://drive.google.com/open?id=NU9ffSETpphzGvh3OSyt</v>
      </c>
      <c r="S407" s="1">
        <f ca="1">IFERROR(__xludf.DUMMYFUNCTION("""COMPUTED_VALUE"""),60000000)</f>
        <v>60000000</v>
      </c>
      <c r="T407" s="1" t="str">
        <f ca="1">IFERROR(__xludf.DUMMYFUNCTION("""COMPUTED_VALUE"""),"Gold")</f>
        <v>Gold</v>
      </c>
      <c r="U407" s="1" t="str">
        <f ca="1">IFERROR(__xludf.DUMMYFUNCTION("""COMPUTED_VALUE"""),"Online")</f>
        <v>Online</v>
      </c>
    </row>
    <row r="408" spans="1:21" x14ac:dyDescent="0.25">
      <c r="A408" s="2" t="str">
        <f ca="1">IFERROR(__xludf.DUMMYFUNCTION("""COMPUTED_VALUE"""),"APP0407")</f>
        <v>APP0407</v>
      </c>
      <c r="B408" s="2">
        <f ca="1">IFERROR(__xludf.DUMMYFUNCTION("""COMPUTED_VALUE"""),45920.8567361111)</f>
        <v>45920.856736111098</v>
      </c>
      <c r="C408" s="1" t="str">
        <f ca="1">IFERROR(__xludf.DUMMYFUNCTION("""COMPUTED_VALUE"""),"Nguyễn Thị Thắng")</f>
        <v>Nguyễn Thị Thắng</v>
      </c>
      <c r="D408" s="1" t="str">
        <f ca="1">IFERROR(__xludf.DUMMYFUNCTION("""COMPUTED_VALUE"""),"11/11/1969")</f>
        <v>11/11/1969</v>
      </c>
      <c r="E408" s="1" t="str">
        <f ca="1">IFERROR(__xludf.DUMMYFUNCTION("""COMPUTED_VALUE"""),"Male")</f>
        <v>Male</v>
      </c>
      <c r="F408" s="1" t="str">
        <f ca="1">IFERROR(__xludf.DUMMYFUNCTION("""COMPUTED_VALUE"""),"Vietnam")</f>
        <v>Vietnam</v>
      </c>
      <c r="G408" s="1" t="str">
        <f ca="1">IFERROR(__xludf.DUMMYFUNCTION("""COMPUTED_VALUE"""),"0934728322")</f>
        <v>0934728322</v>
      </c>
      <c r="H408" s="1" t="str">
        <f ca="1">IFERROR(__xludf.DUMMYFUNCTION("""COMPUTED_VALUE"""),"nguyenthithang@gmail.com")</f>
        <v>nguyenthithang@gmail.com</v>
      </c>
      <c r="I408" s="1" t="str">
        <f ca="1">IFERROR(__xludf.DUMMYFUNCTION("""COMPUTED_VALUE"""),"59 Pham Van Dong, Quan 3, Da Nang, Viet Nam")</f>
        <v>59 Pham Van Dong, Quan 3, Da Nang, Viet Nam</v>
      </c>
      <c r="J408" s="1" t="str">
        <f ca="1">IFERROR(__xludf.DUMMYFUNCTION("""COMPUTED_VALUE"""),"084191003479")</f>
        <v>084191003479</v>
      </c>
      <c r="K408" s="3" t="str">
        <f ca="1">IFERROR(__xludf.DUMMYFUNCTION("""COMPUTED_VALUE"""),"https://drive.google.com/open?id=QVqMBtXVKXOWm9T5YLec")</f>
        <v>https://drive.google.com/open?id=QVqMBtXVKXOWm9T5YLec</v>
      </c>
      <c r="L408" s="3" t="str">
        <f ca="1">IFERROR(__xludf.DUMMYFUNCTION("""COMPUTED_VALUE"""),"https://drive.google.com/open?id=hrAArfvjoo9pqPbSXeJC")</f>
        <v>https://drive.google.com/open?id=hrAArfvjoo9pqPbSXeJC</v>
      </c>
      <c r="M408" s="1"/>
      <c r="N408" s="1"/>
      <c r="O408" s="1"/>
      <c r="P408" s="1" t="str">
        <f ca="1">IFERROR(__xludf.DUMMYFUNCTION("""COMPUTED_VALUE"""),"Part-time")</f>
        <v>Part-time</v>
      </c>
      <c r="Q408" s="1">
        <f ca="1">IFERROR(__xludf.DUMMYFUNCTION("""COMPUTED_VALUE"""),20000000)</f>
        <v>20000000</v>
      </c>
      <c r="R408" s="3" t="str">
        <f ca="1">IFERROR(__xludf.DUMMYFUNCTION("""COMPUTED_VALUE"""),"https://drive.google.com/open?id=tWPuYTB3RUgZ2ks4mVre")</f>
        <v>https://drive.google.com/open?id=tWPuYTB3RUgZ2ks4mVre</v>
      </c>
      <c r="S408" s="1">
        <f ca="1">IFERROR(__xludf.DUMMYFUNCTION("""COMPUTED_VALUE"""),100000000)</f>
        <v>100000000</v>
      </c>
      <c r="T408" s="1" t="str">
        <f ca="1">IFERROR(__xludf.DUMMYFUNCTION("""COMPUTED_VALUE"""),"Classic")</f>
        <v>Classic</v>
      </c>
      <c r="U408" s="1" t="str">
        <f ca="1">IFERROR(__xludf.DUMMYFUNCTION("""COMPUTED_VALUE"""),"Branch")</f>
        <v>Branch</v>
      </c>
    </row>
    <row r="409" spans="1:21" x14ac:dyDescent="0.25">
      <c r="A409" s="2" t="str">
        <f ca="1">IFERROR(__xludf.DUMMYFUNCTION("""COMPUTED_VALUE"""),"APP0408")</f>
        <v>APP0408</v>
      </c>
      <c r="B409" s="2">
        <f ca="1">IFERROR(__xludf.DUMMYFUNCTION("""COMPUTED_VALUE"""),45920.8616203703)</f>
        <v>45920.861620370299</v>
      </c>
      <c r="C409" s="1" t="str">
        <f ca="1">IFERROR(__xludf.DUMMYFUNCTION("""COMPUTED_VALUE"""),"Huỳnh Minh Quỳnh")</f>
        <v>Huỳnh Minh Quỳnh</v>
      </c>
      <c r="D409" s="1" t="str">
        <f ca="1">IFERROR(__xludf.DUMMYFUNCTION("""COMPUTED_VALUE"""),"02/08/1990")</f>
        <v>02/08/1990</v>
      </c>
      <c r="E409" s="1" t="str">
        <f ca="1">IFERROR(__xludf.DUMMYFUNCTION("""COMPUTED_VALUE"""),"Female")</f>
        <v>Female</v>
      </c>
      <c r="F409" s="1" t="str">
        <f ca="1">IFERROR(__xludf.DUMMYFUNCTION("""COMPUTED_VALUE"""),"Vietnam")</f>
        <v>Vietnam</v>
      </c>
      <c r="G409" s="1" t="str">
        <f ca="1">IFERROR(__xludf.DUMMYFUNCTION("""COMPUTED_VALUE"""),"0859316580")</f>
        <v>0859316580</v>
      </c>
      <c r="H409" s="1" t="str">
        <f ca="1">IFERROR(__xludf.DUMMYFUNCTION("""COMPUTED_VALUE"""),"huynhminhquynh@gmail.com")</f>
        <v>huynhminhquynh@gmail.com</v>
      </c>
      <c r="I409" s="1" t="str">
        <f ca="1">IFERROR(__xludf.DUMMYFUNCTION("""COMPUTED_VALUE"""),"87 Tran Hung Dao, Dong Da, Da Nang, Viet Nam")</f>
        <v>87 Tran Hung Dao, Dong Da, Da Nang, Viet Nam</v>
      </c>
      <c r="J409" s="1" t="str">
        <f ca="1">IFERROR(__xludf.DUMMYFUNCTION("""COMPUTED_VALUE"""),"093025257617")</f>
        <v>093025257617</v>
      </c>
      <c r="K409" s="3" t="str">
        <f ca="1">IFERROR(__xludf.DUMMYFUNCTION("""COMPUTED_VALUE"""),"https://drive.google.com/open?id=NgvgeIXVkIOG8H4BiC9p")</f>
        <v>https://drive.google.com/open?id=NgvgeIXVkIOG8H4BiC9p</v>
      </c>
      <c r="L409" s="3" t="str">
        <f ca="1">IFERROR(__xludf.DUMMYFUNCTION("""COMPUTED_VALUE"""),"https://drive.google.com/open?id=PkQbGIcFfOC13NA1Rv6m")</f>
        <v>https://drive.google.com/open?id=PkQbGIcFfOC13NA1Rv6m</v>
      </c>
      <c r="M409" s="1"/>
      <c r="N409" s="1"/>
      <c r="O409" s="1"/>
      <c r="P409" s="1" t="str">
        <f ca="1">IFERROR(__xludf.DUMMYFUNCTION("""COMPUTED_VALUE"""),"Contract")</f>
        <v>Contract</v>
      </c>
      <c r="Q409" s="1">
        <f ca="1">IFERROR(__xludf.DUMMYFUNCTION("""COMPUTED_VALUE"""),20000000)</f>
        <v>20000000</v>
      </c>
      <c r="R409" s="3" t="str">
        <f ca="1">IFERROR(__xludf.DUMMYFUNCTION("""COMPUTED_VALUE"""),"https://drive.google.com/open?id=dUuvOlfUUkk3zUWjRCzS")</f>
        <v>https://drive.google.com/open?id=dUuvOlfUUkk3zUWjRCzS</v>
      </c>
      <c r="S409" s="1">
        <f ca="1">IFERROR(__xludf.DUMMYFUNCTION("""COMPUTED_VALUE"""),100000000)</f>
        <v>100000000</v>
      </c>
      <c r="T409" s="1" t="str">
        <f ca="1">IFERROR(__xludf.DUMMYFUNCTION("""COMPUTED_VALUE"""),"Platinum")</f>
        <v>Platinum</v>
      </c>
      <c r="U409" s="1" t="str">
        <f ca="1">IFERROR(__xludf.DUMMYFUNCTION("""COMPUTED_VALUE"""),"Partner")</f>
        <v>Partner</v>
      </c>
    </row>
    <row r="410" spans="1:21" x14ac:dyDescent="0.25">
      <c r="A410" s="2" t="str">
        <f ca="1">IFERROR(__xludf.DUMMYFUNCTION("""COMPUTED_VALUE"""),"APP0409")</f>
        <v>APP0409</v>
      </c>
      <c r="B410" s="2">
        <f ca="1">IFERROR(__xludf.DUMMYFUNCTION("""COMPUTED_VALUE"""),45920.861875)</f>
        <v>45920.861875000002</v>
      </c>
      <c r="C410" s="1" t="str">
        <f ca="1">IFERROR(__xludf.DUMMYFUNCTION("""COMPUTED_VALUE"""),"Đặng Thị Bình")</f>
        <v>Đặng Thị Bình</v>
      </c>
      <c r="D410" s="1" t="str">
        <f ca="1">IFERROR(__xludf.DUMMYFUNCTION("""COMPUTED_VALUE"""),"18/08/1987")</f>
        <v>18/08/1987</v>
      </c>
      <c r="E410" s="1" t="str">
        <f ca="1">IFERROR(__xludf.DUMMYFUNCTION("""COMPUTED_VALUE"""),"Male")</f>
        <v>Male</v>
      </c>
      <c r="F410" s="1" t="str">
        <f ca="1">IFERROR(__xludf.DUMMYFUNCTION("""COMPUTED_VALUE"""),"Vietnam")</f>
        <v>Vietnam</v>
      </c>
      <c r="G410" s="1" t="str">
        <f ca="1">IFERROR(__xludf.DUMMYFUNCTION("""COMPUTED_VALUE"""),"0797622370")</f>
        <v>0797622370</v>
      </c>
      <c r="H410" s="1" t="str">
        <f ca="1">IFERROR(__xludf.DUMMYFUNCTION("""COMPUTED_VALUE"""),"dangthibinh@gmail.com")</f>
        <v>dangthibinh@gmail.com</v>
      </c>
      <c r="I410" s="1" t="str">
        <f ca="1">IFERROR(__xludf.DUMMYFUNCTION("""COMPUTED_VALUE"""),"140 Pham Van Dong, Dong Da, Da Nang, Viet Nam")</f>
        <v>140 Pham Van Dong, Dong Da, Da Nang, Viet Nam</v>
      </c>
      <c r="J410" s="1" t="str">
        <f ca="1">IFERROR(__xludf.DUMMYFUNCTION("""COMPUTED_VALUE"""),"072031174196")</f>
        <v>072031174196</v>
      </c>
      <c r="K410" s="3" t="str">
        <f ca="1">IFERROR(__xludf.DUMMYFUNCTION("""COMPUTED_VALUE"""),"https://drive.google.com/open?id=rLxguIsUrt2OdqsoGNGO")</f>
        <v>https://drive.google.com/open?id=rLxguIsUrt2OdqsoGNGO</v>
      </c>
      <c r="L410" s="3" t="str">
        <f ca="1">IFERROR(__xludf.DUMMYFUNCTION("""COMPUTED_VALUE"""),"https://drive.google.com/open?id=K1WwmbIGrBbC0o4SLYhu")</f>
        <v>https://drive.google.com/open?id=K1WwmbIGrBbC0o4SLYhu</v>
      </c>
      <c r="M410" s="1"/>
      <c r="N410" s="1"/>
      <c r="O410" s="1"/>
      <c r="P410" s="1" t="str">
        <f ca="1">IFERROR(__xludf.DUMMYFUNCTION("""COMPUTED_VALUE"""),"Part-time")</f>
        <v>Part-time</v>
      </c>
      <c r="Q410" s="1">
        <f ca="1">IFERROR(__xludf.DUMMYFUNCTION("""COMPUTED_VALUE"""),50000000)</f>
        <v>50000000</v>
      </c>
      <c r="R410" s="3" t="str">
        <f ca="1">IFERROR(__xludf.DUMMYFUNCTION("""COMPUTED_VALUE"""),"https://drive.google.com/open?id=SkG3LK7W2Io6k3f8Y8SY")</f>
        <v>https://drive.google.com/open?id=SkG3LK7W2Io6k3f8Y8SY</v>
      </c>
      <c r="S410" s="1">
        <f ca="1">IFERROR(__xludf.DUMMYFUNCTION("""COMPUTED_VALUE"""),250000000)</f>
        <v>250000000</v>
      </c>
      <c r="T410" s="1" t="str">
        <f ca="1">IFERROR(__xludf.DUMMYFUNCTION("""COMPUTED_VALUE"""),"Classic")</f>
        <v>Classic</v>
      </c>
      <c r="U410" s="1" t="str">
        <f ca="1">IFERROR(__xludf.DUMMYFUNCTION("""COMPUTED_VALUE"""),"Online")</f>
        <v>Online</v>
      </c>
    </row>
    <row r="411" spans="1:21" x14ac:dyDescent="0.25">
      <c r="A411" s="2" t="str">
        <f ca="1">IFERROR(__xludf.DUMMYFUNCTION("""COMPUTED_VALUE"""),"APP0410")</f>
        <v>APP0410</v>
      </c>
      <c r="B411" s="2">
        <f ca="1">IFERROR(__xludf.DUMMYFUNCTION("""COMPUTED_VALUE"""),45921.0343981481)</f>
        <v>45921.034398148098</v>
      </c>
      <c r="C411" s="1" t="str">
        <f ca="1">IFERROR(__xludf.DUMMYFUNCTION("""COMPUTED_VALUE"""),"Bùi Văn Hà")</f>
        <v>Bùi Văn Hà</v>
      </c>
      <c r="D411" s="1" t="str">
        <f ca="1">IFERROR(__xludf.DUMMYFUNCTION("""COMPUTED_VALUE"""),"01/06/1966")</f>
        <v>01/06/1966</v>
      </c>
      <c r="E411" s="1" t="str">
        <f ca="1">IFERROR(__xludf.DUMMYFUNCTION("""COMPUTED_VALUE"""),"Male")</f>
        <v>Male</v>
      </c>
      <c r="F411" s="1" t="str">
        <f ca="1">IFERROR(__xludf.DUMMYFUNCTION("""COMPUTED_VALUE"""),"Vietnam")</f>
        <v>Vietnam</v>
      </c>
      <c r="G411" s="1" t="str">
        <f ca="1">IFERROR(__xludf.DUMMYFUNCTION("""COMPUTED_VALUE"""),"0875314630")</f>
        <v>0875314630</v>
      </c>
      <c r="H411" s="1" t="str">
        <f ca="1">IFERROR(__xludf.DUMMYFUNCTION("""COMPUTED_VALUE"""),"buivanha@gmail.com")</f>
        <v>buivanha@gmail.com</v>
      </c>
      <c r="I411" s="1" t="str">
        <f ca="1">IFERROR(__xludf.DUMMYFUNCTION("""COMPUTED_VALUE"""),"171 Nguyen Hue, Dong Da, Hai Phong, Viet Nam")</f>
        <v>171 Nguyen Hue, Dong Da, Hai Phong, Viet Nam</v>
      </c>
      <c r="J411" s="1" t="str">
        <f ca="1">IFERROR(__xludf.DUMMYFUNCTION("""COMPUTED_VALUE"""),"043947458668")</f>
        <v>043947458668</v>
      </c>
      <c r="K411" s="3" t="str">
        <f ca="1">IFERROR(__xludf.DUMMYFUNCTION("""COMPUTED_VALUE"""),"https://drive.google.com/open?id=H7OuuMgPwiJOQTrcD9y9")</f>
        <v>https://drive.google.com/open?id=H7OuuMgPwiJOQTrcD9y9</v>
      </c>
      <c r="L411" s="3" t="str">
        <f ca="1">IFERROR(__xludf.DUMMYFUNCTION("""COMPUTED_VALUE"""),"https://drive.google.com/open?id=Wm3cDJYgtCjW3nO09m2G")</f>
        <v>https://drive.google.com/open?id=Wm3cDJYgtCjW3nO09m2G</v>
      </c>
      <c r="M411" s="1"/>
      <c r="N411" s="1"/>
      <c r="O411" s="1"/>
      <c r="P411" s="1" t="str">
        <f ca="1">IFERROR(__xludf.DUMMYFUNCTION("""COMPUTED_VALUE"""),"Full-time")</f>
        <v>Full-time</v>
      </c>
      <c r="Q411" s="1">
        <f ca="1">IFERROR(__xludf.DUMMYFUNCTION("""COMPUTED_VALUE"""),8000000)</f>
        <v>8000000</v>
      </c>
      <c r="R411" s="3" t="str">
        <f ca="1">IFERROR(__xludf.DUMMYFUNCTION("""COMPUTED_VALUE"""),"https://drive.google.com/open?id=ixHhMmfFsNhdJLlrepfG")</f>
        <v>https://drive.google.com/open?id=ixHhMmfFsNhdJLlrepfG</v>
      </c>
      <c r="S411" s="1">
        <f ca="1">IFERROR(__xludf.DUMMYFUNCTION("""COMPUTED_VALUE"""),24000000)</f>
        <v>24000000</v>
      </c>
      <c r="T411" s="1" t="str">
        <f ca="1">IFERROR(__xludf.DUMMYFUNCTION("""COMPUTED_VALUE"""),"Platinum")</f>
        <v>Platinum</v>
      </c>
      <c r="U411" s="1" t="str">
        <f ca="1">IFERROR(__xludf.DUMMYFUNCTION("""COMPUTED_VALUE"""),"Online")</f>
        <v>Online</v>
      </c>
    </row>
    <row r="412" spans="1:21" x14ac:dyDescent="0.25">
      <c r="A412" s="2" t="str">
        <f ca="1">IFERROR(__xludf.DUMMYFUNCTION("""COMPUTED_VALUE"""),"APP0411")</f>
        <v>APP0411</v>
      </c>
      <c r="B412" s="2">
        <f ca="1">IFERROR(__xludf.DUMMYFUNCTION("""COMPUTED_VALUE"""),45921.1541898148)</f>
        <v>45921.154189814799</v>
      </c>
      <c r="C412" s="1" t="str">
        <f ca="1">IFERROR(__xludf.DUMMYFUNCTION("""COMPUTED_VALUE"""),"Lý Ngọc Quân")</f>
        <v>Lý Ngọc Quân</v>
      </c>
      <c r="D412" s="1" t="str">
        <f ca="1">IFERROR(__xludf.DUMMYFUNCTION("""COMPUTED_VALUE"""),"11/03/1985")</f>
        <v>11/03/1985</v>
      </c>
      <c r="E412" s="1" t="str">
        <f ca="1">IFERROR(__xludf.DUMMYFUNCTION("""COMPUTED_VALUE"""),"Female")</f>
        <v>Female</v>
      </c>
      <c r="F412" s="1" t="str">
        <f ca="1">IFERROR(__xludf.DUMMYFUNCTION("""COMPUTED_VALUE"""),"Vietnam")</f>
        <v>Vietnam</v>
      </c>
      <c r="G412" s="1" t="str">
        <f ca="1">IFERROR(__xludf.DUMMYFUNCTION("""COMPUTED_VALUE"""),"0923837258")</f>
        <v>0923837258</v>
      </c>
      <c r="H412" s="1" t="str">
        <f ca="1">IFERROR(__xludf.DUMMYFUNCTION("""COMPUTED_VALUE"""),"lyngocquan@gmail.com")</f>
        <v>lyngocquan@gmail.com</v>
      </c>
      <c r="I412" s="1" t="str">
        <f ca="1">IFERROR(__xludf.DUMMYFUNCTION("""COMPUTED_VALUE"""),"85 Nguyen Trai, Hoan Kiem, Da Nang, Viet Nam")</f>
        <v>85 Nguyen Trai, Hoan Kiem, Da Nang, Viet Nam</v>
      </c>
      <c r="J412" s="1" t="str">
        <f ca="1">IFERROR(__xludf.DUMMYFUNCTION("""COMPUTED_VALUE"""),"085355099548")</f>
        <v>085355099548</v>
      </c>
      <c r="K412" s="3" t="str">
        <f ca="1">IFERROR(__xludf.DUMMYFUNCTION("""COMPUTED_VALUE"""),"https://drive.google.com/open?id=zaW54x8qkj3dvY8kEPsO")</f>
        <v>https://drive.google.com/open?id=zaW54x8qkj3dvY8kEPsO</v>
      </c>
      <c r="L412" s="3" t="str">
        <f ca="1">IFERROR(__xludf.DUMMYFUNCTION("""COMPUTED_VALUE"""),"https://drive.google.com/open?id=GhsMzfGWtRVT767prL64")</f>
        <v>https://drive.google.com/open?id=GhsMzfGWtRVT767prL64</v>
      </c>
      <c r="M412" s="1"/>
      <c r="N412" s="1"/>
      <c r="O412" s="1"/>
      <c r="P412" s="1" t="str">
        <f ca="1">IFERROR(__xludf.DUMMYFUNCTION("""COMPUTED_VALUE"""),"Part-time")</f>
        <v>Part-time</v>
      </c>
      <c r="Q412" s="1">
        <f ca="1">IFERROR(__xludf.DUMMYFUNCTION("""COMPUTED_VALUE"""),5000000)</f>
        <v>5000000</v>
      </c>
      <c r="R412" s="3" t="str">
        <f ca="1">IFERROR(__xludf.DUMMYFUNCTION("""COMPUTED_VALUE"""),"https://drive.google.com/open?id=bvSrDc2L8HzXK4uBI80d")</f>
        <v>https://drive.google.com/open?id=bvSrDc2L8HzXK4uBI80d</v>
      </c>
      <c r="S412" s="1">
        <f ca="1">IFERROR(__xludf.DUMMYFUNCTION("""COMPUTED_VALUE"""),10000000)</f>
        <v>10000000</v>
      </c>
      <c r="T412" s="1" t="str">
        <f ca="1">IFERROR(__xludf.DUMMYFUNCTION("""COMPUTED_VALUE"""),"Classic")</f>
        <v>Classic</v>
      </c>
      <c r="U412" s="1" t="str">
        <f ca="1">IFERROR(__xludf.DUMMYFUNCTION("""COMPUTED_VALUE"""),"Branch")</f>
        <v>Branch</v>
      </c>
    </row>
    <row r="413" spans="1:21" x14ac:dyDescent="0.25">
      <c r="A413" s="2" t="str">
        <f ca="1">IFERROR(__xludf.DUMMYFUNCTION("""COMPUTED_VALUE"""),"APP0412")</f>
        <v>APP0412</v>
      </c>
      <c r="B413" s="2">
        <f ca="1">IFERROR(__xludf.DUMMYFUNCTION("""COMPUTED_VALUE"""),45921.2393287037)</f>
        <v>45921.239328703698</v>
      </c>
      <c r="C413" s="1" t="str">
        <f ca="1">IFERROR(__xludf.DUMMYFUNCTION("""COMPUTED_VALUE"""),"Jennifer Anderson")</f>
        <v>Jennifer Anderson</v>
      </c>
      <c r="D413" s="1" t="str">
        <f ca="1">IFERROR(__xludf.DUMMYFUNCTION("""COMPUTED_VALUE"""),"21/02/1973")</f>
        <v>21/02/1973</v>
      </c>
      <c r="E413" s="1" t="str">
        <f ca="1">IFERROR(__xludf.DUMMYFUNCTION("""COMPUTED_VALUE"""),"Female")</f>
        <v>Female</v>
      </c>
      <c r="F413" s="1" t="str">
        <f ca="1">IFERROR(__xludf.DUMMYFUNCTION("""COMPUTED_VALUE"""),"Other")</f>
        <v>Other</v>
      </c>
      <c r="G413" s="1" t="str">
        <f ca="1">IFERROR(__xludf.DUMMYFUNCTION("""COMPUTED_VALUE"""),"+49 5305475473")</f>
        <v>+49 5305475473</v>
      </c>
      <c r="H413" s="1" t="str">
        <f ca="1">IFERROR(__xludf.DUMMYFUNCTION("""COMPUTED_VALUE"""),"jenniferanderson@gmail.com")</f>
        <v>jenniferanderson@gmail.com</v>
      </c>
      <c r="I413" s="1" t="str">
        <f ca="1">IFERROR(__xludf.DUMMYFUNCTION("""COMPUTED_VALUE"""),"19986 Anita Parkways, Murphyfort, VT 44909")</f>
        <v>19986 Anita Parkways, Murphyfort, VT 44909</v>
      </c>
      <c r="J413" s="1"/>
      <c r="K413" s="1"/>
      <c r="L413" s="1"/>
      <c r="M413" s="1" t="str">
        <f ca="1">IFERROR(__xludf.DUMMYFUNCTION("""COMPUTED_VALUE"""),"HD387434")</f>
        <v>HD387434</v>
      </c>
      <c r="N413" s="3" t="str">
        <f ca="1">IFERROR(__xludf.DUMMYFUNCTION("""COMPUTED_VALUE"""),"https://drive.google.com/open?id=wUo0YSMYTtxEpFxqIINM")</f>
        <v>https://drive.google.com/open?id=wUo0YSMYTtxEpFxqIINM</v>
      </c>
      <c r="O413" s="3" t="str">
        <f ca="1">IFERROR(__xludf.DUMMYFUNCTION("""COMPUTED_VALUE"""),"https://drive.google.com/open?id=LfsGGbktVMX5Y8c4Qw2l")</f>
        <v>https://drive.google.com/open?id=LfsGGbktVMX5Y8c4Qw2l</v>
      </c>
      <c r="P413" s="1" t="str">
        <f ca="1">IFERROR(__xludf.DUMMYFUNCTION("""COMPUTED_VALUE"""),"Part-time")</f>
        <v>Part-time</v>
      </c>
      <c r="Q413" s="1">
        <f ca="1">IFERROR(__xludf.DUMMYFUNCTION("""COMPUTED_VALUE"""),8000000)</f>
        <v>8000000</v>
      </c>
      <c r="R413" s="3" t="str">
        <f ca="1">IFERROR(__xludf.DUMMYFUNCTION("""COMPUTED_VALUE"""),"https://drive.google.com/open?id=IJX7g9BlWkLFnXmKbKvY")</f>
        <v>https://drive.google.com/open?id=IJX7g9BlWkLFnXmKbKvY</v>
      </c>
      <c r="S413" s="1">
        <f ca="1">IFERROR(__xludf.DUMMYFUNCTION("""COMPUTED_VALUE"""),40000000)</f>
        <v>40000000</v>
      </c>
      <c r="T413" s="1" t="str">
        <f ca="1">IFERROR(__xludf.DUMMYFUNCTION("""COMPUTED_VALUE"""),"Gold")</f>
        <v>Gold</v>
      </c>
      <c r="U413" s="1" t="str">
        <f ca="1">IFERROR(__xludf.DUMMYFUNCTION("""COMPUTED_VALUE"""),"Partner")</f>
        <v>Partner</v>
      </c>
    </row>
    <row r="414" spans="1:21" x14ac:dyDescent="0.25">
      <c r="A414" s="2" t="str">
        <f ca="1">IFERROR(__xludf.DUMMYFUNCTION("""COMPUTED_VALUE"""),"APP0413")</f>
        <v>APP0413</v>
      </c>
      <c r="B414" s="2">
        <f ca="1">IFERROR(__xludf.DUMMYFUNCTION("""COMPUTED_VALUE"""),45921.2853935185)</f>
        <v>45921.285393518498</v>
      </c>
      <c r="C414" s="1" t="str">
        <f ca="1">IFERROR(__xludf.DUMMYFUNCTION("""COMPUTED_VALUE"""),"Samuel Rojas")</f>
        <v>Samuel Rojas</v>
      </c>
      <c r="D414" s="1" t="str">
        <f ca="1">IFERROR(__xludf.DUMMYFUNCTION("""COMPUTED_VALUE"""),"18/07/1981")</f>
        <v>18/07/1981</v>
      </c>
      <c r="E414" s="1" t="str">
        <f ca="1">IFERROR(__xludf.DUMMYFUNCTION("""COMPUTED_VALUE"""),"Male")</f>
        <v>Male</v>
      </c>
      <c r="F414" s="1" t="str">
        <f ca="1">IFERROR(__xludf.DUMMYFUNCTION("""COMPUTED_VALUE"""),"Other")</f>
        <v>Other</v>
      </c>
      <c r="G414" s="1" t="str">
        <f ca="1">IFERROR(__xludf.DUMMYFUNCTION("""COMPUTED_VALUE"""),"+1 5973843317")</f>
        <v>+1 5973843317</v>
      </c>
      <c r="H414" s="1" t="str">
        <f ca="1">IFERROR(__xludf.DUMMYFUNCTION("""COMPUTED_VALUE"""),"samuelrojas@gmail.com")</f>
        <v>samuelrojas@gmail.com</v>
      </c>
      <c r="I414" s="1" t="str">
        <f ca="1">IFERROR(__xludf.DUMMYFUNCTION("""COMPUTED_VALUE"""),"125 Jessica Glens Suite 688, Floydmouth, WY 72641")</f>
        <v>125 Jessica Glens Suite 688, Floydmouth, WY 72641</v>
      </c>
      <c r="J414" s="1"/>
      <c r="K414" s="1"/>
      <c r="L414" s="1"/>
      <c r="M414" s="1" t="str">
        <f ca="1">IFERROR(__xludf.DUMMYFUNCTION("""COMPUTED_VALUE"""),"Kr678812")</f>
        <v>Kr678812</v>
      </c>
      <c r="N414" s="3" t="str">
        <f ca="1">IFERROR(__xludf.DUMMYFUNCTION("""COMPUTED_VALUE"""),"https://drive.google.com/open?id=ennP95CIVQ3JDLxLjKBH")</f>
        <v>https://drive.google.com/open?id=ennP95CIVQ3JDLxLjKBH</v>
      </c>
      <c r="O414" s="3" t="str">
        <f ca="1">IFERROR(__xludf.DUMMYFUNCTION("""COMPUTED_VALUE"""),"https://drive.google.com/open?id=BLL0diCJ8cvyZhT61up4")</f>
        <v>https://drive.google.com/open?id=BLL0diCJ8cvyZhT61up4</v>
      </c>
      <c r="P414" s="1" t="str">
        <f ca="1">IFERROR(__xludf.DUMMYFUNCTION("""COMPUTED_VALUE"""),"Contract")</f>
        <v>Contract</v>
      </c>
      <c r="Q414" s="1">
        <f ca="1">IFERROR(__xludf.DUMMYFUNCTION("""COMPUTED_VALUE"""),8000000)</f>
        <v>8000000</v>
      </c>
      <c r="R414" s="3" t="str">
        <f ca="1">IFERROR(__xludf.DUMMYFUNCTION("""COMPUTED_VALUE"""),"https://drive.google.com/open?id=3bquXngTj6ZscTHDMlRV")</f>
        <v>https://drive.google.com/open?id=3bquXngTj6ZscTHDMlRV</v>
      </c>
      <c r="S414" s="1">
        <f ca="1">IFERROR(__xludf.DUMMYFUNCTION("""COMPUTED_VALUE"""),40000000)</f>
        <v>40000000</v>
      </c>
      <c r="T414" s="1" t="str">
        <f ca="1">IFERROR(__xludf.DUMMYFUNCTION("""COMPUTED_VALUE"""),"Classic")</f>
        <v>Classic</v>
      </c>
      <c r="U414" s="1" t="str">
        <f ca="1">IFERROR(__xludf.DUMMYFUNCTION("""COMPUTED_VALUE"""),"Branch")</f>
        <v>Branch</v>
      </c>
    </row>
    <row r="415" spans="1:21" x14ac:dyDescent="0.25">
      <c r="A415" s="2" t="str">
        <f ca="1">IFERROR(__xludf.DUMMYFUNCTION("""COMPUTED_VALUE"""),"APP0414")</f>
        <v>APP0414</v>
      </c>
      <c r="B415" s="2">
        <f ca="1">IFERROR(__xludf.DUMMYFUNCTION("""COMPUTED_VALUE"""),45921.5177083333)</f>
        <v>45921.517708333296</v>
      </c>
      <c r="C415" s="1" t="str">
        <f ca="1">IFERROR(__xludf.DUMMYFUNCTION("""COMPUTED_VALUE"""),"Dương Hữu Trung")</f>
        <v>Dương Hữu Trung</v>
      </c>
      <c r="D415" s="1" t="str">
        <f ca="1">IFERROR(__xludf.DUMMYFUNCTION("""COMPUTED_VALUE"""),"02/10/1977")</f>
        <v>02/10/1977</v>
      </c>
      <c r="E415" s="1" t="str">
        <f ca="1">IFERROR(__xludf.DUMMYFUNCTION("""COMPUTED_VALUE"""),"Female")</f>
        <v>Female</v>
      </c>
      <c r="F415" s="1" t="str">
        <f ca="1">IFERROR(__xludf.DUMMYFUNCTION("""COMPUTED_VALUE"""),"Vietnam")</f>
        <v>Vietnam</v>
      </c>
      <c r="G415" s="1" t="str">
        <f ca="1">IFERROR(__xludf.DUMMYFUNCTION("""COMPUTED_VALUE"""),"0948054988")</f>
        <v>0948054988</v>
      </c>
      <c r="H415" s="1" t="str">
        <f ca="1">IFERROR(__xludf.DUMMYFUNCTION("""COMPUTED_VALUE"""),"duonghuutrung@gmail.com")</f>
        <v>duonghuutrung@gmail.com</v>
      </c>
      <c r="I415" s="1" t="str">
        <f ca="1">IFERROR(__xludf.DUMMYFUNCTION("""COMPUTED_VALUE"""),"170 Ly Thuong Kiet, Quan 3, Can Tho, Viet Nam")</f>
        <v>170 Ly Thuong Kiet, Quan 3, Can Tho, Viet Nam</v>
      </c>
      <c r="J415" s="1" t="str">
        <f ca="1">IFERROR(__xludf.DUMMYFUNCTION("""COMPUTED_VALUE"""),"067766654518")</f>
        <v>067766654518</v>
      </c>
      <c r="K415" s="3" t="str">
        <f ca="1">IFERROR(__xludf.DUMMYFUNCTION("""COMPUTED_VALUE"""),"https://drive.google.com/open?id=wyWhjn7v5kQlyRwszI8g")</f>
        <v>https://drive.google.com/open?id=wyWhjn7v5kQlyRwszI8g</v>
      </c>
      <c r="L415" s="3" t="str">
        <f ca="1">IFERROR(__xludf.DUMMYFUNCTION("""COMPUTED_VALUE"""),"https://drive.google.com/open?id=NPUFfPasr2fWmdol1XjS")</f>
        <v>https://drive.google.com/open?id=NPUFfPasr2fWmdol1XjS</v>
      </c>
      <c r="M415" s="1"/>
      <c r="N415" s="1"/>
      <c r="O415" s="1"/>
      <c r="P415" s="1" t="str">
        <f ca="1">IFERROR(__xludf.DUMMYFUNCTION("""COMPUTED_VALUE"""),"Freelancer")</f>
        <v>Freelancer</v>
      </c>
      <c r="Q415" s="1">
        <f ca="1">IFERROR(__xludf.DUMMYFUNCTION("""COMPUTED_VALUE"""),5000000)</f>
        <v>5000000</v>
      </c>
      <c r="R415" s="3" t="str">
        <f ca="1">IFERROR(__xludf.DUMMYFUNCTION("""COMPUTED_VALUE"""),"https://drive.google.com/open?id=L9i0AYmAUyd8OsBdsEW3")</f>
        <v>https://drive.google.com/open?id=L9i0AYmAUyd8OsBdsEW3</v>
      </c>
      <c r="S415" s="1">
        <f ca="1">IFERROR(__xludf.DUMMYFUNCTION("""COMPUTED_VALUE"""),10000000)</f>
        <v>10000000</v>
      </c>
      <c r="T415" s="1" t="str">
        <f ca="1">IFERROR(__xludf.DUMMYFUNCTION("""COMPUTED_VALUE"""),"Classic")</f>
        <v>Classic</v>
      </c>
      <c r="U415" s="1" t="str">
        <f ca="1">IFERROR(__xludf.DUMMYFUNCTION("""COMPUTED_VALUE"""),"Online")</f>
        <v>Online</v>
      </c>
    </row>
    <row r="416" spans="1:21" x14ac:dyDescent="0.25">
      <c r="A416" s="2" t="str">
        <f ca="1">IFERROR(__xludf.DUMMYFUNCTION("""COMPUTED_VALUE"""),"APP0415")</f>
        <v>APP0415</v>
      </c>
      <c r="B416" s="2">
        <f ca="1">IFERROR(__xludf.DUMMYFUNCTION("""COMPUTED_VALUE"""),45921.5781481481)</f>
        <v>45921.578148148103</v>
      </c>
      <c r="C416" s="1" t="str">
        <f ca="1">IFERROR(__xludf.DUMMYFUNCTION("""COMPUTED_VALUE"""),"Dennis Contreras")</f>
        <v>Dennis Contreras</v>
      </c>
      <c r="D416" s="1" t="str">
        <f ca="1">IFERROR(__xludf.DUMMYFUNCTION("""COMPUTED_VALUE"""),"16/08/2000")</f>
        <v>16/08/2000</v>
      </c>
      <c r="E416" s="1" t="str">
        <f ca="1">IFERROR(__xludf.DUMMYFUNCTION("""COMPUTED_VALUE"""),"Male")</f>
        <v>Male</v>
      </c>
      <c r="F416" s="1" t="str">
        <f ca="1">IFERROR(__xludf.DUMMYFUNCTION("""COMPUTED_VALUE"""),"Other")</f>
        <v>Other</v>
      </c>
      <c r="G416" s="1" t="str">
        <f ca="1">IFERROR(__xludf.DUMMYFUNCTION("""COMPUTED_VALUE"""),"+81 7634147002")</f>
        <v>+81 7634147002</v>
      </c>
      <c r="H416" s="1" t="str">
        <f ca="1">IFERROR(__xludf.DUMMYFUNCTION("""COMPUTED_VALUE"""),"denniscontreras@gmail.com")</f>
        <v>denniscontreras@gmail.com</v>
      </c>
      <c r="I416" s="1" t="str">
        <f ca="1">IFERROR(__xludf.DUMMYFUNCTION("""COMPUTED_VALUE"""),"02005 Valerie Plains, Angelatown, SC 28631")</f>
        <v>02005 Valerie Plains, Angelatown, SC 28631</v>
      </c>
      <c r="J416" s="1"/>
      <c r="K416" s="1"/>
      <c r="L416" s="1"/>
      <c r="M416" s="1" t="str">
        <f ca="1">IFERROR(__xludf.DUMMYFUNCTION("""COMPUTED_VALUE"""),"ZM366364")</f>
        <v>ZM366364</v>
      </c>
      <c r="N416" s="3" t="str">
        <f ca="1">IFERROR(__xludf.DUMMYFUNCTION("""COMPUTED_VALUE"""),"https://drive.google.com/open?id=cdP9x0CldDQpBkUYIPUd")</f>
        <v>https://drive.google.com/open?id=cdP9x0CldDQpBkUYIPUd</v>
      </c>
      <c r="O416" s="3" t="str">
        <f ca="1">IFERROR(__xludf.DUMMYFUNCTION("""COMPUTED_VALUE"""),"https://drive.google.com/open?id=uI4Ky9ygDFTVUsTykJqP")</f>
        <v>https://drive.google.com/open?id=uI4Ky9ygDFTVUsTykJqP</v>
      </c>
      <c r="P416" s="1" t="str">
        <f ca="1">IFERROR(__xludf.DUMMYFUNCTION("""COMPUTED_VALUE"""),"Contract")</f>
        <v>Contract</v>
      </c>
      <c r="Q416" s="1">
        <f ca="1">IFERROR(__xludf.DUMMYFUNCTION("""COMPUTED_VALUE"""),12000000)</f>
        <v>12000000</v>
      </c>
      <c r="R416" s="3" t="str">
        <f ca="1">IFERROR(__xludf.DUMMYFUNCTION("""COMPUTED_VALUE"""),"https://drive.google.com/open?id=YMczAb4AedCyOWwUF0Wh")</f>
        <v>https://drive.google.com/open?id=YMczAb4AedCyOWwUF0Wh</v>
      </c>
      <c r="S416" s="1">
        <f ca="1">IFERROR(__xludf.DUMMYFUNCTION("""COMPUTED_VALUE"""),36000000)</f>
        <v>36000000</v>
      </c>
      <c r="T416" s="1" t="str">
        <f ca="1">IFERROR(__xludf.DUMMYFUNCTION("""COMPUTED_VALUE"""),"Classic")</f>
        <v>Classic</v>
      </c>
      <c r="U416" s="1" t="str">
        <f ca="1">IFERROR(__xludf.DUMMYFUNCTION("""COMPUTED_VALUE"""),"Partner")</f>
        <v>Partner</v>
      </c>
    </row>
    <row r="417" spans="1:21" x14ac:dyDescent="0.25">
      <c r="A417" s="2" t="str">
        <f ca="1">IFERROR(__xludf.DUMMYFUNCTION("""COMPUTED_VALUE"""),"APP0416")</f>
        <v>APP0416</v>
      </c>
      <c r="B417" s="2">
        <f ca="1">IFERROR(__xludf.DUMMYFUNCTION("""COMPUTED_VALUE"""),45921.6202662037)</f>
        <v>45921.620266203703</v>
      </c>
      <c r="C417" s="1" t="str">
        <f ca="1">IFERROR(__xludf.DUMMYFUNCTION("""COMPUTED_VALUE"""),"Phan Ngọc Bình")</f>
        <v>Phan Ngọc Bình</v>
      </c>
      <c r="D417" s="1" t="str">
        <f ca="1">IFERROR(__xludf.DUMMYFUNCTION("""COMPUTED_VALUE"""),"08/01/1975")</f>
        <v>08/01/1975</v>
      </c>
      <c r="E417" s="1" t="str">
        <f ca="1">IFERROR(__xludf.DUMMYFUNCTION("""COMPUTED_VALUE"""),"Female")</f>
        <v>Female</v>
      </c>
      <c r="F417" s="1" t="str">
        <f ca="1">IFERROR(__xludf.DUMMYFUNCTION("""COMPUTED_VALUE"""),"Vietnam")</f>
        <v>Vietnam</v>
      </c>
      <c r="G417" s="1" t="str">
        <f ca="1">IFERROR(__xludf.DUMMYFUNCTION("""COMPUTED_VALUE"""),"0748979705")</f>
        <v>0748979705</v>
      </c>
      <c r="H417" s="1" t="str">
        <f ca="1">IFERROR(__xludf.DUMMYFUNCTION("""COMPUTED_VALUE"""),"phanngocbinh@gmail.com")</f>
        <v>phanngocbinh@gmail.com</v>
      </c>
      <c r="I417" s="1" t="str">
        <f ca="1">IFERROR(__xludf.DUMMYFUNCTION("""COMPUTED_VALUE"""),"42 Nguyen Trai, Quan 1, TP Ho Chi Minh, Viet Nam")</f>
        <v>42 Nguyen Trai, Quan 1, TP Ho Chi Minh, Viet Nam</v>
      </c>
      <c r="J417" s="1" t="str">
        <f ca="1">IFERROR(__xludf.DUMMYFUNCTION("""COMPUTED_VALUE"""),"089777326537")</f>
        <v>089777326537</v>
      </c>
      <c r="K417" s="3" t="str">
        <f ca="1">IFERROR(__xludf.DUMMYFUNCTION("""COMPUTED_VALUE"""),"https://drive.google.com/open?id=1sEO7Yo2tTLi94W6LKsv")</f>
        <v>https://drive.google.com/open?id=1sEO7Yo2tTLi94W6LKsv</v>
      </c>
      <c r="L417" s="3" t="str">
        <f ca="1">IFERROR(__xludf.DUMMYFUNCTION("""COMPUTED_VALUE"""),"https://drive.google.com/open?id=VtccvxMeqIsLxRBvOMpv")</f>
        <v>https://drive.google.com/open?id=VtccvxMeqIsLxRBvOMpv</v>
      </c>
      <c r="M417" s="1"/>
      <c r="N417" s="1"/>
      <c r="O417" s="1"/>
      <c r="P417" s="1" t="str">
        <f ca="1">IFERROR(__xludf.DUMMYFUNCTION("""COMPUTED_VALUE"""),"Full-time")</f>
        <v>Full-time</v>
      </c>
      <c r="Q417" s="1">
        <f ca="1">IFERROR(__xludf.DUMMYFUNCTION("""COMPUTED_VALUE"""),50000000)</f>
        <v>50000000</v>
      </c>
      <c r="R417" s="3" t="str">
        <f ca="1">IFERROR(__xludf.DUMMYFUNCTION("""COMPUTED_VALUE"""),"https://drive.google.com/open?id=PMx6afHAUMqPTg4inMay")</f>
        <v>https://drive.google.com/open?id=PMx6afHAUMqPTg4inMay</v>
      </c>
      <c r="S417" s="1">
        <f ca="1">IFERROR(__xludf.DUMMYFUNCTION("""COMPUTED_VALUE"""),250000000)</f>
        <v>250000000</v>
      </c>
      <c r="T417" s="1" t="str">
        <f ca="1">IFERROR(__xludf.DUMMYFUNCTION("""COMPUTED_VALUE"""),"Platinum")</f>
        <v>Platinum</v>
      </c>
      <c r="U417" s="1" t="str">
        <f ca="1">IFERROR(__xludf.DUMMYFUNCTION("""COMPUTED_VALUE"""),"Partner")</f>
        <v>Partner</v>
      </c>
    </row>
    <row r="418" spans="1:21" x14ac:dyDescent="0.25">
      <c r="A418" s="2" t="str">
        <f ca="1">IFERROR(__xludf.DUMMYFUNCTION("""COMPUTED_VALUE"""),"APP0417")</f>
        <v>APP0417</v>
      </c>
      <c r="B418" s="2">
        <f ca="1">IFERROR(__xludf.DUMMYFUNCTION("""COMPUTED_VALUE"""),45921.6651504629)</f>
        <v>45921.665150462897</v>
      </c>
      <c r="C418" s="1" t="str">
        <f ca="1">IFERROR(__xludf.DUMMYFUNCTION("""COMPUTED_VALUE"""),"Huỳnh Ngọc Dũng")</f>
        <v>Huỳnh Ngọc Dũng</v>
      </c>
      <c r="D418" s="1" t="str">
        <f ca="1">IFERROR(__xludf.DUMMYFUNCTION("""COMPUTED_VALUE"""),"18/03/1997")</f>
        <v>18/03/1997</v>
      </c>
      <c r="E418" s="1" t="str">
        <f ca="1">IFERROR(__xludf.DUMMYFUNCTION("""COMPUTED_VALUE"""),"Male")</f>
        <v>Male</v>
      </c>
      <c r="F418" s="1" t="str">
        <f ca="1">IFERROR(__xludf.DUMMYFUNCTION("""COMPUTED_VALUE"""),"Vietnam")</f>
        <v>Vietnam</v>
      </c>
      <c r="G418" s="1" t="str">
        <f ca="1">IFERROR(__xludf.DUMMYFUNCTION("""COMPUTED_VALUE"""),"0891587048")</f>
        <v>0891587048</v>
      </c>
      <c r="H418" s="1" t="str">
        <f ca="1">IFERROR(__xludf.DUMMYFUNCTION("""COMPUTED_VALUE"""),"huynhngocdung@gmail.com")</f>
        <v>huynhngocdung@gmail.com</v>
      </c>
      <c r="I418" s="1" t="str">
        <f ca="1">IFERROR(__xludf.DUMMYFUNCTION("""COMPUTED_VALUE"""),"174 Pham Van Dong, Hai Chau, Hai Phong, Viet Nam")</f>
        <v>174 Pham Van Dong, Hai Chau, Hai Phong, Viet Nam</v>
      </c>
      <c r="J418" s="1" t="str">
        <f ca="1">IFERROR(__xludf.DUMMYFUNCTION("""COMPUTED_VALUE"""),"077191282788")</f>
        <v>077191282788</v>
      </c>
      <c r="K418" s="3" t="str">
        <f ca="1">IFERROR(__xludf.DUMMYFUNCTION("""COMPUTED_VALUE"""),"https://drive.google.com/open?id=B3ADqVsZQIq9nEg55VCC")</f>
        <v>https://drive.google.com/open?id=B3ADqVsZQIq9nEg55VCC</v>
      </c>
      <c r="L418" s="3" t="str">
        <f ca="1">IFERROR(__xludf.DUMMYFUNCTION("""COMPUTED_VALUE"""),"https://drive.google.com/open?id=vwLgkDgg19DJMPOFBexG")</f>
        <v>https://drive.google.com/open?id=vwLgkDgg19DJMPOFBexG</v>
      </c>
      <c r="M418" s="1"/>
      <c r="N418" s="1"/>
      <c r="O418" s="1"/>
      <c r="P418" s="1" t="str">
        <f ca="1">IFERROR(__xludf.DUMMYFUNCTION("""COMPUTED_VALUE"""),"Self-employed")</f>
        <v>Self-employed</v>
      </c>
      <c r="Q418" s="1">
        <f ca="1">IFERROR(__xludf.DUMMYFUNCTION("""COMPUTED_VALUE"""),5000000)</f>
        <v>5000000</v>
      </c>
      <c r="R418" s="3" t="str">
        <f ca="1">IFERROR(__xludf.DUMMYFUNCTION("""COMPUTED_VALUE"""),"https://drive.google.com/open?id=A85P5OqR13e3XFowS1gf")</f>
        <v>https://drive.google.com/open?id=A85P5OqR13e3XFowS1gf</v>
      </c>
      <c r="S418" s="1">
        <f ca="1">IFERROR(__xludf.DUMMYFUNCTION("""COMPUTED_VALUE"""),10000000)</f>
        <v>10000000</v>
      </c>
      <c r="T418" s="1" t="str">
        <f ca="1">IFERROR(__xludf.DUMMYFUNCTION("""COMPUTED_VALUE"""),"Platinum")</f>
        <v>Platinum</v>
      </c>
      <c r="U418" s="1" t="str">
        <f ca="1">IFERROR(__xludf.DUMMYFUNCTION("""COMPUTED_VALUE"""),"Partner")</f>
        <v>Partner</v>
      </c>
    </row>
    <row r="419" spans="1:21" x14ac:dyDescent="0.25">
      <c r="A419" s="2" t="str">
        <f ca="1">IFERROR(__xludf.DUMMYFUNCTION("""COMPUTED_VALUE"""),"APP0418")</f>
        <v>APP0418</v>
      </c>
      <c r="B419" s="2">
        <f ca="1">IFERROR(__xludf.DUMMYFUNCTION("""COMPUTED_VALUE"""),45921.6979050925)</f>
        <v>45921.6979050925</v>
      </c>
      <c r="C419" s="1" t="str">
        <f ca="1">IFERROR(__xludf.DUMMYFUNCTION("""COMPUTED_VALUE"""),"Hồ Đức Tú")</f>
        <v>Hồ Đức Tú</v>
      </c>
      <c r="D419" s="1" t="str">
        <f ca="1">IFERROR(__xludf.DUMMYFUNCTION("""COMPUTED_VALUE"""),"06/04/1993")</f>
        <v>06/04/1993</v>
      </c>
      <c r="E419" s="1" t="str">
        <f ca="1">IFERROR(__xludf.DUMMYFUNCTION("""COMPUTED_VALUE"""),"Male")</f>
        <v>Male</v>
      </c>
      <c r="F419" s="1" t="str">
        <f ca="1">IFERROR(__xludf.DUMMYFUNCTION("""COMPUTED_VALUE"""),"Vietnam")</f>
        <v>Vietnam</v>
      </c>
      <c r="G419" s="1" t="str">
        <f ca="1">IFERROR(__xludf.DUMMYFUNCTION("""COMPUTED_VALUE"""),"0842955267")</f>
        <v>0842955267</v>
      </c>
      <c r="H419" s="1" t="str">
        <f ca="1">IFERROR(__xludf.DUMMYFUNCTION("""COMPUTED_VALUE"""),"hoductu@gmail.com")</f>
        <v>hoductu@gmail.com</v>
      </c>
      <c r="I419" s="1" t="str">
        <f ca="1">IFERROR(__xludf.DUMMYFUNCTION("""COMPUTED_VALUE"""),"71 Tran Hung Dao, Hoan Kiem, Can Tho, Viet Nam")</f>
        <v>71 Tran Hung Dao, Hoan Kiem, Can Tho, Viet Nam</v>
      </c>
      <c r="J419" s="1" t="str">
        <f ca="1">IFERROR(__xludf.DUMMYFUNCTION("""COMPUTED_VALUE"""),"052986772524")</f>
        <v>052986772524</v>
      </c>
      <c r="K419" s="3" t="str">
        <f ca="1">IFERROR(__xludf.DUMMYFUNCTION("""COMPUTED_VALUE"""),"https://drive.google.com/open?id=fWAcXD8KvsbVjVMuvrov")</f>
        <v>https://drive.google.com/open?id=fWAcXD8KvsbVjVMuvrov</v>
      </c>
      <c r="L419" s="3" t="str">
        <f ca="1">IFERROR(__xludf.DUMMYFUNCTION("""COMPUTED_VALUE"""),"https://drive.google.com/open?id=fw6BJepnWr75jMgohMFy")</f>
        <v>https://drive.google.com/open?id=fw6BJepnWr75jMgohMFy</v>
      </c>
      <c r="M419" s="1"/>
      <c r="N419" s="1"/>
      <c r="O419" s="1"/>
      <c r="P419" s="1" t="str">
        <f ca="1">IFERROR(__xludf.DUMMYFUNCTION("""COMPUTED_VALUE"""),"Full-time")</f>
        <v>Full-time</v>
      </c>
      <c r="Q419" s="1">
        <f ca="1">IFERROR(__xludf.DUMMYFUNCTION("""COMPUTED_VALUE"""),5000000)</f>
        <v>5000000</v>
      </c>
      <c r="R419" s="3" t="str">
        <f ca="1">IFERROR(__xludf.DUMMYFUNCTION("""COMPUTED_VALUE"""),"https://drive.google.com/open?id=wWcYHFd1jUrzqmhpSMFI")</f>
        <v>https://drive.google.com/open?id=wWcYHFd1jUrzqmhpSMFI</v>
      </c>
      <c r="S419" s="1">
        <f ca="1">IFERROR(__xludf.DUMMYFUNCTION("""COMPUTED_VALUE"""),15000000)</f>
        <v>15000000</v>
      </c>
      <c r="T419" s="1" t="str">
        <f ca="1">IFERROR(__xludf.DUMMYFUNCTION("""COMPUTED_VALUE"""),"Platinum")</f>
        <v>Platinum</v>
      </c>
      <c r="U419" s="1" t="str">
        <f ca="1">IFERROR(__xludf.DUMMYFUNCTION("""COMPUTED_VALUE"""),"Branch")</f>
        <v>Branch</v>
      </c>
    </row>
    <row r="420" spans="1:21" x14ac:dyDescent="0.25">
      <c r="A420" s="2" t="str">
        <f ca="1">IFERROR(__xludf.DUMMYFUNCTION("""COMPUTED_VALUE"""),"APP0419")</f>
        <v>APP0419</v>
      </c>
      <c r="B420" s="2">
        <f ca="1">IFERROR(__xludf.DUMMYFUNCTION("""COMPUTED_VALUE"""),45921.7282523148)</f>
        <v>45921.728252314802</v>
      </c>
      <c r="C420" s="1" t="str">
        <f ca="1">IFERROR(__xludf.DUMMYFUNCTION("""COMPUTED_VALUE"""),"Đỗ Văn Bình")</f>
        <v>Đỗ Văn Bình</v>
      </c>
      <c r="D420" s="1" t="str">
        <f ca="1">IFERROR(__xludf.DUMMYFUNCTION("""COMPUTED_VALUE"""),"24/07/1984")</f>
        <v>24/07/1984</v>
      </c>
      <c r="E420" s="1" t="str">
        <f ca="1">IFERROR(__xludf.DUMMYFUNCTION("""COMPUTED_VALUE"""),"Female")</f>
        <v>Female</v>
      </c>
      <c r="F420" s="1" t="str">
        <f ca="1">IFERROR(__xludf.DUMMYFUNCTION("""COMPUTED_VALUE"""),"Vietnam")</f>
        <v>Vietnam</v>
      </c>
      <c r="G420" s="1" t="str">
        <f ca="1">IFERROR(__xludf.DUMMYFUNCTION("""COMPUTED_VALUE"""),"0791223417")</f>
        <v>0791223417</v>
      </c>
      <c r="H420" s="1" t="str">
        <f ca="1">IFERROR(__xludf.DUMMYFUNCTION("""COMPUTED_VALUE"""),"dovanbinh@gmail.com")</f>
        <v>dovanbinh@gmail.com</v>
      </c>
      <c r="I420" s="1" t="str">
        <f ca="1">IFERROR(__xludf.DUMMYFUNCTION("""COMPUTED_VALUE"""),"11 Nguyen Hue, Quan 3, Hai Phong, Viet Nam")</f>
        <v>11 Nguyen Hue, Quan 3, Hai Phong, Viet Nam</v>
      </c>
      <c r="J420" s="1" t="str">
        <f ca="1">IFERROR(__xludf.DUMMYFUNCTION("""COMPUTED_VALUE"""),"063876254399")</f>
        <v>063876254399</v>
      </c>
      <c r="K420" s="3" t="str">
        <f ca="1">IFERROR(__xludf.DUMMYFUNCTION("""COMPUTED_VALUE"""),"https://drive.google.com/open?id=pin3RbvfIV1kM8UAAwyg")</f>
        <v>https://drive.google.com/open?id=pin3RbvfIV1kM8UAAwyg</v>
      </c>
      <c r="L420" s="3" t="str">
        <f ca="1">IFERROR(__xludf.DUMMYFUNCTION("""COMPUTED_VALUE"""),"https://drive.google.com/open?id=GJylD8ArP9UEvZOH5qZm")</f>
        <v>https://drive.google.com/open?id=GJylD8ArP9UEvZOH5qZm</v>
      </c>
      <c r="M420" s="1"/>
      <c r="N420" s="1"/>
      <c r="O420" s="1"/>
      <c r="P420" s="1" t="str">
        <f ca="1">IFERROR(__xludf.DUMMYFUNCTION("""COMPUTED_VALUE"""),"Part-time")</f>
        <v>Part-time</v>
      </c>
      <c r="Q420" s="1">
        <f ca="1">IFERROR(__xludf.DUMMYFUNCTION("""COMPUTED_VALUE"""),50000000)</f>
        <v>50000000</v>
      </c>
      <c r="R420" s="3" t="str">
        <f ca="1">IFERROR(__xludf.DUMMYFUNCTION("""COMPUTED_VALUE"""),"https://drive.google.com/open?id=DXRO0wfRfxw0AIAR5ZtT")</f>
        <v>https://drive.google.com/open?id=DXRO0wfRfxw0AIAR5ZtT</v>
      </c>
      <c r="S420" s="1">
        <f ca="1">IFERROR(__xludf.DUMMYFUNCTION("""COMPUTED_VALUE"""),150000000)</f>
        <v>150000000</v>
      </c>
      <c r="T420" s="1" t="str">
        <f ca="1">IFERROR(__xludf.DUMMYFUNCTION("""COMPUTED_VALUE"""),"Classic")</f>
        <v>Classic</v>
      </c>
      <c r="U420" s="1" t="str">
        <f ca="1">IFERROR(__xludf.DUMMYFUNCTION("""COMPUTED_VALUE"""),"Branch")</f>
        <v>Branch</v>
      </c>
    </row>
    <row r="421" spans="1:21" x14ac:dyDescent="0.25">
      <c r="A421" s="2" t="str">
        <f ca="1">IFERROR(__xludf.DUMMYFUNCTION("""COMPUTED_VALUE"""),"APP0420")</f>
        <v>APP0420</v>
      </c>
      <c r="B421" s="2">
        <f ca="1">IFERROR(__xludf.DUMMYFUNCTION("""COMPUTED_VALUE"""),45921.7933564814)</f>
        <v>45921.793356481401</v>
      </c>
      <c r="C421" s="1" t="str">
        <f ca="1">IFERROR(__xludf.DUMMYFUNCTION("""COMPUTED_VALUE"""),"Đỗ Đức Tuấn")</f>
        <v>Đỗ Đức Tuấn</v>
      </c>
      <c r="D421" s="1" t="str">
        <f ca="1">IFERROR(__xludf.DUMMYFUNCTION("""COMPUTED_VALUE"""),"02/04/1989")</f>
        <v>02/04/1989</v>
      </c>
      <c r="E421" s="1" t="str">
        <f ca="1">IFERROR(__xludf.DUMMYFUNCTION("""COMPUTED_VALUE"""),"Female")</f>
        <v>Female</v>
      </c>
      <c r="F421" s="1" t="str">
        <f ca="1">IFERROR(__xludf.DUMMYFUNCTION("""COMPUTED_VALUE"""),"Vietnam")</f>
        <v>Vietnam</v>
      </c>
      <c r="G421" s="1" t="str">
        <f ca="1">IFERROR(__xludf.DUMMYFUNCTION("""COMPUTED_VALUE"""),"0963516447")</f>
        <v>0963516447</v>
      </c>
      <c r="H421" s="1" t="str">
        <f ca="1">IFERROR(__xludf.DUMMYFUNCTION("""COMPUTED_VALUE"""),"doductuan@gmail.com")</f>
        <v>doductuan@gmail.com</v>
      </c>
      <c r="I421" s="1" t="str">
        <f ca="1">IFERROR(__xludf.DUMMYFUNCTION("""COMPUTED_VALUE"""),"105 Nguyen Hue, Quan 1, Can Tho, Viet Nam")</f>
        <v>105 Nguyen Hue, Quan 1, Can Tho, Viet Nam</v>
      </c>
      <c r="J421" s="1" t="str">
        <f ca="1">IFERROR(__xludf.DUMMYFUNCTION("""COMPUTED_VALUE"""),"066429731088")</f>
        <v>066429731088</v>
      </c>
      <c r="K421" s="3" t="str">
        <f ca="1">IFERROR(__xludf.DUMMYFUNCTION("""COMPUTED_VALUE"""),"https://drive.google.com/open?id=lBDAb6Jo3qpI0rAkv9OK")</f>
        <v>https://drive.google.com/open?id=lBDAb6Jo3qpI0rAkv9OK</v>
      </c>
      <c r="L421" s="3" t="str">
        <f ca="1">IFERROR(__xludf.DUMMYFUNCTION("""COMPUTED_VALUE"""),"https://drive.google.com/open?id=f38CZLqHpmmgI9bBqaO1")</f>
        <v>https://drive.google.com/open?id=f38CZLqHpmmgI9bBqaO1</v>
      </c>
      <c r="M421" s="1"/>
      <c r="N421" s="1"/>
      <c r="O421" s="1"/>
      <c r="P421" s="1" t="str">
        <f ca="1">IFERROR(__xludf.DUMMYFUNCTION("""COMPUTED_VALUE"""),"Freelancer")</f>
        <v>Freelancer</v>
      </c>
      <c r="Q421" s="1">
        <f ca="1">IFERROR(__xludf.DUMMYFUNCTION("""COMPUTED_VALUE"""),5000000)</f>
        <v>5000000</v>
      </c>
      <c r="R421" s="3" t="str">
        <f ca="1">IFERROR(__xludf.DUMMYFUNCTION("""COMPUTED_VALUE"""),"https://drive.google.com/open?id=K6WfNU9Qf3zQBavWfiUc")</f>
        <v>https://drive.google.com/open?id=K6WfNU9Qf3zQBavWfiUc</v>
      </c>
      <c r="S421" s="1">
        <f ca="1">IFERROR(__xludf.DUMMYFUNCTION("""COMPUTED_VALUE"""),15000000)</f>
        <v>15000000</v>
      </c>
      <c r="T421" s="1" t="str">
        <f ca="1">IFERROR(__xludf.DUMMYFUNCTION("""COMPUTED_VALUE"""),"Gold")</f>
        <v>Gold</v>
      </c>
      <c r="U421" s="1" t="str">
        <f ca="1">IFERROR(__xludf.DUMMYFUNCTION("""COMPUTED_VALUE"""),"Partner")</f>
        <v>Partner</v>
      </c>
    </row>
    <row r="422" spans="1:21" x14ac:dyDescent="0.25">
      <c r="A422" s="2" t="str">
        <f ca="1">IFERROR(__xludf.DUMMYFUNCTION("""COMPUTED_VALUE"""),"APP0421")</f>
        <v>APP0421</v>
      </c>
      <c r="B422" s="2">
        <f ca="1">IFERROR(__xludf.DUMMYFUNCTION("""COMPUTED_VALUE"""),45921.8441319444)</f>
        <v>45921.844131944403</v>
      </c>
      <c r="C422" s="1" t="str">
        <f ca="1">IFERROR(__xludf.DUMMYFUNCTION("""COMPUTED_VALUE"""),"Võ Thị Khánh")</f>
        <v>Võ Thị Khánh</v>
      </c>
      <c r="D422" s="1" t="str">
        <f ca="1">IFERROR(__xludf.DUMMYFUNCTION("""COMPUTED_VALUE"""),"03/07/1979")</f>
        <v>03/07/1979</v>
      </c>
      <c r="E422" s="1" t="str">
        <f ca="1">IFERROR(__xludf.DUMMYFUNCTION("""COMPUTED_VALUE"""),"Male")</f>
        <v>Male</v>
      </c>
      <c r="F422" s="1" t="str">
        <f ca="1">IFERROR(__xludf.DUMMYFUNCTION("""COMPUTED_VALUE"""),"Vietnam")</f>
        <v>Vietnam</v>
      </c>
      <c r="G422" s="1" t="str">
        <f ca="1">IFERROR(__xludf.DUMMYFUNCTION("""COMPUTED_VALUE"""),"0899896864")</f>
        <v>0899896864</v>
      </c>
      <c r="H422" s="1" t="str">
        <f ca="1">IFERROR(__xludf.DUMMYFUNCTION("""COMPUTED_VALUE"""),"vothikhanh@gmail.com")</f>
        <v>vothikhanh@gmail.com</v>
      </c>
      <c r="I422" s="1" t="str">
        <f ca="1">IFERROR(__xludf.DUMMYFUNCTION("""COMPUTED_VALUE"""),"175 Nguyen Trai, Dong Da, Hai Phong, Viet Nam")</f>
        <v>175 Nguyen Trai, Dong Da, Hai Phong, Viet Nam</v>
      </c>
      <c r="J422" s="1" t="str">
        <f ca="1">IFERROR(__xludf.DUMMYFUNCTION("""COMPUTED_VALUE"""),"024614510277")</f>
        <v>024614510277</v>
      </c>
      <c r="K422" s="3" t="str">
        <f ca="1">IFERROR(__xludf.DUMMYFUNCTION("""COMPUTED_VALUE"""),"https://drive.google.com/open?id=cDJkR4dSAJBOAdo6SvXk")</f>
        <v>https://drive.google.com/open?id=cDJkR4dSAJBOAdo6SvXk</v>
      </c>
      <c r="L422" s="3" t="str">
        <f ca="1">IFERROR(__xludf.DUMMYFUNCTION("""COMPUTED_VALUE"""),"https://drive.google.com/open?id=Gk11jCVIRVsV74Vc1X9q")</f>
        <v>https://drive.google.com/open?id=Gk11jCVIRVsV74Vc1X9q</v>
      </c>
      <c r="M422" s="1"/>
      <c r="N422" s="1"/>
      <c r="O422" s="1"/>
      <c r="P422" s="1" t="str">
        <f ca="1">IFERROR(__xludf.DUMMYFUNCTION("""COMPUTED_VALUE"""),"Full-time")</f>
        <v>Full-time</v>
      </c>
      <c r="Q422" s="1">
        <f ca="1">IFERROR(__xludf.DUMMYFUNCTION("""COMPUTED_VALUE"""),50000000)</f>
        <v>50000000</v>
      </c>
      <c r="R422" s="3" t="str">
        <f ca="1">IFERROR(__xludf.DUMMYFUNCTION("""COMPUTED_VALUE"""),"https://drive.google.com/open?id=BCVf5gyC9XLlveAABiGR")</f>
        <v>https://drive.google.com/open?id=BCVf5gyC9XLlveAABiGR</v>
      </c>
      <c r="S422" s="1">
        <f ca="1">IFERROR(__xludf.DUMMYFUNCTION("""COMPUTED_VALUE"""),100000000)</f>
        <v>100000000</v>
      </c>
      <c r="T422" s="1" t="str">
        <f ca="1">IFERROR(__xludf.DUMMYFUNCTION("""COMPUTED_VALUE"""),"Classic")</f>
        <v>Classic</v>
      </c>
      <c r="U422" s="1" t="str">
        <f ca="1">IFERROR(__xludf.DUMMYFUNCTION("""COMPUTED_VALUE"""),"Online")</f>
        <v>Online</v>
      </c>
    </row>
    <row r="423" spans="1:21" x14ac:dyDescent="0.25">
      <c r="A423" s="2" t="str">
        <f ca="1">IFERROR(__xludf.DUMMYFUNCTION("""COMPUTED_VALUE"""),"APP0422")</f>
        <v>APP0422</v>
      </c>
      <c r="B423" s="2">
        <f ca="1">IFERROR(__xludf.DUMMYFUNCTION("""COMPUTED_VALUE"""),45921.8631828703)</f>
        <v>45921.8631828703</v>
      </c>
      <c r="C423" s="1" t="str">
        <f ca="1">IFERROR(__xludf.DUMMYFUNCTION("""COMPUTED_VALUE"""),"Nguyễn Thanh Trung")</f>
        <v>Nguyễn Thanh Trung</v>
      </c>
      <c r="D423" s="1" t="str">
        <f ca="1">IFERROR(__xludf.DUMMYFUNCTION("""COMPUTED_VALUE"""),"26/09/1976")</f>
        <v>26/09/1976</v>
      </c>
      <c r="E423" s="1" t="str">
        <f ca="1">IFERROR(__xludf.DUMMYFUNCTION("""COMPUTED_VALUE"""),"Female")</f>
        <v>Female</v>
      </c>
      <c r="F423" s="1" t="str">
        <f ca="1">IFERROR(__xludf.DUMMYFUNCTION("""COMPUTED_VALUE"""),"Vietnam")</f>
        <v>Vietnam</v>
      </c>
      <c r="G423" s="1" t="str">
        <f ca="1">IFERROR(__xludf.DUMMYFUNCTION("""COMPUTED_VALUE"""),"0796594090")</f>
        <v>0796594090</v>
      </c>
      <c r="H423" s="1" t="str">
        <f ca="1">IFERROR(__xludf.DUMMYFUNCTION("""COMPUTED_VALUE"""),"nguyenthanhtrung@gmail.com")</f>
        <v>nguyenthanhtrung@gmail.com</v>
      </c>
      <c r="I423" s="1" t="str">
        <f ca="1">IFERROR(__xludf.DUMMYFUNCTION("""COMPUTED_VALUE"""),"30 Tran Hung Dao, Quan 1, Hai Phong, Viet Nam")</f>
        <v>30 Tran Hung Dao, Quan 1, Hai Phong, Viet Nam</v>
      </c>
      <c r="J423" s="1" t="str">
        <f ca="1">IFERROR(__xludf.DUMMYFUNCTION("""COMPUTED_VALUE"""),"064304601613")</f>
        <v>064304601613</v>
      </c>
      <c r="K423" s="3" t="str">
        <f ca="1">IFERROR(__xludf.DUMMYFUNCTION("""COMPUTED_VALUE"""),"https://drive.google.com/open?id=3MEjb4JpEM3WFxm2v1l8")</f>
        <v>https://drive.google.com/open?id=3MEjb4JpEM3WFxm2v1l8</v>
      </c>
      <c r="L423" s="3" t="str">
        <f ca="1">IFERROR(__xludf.DUMMYFUNCTION("""COMPUTED_VALUE"""),"https://drive.google.com/open?id=G8ZwufriypYh4s5dr9xa")</f>
        <v>https://drive.google.com/open?id=G8ZwufriypYh4s5dr9xa</v>
      </c>
      <c r="M423" s="1"/>
      <c r="N423" s="1"/>
      <c r="O423" s="1"/>
      <c r="P423" s="1" t="str">
        <f ca="1">IFERROR(__xludf.DUMMYFUNCTION("""COMPUTED_VALUE"""),"Full-time")</f>
        <v>Full-time</v>
      </c>
      <c r="Q423" s="1">
        <f ca="1">IFERROR(__xludf.DUMMYFUNCTION("""COMPUTED_VALUE"""),5000000)</f>
        <v>5000000</v>
      </c>
      <c r="R423" s="3" t="str">
        <f ca="1">IFERROR(__xludf.DUMMYFUNCTION("""COMPUTED_VALUE"""),"https://drive.google.com/open?id=3wGjELKDpC85sr3MGAbE")</f>
        <v>https://drive.google.com/open?id=3wGjELKDpC85sr3MGAbE</v>
      </c>
      <c r="S423" s="1">
        <f ca="1">IFERROR(__xludf.DUMMYFUNCTION("""COMPUTED_VALUE"""),15000000)</f>
        <v>15000000</v>
      </c>
      <c r="T423" s="1" t="str">
        <f ca="1">IFERROR(__xludf.DUMMYFUNCTION("""COMPUTED_VALUE"""),"Platinum")</f>
        <v>Platinum</v>
      </c>
      <c r="U423" s="1" t="str">
        <f ca="1">IFERROR(__xludf.DUMMYFUNCTION("""COMPUTED_VALUE"""),"Branch")</f>
        <v>Branch</v>
      </c>
    </row>
    <row r="424" spans="1:21" x14ac:dyDescent="0.25">
      <c r="A424" s="2" t="str">
        <f ca="1">IFERROR(__xludf.DUMMYFUNCTION("""COMPUTED_VALUE"""),"APP0423")</f>
        <v>APP0423</v>
      </c>
      <c r="B424" s="2">
        <f ca="1">IFERROR(__xludf.DUMMYFUNCTION("""COMPUTED_VALUE"""),45921.8666898148)</f>
        <v>45921.8666898148</v>
      </c>
      <c r="C424" s="1" t="str">
        <f ca="1">IFERROR(__xludf.DUMMYFUNCTION("""COMPUTED_VALUE"""),"Phạm Thanh Phúc")</f>
        <v>Phạm Thanh Phúc</v>
      </c>
      <c r="D424" s="1" t="str">
        <f ca="1">IFERROR(__xludf.DUMMYFUNCTION("""COMPUTED_VALUE"""),"13/08/1994")</f>
        <v>13/08/1994</v>
      </c>
      <c r="E424" s="1" t="str">
        <f ca="1">IFERROR(__xludf.DUMMYFUNCTION("""COMPUTED_VALUE"""),"Male")</f>
        <v>Male</v>
      </c>
      <c r="F424" s="1" t="str">
        <f ca="1">IFERROR(__xludf.DUMMYFUNCTION("""COMPUTED_VALUE"""),"Vietnam")</f>
        <v>Vietnam</v>
      </c>
      <c r="G424" s="1" t="str">
        <f ca="1">IFERROR(__xludf.DUMMYFUNCTION("""COMPUTED_VALUE"""),"0953291378")</f>
        <v>0953291378</v>
      </c>
      <c r="H424" s="1" t="str">
        <f ca="1">IFERROR(__xludf.DUMMYFUNCTION("""COMPUTED_VALUE"""),"phamthanhphuc@gmail.com")</f>
        <v>phamthanhphuc@gmail.com</v>
      </c>
      <c r="I424" s="1" t="str">
        <f ca="1">IFERROR(__xludf.DUMMYFUNCTION("""COMPUTED_VALUE"""),"9 Ly Thuong Kiet, Quan 1, Ha Noi, Viet Nam")</f>
        <v>9 Ly Thuong Kiet, Quan 1, Ha Noi, Viet Nam</v>
      </c>
      <c r="J424" s="1" t="str">
        <f ca="1">IFERROR(__xludf.DUMMYFUNCTION("""COMPUTED_VALUE"""),"098486995103")</f>
        <v>098486995103</v>
      </c>
      <c r="K424" s="3" t="str">
        <f ca="1">IFERROR(__xludf.DUMMYFUNCTION("""COMPUTED_VALUE"""),"https://drive.google.com/open?id=ngGUzOGKPgLAkIoGOWI0")</f>
        <v>https://drive.google.com/open?id=ngGUzOGKPgLAkIoGOWI0</v>
      </c>
      <c r="L424" s="3" t="str">
        <f ca="1">IFERROR(__xludf.DUMMYFUNCTION("""COMPUTED_VALUE"""),"https://drive.google.com/open?id=pihjrZItxrfF1l5sfuyd")</f>
        <v>https://drive.google.com/open?id=pihjrZItxrfF1l5sfuyd</v>
      </c>
      <c r="M424" s="1"/>
      <c r="N424" s="1"/>
      <c r="O424" s="1"/>
      <c r="P424" s="1" t="str">
        <f ca="1">IFERROR(__xludf.DUMMYFUNCTION("""COMPUTED_VALUE"""),"Freelancer")</f>
        <v>Freelancer</v>
      </c>
      <c r="Q424" s="1">
        <f ca="1">IFERROR(__xludf.DUMMYFUNCTION("""COMPUTED_VALUE"""),8000000)</f>
        <v>8000000</v>
      </c>
      <c r="R424" s="3" t="str">
        <f ca="1">IFERROR(__xludf.DUMMYFUNCTION("""COMPUTED_VALUE"""),"https://drive.google.com/open?id=bgNJz2ql1pLumOUeAXkX")</f>
        <v>https://drive.google.com/open?id=bgNJz2ql1pLumOUeAXkX</v>
      </c>
      <c r="S424" s="1">
        <f ca="1">IFERROR(__xludf.DUMMYFUNCTION("""COMPUTED_VALUE"""),16000000)</f>
        <v>16000000</v>
      </c>
      <c r="T424" s="1" t="str">
        <f ca="1">IFERROR(__xludf.DUMMYFUNCTION("""COMPUTED_VALUE"""),"Classic")</f>
        <v>Classic</v>
      </c>
      <c r="U424" s="1" t="str">
        <f ca="1">IFERROR(__xludf.DUMMYFUNCTION("""COMPUTED_VALUE"""),"Online")</f>
        <v>Online</v>
      </c>
    </row>
    <row r="425" spans="1:21" x14ac:dyDescent="0.25">
      <c r="A425" s="2" t="str">
        <f ca="1">IFERROR(__xludf.DUMMYFUNCTION("""COMPUTED_VALUE"""),"APP0424")</f>
        <v>APP0424</v>
      </c>
      <c r="B425" s="2">
        <f ca="1">IFERROR(__xludf.DUMMYFUNCTION("""COMPUTED_VALUE"""),45921.8715162037)</f>
        <v>45921.871516203697</v>
      </c>
      <c r="C425" s="1" t="str">
        <f ca="1">IFERROR(__xludf.DUMMYFUNCTION("""COMPUTED_VALUE"""),"Donna Barnes")</f>
        <v>Donna Barnes</v>
      </c>
      <c r="D425" s="1" t="str">
        <f ca="1">IFERROR(__xludf.DUMMYFUNCTION("""COMPUTED_VALUE"""),"12/10/2000")</f>
        <v>12/10/2000</v>
      </c>
      <c r="E425" s="1" t="str">
        <f ca="1">IFERROR(__xludf.DUMMYFUNCTION("""COMPUTED_VALUE"""),"Male")</f>
        <v>Male</v>
      </c>
      <c r="F425" s="1" t="str">
        <f ca="1">IFERROR(__xludf.DUMMYFUNCTION("""COMPUTED_VALUE"""),"Other")</f>
        <v>Other</v>
      </c>
      <c r="G425" s="1" t="str">
        <f ca="1">IFERROR(__xludf.DUMMYFUNCTION("""COMPUTED_VALUE"""),"+91 4803497467")</f>
        <v>+91 4803497467</v>
      </c>
      <c r="H425" s="1" t="str">
        <f ca="1">IFERROR(__xludf.DUMMYFUNCTION("""COMPUTED_VALUE"""),"donnabarnes@gmail.com")</f>
        <v>donnabarnes@gmail.com</v>
      </c>
      <c r="I425" s="1" t="str">
        <f ca="1">IFERROR(__xludf.DUMMYFUNCTION("""COMPUTED_VALUE"""),"691 Scott Meadow, Danielleberg, HI 21956")</f>
        <v>691 Scott Meadow, Danielleberg, HI 21956</v>
      </c>
      <c r="J425" s="1"/>
      <c r="K425" s="1"/>
      <c r="L425" s="1"/>
      <c r="M425" s="1" t="str">
        <f ca="1">IFERROR(__xludf.DUMMYFUNCTION("""COMPUTED_VALUE"""),"Yx193989")</f>
        <v>Yx193989</v>
      </c>
      <c r="N425" s="3" t="str">
        <f ca="1">IFERROR(__xludf.DUMMYFUNCTION("""COMPUTED_VALUE"""),"https://drive.google.com/open?id=vlZVqiKVQaMerOtI3MR9")</f>
        <v>https://drive.google.com/open?id=vlZVqiKVQaMerOtI3MR9</v>
      </c>
      <c r="O425" s="3" t="str">
        <f ca="1">IFERROR(__xludf.DUMMYFUNCTION("""COMPUTED_VALUE"""),"https://drive.google.com/open?id=arNu4rtD8zpwoVC2E63C")</f>
        <v>https://drive.google.com/open?id=arNu4rtD8zpwoVC2E63C</v>
      </c>
      <c r="P425" s="1" t="str">
        <f ca="1">IFERROR(__xludf.DUMMYFUNCTION("""COMPUTED_VALUE"""),"Full-time")</f>
        <v>Full-time</v>
      </c>
      <c r="Q425" s="1">
        <f ca="1">IFERROR(__xludf.DUMMYFUNCTION("""COMPUTED_VALUE"""),12000000)</f>
        <v>12000000</v>
      </c>
      <c r="R425" s="3" t="str">
        <f ca="1">IFERROR(__xludf.DUMMYFUNCTION("""COMPUTED_VALUE"""),"https://drive.google.com/open?id=tNQD6Ejfwds5eCRZhThI")</f>
        <v>https://drive.google.com/open?id=tNQD6Ejfwds5eCRZhThI</v>
      </c>
      <c r="S425" s="1">
        <f ca="1">IFERROR(__xludf.DUMMYFUNCTION("""COMPUTED_VALUE"""),60000000)</f>
        <v>60000000</v>
      </c>
      <c r="T425" s="1" t="str">
        <f ca="1">IFERROR(__xludf.DUMMYFUNCTION("""COMPUTED_VALUE"""),"Gold")</f>
        <v>Gold</v>
      </c>
      <c r="U425" s="1" t="str">
        <f ca="1">IFERROR(__xludf.DUMMYFUNCTION("""COMPUTED_VALUE"""),"Online")</f>
        <v>Online</v>
      </c>
    </row>
    <row r="426" spans="1:21" x14ac:dyDescent="0.25">
      <c r="A426" s="2" t="str">
        <f ca="1">IFERROR(__xludf.DUMMYFUNCTION("""COMPUTED_VALUE"""),"APP0425")</f>
        <v>APP0425</v>
      </c>
      <c r="B426" s="2">
        <f ca="1">IFERROR(__xludf.DUMMYFUNCTION("""COMPUTED_VALUE"""),45922.0365972222)</f>
        <v>45922.036597222199</v>
      </c>
      <c r="C426" s="1" t="str">
        <f ca="1">IFERROR(__xludf.DUMMYFUNCTION("""COMPUTED_VALUE"""),"Cynthia Cisneros")</f>
        <v>Cynthia Cisneros</v>
      </c>
      <c r="D426" s="1" t="str">
        <f ca="1">IFERROR(__xludf.DUMMYFUNCTION("""COMPUTED_VALUE"""),"04/07/2007")</f>
        <v>04/07/2007</v>
      </c>
      <c r="E426" s="1" t="str">
        <f ca="1">IFERROR(__xludf.DUMMYFUNCTION("""COMPUTED_VALUE"""),"Female")</f>
        <v>Female</v>
      </c>
      <c r="F426" s="1" t="str">
        <f ca="1">IFERROR(__xludf.DUMMYFUNCTION("""COMPUTED_VALUE"""),"Other")</f>
        <v>Other</v>
      </c>
      <c r="G426" s="1" t="str">
        <f ca="1">IFERROR(__xludf.DUMMYFUNCTION("""COMPUTED_VALUE"""),"+81 6151346417")</f>
        <v>+81 6151346417</v>
      </c>
      <c r="H426" s="1" t="str">
        <f ca="1">IFERROR(__xludf.DUMMYFUNCTION("""COMPUTED_VALUE"""),"cynthiacisneros@gmail.com")</f>
        <v>cynthiacisneros@gmail.com</v>
      </c>
      <c r="I426" s="1" t="str">
        <f ca="1">IFERROR(__xludf.DUMMYFUNCTION("""COMPUTED_VALUE"""),"171 Sarah Rue Apt. 790, Joshuaburgh, IL 05373")</f>
        <v>171 Sarah Rue Apt. 790, Joshuaburgh, IL 05373</v>
      </c>
      <c r="J426" s="1"/>
      <c r="K426" s="1"/>
      <c r="L426" s="1"/>
      <c r="M426" s="1" t="str">
        <f ca="1">IFERROR(__xludf.DUMMYFUNCTION("""COMPUTED_VALUE"""),"PD543725")</f>
        <v>PD543725</v>
      </c>
      <c r="N426" s="3" t="str">
        <f ca="1">IFERROR(__xludf.DUMMYFUNCTION("""COMPUTED_VALUE"""),"https://drive.google.com/open?id=PoB9tRcrc9AW8JyLt6GU")</f>
        <v>https://drive.google.com/open?id=PoB9tRcrc9AW8JyLt6GU</v>
      </c>
      <c r="O426" s="3" t="str">
        <f ca="1">IFERROR(__xludf.DUMMYFUNCTION("""COMPUTED_VALUE"""),"https://drive.google.com/open?id=ARc94eWNYmczzPfy0dVE")</f>
        <v>https://drive.google.com/open?id=ARc94eWNYmczzPfy0dVE</v>
      </c>
      <c r="P426" s="1" t="str">
        <f ca="1">IFERROR(__xludf.DUMMYFUNCTION("""COMPUTED_VALUE"""),"Contract")</f>
        <v>Contract</v>
      </c>
      <c r="Q426" s="1">
        <f ca="1">IFERROR(__xludf.DUMMYFUNCTION("""COMPUTED_VALUE"""),50000000)</f>
        <v>50000000</v>
      </c>
      <c r="R426" s="3" t="str">
        <f ca="1">IFERROR(__xludf.DUMMYFUNCTION("""COMPUTED_VALUE"""),"https://drive.google.com/open?id=31ZMlGI4m5hUBuh0MVrJ")</f>
        <v>https://drive.google.com/open?id=31ZMlGI4m5hUBuh0MVrJ</v>
      </c>
      <c r="S426" s="1">
        <f ca="1">IFERROR(__xludf.DUMMYFUNCTION("""COMPUTED_VALUE"""),100000000)</f>
        <v>100000000</v>
      </c>
      <c r="T426" s="1" t="str">
        <f ca="1">IFERROR(__xludf.DUMMYFUNCTION("""COMPUTED_VALUE"""),"Classic")</f>
        <v>Classic</v>
      </c>
      <c r="U426" s="1" t="str">
        <f ca="1">IFERROR(__xludf.DUMMYFUNCTION("""COMPUTED_VALUE"""),"Online")</f>
        <v>Online</v>
      </c>
    </row>
    <row r="427" spans="1:21" x14ac:dyDescent="0.25">
      <c r="A427" s="2" t="str">
        <f ca="1">IFERROR(__xludf.DUMMYFUNCTION("""COMPUTED_VALUE"""),"APP0426")</f>
        <v>APP0426</v>
      </c>
      <c r="B427" s="2">
        <f ca="1">IFERROR(__xludf.DUMMYFUNCTION("""COMPUTED_VALUE"""),45922.0541319444)</f>
        <v>45922.054131944402</v>
      </c>
      <c r="C427" s="1" t="str">
        <f ca="1">IFERROR(__xludf.DUMMYFUNCTION("""COMPUTED_VALUE"""),"Nguyễn Quang Trung")</f>
        <v>Nguyễn Quang Trung</v>
      </c>
      <c r="D427" s="1" t="str">
        <f ca="1">IFERROR(__xludf.DUMMYFUNCTION("""COMPUTED_VALUE"""),"24/02/1973")</f>
        <v>24/02/1973</v>
      </c>
      <c r="E427" s="1" t="str">
        <f ca="1">IFERROR(__xludf.DUMMYFUNCTION("""COMPUTED_VALUE"""),"Female")</f>
        <v>Female</v>
      </c>
      <c r="F427" s="1" t="str">
        <f ca="1">IFERROR(__xludf.DUMMYFUNCTION("""COMPUTED_VALUE"""),"Vietnam")</f>
        <v>Vietnam</v>
      </c>
      <c r="G427" s="1" t="str">
        <f ca="1">IFERROR(__xludf.DUMMYFUNCTION("""COMPUTED_VALUE"""),"0998892243")</f>
        <v>0998892243</v>
      </c>
      <c r="H427" s="1" t="str">
        <f ca="1">IFERROR(__xludf.DUMMYFUNCTION("""COMPUTED_VALUE"""),"nguyenquangtrung@gmail.com")</f>
        <v>nguyenquangtrung@gmail.com</v>
      </c>
      <c r="I427" s="1" t="str">
        <f ca="1">IFERROR(__xludf.DUMMYFUNCTION("""COMPUTED_VALUE"""),"74 Le Loi, Quan 7, Can Tho, Viet Nam")</f>
        <v>74 Le Loi, Quan 7, Can Tho, Viet Nam</v>
      </c>
      <c r="J427" s="1" t="str">
        <f ca="1">IFERROR(__xludf.DUMMYFUNCTION("""COMPUTED_VALUE"""),"052302381553")</f>
        <v>052302381553</v>
      </c>
      <c r="K427" s="3" t="str">
        <f ca="1">IFERROR(__xludf.DUMMYFUNCTION("""COMPUTED_VALUE"""),"https://drive.google.com/open?id=Polh81IerHgvkUb62GcY")</f>
        <v>https://drive.google.com/open?id=Polh81IerHgvkUb62GcY</v>
      </c>
      <c r="L427" s="3" t="str">
        <f ca="1">IFERROR(__xludf.DUMMYFUNCTION("""COMPUTED_VALUE"""),"https://drive.google.com/open?id=0yfgRcT2GcyYkBBFAqLr")</f>
        <v>https://drive.google.com/open?id=0yfgRcT2GcyYkBBFAqLr</v>
      </c>
      <c r="M427" s="1"/>
      <c r="N427" s="1"/>
      <c r="O427" s="1"/>
      <c r="P427" s="1" t="str">
        <f ca="1">IFERROR(__xludf.DUMMYFUNCTION("""COMPUTED_VALUE"""),"Freelancer")</f>
        <v>Freelancer</v>
      </c>
      <c r="Q427" s="1">
        <f ca="1">IFERROR(__xludf.DUMMYFUNCTION("""COMPUTED_VALUE"""),8000000)</f>
        <v>8000000</v>
      </c>
      <c r="R427" s="3" t="str">
        <f ca="1">IFERROR(__xludf.DUMMYFUNCTION("""COMPUTED_VALUE"""),"https://drive.google.com/open?id=ILjewjJgpj65OpWeX8Hr")</f>
        <v>https://drive.google.com/open?id=ILjewjJgpj65OpWeX8Hr</v>
      </c>
      <c r="S427" s="1">
        <f ca="1">IFERROR(__xludf.DUMMYFUNCTION("""COMPUTED_VALUE"""),40000000)</f>
        <v>40000000</v>
      </c>
      <c r="T427" s="1" t="str">
        <f ca="1">IFERROR(__xludf.DUMMYFUNCTION("""COMPUTED_VALUE"""),"Classic")</f>
        <v>Classic</v>
      </c>
      <c r="U427" s="1" t="str">
        <f ca="1">IFERROR(__xludf.DUMMYFUNCTION("""COMPUTED_VALUE"""),"Branch")</f>
        <v>Branch</v>
      </c>
    </row>
    <row r="428" spans="1:21" x14ac:dyDescent="0.25">
      <c r="A428" s="2" t="str">
        <f ca="1">IFERROR(__xludf.DUMMYFUNCTION("""COMPUTED_VALUE"""),"APP0427")</f>
        <v>APP0427</v>
      </c>
      <c r="B428" s="2">
        <f ca="1">IFERROR(__xludf.DUMMYFUNCTION("""COMPUTED_VALUE"""),45922.1116319444)</f>
        <v>45922.111631944397</v>
      </c>
      <c r="C428" s="1" t="str">
        <f ca="1">IFERROR(__xludf.DUMMYFUNCTION("""COMPUTED_VALUE"""),"Nguyễn Thị Hải")</f>
        <v>Nguyễn Thị Hải</v>
      </c>
      <c r="D428" s="1" t="str">
        <f ca="1">IFERROR(__xludf.DUMMYFUNCTION("""COMPUTED_VALUE"""),"01/04/1971")</f>
        <v>01/04/1971</v>
      </c>
      <c r="E428" s="1" t="str">
        <f ca="1">IFERROR(__xludf.DUMMYFUNCTION("""COMPUTED_VALUE"""),"Female")</f>
        <v>Female</v>
      </c>
      <c r="F428" s="1" t="str">
        <f ca="1">IFERROR(__xludf.DUMMYFUNCTION("""COMPUTED_VALUE"""),"Vietnam")</f>
        <v>Vietnam</v>
      </c>
      <c r="G428" s="1" t="str">
        <f ca="1">IFERROR(__xludf.DUMMYFUNCTION("""COMPUTED_VALUE"""),"0820065565")</f>
        <v>0820065565</v>
      </c>
      <c r="H428" s="1" t="str">
        <f ca="1">IFERROR(__xludf.DUMMYFUNCTION("""COMPUTED_VALUE"""),"nguyenthihai@gmail.com")</f>
        <v>nguyenthihai@gmail.com</v>
      </c>
      <c r="I428" s="1" t="str">
        <f ca="1">IFERROR(__xludf.DUMMYFUNCTION("""COMPUTED_VALUE"""),"173 Nguyen Hue, Quan 3, Da Nang, Viet Nam")</f>
        <v>173 Nguyen Hue, Quan 3, Da Nang, Viet Nam</v>
      </c>
      <c r="J428" s="1" t="str">
        <f ca="1">IFERROR(__xludf.DUMMYFUNCTION("""COMPUTED_VALUE"""),"063185915215")</f>
        <v>063185915215</v>
      </c>
      <c r="K428" s="3" t="str">
        <f ca="1">IFERROR(__xludf.DUMMYFUNCTION("""COMPUTED_VALUE"""),"https://drive.google.com/open?id=ZHv3hQefDK72FnJ8zc1R")</f>
        <v>https://drive.google.com/open?id=ZHv3hQefDK72FnJ8zc1R</v>
      </c>
      <c r="L428" s="3" t="str">
        <f ca="1">IFERROR(__xludf.DUMMYFUNCTION("""COMPUTED_VALUE"""),"https://drive.google.com/open?id=zg5IVWmHVNMpubUpwIhA")</f>
        <v>https://drive.google.com/open?id=zg5IVWmHVNMpubUpwIhA</v>
      </c>
      <c r="M428" s="1"/>
      <c r="N428" s="1"/>
      <c r="O428" s="1"/>
      <c r="P428" s="1" t="str">
        <f ca="1">IFERROR(__xludf.DUMMYFUNCTION("""COMPUTED_VALUE"""),"Part-time")</f>
        <v>Part-time</v>
      </c>
      <c r="Q428" s="1">
        <f ca="1">IFERROR(__xludf.DUMMYFUNCTION("""COMPUTED_VALUE"""),12000000)</f>
        <v>12000000</v>
      </c>
      <c r="R428" s="3" t="str">
        <f ca="1">IFERROR(__xludf.DUMMYFUNCTION("""COMPUTED_VALUE"""),"https://drive.google.com/open?id=9eLrmQoNXvF06MNdD3Dh")</f>
        <v>https://drive.google.com/open?id=9eLrmQoNXvF06MNdD3Dh</v>
      </c>
      <c r="S428" s="1">
        <f ca="1">IFERROR(__xludf.DUMMYFUNCTION("""COMPUTED_VALUE"""),60000000)</f>
        <v>60000000</v>
      </c>
      <c r="T428" s="1" t="str">
        <f ca="1">IFERROR(__xludf.DUMMYFUNCTION("""COMPUTED_VALUE"""),"Platinum")</f>
        <v>Platinum</v>
      </c>
      <c r="U428" s="1" t="str">
        <f ca="1">IFERROR(__xludf.DUMMYFUNCTION("""COMPUTED_VALUE"""),"Branch")</f>
        <v>Branch</v>
      </c>
    </row>
    <row r="429" spans="1:21" x14ac:dyDescent="0.25">
      <c r="A429" s="2" t="str">
        <f ca="1">IFERROR(__xludf.DUMMYFUNCTION("""COMPUTED_VALUE"""),"APP0428")</f>
        <v>APP0428</v>
      </c>
      <c r="B429" s="2">
        <f ca="1">IFERROR(__xludf.DUMMYFUNCTION("""COMPUTED_VALUE"""),45922.1480902777)</f>
        <v>45922.148090277697</v>
      </c>
      <c r="C429" s="1" t="str">
        <f ca="1">IFERROR(__xludf.DUMMYFUNCTION("""COMPUTED_VALUE"""),"Bùi Hữu Lan")</f>
        <v>Bùi Hữu Lan</v>
      </c>
      <c r="D429" s="1" t="str">
        <f ca="1">IFERROR(__xludf.DUMMYFUNCTION("""COMPUTED_VALUE"""),"11/05/1997")</f>
        <v>11/05/1997</v>
      </c>
      <c r="E429" s="1" t="str">
        <f ca="1">IFERROR(__xludf.DUMMYFUNCTION("""COMPUTED_VALUE"""),"Female")</f>
        <v>Female</v>
      </c>
      <c r="F429" s="1" t="str">
        <f ca="1">IFERROR(__xludf.DUMMYFUNCTION("""COMPUTED_VALUE"""),"Vietnam")</f>
        <v>Vietnam</v>
      </c>
      <c r="G429" s="1" t="str">
        <f ca="1">IFERROR(__xludf.DUMMYFUNCTION("""COMPUTED_VALUE"""),"0933953716")</f>
        <v>0933953716</v>
      </c>
      <c r="H429" s="1" t="str">
        <f ca="1">IFERROR(__xludf.DUMMYFUNCTION("""COMPUTED_VALUE"""),"buihuulan@gmail.com")</f>
        <v>buihuulan@gmail.com</v>
      </c>
      <c r="I429" s="1" t="str">
        <f ca="1">IFERROR(__xludf.DUMMYFUNCTION("""COMPUTED_VALUE"""),"84 Tran Hung Dao, Hai Chau, Can Tho, Viet Nam")</f>
        <v>84 Tran Hung Dao, Hai Chau, Can Tho, Viet Nam</v>
      </c>
      <c r="J429" s="1" t="str">
        <f ca="1">IFERROR(__xludf.DUMMYFUNCTION("""COMPUTED_VALUE"""),"010590782118")</f>
        <v>010590782118</v>
      </c>
      <c r="K429" s="3" t="str">
        <f ca="1">IFERROR(__xludf.DUMMYFUNCTION("""COMPUTED_VALUE"""),"https://drive.google.com/open?id=3ygeBpbm3h1XvmDTdtDo")</f>
        <v>https://drive.google.com/open?id=3ygeBpbm3h1XvmDTdtDo</v>
      </c>
      <c r="L429" s="3" t="str">
        <f ca="1">IFERROR(__xludf.DUMMYFUNCTION("""COMPUTED_VALUE"""),"https://drive.google.com/open?id=aDhBRV6278uk9J5OowSK")</f>
        <v>https://drive.google.com/open?id=aDhBRV6278uk9J5OowSK</v>
      </c>
      <c r="M429" s="1"/>
      <c r="N429" s="1"/>
      <c r="O429" s="1"/>
      <c r="P429" s="1" t="str">
        <f ca="1">IFERROR(__xludf.DUMMYFUNCTION("""COMPUTED_VALUE"""),"Freelancer")</f>
        <v>Freelancer</v>
      </c>
      <c r="Q429" s="1">
        <f ca="1">IFERROR(__xludf.DUMMYFUNCTION("""COMPUTED_VALUE"""),5000000)</f>
        <v>5000000</v>
      </c>
      <c r="R429" s="3" t="str">
        <f ca="1">IFERROR(__xludf.DUMMYFUNCTION("""COMPUTED_VALUE"""),"https://drive.google.com/open?id=cWBD0hGfcesdBp28ntLN")</f>
        <v>https://drive.google.com/open?id=cWBD0hGfcesdBp28ntLN</v>
      </c>
      <c r="S429" s="1">
        <f ca="1">IFERROR(__xludf.DUMMYFUNCTION("""COMPUTED_VALUE"""),15000000)</f>
        <v>15000000</v>
      </c>
      <c r="T429" s="1" t="str">
        <f ca="1">IFERROR(__xludf.DUMMYFUNCTION("""COMPUTED_VALUE"""),"Classic")</f>
        <v>Classic</v>
      </c>
      <c r="U429" s="1" t="str">
        <f ca="1">IFERROR(__xludf.DUMMYFUNCTION("""COMPUTED_VALUE"""),"Partner")</f>
        <v>Partner</v>
      </c>
    </row>
    <row r="430" spans="1:21" x14ac:dyDescent="0.25">
      <c r="A430" s="2" t="str">
        <f ca="1">IFERROR(__xludf.DUMMYFUNCTION("""COMPUTED_VALUE"""),"APP0429")</f>
        <v>APP0429</v>
      </c>
      <c r="B430" s="2">
        <f ca="1">IFERROR(__xludf.DUMMYFUNCTION("""COMPUTED_VALUE"""),45922.1944675925)</f>
        <v>45922.194467592497</v>
      </c>
      <c r="C430" s="1" t="str">
        <f ca="1">IFERROR(__xludf.DUMMYFUNCTION("""COMPUTED_VALUE"""),"Nathaniel Trevino")</f>
        <v>Nathaniel Trevino</v>
      </c>
      <c r="D430" s="1" t="str">
        <f ca="1">IFERROR(__xludf.DUMMYFUNCTION("""COMPUTED_VALUE"""),"23/07/2006")</f>
        <v>23/07/2006</v>
      </c>
      <c r="E430" s="1" t="str">
        <f ca="1">IFERROR(__xludf.DUMMYFUNCTION("""COMPUTED_VALUE"""),"Female")</f>
        <v>Female</v>
      </c>
      <c r="F430" s="1" t="str">
        <f ca="1">IFERROR(__xludf.DUMMYFUNCTION("""COMPUTED_VALUE"""),"Other")</f>
        <v>Other</v>
      </c>
      <c r="G430" s="1" t="str">
        <f ca="1">IFERROR(__xludf.DUMMYFUNCTION("""COMPUTED_VALUE"""),"+81 4190721773")</f>
        <v>+81 4190721773</v>
      </c>
      <c r="H430" s="1" t="str">
        <f ca="1">IFERROR(__xludf.DUMMYFUNCTION("""COMPUTED_VALUE"""),"nathanieltrevino@gmail.com")</f>
        <v>nathanieltrevino@gmail.com</v>
      </c>
      <c r="I430" s="1" t="str">
        <f ca="1">IFERROR(__xludf.DUMMYFUNCTION("""COMPUTED_VALUE"""),"35373 Perez Pike Apt. 372, Rodriguezport, NC 16040")</f>
        <v>35373 Perez Pike Apt. 372, Rodriguezport, NC 16040</v>
      </c>
      <c r="J430" s="1"/>
      <c r="K430" s="1"/>
      <c r="L430" s="1"/>
      <c r="M430" s="1" t="str">
        <f ca="1">IFERROR(__xludf.DUMMYFUNCTION("""COMPUTED_VALUE"""),"JO551518")</f>
        <v>JO551518</v>
      </c>
      <c r="N430" s="3" t="str">
        <f ca="1">IFERROR(__xludf.DUMMYFUNCTION("""COMPUTED_VALUE"""),"https://drive.google.com/open?id=alJvNRhyK920shJaQn5g")</f>
        <v>https://drive.google.com/open?id=alJvNRhyK920shJaQn5g</v>
      </c>
      <c r="O430" s="3" t="str">
        <f ca="1">IFERROR(__xludf.DUMMYFUNCTION("""COMPUTED_VALUE"""),"https://drive.google.com/open?id=XEt91Np4ufQfTnm6Kn9o")</f>
        <v>https://drive.google.com/open?id=XEt91Np4ufQfTnm6Kn9o</v>
      </c>
      <c r="P430" s="1" t="str">
        <f ca="1">IFERROR(__xludf.DUMMYFUNCTION("""COMPUTED_VALUE"""),"Freelancer")</f>
        <v>Freelancer</v>
      </c>
      <c r="Q430" s="1">
        <f ca="1">IFERROR(__xludf.DUMMYFUNCTION("""COMPUTED_VALUE"""),20000000)</f>
        <v>20000000</v>
      </c>
      <c r="R430" s="3" t="str">
        <f ca="1">IFERROR(__xludf.DUMMYFUNCTION("""COMPUTED_VALUE"""),"https://drive.google.com/open?id=bUiMxUuZpThEXRzQbsZB")</f>
        <v>https://drive.google.com/open?id=bUiMxUuZpThEXRzQbsZB</v>
      </c>
      <c r="S430" s="1">
        <f ca="1">IFERROR(__xludf.DUMMYFUNCTION("""COMPUTED_VALUE"""),60000000)</f>
        <v>60000000</v>
      </c>
      <c r="T430" s="1" t="str">
        <f ca="1">IFERROR(__xludf.DUMMYFUNCTION("""COMPUTED_VALUE"""),"Platinum")</f>
        <v>Platinum</v>
      </c>
      <c r="U430" s="1" t="str">
        <f ca="1">IFERROR(__xludf.DUMMYFUNCTION("""COMPUTED_VALUE"""),"Branch")</f>
        <v>Branch</v>
      </c>
    </row>
    <row r="431" spans="1:21" x14ac:dyDescent="0.25">
      <c r="A431" s="2" t="str">
        <f ca="1">IFERROR(__xludf.DUMMYFUNCTION("""COMPUTED_VALUE"""),"APP0430")</f>
        <v>APP0430</v>
      </c>
      <c r="B431" s="2">
        <f ca="1">IFERROR(__xludf.DUMMYFUNCTION("""COMPUTED_VALUE"""),45922.2211805555)</f>
        <v>45922.221180555498</v>
      </c>
      <c r="C431" s="1" t="str">
        <f ca="1">IFERROR(__xludf.DUMMYFUNCTION("""COMPUTED_VALUE"""),"Vũ Đức Trung")</f>
        <v>Vũ Đức Trung</v>
      </c>
      <c r="D431" s="1" t="str">
        <f ca="1">IFERROR(__xludf.DUMMYFUNCTION("""COMPUTED_VALUE"""),"23/11/1975")</f>
        <v>23/11/1975</v>
      </c>
      <c r="E431" s="1" t="str">
        <f ca="1">IFERROR(__xludf.DUMMYFUNCTION("""COMPUTED_VALUE"""),"Female")</f>
        <v>Female</v>
      </c>
      <c r="F431" s="1" t="str">
        <f ca="1">IFERROR(__xludf.DUMMYFUNCTION("""COMPUTED_VALUE"""),"Vietnam")</f>
        <v>Vietnam</v>
      </c>
      <c r="G431" s="1" t="str">
        <f ca="1">IFERROR(__xludf.DUMMYFUNCTION("""COMPUTED_VALUE"""),"0990370087")</f>
        <v>0990370087</v>
      </c>
      <c r="H431" s="1" t="str">
        <f ca="1">IFERROR(__xludf.DUMMYFUNCTION("""COMPUTED_VALUE"""),"vuductrung@gmail.com")</f>
        <v>vuductrung@gmail.com</v>
      </c>
      <c r="I431" s="1" t="str">
        <f ca="1">IFERROR(__xludf.DUMMYFUNCTION("""COMPUTED_VALUE"""),"194 Tran Hung Dao, Quan 7, Da Nang, Viet Nam")</f>
        <v>194 Tran Hung Dao, Quan 7, Da Nang, Viet Nam</v>
      </c>
      <c r="J431" s="1" t="str">
        <f ca="1">IFERROR(__xludf.DUMMYFUNCTION("""COMPUTED_VALUE"""),"061181728029")</f>
        <v>061181728029</v>
      </c>
      <c r="K431" s="3" t="str">
        <f ca="1">IFERROR(__xludf.DUMMYFUNCTION("""COMPUTED_VALUE"""),"https://drive.google.com/open?id=Bk9vPC7TB5Eb5Gi8gq28")</f>
        <v>https://drive.google.com/open?id=Bk9vPC7TB5Eb5Gi8gq28</v>
      </c>
      <c r="L431" s="3" t="str">
        <f ca="1">IFERROR(__xludf.DUMMYFUNCTION("""COMPUTED_VALUE"""),"https://drive.google.com/open?id=FeHVnsNWjzXnSPDYVA1N")</f>
        <v>https://drive.google.com/open?id=FeHVnsNWjzXnSPDYVA1N</v>
      </c>
      <c r="M431" s="1"/>
      <c r="N431" s="1"/>
      <c r="O431" s="1"/>
      <c r="P431" s="1" t="str">
        <f ca="1">IFERROR(__xludf.DUMMYFUNCTION("""COMPUTED_VALUE"""),"Full-time")</f>
        <v>Full-time</v>
      </c>
      <c r="Q431" s="1">
        <f ca="1">IFERROR(__xludf.DUMMYFUNCTION("""COMPUTED_VALUE"""),8000000)</f>
        <v>8000000</v>
      </c>
      <c r="R431" s="3" t="str">
        <f ca="1">IFERROR(__xludf.DUMMYFUNCTION("""COMPUTED_VALUE"""),"https://drive.google.com/open?id=0dCkt1kUfPMdclFCsDcL")</f>
        <v>https://drive.google.com/open?id=0dCkt1kUfPMdclFCsDcL</v>
      </c>
      <c r="S431" s="1">
        <f ca="1">IFERROR(__xludf.DUMMYFUNCTION("""COMPUTED_VALUE"""),40000000)</f>
        <v>40000000</v>
      </c>
      <c r="T431" s="1" t="str">
        <f ca="1">IFERROR(__xludf.DUMMYFUNCTION("""COMPUTED_VALUE"""),"Gold")</f>
        <v>Gold</v>
      </c>
      <c r="U431" s="1" t="str">
        <f ca="1">IFERROR(__xludf.DUMMYFUNCTION("""COMPUTED_VALUE"""),"Branch")</f>
        <v>Branch</v>
      </c>
    </row>
    <row r="432" spans="1:21" x14ac:dyDescent="0.25">
      <c r="A432" s="2" t="str">
        <f ca="1">IFERROR(__xludf.DUMMYFUNCTION("""COMPUTED_VALUE"""),"APP0431")</f>
        <v>APP0431</v>
      </c>
      <c r="B432" s="2">
        <f ca="1">IFERROR(__xludf.DUMMYFUNCTION("""COMPUTED_VALUE"""),45922.4046527777)</f>
        <v>45922.404652777703</v>
      </c>
      <c r="C432" s="1" t="str">
        <f ca="1">IFERROR(__xludf.DUMMYFUNCTION("""COMPUTED_VALUE"""),"Lý Thanh Trang")</f>
        <v>Lý Thanh Trang</v>
      </c>
      <c r="D432" s="1" t="str">
        <f ca="1">IFERROR(__xludf.DUMMYFUNCTION("""COMPUTED_VALUE"""),"04/06/2004")</f>
        <v>04/06/2004</v>
      </c>
      <c r="E432" s="1" t="str">
        <f ca="1">IFERROR(__xludf.DUMMYFUNCTION("""COMPUTED_VALUE"""),"Female")</f>
        <v>Female</v>
      </c>
      <c r="F432" s="1" t="str">
        <f ca="1">IFERROR(__xludf.DUMMYFUNCTION("""COMPUTED_VALUE"""),"Vietnam")</f>
        <v>Vietnam</v>
      </c>
      <c r="G432" s="1" t="str">
        <f ca="1">IFERROR(__xludf.DUMMYFUNCTION("""COMPUTED_VALUE"""),"0746089834")</f>
        <v>0746089834</v>
      </c>
      <c r="H432" s="1" t="str">
        <f ca="1">IFERROR(__xludf.DUMMYFUNCTION("""COMPUTED_VALUE"""),"lythanhtrang@gmail.com")</f>
        <v>lythanhtrang@gmail.com</v>
      </c>
      <c r="I432" s="1" t="str">
        <f ca="1">IFERROR(__xludf.DUMMYFUNCTION("""COMPUTED_VALUE"""),"146 Nguyen Trai, Quan 7, Ha Noi, Viet Nam")</f>
        <v>146 Nguyen Trai, Quan 7, Ha Noi, Viet Nam</v>
      </c>
      <c r="J432" s="1" t="str">
        <f ca="1">IFERROR(__xludf.DUMMYFUNCTION("""COMPUTED_VALUE"""),"049455126726")</f>
        <v>049455126726</v>
      </c>
      <c r="K432" s="3" t="str">
        <f ca="1">IFERROR(__xludf.DUMMYFUNCTION("""COMPUTED_VALUE"""),"https://drive.google.com/open?id=lQZNnwkXtoKd4Jw3EICa")</f>
        <v>https://drive.google.com/open?id=lQZNnwkXtoKd4Jw3EICa</v>
      </c>
      <c r="L432" s="3" t="str">
        <f ca="1">IFERROR(__xludf.DUMMYFUNCTION("""COMPUTED_VALUE"""),"https://drive.google.com/open?id=dvle6yol0j3LFhJYNSw6")</f>
        <v>https://drive.google.com/open?id=dvle6yol0j3LFhJYNSw6</v>
      </c>
      <c r="M432" s="1"/>
      <c r="N432" s="1"/>
      <c r="O432" s="1"/>
      <c r="P432" s="1" t="str">
        <f ca="1">IFERROR(__xludf.DUMMYFUNCTION("""COMPUTED_VALUE"""),"Full-time")</f>
        <v>Full-time</v>
      </c>
      <c r="Q432" s="1">
        <f ca="1">IFERROR(__xludf.DUMMYFUNCTION("""COMPUTED_VALUE"""),8000000)</f>
        <v>8000000</v>
      </c>
      <c r="R432" s="3" t="str">
        <f ca="1">IFERROR(__xludf.DUMMYFUNCTION("""COMPUTED_VALUE"""),"https://drive.google.com/open?id=jgoGf0co9dgi35Zsj87B")</f>
        <v>https://drive.google.com/open?id=jgoGf0co9dgi35Zsj87B</v>
      </c>
      <c r="S432" s="1">
        <f ca="1">IFERROR(__xludf.DUMMYFUNCTION("""COMPUTED_VALUE"""),16000000)</f>
        <v>16000000</v>
      </c>
      <c r="T432" s="1" t="str">
        <f ca="1">IFERROR(__xludf.DUMMYFUNCTION("""COMPUTED_VALUE"""),"Gold")</f>
        <v>Gold</v>
      </c>
      <c r="U432" s="1" t="str">
        <f ca="1">IFERROR(__xludf.DUMMYFUNCTION("""COMPUTED_VALUE"""),"Branch")</f>
        <v>Branch</v>
      </c>
    </row>
    <row r="433" spans="1:21" x14ac:dyDescent="0.25">
      <c r="A433" s="2" t="str">
        <f ca="1">IFERROR(__xludf.DUMMYFUNCTION("""COMPUTED_VALUE"""),"APP0432")</f>
        <v>APP0432</v>
      </c>
      <c r="B433" s="2">
        <f ca="1">IFERROR(__xludf.DUMMYFUNCTION("""COMPUTED_VALUE"""),45922.4378125)</f>
        <v>45922.4378125</v>
      </c>
      <c r="C433" s="1" t="str">
        <f ca="1">IFERROR(__xludf.DUMMYFUNCTION("""COMPUTED_VALUE"""),"Jordan Lopez")</f>
        <v>Jordan Lopez</v>
      </c>
      <c r="D433" s="1" t="str">
        <f ca="1">IFERROR(__xludf.DUMMYFUNCTION("""COMPUTED_VALUE"""),"19/02/1991")</f>
        <v>19/02/1991</v>
      </c>
      <c r="E433" s="1" t="str">
        <f ca="1">IFERROR(__xludf.DUMMYFUNCTION("""COMPUTED_VALUE"""),"Female")</f>
        <v>Female</v>
      </c>
      <c r="F433" s="1" t="str">
        <f ca="1">IFERROR(__xludf.DUMMYFUNCTION("""COMPUTED_VALUE"""),"Other")</f>
        <v>Other</v>
      </c>
      <c r="G433" s="1" t="str">
        <f ca="1">IFERROR(__xludf.DUMMYFUNCTION("""COMPUTED_VALUE"""),"+62 7270514968")</f>
        <v>+62 7270514968</v>
      </c>
      <c r="H433" s="1" t="str">
        <f ca="1">IFERROR(__xludf.DUMMYFUNCTION("""COMPUTED_VALUE"""),"jordanlopez@gmail.com")</f>
        <v>jordanlopez@gmail.com</v>
      </c>
      <c r="I433" s="1" t="str">
        <f ca="1">IFERROR(__xludf.DUMMYFUNCTION("""COMPUTED_VALUE"""),"6677 Lynn Throughway Apt. 599, South Yvonneland, CA 77188")</f>
        <v>6677 Lynn Throughway Apt. 599, South Yvonneland, CA 77188</v>
      </c>
      <c r="J433" s="1"/>
      <c r="K433" s="1"/>
      <c r="L433" s="1"/>
      <c r="M433" s="1" t="str">
        <f ca="1">IFERROR(__xludf.DUMMYFUNCTION("""COMPUTED_VALUE"""),"zS430944")</f>
        <v>zS430944</v>
      </c>
      <c r="N433" s="3" t="str">
        <f ca="1">IFERROR(__xludf.DUMMYFUNCTION("""COMPUTED_VALUE"""),"https://drive.google.com/open?id=naT2n3Zx4AJFkNmjE92f")</f>
        <v>https://drive.google.com/open?id=naT2n3Zx4AJFkNmjE92f</v>
      </c>
      <c r="O433" s="3" t="str">
        <f ca="1">IFERROR(__xludf.DUMMYFUNCTION("""COMPUTED_VALUE"""),"https://drive.google.com/open?id=sEpxsS2EzlJWatP48gFu")</f>
        <v>https://drive.google.com/open?id=sEpxsS2EzlJWatP48gFu</v>
      </c>
      <c r="P433" s="1" t="str">
        <f ca="1">IFERROR(__xludf.DUMMYFUNCTION("""COMPUTED_VALUE"""),"Part-time")</f>
        <v>Part-time</v>
      </c>
      <c r="Q433" s="1">
        <f ca="1">IFERROR(__xludf.DUMMYFUNCTION("""COMPUTED_VALUE"""),12000000)</f>
        <v>12000000</v>
      </c>
      <c r="R433" s="3" t="str">
        <f ca="1">IFERROR(__xludf.DUMMYFUNCTION("""COMPUTED_VALUE"""),"https://drive.google.com/open?id=sp8TPeolt1qh3ALzUsF3")</f>
        <v>https://drive.google.com/open?id=sp8TPeolt1qh3ALzUsF3</v>
      </c>
      <c r="S433" s="1">
        <f ca="1">IFERROR(__xludf.DUMMYFUNCTION("""COMPUTED_VALUE"""),60000000)</f>
        <v>60000000</v>
      </c>
      <c r="T433" s="1" t="str">
        <f ca="1">IFERROR(__xludf.DUMMYFUNCTION("""COMPUTED_VALUE"""),"Platinum")</f>
        <v>Platinum</v>
      </c>
      <c r="U433" s="1" t="str">
        <f ca="1">IFERROR(__xludf.DUMMYFUNCTION("""COMPUTED_VALUE"""),"Online")</f>
        <v>Online</v>
      </c>
    </row>
    <row r="434" spans="1:21" x14ac:dyDescent="0.25">
      <c r="A434" s="2" t="str">
        <f ca="1">IFERROR(__xludf.DUMMYFUNCTION("""COMPUTED_VALUE"""),"APP0433")</f>
        <v>APP0433</v>
      </c>
      <c r="B434" s="2">
        <f ca="1">IFERROR(__xludf.DUMMYFUNCTION("""COMPUTED_VALUE"""),45922.4701504629)</f>
        <v>45922.470150462897</v>
      </c>
      <c r="C434" s="1" t="str">
        <f ca="1">IFERROR(__xludf.DUMMYFUNCTION("""COMPUTED_VALUE"""),"Brittany Chavez")</f>
        <v>Brittany Chavez</v>
      </c>
      <c r="D434" s="1" t="str">
        <f ca="1">IFERROR(__xludf.DUMMYFUNCTION("""COMPUTED_VALUE"""),"21/09/1976")</f>
        <v>21/09/1976</v>
      </c>
      <c r="E434" s="1" t="str">
        <f ca="1">IFERROR(__xludf.DUMMYFUNCTION("""COMPUTED_VALUE"""),"Male")</f>
        <v>Male</v>
      </c>
      <c r="F434" s="1" t="str">
        <f ca="1">IFERROR(__xludf.DUMMYFUNCTION("""COMPUTED_VALUE"""),"Other")</f>
        <v>Other</v>
      </c>
      <c r="G434" s="1" t="str">
        <f ca="1">IFERROR(__xludf.DUMMYFUNCTION("""COMPUTED_VALUE"""),"+65 9449046707")</f>
        <v>+65 9449046707</v>
      </c>
      <c r="H434" s="1" t="str">
        <f ca="1">IFERROR(__xludf.DUMMYFUNCTION("""COMPUTED_VALUE"""),"brittanychavez@gmail.com")</f>
        <v>brittanychavez@gmail.com</v>
      </c>
      <c r="I434" s="1" t="str">
        <f ca="1">IFERROR(__xludf.DUMMYFUNCTION("""COMPUTED_VALUE"""),"2306 Blackwell Brook, North Mary, GA 34938")</f>
        <v>2306 Blackwell Brook, North Mary, GA 34938</v>
      </c>
      <c r="J434" s="1"/>
      <c r="K434" s="1"/>
      <c r="L434" s="1"/>
      <c r="M434" s="1" t="str">
        <f ca="1">IFERROR(__xludf.DUMMYFUNCTION("""COMPUTED_VALUE"""),"zJ030898")</f>
        <v>zJ030898</v>
      </c>
      <c r="N434" s="3" t="str">
        <f ca="1">IFERROR(__xludf.DUMMYFUNCTION("""COMPUTED_VALUE"""),"https://drive.google.com/open?id=I88WqZJzfe8Kp0Z56L0n")</f>
        <v>https://drive.google.com/open?id=I88WqZJzfe8Kp0Z56L0n</v>
      </c>
      <c r="O434" s="3" t="str">
        <f ca="1">IFERROR(__xludf.DUMMYFUNCTION("""COMPUTED_VALUE"""),"https://drive.google.com/open?id=IeNEhJXExZbgCC0yFfLO")</f>
        <v>https://drive.google.com/open?id=IeNEhJXExZbgCC0yFfLO</v>
      </c>
      <c r="P434" s="1" t="str">
        <f ca="1">IFERROR(__xludf.DUMMYFUNCTION("""COMPUTED_VALUE"""),"Freelancer")</f>
        <v>Freelancer</v>
      </c>
      <c r="Q434" s="1">
        <f ca="1">IFERROR(__xludf.DUMMYFUNCTION("""COMPUTED_VALUE"""),12000000)</f>
        <v>12000000</v>
      </c>
      <c r="R434" s="3" t="str">
        <f ca="1">IFERROR(__xludf.DUMMYFUNCTION("""COMPUTED_VALUE"""),"https://drive.google.com/open?id=Z8wYCWGhlQBXRIU5tZmL")</f>
        <v>https://drive.google.com/open?id=Z8wYCWGhlQBXRIU5tZmL</v>
      </c>
      <c r="S434" s="1">
        <f ca="1">IFERROR(__xludf.DUMMYFUNCTION("""COMPUTED_VALUE"""),36000000)</f>
        <v>36000000</v>
      </c>
      <c r="T434" s="1" t="str">
        <f ca="1">IFERROR(__xludf.DUMMYFUNCTION("""COMPUTED_VALUE"""),"Classic")</f>
        <v>Classic</v>
      </c>
      <c r="U434" s="1" t="str">
        <f ca="1">IFERROR(__xludf.DUMMYFUNCTION("""COMPUTED_VALUE"""),"Partner")</f>
        <v>Partner</v>
      </c>
    </row>
    <row r="435" spans="1:21" x14ac:dyDescent="0.25">
      <c r="A435" s="2" t="str">
        <f ca="1">IFERROR(__xludf.DUMMYFUNCTION("""COMPUTED_VALUE"""),"APP0434")</f>
        <v>APP0434</v>
      </c>
      <c r="B435" s="2">
        <f ca="1">IFERROR(__xludf.DUMMYFUNCTION("""COMPUTED_VALUE"""),45922.5019097222)</f>
        <v>45922.501909722203</v>
      </c>
      <c r="C435" s="1" t="str">
        <f ca="1">IFERROR(__xludf.DUMMYFUNCTION("""COMPUTED_VALUE"""),"Đỗ Văn Quỳnh")</f>
        <v>Đỗ Văn Quỳnh</v>
      </c>
      <c r="D435" s="1" t="str">
        <f ca="1">IFERROR(__xludf.DUMMYFUNCTION("""COMPUTED_VALUE"""),"17/12/1975")</f>
        <v>17/12/1975</v>
      </c>
      <c r="E435" s="1" t="str">
        <f ca="1">IFERROR(__xludf.DUMMYFUNCTION("""COMPUTED_VALUE"""),"Female")</f>
        <v>Female</v>
      </c>
      <c r="F435" s="1" t="str">
        <f ca="1">IFERROR(__xludf.DUMMYFUNCTION("""COMPUTED_VALUE"""),"Vietnam")</f>
        <v>Vietnam</v>
      </c>
      <c r="G435" s="1" t="str">
        <f ca="1">IFERROR(__xludf.DUMMYFUNCTION("""COMPUTED_VALUE"""),"0872019758")</f>
        <v>0872019758</v>
      </c>
      <c r="H435" s="1" t="str">
        <f ca="1">IFERROR(__xludf.DUMMYFUNCTION("""COMPUTED_VALUE"""),"dovanquynh@gmail.com")</f>
        <v>dovanquynh@gmail.com</v>
      </c>
      <c r="I435" s="1" t="str">
        <f ca="1">IFERROR(__xludf.DUMMYFUNCTION("""COMPUTED_VALUE"""),"90 Tran Hung Dao, Hai Chau, Hai Phong, Viet Nam")</f>
        <v>90 Tran Hung Dao, Hai Chau, Hai Phong, Viet Nam</v>
      </c>
      <c r="J435" s="1" t="str">
        <f ca="1">IFERROR(__xludf.DUMMYFUNCTION("""COMPUTED_VALUE"""),"087597858279")</f>
        <v>087597858279</v>
      </c>
      <c r="K435" s="3" t="str">
        <f ca="1">IFERROR(__xludf.DUMMYFUNCTION("""COMPUTED_VALUE"""),"https://drive.google.com/open?id=nAc6SiQDfvbMvRkVSQA4")</f>
        <v>https://drive.google.com/open?id=nAc6SiQDfvbMvRkVSQA4</v>
      </c>
      <c r="L435" s="3" t="str">
        <f ca="1">IFERROR(__xludf.DUMMYFUNCTION("""COMPUTED_VALUE"""),"https://drive.google.com/open?id=sciVqL38fUqGmHUxl7r1")</f>
        <v>https://drive.google.com/open?id=sciVqL38fUqGmHUxl7r1</v>
      </c>
      <c r="M435" s="1"/>
      <c r="N435" s="1"/>
      <c r="O435" s="1"/>
      <c r="P435" s="1" t="str">
        <f ca="1">IFERROR(__xludf.DUMMYFUNCTION("""COMPUTED_VALUE"""),"Freelancer")</f>
        <v>Freelancer</v>
      </c>
      <c r="Q435" s="1">
        <f ca="1">IFERROR(__xludf.DUMMYFUNCTION("""COMPUTED_VALUE"""),12000000)</f>
        <v>12000000</v>
      </c>
      <c r="R435" s="3" t="str">
        <f ca="1">IFERROR(__xludf.DUMMYFUNCTION("""COMPUTED_VALUE"""),"https://drive.google.com/open?id=z0GMmycdMGg5gjppsk4U")</f>
        <v>https://drive.google.com/open?id=z0GMmycdMGg5gjppsk4U</v>
      </c>
      <c r="S435" s="1">
        <f ca="1">IFERROR(__xludf.DUMMYFUNCTION("""COMPUTED_VALUE"""),60000000)</f>
        <v>60000000</v>
      </c>
      <c r="T435" s="1" t="str">
        <f ca="1">IFERROR(__xludf.DUMMYFUNCTION("""COMPUTED_VALUE"""),"Classic")</f>
        <v>Classic</v>
      </c>
      <c r="U435" s="1" t="str">
        <f ca="1">IFERROR(__xludf.DUMMYFUNCTION("""COMPUTED_VALUE"""),"Online")</f>
        <v>Online</v>
      </c>
    </row>
    <row r="436" spans="1:21" x14ac:dyDescent="0.25">
      <c r="A436" s="2" t="str">
        <f ca="1">IFERROR(__xludf.DUMMYFUNCTION("""COMPUTED_VALUE"""),"APP0435")</f>
        <v>APP0435</v>
      </c>
      <c r="B436" s="2">
        <f ca="1">IFERROR(__xludf.DUMMYFUNCTION("""COMPUTED_VALUE"""),45922.7497916666)</f>
        <v>45922.749791666603</v>
      </c>
      <c r="C436" s="1" t="str">
        <f ca="1">IFERROR(__xludf.DUMMYFUNCTION("""COMPUTED_VALUE"""),"Đỗ Thanh Hải")</f>
        <v>Đỗ Thanh Hải</v>
      </c>
      <c r="D436" s="1" t="str">
        <f ca="1">IFERROR(__xludf.DUMMYFUNCTION("""COMPUTED_VALUE"""),"17/12/1989")</f>
        <v>17/12/1989</v>
      </c>
      <c r="E436" s="1" t="str">
        <f ca="1">IFERROR(__xludf.DUMMYFUNCTION("""COMPUTED_VALUE"""),"Female")</f>
        <v>Female</v>
      </c>
      <c r="F436" s="1" t="str">
        <f ca="1">IFERROR(__xludf.DUMMYFUNCTION("""COMPUTED_VALUE"""),"Vietnam")</f>
        <v>Vietnam</v>
      </c>
      <c r="G436" s="1" t="str">
        <f ca="1">IFERROR(__xludf.DUMMYFUNCTION("""COMPUTED_VALUE"""),"0910991892")</f>
        <v>0910991892</v>
      </c>
      <c r="H436" s="1" t="str">
        <f ca="1">IFERROR(__xludf.DUMMYFUNCTION("""COMPUTED_VALUE"""),"dothanhhai@gmail.com")</f>
        <v>dothanhhai@gmail.com</v>
      </c>
      <c r="I436" s="1" t="str">
        <f ca="1">IFERROR(__xludf.DUMMYFUNCTION("""COMPUTED_VALUE"""),"17 Le Loi, Dong Da, Ha Noi, Viet Nam")</f>
        <v>17 Le Loi, Dong Da, Ha Noi, Viet Nam</v>
      </c>
      <c r="J436" s="1" t="str">
        <f ca="1">IFERROR(__xludf.DUMMYFUNCTION("""COMPUTED_VALUE"""),"012545037449")</f>
        <v>012545037449</v>
      </c>
      <c r="K436" s="3" t="str">
        <f ca="1">IFERROR(__xludf.DUMMYFUNCTION("""COMPUTED_VALUE"""),"https://drive.google.com/open?id=EiYtR2l9BGaf1WJBwrlP")</f>
        <v>https://drive.google.com/open?id=EiYtR2l9BGaf1WJBwrlP</v>
      </c>
      <c r="L436" s="3" t="str">
        <f ca="1">IFERROR(__xludf.DUMMYFUNCTION("""COMPUTED_VALUE"""),"https://drive.google.com/open?id=2feMTgZzBqiRqF3DLmJS")</f>
        <v>https://drive.google.com/open?id=2feMTgZzBqiRqF3DLmJS</v>
      </c>
      <c r="M436" s="1"/>
      <c r="N436" s="1"/>
      <c r="O436" s="1"/>
      <c r="P436" s="1" t="str">
        <f ca="1">IFERROR(__xludf.DUMMYFUNCTION("""COMPUTED_VALUE"""),"Full-time")</f>
        <v>Full-time</v>
      </c>
      <c r="Q436" s="1">
        <f ca="1">IFERROR(__xludf.DUMMYFUNCTION("""COMPUTED_VALUE"""),8000000)</f>
        <v>8000000</v>
      </c>
      <c r="R436" s="3" t="str">
        <f ca="1">IFERROR(__xludf.DUMMYFUNCTION("""COMPUTED_VALUE"""),"https://drive.google.com/open?id=bMuinmrdcHIql3qey1wM")</f>
        <v>https://drive.google.com/open?id=bMuinmrdcHIql3qey1wM</v>
      </c>
      <c r="S436" s="1">
        <f ca="1">IFERROR(__xludf.DUMMYFUNCTION("""COMPUTED_VALUE"""),16000000)</f>
        <v>16000000</v>
      </c>
      <c r="T436" s="1" t="str">
        <f ca="1">IFERROR(__xludf.DUMMYFUNCTION("""COMPUTED_VALUE"""),"Gold")</f>
        <v>Gold</v>
      </c>
      <c r="U436" s="1" t="str">
        <f ca="1">IFERROR(__xludf.DUMMYFUNCTION("""COMPUTED_VALUE"""),"Online")</f>
        <v>Online</v>
      </c>
    </row>
    <row r="437" spans="1:21" x14ac:dyDescent="0.25">
      <c r="A437" s="2" t="str">
        <f ca="1">IFERROR(__xludf.DUMMYFUNCTION("""COMPUTED_VALUE"""),"APP0436")</f>
        <v>APP0436</v>
      </c>
      <c r="B437" s="2">
        <f ca="1">IFERROR(__xludf.DUMMYFUNCTION("""COMPUTED_VALUE"""),45922.9943518518)</f>
        <v>45922.994351851798</v>
      </c>
      <c r="C437" s="1" t="str">
        <f ca="1">IFERROR(__xludf.DUMMYFUNCTION("""COMPUTED_VALUE"""),"Lê Quang Lan")</f>
        <v>Lê Quang Lan</v>
      </c>
      <c r="D437" s="1" t="str">
        <f ca="1">IFERROR(__xludf.DUMMYFUNCTION("""COMPUTED_VALUE"""),"18/08/1987")</f>
        <v>18/08/1987</v>
      </c>
      <c r="E437" s="1" t="str">
        <f ca="1">IFERROR(__xludf.DUMMYFUNCTION("""COMPUTED_VALUE"""),"Female")</f>
        <v>Female</v>
      </c>
      <c r="F437" s="1" t="str">
        <f ca="1">IFERROR(__xludf.DUMMYFUNCTION("""COMPUTED_VALUE"""),"Vietnam")</f>
        <v>Vietnam</v>
      </c>
      <c r="G437" s="1" t="str">
        <f ca="1">IFERROR(__xludf.DUMMYFUNCTION("""COMPUTED_VALUE"""),"0912186497")</f>
        <v>0912186497</v>
      </c>
      <c r="H437" s="1" t="str">
        <f ca="1">IFERROR(__xludf.DUMMYFUNCTION("""COMPUTED_VALUE"""),"lequanglan@gmail.com")</f>
        <v>lequanglan@gmail.com</v>
      </c>
      <c r="I437" s="1" t="str">
        <f ca="1">IFERROR(__xludf.DUMMYFUNCTION("""COMPUTED_VALUE"""),"108 Pham Van Dong, Quan 1, Hai Phong, Viet Nam")</f>
        <v>108 Pham Van Dong, Quan 1, Hai Phong, Viet Nam</v>
      </c>
      <c r="J437" s="1" t="str">
        <f ca="1">IFERROR(__xludf.DUMMYFUNCTION("""COMPUTED_VALUE"""),"099208515432")</f>
        <v>099208515432</v>
      </c>
      <c r="K437" s="3" t="str">
        <f ca="1">IFERROR(__xludf.DUMMYFUNCTION("""COMPUTED_VALUE"""),"https://drive.google.com/open?id=yTTqWclkDybj8zxTUsPn")</f>
        <v>https://drive.google.com/open?id=yTTqWclkDybj8zxTUsPn</v>
      </c>
      <c r="L437" s="3" t="str">
        <f ca="1">IFERROR(__xludf.DUMMYFUNCTION("""COMPUTED_VALUE"""),"https://drive.google.com/open?id=9hIP60EaSsBh6QqWfQXh")</f>
        <v>https://drive.google.com/open?id=9hIP60EaSsBh6QqWfQXh</v>
      </c>
      <c r="M437" s="1"/>
      <c r="N437" s="1"/>
      <c r="O437" s="1"/>
      <c r="P437" s="1" t="str">
        <f ca="1">IFERROR(__xludf.DUMMYFUNCTION("""COMPUTED_VALUE"""),"Full-time")</f>
        <v>Full-time</v>
      </c>
      <c r="Q437" s="1">
        <f ca="1">IFERROR(__xludf.DUMMYFUNCTION("""COMPUTED_VALUE"""),8000000)</f>
        <v>8000000</v>
      </c>
      <c r="R437" s="3" t="str">
        <f ca="1">IFERROR(__xludf.DUMMYFUNCTION("""COMPUTED_VALUE"""),"https://drive.google.com/open?id=LH3eENBeuc7A4gzALmV8")</f>
        <v>https://drive.google.com/open?id=LH3eENBeuc7A4gzALmV8</v>
      </c>
      <c r="S437" s="1">
        <f ca="1">IFERROR(__xludf.DUMMYFUNCTION("""COMPUTED_VALUE"""),24000000)</f>
        <v>24000000</v>
      </c>
      <c r="T437" s="1" t="str">
        <f ca="1">IFERROR(__xludf.DUMMYFUNCTION("""COMPUTED_VALUE"""),"Platinum")</f>
        <v>Platinum</v>
      </c>
      <c r="U437" s="1" t="str">
        <f ca="1">IFERROR(__xludf.DUMMYFUNCTION("""COMPUTED_VALUE"""),"Branch")</f>
        <v>Branch</v>
      </c>
    </row>
    <row r="438" spans="1:21" x14ac:dyDescent="0.25">
      <c r="A438" s="2" t="str">
        <f ca="1">IFERROR(__xludf.DUMMYFUNCTION("""COMPUTED_VALUE"""),"APP0437")</f>
        <v>APP0437</v>
      </c>
      <c r="B438" s="2">
        <f ca="1">IFERROR(__xludf.DUMMYFUNCTION("""COMPUTED_VALUE"""),45923.0580324074)</f>
        <v>45923.058032407404</v>
      </c>
      <c r="C438" s="1" t="str">
        <f ca="1">IFERROR(__xludf.DUMMYFUNCTION("""COMPUTED_VALUE"""),"Đỗ Ngọc Vy")</f>
        <v>Đỗ Ngọc Vy</v>
      </c>
      <c r="D438" s="1" t="str">
        <f ca="1">IFERROR(__xludf.DUMMYFUNCTION("""COMPUTED_VALUE"""),"23/09/1978")</f>
        <v>23/09/1978</v>
      </c>
      <c r="E438" s="1" t="str">
        <f ca="1">IFERROR(__xludf.DUMMYFUNCTION("""COMPUTED_VALUE"""),"Female")</f>
        <v>Female</v>
      </c>
      <c r="F438" s="1" t="str">
        <f ca="1">IFERROR(__xludf.DUMMYFUNCTION("""COMPUTED_VALUE"""),"Vietnam")</f>
        <v>Vietnam</v>
      </c>
      <c r="G438" s="1" t="str">
        <f ca="1">IFERROR(__xludf.DUMMYFUNCTION("""COMPUTED_VALUE"""),"0875621545")</f>
        <v>0875621545</v>
      </c>
      <c r="H438" s="1" t="str">
        <f ca="1">IFERROR(__xludf.DUMMYFUNCTION("""COMPUTED_VALUE"""),"dongocvy@gmail.com")</f>
        <v>dongocvy@gmail.com</v>
      </c>
      <c r="I438" s="1" t="str">
        <f ca="1">IFERROR(__xludf.DUMMYFUNCTION("""COMPUTED_VALUE"""),"164 Le Loi, Hoan Kiem, TP Ho Chi Minh, Viet Nam")</f>
        <v>164 Le Loi, Hoan Kiem, TP Ho Chi Minh, Viet Nam</v>
      </c>
      <c r="J438" s="1" t="str">
        <f ca="1">IFERROR(__xludf.DUMMYFUNCTION("""COMPUTED_VALUE"""),"035479398333")</f>
        <v>035479398333</v>
      </c>
      <c r="K438" s="3" t="str">
        <f ca="1">IFERROR(__xludf.DUMMYFUNCTION("""COMPUTED_VALUE"""),"https://drive.google.com/open?id=1I8E0T5ZHr3F7g5hwP6I")</f>
        <v>https://drive.google.com/open?id=1I8E0T5ZHr3F7g5hwP6I</v>
      </c>
      <c r="L438" s="3" t="str">
        <f ca="1">IFERROR(__xludf.DUMMYFUNCTION("""COMPUTED_VALUE"""),"https://drive.google.com/open?id=R4qTXKYa5iwQAsIx2F5j")</f>
        <v>https://drive.google.com/open?id=R4qTXKYa5iwQAsIx2F5j</v>
      </c>
      <c r="M438" s="1"/>
      <c r="N438" s="1"/>
      <c r="O438" s="1"/>
      <c r="P438" s="1" t="str">
        <f ca="1">IFERROR(__xludf.DUMMYFUNCTION("""COMPUTED_VALUE"""),"Full-time")</f>
        <v>Full-time</v>
      </c>
      <c r="Q438" s="1">
        <f ca="1">IFERROR(__xludf.DUMMYFUNCTION("""COMPUTED_VALUE"""),12000000)</f>
        <v>12000000</v>
      </c>
      <c r="R438" s="3" t="str">
        <f ca="1">IFERROR(__xludf.DUMMYFUNCTION("""COMPUTED_VALUE"""),"https://drive.google.com/open?id=KP4U8G666kb9w2HDaJAM")</f>
        <v>https://drive.google.com/open?id=KP4U8G666kb9w2HDaJAM</v>
      </c>
      <c r="S438" s="1">
        <f ca="1">IFERROR(__xludf.DUMMYFUNCTION("""COMPUTED_VALUE"""),36000000)</f>
        <v>36000000</v>
      </c>
      <c r="T438" s="1" t="str">
        <f ca="1">IFERROR(__xludf.DUMMYFUNCTION("""COMPUTED_VALUE"""),"Platinum")</f>
        <v>Platinum</v>
      </c>
      <c r="U438" s="1" t="str">
        <f ca="1">IFERROR(__xludf.DUMMYFUNCTION("""COMPUTED_VALUE"""),"Partner")</f>
        <v>Partner</v>
      </c>
    </row>
    <row r="439" spans="1:21" x14ac:dyDescent="0.25">
      <c r="A439" s="2" t="str">
        <f ca="1">IFERROR(__xludf.DUMMYFUNCTION("""COMPUTED_VALUE"""),"APP0438")</f>
        <v>APP0438</v>
      </c>
      <c r="B439" s="2">
        <f ca="1">IFERROR(__xludf.DUMMYFUNCTION("""COMPUTED_VALUE"""),45923.1258101851)</f>
        <v>45923.125810185098</v>
      </c>
      <c r="C439" s="1" t="str">
        <f ca="1">IFERROR(__xludf.DUMMYFUNCTION("""COMPUTED_VALUE"""),"Vũ Thị Hà")</f>
        <v>Vũ Thị Hà</v>
      </c>
      <c r="D439" s="1" t="str">
        <f ca="1">IFERROR(__xludf.DUMMYFUNCTION("""COMPUTED_VALUE"""),"07/07/1974")</f>
        <v>07/07/1974</v>
      </c>
      <c r="E439" s="1" t="str">
        <f ca="1">IFERROR(__xludf.DUMMYFUNCTION("""COMPUTED_VALUE"""),"Female")</f>
        <v>Female</v>
      </c>
      <c r="F439" s="1" t="str">
        <f ca="1">IFERROR(__xludf.DUMMYFUNCTION("""COMPUTED_VALUE"""),"Vietnam")</f>
        <v>Vietnam</v>
      </c>
      <c r="G439" s="1" t="str">
        <f ca="1">IFERROR(__xludf.DUMMYFUNCTION("""COMPUTED_VALUE"""),"0970571076")</f>
        <v>0970571076</v>
      </c>
      <c r="H439" s="1" t="str">
        <f ca="1">IFERROR(__xludf.DUMMYFUNCTION("""COMPUTED_VALUE"""),"vuthiha@gmail.com")</f>
        <v>vuthiha@gmail.com</v>
      </c>
      <c r="I439" s="1" t="str">
        <f ca="1">IFERROR(__xludf.DUMMYFUNCTION("""COMPUTED_VALUE"""),"199 Le Loi, Quan 7, Can Tho, Viet Nam")</f>
        <v>199 Le Loi, Quan 7, Can Tho, Viet Nam</v>
      </c>
      <c r="J439" s="1" t="str">
        <f ca="1">IFERROR(__xludf.DUMMYFUNCTION("""COMPUTED_VALUE"""),"027281824855")</f>
        <v>027281824855</v>
      </c>
      <c r="K439" s="3" t="str">
        <f ca="1">IFERROR(__xludf.DUMMYFUNCTION("""COMPUTED_VALUE"""),"https://drive.google.com/open?id=Y52A3bsJieJWbnzHvJke")</f>
        <v>https://drive.google.com/open?id=Y52A3bsJieJWbnzHvJke</v>
      </c>
      <c r="L439" s="3" t="str">
        <f ca="1">IFERROR(__xludf.DUMMYFUNCTION("""COMPUTED_VALUE"""),"https://drive.google.com/open?id=LxcGkAW2MjFeFM1hTlYA")</f>
        <v>https://drive.google.com/open?id=LxcGkAW2MjFeFM1hTlYA</v>
      </c>
      <c r="M439" s="1"/>
      <c r="N439" s="1"/>
      <c r="O439" s="1"/>
      <c r="P439" s="1" t="str">
        <f ca="1">IFERROR(__xludf.DUMMYFUNCTION("""COMPUTED_VALUE"""),"Freelancer")</f>
        <v>Freelancer</v>
      </c>
      <c r="Q439" s="1">
        <f ca="1">IFERROR(__xludf.DUMMYFUNCTION("""COMPUTED_VALUE"""),12000000)</f>
        <v>12000000</v>
      </c>
      <c r="R439" s="3" t="str">
        <f ca="1">IFERROR(__xludf.DUMMYFUNCTION("""COMPUTED_VALUE"""),"https://drive.google.com/open?id=9C8XbeIZnwcAGqzswXhd")</f>
        <v>https://drive.google.com/open?id=9C8XbeIZnwcAGqzswXhd</v>
      </c>
      <c r="S439" s="1">
        <f ca="1">IFERROR(__xludf.DUMMYFUNCTION("""COMPUTED_VALUE"""),24000000)</f>
        <v>24000000</v>
      </c>
      <c r="T439" s="1" t="str">
        <f ca="1">IFERROR(__xludf.DUMMYFUNCTION("""COMPUTED_VALUE"""),"Gold")</f>
        <v>Gold</v>
      </c>
      <c r="U439" s="1" t="str">
        <f ca="1">IFERROR(__xludf.DUMMYFUNCTION("""COMPUTED_VALUE"""),"Branch")</f>
        <v>Branch</v>
      </c>
    </row>
    <row r="440" spans="1:21" x14ac:dyDescent="0.25">
      <c r="A440" s="2" t="str">
        <f ca="1">IFERROR(__xludf.DUMMYFUNCTION("""COMPUTED_VALUE"""),"APP0439")</f>
        <v>APP0439</v>
      </c>
      <c r="B440" s="2">
        <f ca="1">IFERROR(__xludf.DUMMYFUNCTION("""COMPUTED_VALUE"""),45923.1296527777)</f>
        <v>45923.129652777701</v>
      </c>
      <c r="C440" s="1" t="str">
        <f ca="1">IFERROR(__xludf.DUMMYFUNCTION("""COMPUTED_VALUE"""),"Dana Carter")</f>
        <v>Dana Carter</v>
      </c>
      <c r="D440" s="1" t="str">
        <f ca="1">IFERROR(__xludf.DUMMYFUNCTION("""COMPUTED_VALUE"""),"05/07/1978")</f>
        <v>05/07/1978</v>
      </c>
      <c r="E440" s="1" t="str">
        <f ca="1">IFERROR(__xludf.DUMMYFUNCTION("""COMPUTED_VALUE"""),"Male")</f>
        <v>Male</v>
      </c>
      <c r="F440" s="1" t="str">
        <f ca="1">IFERROR(__xludf.DUMMYFUNCTION("""COMPUTED_VALUE"""),"Other")</f>
        <v>Other</v>
      </c>
      <c r="G440" s="1" t="str">
        <f ca="1">IFERROR(__xludf.DUMMYFUNCTION("""COMPUTED_VALUE"""),"+65 8802737909")</f>
        <v>+65 8802737909</v>
      </c>
      <c r="H440" s="1" t="str">
        <f ca="1">IFERROR(__xludf.DUMMYFUNCTION("""COMPUTED_VALUE"""),"danacarter@gmail.com")</f>
        <v>danacarter@gmail.com</v>
      </c>
      <c r="I440" s="1" t="str">
        <f ca="1">IFERROR(__xludf.DUMMYFUNCTION("""COMPUTED_VALUE"""),"980 Ryan Plains, Lake Jesse, TX 37718")</f>
        <v>980 Ryan Plains, Lake Jesse, TX 37718</v>
      </c>
      <c r="J440" s="1"/>
      <c r="K440" s="1"/>
      <c r="L440" s="1"/>
      <c r="M440" s="1" t="str">
        <f ca="1">IFERROR(__xludf.DUMMYFUNCTION("""COMPUTED_VALUE"""),"Iz089291")</f>
        <v>Iz089291</v>
      </c>
      <c r="N440" s="3" t="str">
        <f ca="1">IFERROR(__xludf.DUMMYFUNCTION("""COMPUTED_VALUE"""),"https://drive.google.com/open?id=5hK9i6Cg01EcBTX0lb59")</f>
        <v>https://drive.google.com/open?id=5hK9i6Cg01EcBTX0lb59</v>
      </c>
      <c r="O440" s="3" t="str">
        <f ca="1">IFERROR(__xludf.DUMMYFUNCTION("""COMPUTED_VALUE"""),"https://drive.google.com/open?id=GVgkwGocr9zNP8SgPdyU")</f>
        <v>https://drive.google.com/open?id=GVgkwGocr9zNP8SgPdyU</v>
      </c>
      <c r="P440" s="1" t="str">
        <f ca="1">IFERROR(__xludf.DUMMYFUNCTION("""COMPUTED_VALUE"""),"Contract")</f>
        <v>Contract</v>
      </c>
      <c r="Q440" s="1">
        <f ca="1">IFERROR(__xludf.DUMMYFUNCTION("""COMPUTED_VALUE"""),5000000)</f>
        <v>5000000</v>
      </c>
      <c r="R440" s="3" t="str">
        <f ca="1">IFERROR(__xludf.DUMMYFUNCTION("""COMPUTED_VALUE"""),"https://drive.google.com/open?id=1I9OLvLYuMSbq9I09d7U")</f>
        <v>https://drive.google.com/open?id=1I9OLvLYuMSbq9I09d7U</v>
      </c>
      <c r="S440" s="1">
        <f ca="1">IFERROR(__xludf.DUMMYFUNCTION("""COMPUTED_VALUE"""),25000000)</f>
        <v>25000000</v>
      </c>
      <c r="T440" s="1" t="str">
        <f ca="1">IFERROR(__xludf.DUMMYFUNCTION("""COMPUTED_VALUE"""),"Platinum")</f>
        <v>Platinum</v>
      </c>
      <c r="U440" s="1" t="str">
        <f ca="1">IFERROR(__xludf.DUMMYFUNCTION("""COMPUTED_VALUE"""),"Partner")</f>
        <v>Partner</v>
      </c>
    </row>
    <row r="441" spans="1:21" x14ac:dyDescent="0.25">
      <c r="A441" s="2" t="str">
        <f ca="1">IFERROR(__xludf.DUMMYFUNCTION("""COMPUTED_VALUE"""),"APP0440")</f>
        <v>APP0440</v>
      </c>
      <c r="B441" s="2">
        <f ca="1">IFERROR(__xludf.DUMMYFUNCTION("""COMPUTED_VALUE"""),45923.2061689814)</f>
        <v>45923.2061689814</v>
      </c>
      <c r="C441" s="1" t="str">
        <f ca="1">IFERROR(__xludf.DUMMYFUNCTION("""COMPUTED_VALUE"""),"Nguyễn Văn Châu")</f>
        <v>Nguyễn Văn Châu</v>
      </c>
      <c r="D441" s="1" t="str">
        <f ca="1">IFERROR(__xludf.DUMMYFUNCTION("""COMPUTED_VALUE"""),"23/11/1989")</f>
        <v>23/11/1989</v>
      </c>
      <c r="E441" s="1" t="str">
        <f ca="1">IFERROR(__xludf.DUMMYFUNCTION("""COMPUTED_VALUE"""),"Female")</f>
        <v>Female</v>
      </c>
      <c r="F441" s="1" t="str">
        <f ca="1">IFERROR(__xludf.DUMMYFUNCTION("""COMPUTED_VALUE"""),"Vietnam")</f>
        <v>Vietnam</v>
      </c>
      <c r="G441" s="1" t="str">
        <f ca="1">IFERROR(__xludf.DUMMYFUNCTION("""COMPUTED_VALUE"""),"0751203147")</f>
        <v>0751203147</v>
      </c>
      <c r="H441" s="1" t="str">
        <f ca="1">IFERROR(__xludf.DUMMYFUNCTION("""COMPUTED_VALUE"""),"nguyenvanchau@gmail.com")</f>
        <v>nguyenvanchau@gmail.com</v>
      </c>
      <c r="I441" s="1" t="str">
        <f ca="1">IFERROR(__xludf.DUMMYFUNCTION("""COMPUTED_VALUE"""),"167 Nguyen Trai, Hai Chau, Hai Phong, Viet Nam")</f>
        <v>167 Nguyen Trai, Hai Chau, Hai Phong, Viet Nam</v>
      </c>
      <c r="J441" s="1" t="str">
        <f ca="1">IFERROR(__xludf.DUMMYFUNCTION("""COMPUTED_VALUE"""),"062862409914")</f>
        <v>062862409914</v>
      </c>
      <c r="K441" s="3" t="str">
        <f ca="1">IFERROR(__xludf.DUMMYFUNCTION("""COMPUTED_VALUE"""),"https://drive.google.com/open?id=tHe5hCJtSJEnvRCVilTb")</f>
        <v>https://drive.google.com/open?id=tHe5hCJtSJEnvRCVilTb</v>
      </c>
      <c r="L441" s="3" t="str">
        <f ca="1">IFERROR(__xludf.DUMMYFUNCTION("""COMPUTED_VALUE"""),"https://drive.google.com/open?id=B1AWTb7bDyhxFO43jtPA")</f>
        <v>https://drive.google.com/open?id=B1AWTb7bDyhxFO43jtPA</v>
      </c>
      <c r="M441" s="1"/>
      <c r="N441" s="1"/>
      <c r="O441" s="1"/>
      <c r="P441" s="1" t="str">
        <f ca="1">IFERROR(__xludf.DUMMYFUNCTION("""COMPUTED_VALUE"""),"Freelancer")</f>
        <v>Freelancer</v>
      </c>
      <c r="Q441" s="1">
        <f ca="1">IFERROR(__xludf.DUMMYFUNCTION("""COMPUTED_VALUE"""),12000000)</f>
        <v>12000000</v>
      </c>
      <c r="R441" s="3" t="str">
        <f ca="1">IFERROR(__xludf.DUMMYFUNCTION("""COMPUTED_VALUE"""),"https://drive.google.com/open?id=KmPvuMlss0xFIEl1twoZ")</f>
        <v>https://drive.google.com/open?id=KmPvuMlss0xFIEl1twoZ</v>
      </c>
      <c r="S441" s="1">
        <f ca="1">IFERROR(__xludf.DUMMYFUNCTION("""COMPUTED_VALUE"""),60000000)</f>
        <v>60000000</v>
      </c>
      <c r="T441" s="1" t="str">
        <f ca="1">IFERROR(__xludf.DUMMYFUNCTION("""COMPUTED_VALUE"""),"Gold")</f>
        <v>Gold</v>
      </c>
      <c r="U441" s="1" t="str">
        <f ca="1">IFERROR(__xludf.DUMMYFUNCTION("""COMPUTED_VALUE"""),"Partner")</f>
        <v>Partner</v>
      </c>
    </row>
    <row r="442" spans="1:21" x14ac:dyDescent="0.25">
      <c r="A442" s="2" t="str">
        <f ca="1">IFERROR(__xludf.DUMMYFUNCTION("""COMPUTED_VALUE"""),"APP0441")</f>
        <v>APP0441</v>
      </c>
      <c r="B442" s="2">
        <f ca="1">IFERROR(__xludf.DUMMYFUNCTION("""COMPUTED_VALUE"""),45923.227037037)</f>
        <v>45923.227037037002</v>
      </c>
      <c r="C442" s="1" t="str">
        <f ca="1">IFERROR(__xludf.DUMMYFUNCTION("""COMPUTED_VALUE"""),"Kyle Callahan")</f>
        <v>Kyle Callahan</v>
      </c>
      <c r="D442" s="1" t="str">
        <f ca="1">IFERROR(__xludf.DUMMYFUNCTION("""COMPUTED_VALUE"""),"13/02/1996")</f>
        <v>13/02/1996</v>
      </c>
      <c r="E442" s="1" t="str">
        <f ca="1">IFERROR(__xludf.DUMMYFUNCTION("""COMPUTED_VALUE"""),"Male")</f>
        <v>Male</v>
      </c>
      <c r="F442" s="1" t="str">
        <f ca="1">IFERROR(__xludf.DUMMYFUNCTION("""COMPUTED_VALUE"""),"Other")</f>
        <v>Other</v>
      </c>
      <c r="G442" s="1" t="str">
        <f ca="1">IFERROR(__xludf.DUMMYFUNCTION("""COMPUTED_VALUE"""),"+65 138353203")</f>
        <v>+65 138353203</v>
      </c>
      <c r="H442" s="1" t="str">
        <f ca="1">IFERROR(__xludf.DUMMYFUNCTION("""COMPUTED_VALUE"""),"kylecallahan@gmail.com")</f>
        <v>kylecallahan@gmail.com</v>
      </c>
      <c r="I442" s="1" t="str">
        <f ca="1">IFERROR(__xludf.DUMMYFUNCTION("""COMPUTED_VALUE"""),"99752 Nguyen Trafficway Apt. 673, Jeremymouth, OR 90936")</f>
        <v>99752 Nguyen Trafficway Apt. 673, Jeremymouth, OR 90936</v>
      </c>
      <c r="J442" s="1"/>
      <c r="K442" s="1"/>
      <c r="L442" s="1"/>
      <c r="M442" s="1" t="str">
        <f ca="1">IFERROR(__xludf.DUMMYFUNCTION("""COMPUTED_VALUE"""),"Sq328458")</f>
        <v>Sq328458</v>
      </c>
      <c r="N442" s="3" t="str">
        <f ca="1">IFERROR(__xludf.DUMMYFUNCTION("""COMPUTED_VALUE"""),"https://drive.google.com/open?id=s9lyglX6CQvx1zPt0w17")</f>
        <v>https://drive.google.com/open?id=s9lyglX6CQvx1zPt0w17</v>
      </c>
      <c r="O442" s="3" t="str">
        <f ca="1">IFERROR(__xludf.DUMMYFUNCTION("""COMPUTED_VALUE"""),"https://drive.google.com/open?id=1ekTupdEjJJmuSXV4Opu")</f>
        <v>https://drive.google.com/open?id=1ekTupdEjJJmuSXV4Opu</v>
      </c>
      <c r="P442" s="1" t="str">
        <f ca="1">IFERROR(__xludf.DUMMYFUNCTION("""COMPUTED_VALUE"""),"Contract")</f>
        <v>Contract</v>
      </c>
      <c r="Q442" s="1">
        <f ca="1">IFERROR(__xludf.DUMMYFUNCTION("""COMPUTED_VALUE"""),20000000)</f>
        <v>20000000</v>
      </c>
      <c r="R442" s="3" t="str">
        <f ca="1">IFERROR(__xludf.DUMMYFUNCTION("""COMPUTED_VALUE"""),"https://drive.google.com/open?id=XB20CB9FqBBI1VgVvQn8")</f>
        <v>https://drive.google.com/open?id=XB20CB9FqBBI1VgVvQn8</v>
      </c>
      <c r="S442" s="1">
        <f ca="1">IFERROR(__xludf.DUMMYFUNCTION("""COMPUTED_VALUE"""),40000000)</f>
        <v>40000000</v>
      </c>
      <c r="T442" s="1" t="str">
        <f ca="1">IFERROR(__xludf.DUMMYFUNCTION("""COMPUTED_VALUE"""),"Gold")</f>
        <v>Gold</v>
      </c>
      <c r="U442" s="1" t="str">
        <f ca="1">IFERROR(__xludf.DUMMYFUNCTION("""COMPUTED_VALUE"""),"Online")</f>
        <v>Online</v>
      </c>
    </row>
    <row r="443" spans="1:21" x14ac:dyDescent="0.25">
      <c r="A443" s="2" t="str">
        <f ca="1">IFERROR(__xludf.DUMMYFUNCTION("""COMPUTED_VALUE"""),"APP0442")</f>
        <v>APP0442</v>
      </c>
      <c r="B443" s="2">
        <f ca="1">IFERROR(__xludf.DUMMYFUNCTION("""COMPUTED_VALUE"""),45923.2303587962)</f>
        <v>45923.230358796201</v>
      </c>
      <c r="C443" s="1" t="str">
        <f ca="1">IFERROR(__xludf.DUMMYFUNCTION("""COMPUTED_VALUE"""),"Hoàng Minh Hùng")</f>
        <v>Hoàng Minh Hùng</v>
      </c>
      <c r="D443" s="1" t="str">
        <f ca="1">IFERROR(__xludf.DUMMYFUNCTION("""COMPUTED_VALUE"""),"14/06/1982")</f>
        <v>14/06/1982</v>
      </c>
      <c r="E443" s="1" t="str">
        <f ca="1">IFERROR(__xludf.DUMMYFUNCTION("""COMPUTED_VALUE"""),"Female")</f>
        <v>Female</v>
      </c>
      <c r="F443" s="1" t="str">
        <f ca="1">IFERROR(__xludf.DUMMYFUNCTION("""COMPUTED_VALUE"""),"Vietnam")</f>
        <v>Vietnam</v>
      </c>
      <c r="G443" s="1" t="str">
        <f ca="1">IFERROR(__xludf.DUMMYFUNCTION("""COMPUTED_VALUE"""),"0717346983")</f>
        <v>0717346983</v>
      </c>
      <c r="H443" s="1" t="str">
        <f ca="1">IFERROR(__xludf.DUMMYFUNCTION("""COMPUTED_VALUE"""),"hoangminhhung@gmail.com")</f>
        <v>hoangminhhung@gmail.com</v>
      </c>
      <c r="I443" s="1" t="str">
        <f ca="1">IFERROR(__xludf.DUMMYFUNCTION("""COMPUTED_VALUE"""),"138 Nguyen Hue, Hoan Kiem, Ha Noi, Viet Nam")</f>
        <v>138 Nguyen Hue, Hoan Kiem, Ha Noi, Viet Nam</v>
      </c>
      <c r="J443" s="1" t="str">
        <f ca="1">IFERROR(__xludf.DUMMYFUNCTION("""COMPUTED_VALUE"""),"088848841714")</f>
        <v>088848841714</v>
      </c>
      <c r="K443" s="3" t="str">
        <f ca="1">IFERROR(__xludf.DUMMYFUNCTION("""COMPUTED_VALUE"""),"https://drive.google.com/open?id=M78aIMSTH9Lo1Z0yfT6I")</f>
        <v>https://drive.google.com/open?id=M78aIMSTH9Lo1Z0yfT6I</v>
      </c>
      <c r="L443" s="3" t="str">
        <f ca="1">IFERROR(__xludf.DUMMYFUNCTION("""COMPUTED_VALUE"""),"https://drive.google.com/open?id=rz7xH37d2UnnBOgEZwVs")</f>
        <v>https://drive.google.com/open?id=rz7xH37d2UnnBOgEZwVs</v>
      </c>
      <c r="M443" s="1"/>
      <c r="N443" s="1"/>
      <c r="O443" s="1"/>
      <c r="P443" s="1" t="str">
        <f ca="1">IFERROR(__xludf.DUMMYFUNCTION("""COMPUTED_VALUE"""),"Contract")</f>
        <v>Contract</v>
      </c>
      <c r="Q443" s="1">
        <f ca="1">IFERROR(__xludf.DUMMYFUNCTION("""COMPUTED_VALUE"""),50000000)</f>
        <v>50000000</v>
      </c>
      <c r="R443" s="3" t="str">
        <f ca="1">IFERROR(__xludf.DUMMYFUNCTION("""COMPUTED_VALUE"""),"https://drive.google.com/open?id=u8SoI7djhK0jlugBUa8h")</f>
        <v>https://drive.google.com/open?id=u8SoI7djhK0jlugBUa8h</v>
      </c>
      <c r="S443" s="1">
        <f ca="1">IFERROR(__xludf.DUMMYFUNCTION("""COMPUTED_VALUE"""),150000000)</f>
        <v>150000000</v>
      </c>
      <c r="T443" s="1" t="str">
        <f ca="1">IFERROR(__xludf.DUMMYFUNCTION("""COMPUTED_VALUE"""),"Platinum")</f>
        <v>Platinum</v>
      </c>
      <c r="U443" s="1" t="str">
        <f ca="1">IFERROR(__xludf.DUMMYFUNCTION("""COMPUTED_VALUE"""),"Partner")</f>
        <v>Partner</v>
      </c>
    </row>
    <row r="444" spans="1:21" x14ac:dyDescent="0.25">
      <c r="A444" s="2" t="str">
        <f ca="1">IFERROR(__xludf.DUMMYFUNCTION("""COMPUTED_VALUE"""),"APP0443")</f>
        <v>APP0443</v>
      </c>
      <c r="B444" s="2">
        <f ca="1">IFERROR(__xludf.DUMMYFUNCTION("""COMPUTED_VALUE"""),45923.2339699074)</f>
        <v>45923.2339699074</v>
      </c>
      <c r="C444" s="1" t="str">
        <f ca="1">IFERROR(__xludf.DUMMYFUNCTION("""COMPUTED_VALUE"""),"Hoàng Văn Trang")</f>
        <v>Hoàng Văn Trang</v>
      </c>
      <c r="D444" s="1" t="str">
        <f ca="1">IFERROR(__xludf.DUMMYFUNCTION("""COMPUTED_VALUE"""),"12/11/1998")</f>
        <v>12/11/1998</v>
      </c>
      <c r="E444" s="1" t="str">
        <f ca="1">IFERROR(__xludf.DUMMYFUNCTION("""COMPUTED_VALUE"""),"Male")</f>
        <v>Male</v>
      </c>
      <c r="F444" s="1" t="str">
        <f ca="1">IFERROR(__xludf.DUMMYFUNCTION("""COMPUTED_VALUE"""),"Vietnam")</f>
        <v>Vietnam</v>
      </c>
      <c r="G444" s="1" t="str">
        <f ca="1">IFERROR(__xludf.DUMMYFUNCTION("""COMPUTED_VALUE"""),"0977960514")</f>
        <v>0977960514</v>
      </c>
      <c r="H444" s="1" t="str">
        <f ca="1">IFERROR(__xludf.DUMMYFUNCTION("""COMPUTED_VALUE"""),"hoangvantrang@gmail.com")</f>
        <v>hoangvantrang@gmail.com</v>
      </c>
      <c r="I444" s="1" t="str">
        <f ca="1">IFERROR(__xludf.DUMMYFUNCTION("""COMPUTED_VALUE"""),"130 Nguyen Trai, Quan 1, TP Ho Chi Minh, Viet Nam")</f>
        <v>130 Nguyen Trai, Quan 1, TP Ho Chi Minh, Viet Nam</v>
      </c>
      <c r="J444" s="1" t="str">
        <f ca="1">IFERROR(__xludf.DUMMYFUNCTION("""COMPUTED_VALUE"""),"060382487400")</f>
        <v>060382487400</v>
      </c>
      <c r="K444" s="3" t="str">
        <f ca="1">IFERROR(__xludf.DUMMYFUNCTION("""COMPUTED_VALUE"""),"https://drive.google.com/open?id=wORbYUnjtgytVuvbAF1d")</f>
        <v>https://drive.google.com/open?id=wORbYUnjtgytVuvbAF1d</v>
      </c>
      <c r="L444" s="3" t="str">
        <f ca="1">IFERROR(__xludf.DUMMYFUNCTION("""COMPUTED_VALUE"""),"https://drive.google.com/open?id=bM56365QeYitj6TO2YRI")</f>
        <v>https://drive.google.com/open?id=bM56365QeYitj6TO2YRI</v>
      </c>
      <c r="M444" s="1"/>
      <c r="N444" s="1"/>
      <c r="O444" s="1"/>
      <c r="P444" s="1" t="str">
        <f ca="1">IFERROR(__xludf.DUMMYFUNCTION("""COMPUTED_VALUE"""),"Full-time")</f>
        <v>Full-time</v>
      </c>
      <c r="Q444" s="1">
        <f ca="1">IFERROR(__xludf.DUMMYFUNCTION("""COMPUTED_VALUE"""),20000000)</f>
        <v>20000000</v>
      </c>
      <c r="R444" s="3" t="str">
        <f ca="1">IFERROR(__xludf.DUMMYFUNCTION("""COMPUTED_VALUE"""),"https://drive.google.com/open?id=ANHOUxvjmDZmypCtxk8i")</f>
        <v>https://drive.google.com/open?id=ANHOUxvjmDZmypCtxk8i</v>
      </c>
      <c r="S444" s="1">
        <f ca="1">IFERROR(__xludf.DUMMYFUNCTION("""COMPUTED_VALUE"""),60000000)</f>
        <v>60000000</v>
      </c>
      <c r="T444" s="1" t="str">
        <f ca="1">IFERROR(__xludf.DUMMYFUNCTION("""COMPUTED_VALUE"""),"Classic")</f>
        <v>Classic</v>
      </c>
      <c r="U444" s="1" t="str">
        <f ca="1">IFERROR(__xludf.DUMMYFUNCTION("""COMPUTED_VALUE"""),"Branch")</f>
        <v>Branch</v>
      </c>
    </row>
    <row r="445" spans="1:21" x14ac:dyDescent="0.25">
      <c r="A445" s="2" t="str">
        <f ca="1">IFERROR(__xludf.DUMMYFUNCTION("""COMPUTED_VALUE"""),"APP0444")</f>
        <v>APP0444</v>
      </c>
      <c r="B445" s="2">
        <f ca="1">IFERROR(__xludf.DUMMYFUNCTION("""COMPUTED_VALUE"""),45923.2565972222)</f>
        <v>45923.2565972222</v>
      </c>
      <c r="C445" s="1" t="str">
        <f ca="1">IFERROR(__xludf.DUMMYFUNCTION("""COMPUTED_VALUE"""),"Benjamin Rowe")</f>
        <v>Benjamin Rowe</v>
      </c>
      <c r="D445" s="1" t="str">
        <f ca="1">IFERROR(__xludf.DUMMYFUNCTION("""COMPUTED_VALUE"""),"05/02/1973")</f>
        <v>05/02/1973</v>
      </c>
      <c r="E445" s="1" t="str">
        <f ca="1">IFERROR(__xludf.DUMMYFUNCTION("""COMPUTED_VALUE"""),"Female")</f>
        <v>Female</v>
      </c>
      <c r="F445" s="1" t="str">
        <f ca="1">IFERROR(__xludf.DUMMYFUNCTION("""COMPUTED_VALUE"""),"Other")</f>
        <v>Other</v>
      </c>
      <c r="G445" s="1" t="str">
        <f ca="1">IFERROR(__xludf.DUMMYFUNCTION("""COMPUTED_VALUE"""),"+81 3030435724")</f>
        <v>+81 3030435724</v>
      </c>
      <c r="H445" s="1" t="str">
        <f ca="1">IFERROR(__xludf.DUMMYFUNCTION("""COMPUTED_VALUE"""),"benjaminrowe@gmail.com")</f>
        <v>benjaminrowe@gmail.com</v>
      </c>
      <c r="I445" s="1" t="str">
        <f ca="1">IFERROR(__xludf.DUMMYFUNCTION("""COMPUTED_VALUE"""),"PSC 0324, Box 3052, APO AE 15276")</f>
        <v>PSC 0324, Box 3052, APO AE 15276</v>
      </c>
      <c r="J445" s="1"/>
      <c r="K445" s="1"/>
      <c r="L445" s="1"/>
      <c r="M445" s="1" t="str">
        <f ca="1">IFERROR(__xludf.DUMMYFUNCTION("""COMPUTED_VALUE"""),"TI805751")</f>
        <v>TI805751</v>
      </c>
      <c r="N445" s="3" t="str">
        <f ca="1">IFERROR(__xludf.DUMMYFUNCTION("""COMPUTED_VALUE"""),"https://drive.google.com/open?id=ffkQuhL5EptZT1QnDxR0")</f>
        <v>https://drive.google.com/open?id=ffkQuhL5EptZT1QnDxR0</v>
      </c>
      <c r="O445" s="3" t="str">
        <f ca="1">IFERROR(__xludf.DUMMYFUNCTION("""COMPUTED_VALUE"""),"https://drive.google.com/open?id=LTskSqunAzh9kTagUOYM")</f>
        <v>https://drive.google.com/open?id=LTskSqunAzh9kTagUOYM</v>
      </c>
      <c r="P445" s="1" t="str">
        <f ca="1">IFERROR(__xludf.DUMMYFUNCTION("""COMPUTED_VALUE"""),"Contract")</f>
        <v>Contract</v>
      </c>
      <c r="Q445" s="1">
        <f ca="1">IFERROR(__xludf.DUMMYFUNCTION("""COMPUTED_VALUE"""),5000000)</f>
        <v>5000000</v>
      </c>
      <c r="R445" s="3" t="str">
        <f ca="1">IFERROR(__xludf.DUMMYFUNCTION("""COMPUTED_VALUE"""),"https://drive.google.com/open?id=uq1DTn5H3xUCQrA7Gwqu")</f>
        <v>https://drive.google.com/open?id=uq1DTn5H3xUCQrA7Gwqu</v>
      </c>
      <c r="S445" s="1">
        <f ca="1">IFERROR(__xludf.DUMMYFUNCTION("""COMPUTED_VALUE"""),25000000)</f>
        <v>25000000</v>
      </c>
      <c r="T445" s="1" t="str">
        <f ca="1">IFERROR(__xludf.DUMMYFUNCTION("""COMPUTED_VALUE"""),"Gold")</f>
        <v>Gold</v>
      </c>
      <c r="U445" s="1" t="str">
        <f ca="1">IFERROR(__xludf.DUMMYFUNCTION("""COMPUTED_VALUE"""),"Partner")</f>
        <v>Partner</v>
      </c>
    </row>
    <row r="446" spans="1:21" x14ac:dyDescent="0.25">
      <c r="A446" s="2" t="str">
        <f ca="1">IFERROR(__xludf.DUMMYFUNCTION("""COMPUTED_VALUE"""),"APP0445")</f>
        <v>APP0445</v>
      </c>
      <c r="B446" s="2">
        <f ca="1">IFERROR(__xludf.DUMMYFUNCTION("""COMPUTED_VALUE"""),45923.2919097222)</f>
        <v>45923.291909722197</v>
      </c>
      <c r="C446" s="1" t="str">
        <f ca="1">IFERROR(__xludf.DUMMYFUNCTION("""COMPUTED_VALUE"""),"Hoàng Thanh Hải")</f>
        <v>Hoàng Thanh Hải</v>
      </c>
      <c r="D446" s="1" t="str">
        <f ca="1">IFERROR(__xludf.DUMMYFUNCTION("""COMPUTED_VALUE"""),"23/08/1978")</f>
        <v>23/08/1978</v>
      </c>
      <c r="E446" s="1" t="str">
        <f ca="1">IFERROR(__xludf.DUMMYFUNCTION("""COMPUTED_VALUE"""),"Male")</f>
        <v>Male</v>
      </c>
      <c r="F446" s="1" t="str">
        <f ca="1">IFERROR(__xludf.DUMMYFUNCTION("""COMPUTED_VALUE"""),"Vietnam")</f>
        <v>Vietnam</v>
      </c>
      <c r="G446" s="1" t="str">
        <f ca="1">IFERROR(__xludf.DUMMYFUNCTION("""COMPUTED_VALUE"""),"0842781952")</f>
        <v>0842781952</v>
      </c>
      <c r="H446" s="1" t="str">
        <f ca="1">IFERROR(__xludf.DUMMYFUNCTION("""COMPUTED_VALUE"""),"hoangthanhhai@gmail.com")</f>
        <v>hoangthanhhai@gmail.com</v>
      </c>
      <c r="I446" s="1" t="str">
        <f ca="1">IFERROR(__xludf.DUMMYFUNCTION("""COMPUTED_VALUE"""),"171 Nguyen Hue, Quan 7, TP Ho Chi Minh, Viet Nam")</f>
        <v>171 Nguyen Hue, Quan 7, TP Ho Chi Minh, Viet Nam</v>
      </c>
      <c r="J446" s="1" t="str">
        <f ca="1">IFERROR(__xludf.DUMMYFUNCTION("""COMPUTED_VALUE"""),"025206121589")</f>
        <v>025206121589</v>
      </c>
      <c r="K446" s="3" t="str">
        <f ca="1">IFERROR(__xludf.DUMMYFUNCTION("""COMPUTED_VALUE"""),"https://drive.google.com/open?id=sHAI2Q6ZAgNTiXx8dG0K")</f>
        <v>https://drive.google.com/open?id=sHAI2Q6ZAgNTiXx8dG0K</v>
      </c>
      <c r="L446" s="3" t="str">
        <f ca="1">IFERROR(__xludf.DUMMYFUNCTION("""COMPUTED_VALUE"""),"https://drive.google.com/open?id=ntZFPVuk7YQ6VmB3ZGQf")</f>
        <v>https://drive.google.com/open?id=ntZFPVuk7YQ6VmB3ZGQf</v>
      </c>
      <c r="M446" s="1"/>
      <c r="N446" s="1"/>
      <c r="O446" s="1"/>
      <c r="P446" s="1" t="str">
        <f ca="1">IFERROR(__xludf.DUMMYFUNCTION("""COMPUTED_VALUE"""),"Part-time")</f>
        <v>Part-time</v>
      </c>
      <c r="Q446" s="1">
        <f ca="1">IFERROR(__xludf.DUMMYFUNCTION("""COMPUTED_VALUE"""),50000000)</f>
        <v>50000000</v>
      </c>
      <c r="R446" s="3" t="str">
        <f ca="1">IFERROR(__xludf.DUMMYFUNCTION("""COMPUTED_VALUE"""),"https://drive.google.com/open?id=n5OnDRKwOImT83w4wIxp")</f>
        <v>https://drive.google.com/open?id=n5OnDRKwOImT83w4wIxp</v>
      </c>
      <c r="S446" s="1">
        <f ca="1">IFERROR(__xludf.DUMMYFUNCTION("""COMPUTED_VALUE"""),150000000)</f>
        <v>150000000</v>
      </c>
      <c r="T446" s="1" t="str">
        <f ca="1">IFERROR(__xludf.DUMMYFUNCTION("""COMPUTED_VALUE"""),"Platinum")</f>
        <v>Platinum</v>
      </c>
      <c r="U446" s="1" t="str">
        <f ca="1">IFERROR(__xludf.DUMMYFUNCTION("""COMPUTED_VALUE"""),"Branch")</f>
        <v>Branch</v>
      </c>
    </row>
    <row r="447" spans="1:21" x14ac:dyDescent="0.25">
      <c r="A447" s="2" t="str">
        <f ca="1">IFERROR(__xludf.DUMMYFUNCTION("""COMPUTED_VALUE"""),"APP0446")</f>
        <v>APP0446</v>
      </c>
      <c r="B447" s="2">
        <f ca="1">IFERROR(__xludf.DUMMYFUNCTION("""COMPUTED_VALUE"""),45923.3848263888)</f>
        <v>45923.384826388799</v>
      </c>
      <c r="C447" s="1" t="str">
        <f ca="1">IFERROR(__xludf.DUMMYFUNCTION("""COMPUTED_VALUE"""),"Phan Anh Lan")</f>
        <v>Phan Anh Lan</v>
      </c>
      <c r="D447" s="1" t="str">
        <f ca="1">IFERROR(__xludf.DUMMYFUNCTION("""COMPUTED_VALUE"""),"25/09/1980")</f>
        <v>25/09/1980</v>
      </c>
      <c r="E447" s="1" t="str">
        <f ca="1">IFERROR(__xludf.DUMMYFUNCTION("""COMPUTED_VALUE"""),"Female")</f>
        <v>Female</v>
      </c>
      <c r="F447" s="1" t="str">
        <f ca="1">IFERROR(__xludf.DUMMYFUNCTION("""COMPUTED_VALUE"""),"Vietnam")</f>
        <v>Vietnam</v>
      </c>
      <c r="G447" s="1" t="str">
        <f ca="1">IFERROR(__xludf.DUMMYFUNCTION("""COMPUTED_VALUE"""),"0738098587")</f>
        <v>0738098587</v>
      </c>
      <c r="H447" s="1" t="str">
        <f ca="1">IFERROR(__xludf.DUMMYFUNCTION("""COMPUTED_VALUE"""),"phananhlan@gmail.com")</f>
        <v>phananhlan@gmail.com</v>
      </c>
      <c r="I447" s="1" t="str">
        <f ca="1">IFERROR(__xludf.DUMMYFUNCTION("""COMPUTED_VALUE"""),"40 Le Loi, Hai Chau, Ha Noi, Viet Nam")</f>
        <v>40 Le Loi, Hai Chau, Ha Noi, Viet Nam</v>
      </c>
      <c r="J447" s="1" t="str">
        <f ca="1">IFERROR(__xludf.DUMMYFUNCTION("""COMPUTED_VALUE"""),"013716091286")</f>
        <v>013716091286</v>
      </c>
      <c r="K447" s="3" t="str">
        <f ca="1">IFERROR(__xludf.DUMMYFUNCTION("""COMPUTED_VALUE"""),"https://drive.google.com/open?id=n5pNBZgSMZHc2MJtR2QF")</f>
        <v>https://drive.google.com/open?id=n5pNBZgSMZHc2MJtR2QF</v>
      </c>
      <c r="L447" s="3" t="str">
        <f ca="1">IFERROR(__xludf.DUMMYFUNCTION("""COMPUTED_VALUE"""),"https://drive.google.com/open?id=4lHr6Pj6HxZEYgpt1uvu")</f>
        <v>https://drive.google.com/open?id=4lHr6Pj6HxZEYgpt1uvu</v>
      </c>
      <c r="M447" s="1"/>
      <c r="N447" s="1"/>
      <c r="O447" s="1"/>
      <c r="P447" s="1" t="str">
        <f ca="1">IFERROR(__xludf.DUMMYFUNCTION("""COMPUTED_VALUE"""),"Self-employed")</f>
        <v>Self-employed</v>
      </c>
      <c r="Q447" s="1">
        <f ca="1">IFERROR(__xludf.DUMMYFUNCTION("""COMPUTED_VALUE"""),5000000)</f>
        <v>5000000</v>
      </c>
      <c r="R447" s="3" t="str">
        <f ca="1">IFERROR(__xludf.DUMMYFUNCTION("""COMPUTED_VALUE"""),"https://drive.google.com/open?id=os13KTXhbEMe4GKmrMWv")</f>
        <v>https://drive.google.com/open?id=os13KTXhbEMe4GKmrMWv</v>
      </c>
      <c r="S447" s="1">
        <f ca="1">IFERROR(__xludf.DUMMYFUNCTION("""COMPUTED_VALUE"""),15000000)</f>
        <v>15000000</v>
      </c>
      <c r="T447" s="1" t="str">
        <f ca="1">IFERROR(__xludf.DUMMYFUNCTION("""COMPUTED_VALUE"""),"Platinum")</f>
        <v>Platinum</v>
      </c>
      <c r="U447" s="1" t="str">
        <f ca="1">IFERROR(__xludf.DUMMYFUNCTION("""COMPUTED_VALUE"""),"Online")</f>
        <v>Online</v>
      </c>
    </row>
    <row r="448" spans="1:21" x14ac:dyDescent="0.25">
      <c r="A448" s="2" t="str">
        <f ca="1">IFERROR(__xludf.DUMMYFUNCTION("""COMPUTED_VALUE"""),"APP0447")</f>
        <v>APP0447</v>
      </c>
      <c r="B448" s="2">
        <f ca="1">IFERROR(__xludf.DUMMYFUNCTION("""COMPUTED_VALUE"""),45923.396261574)</f>
        <v>45923.396261574002</v>
      </c>
      <c r="C448" s="1" t="str">
        <f ca="1">IFERROR(__xludf.DUMMYFUNCTION("""COMPUTED_VALUE"""),"Huỳnh Minh Vy")</f>
        <v>Huỳnh Minh Vy</v>
      </c>
      <c r="D448" s="1" t="str">
        <f ca="1">IFERROR(__xludf.DUMMYFUNCTION("""COMPUTED_VALUE"""),"30/07/2006")</f>
        <v>30/07/2006</v>
      </c>
      <c r="E448" s="1" t="str">
        <f ca="1">IFERROR(__xludf.DUMMYFUNCTION("""COMPUTED_VALUE"""),"Male")</f>
        <v>Male</v>
      </c>
      <c r="F448" s="1" t="str">
        <f ca="1">IFERROR(__xludf.DUMMYFUNCTION("""COMPUTED_VALUE"""),"Vietnam")</f>
        <v>Vietnam</v>
      </c>
      <c r="G448" s="1" t="str">
        <f ca="1">IFERROR(__xludf.DUMMYFUNCTION("""COMPUTED_VALUE"""),"0839538774")</f>
        <v>0839538774</v>
      </c>
      <c r="H448" s="1" t="str">
        <f ca="1">IFERROR(__xludf.DUMMYFUNCTION("""COMPUTED_VALUE"""),"huynhminhvy@gmail.com")</f>
        <v>huynhminhvy@gmail.com</v>
      </c>
      <c r="I448" s="1" t="str">
        <f ca="1">IFERROR(__xludf.DUMMYFUNCTION("""COMPUTED_VALUE"""),"39 Nguyen Hue, Hai Chau, Da Nang, Viet Nam")</f>
        <v>39 Nguyen Hue, Hai Chau, Da Nang, Viet Nam</v>
      </c>
      <c r="J448" s="1" t="str">
        <f ca="1">IFERROR(__xludf.DUMMYFUNCTION("""COMPUTED_VALUE"""),"04496367244")</f>
        <v>04496367244</v>
      </c>
      <c r="K448" s="3" t="str">
        <f ca="1">IFERROR(__xludf.DUMMYFUNCTION("""COMPUTED_VALUE"""),"https://drive.google.com/open?id=O9v9mz7d2J4IXfmogOwt")</f>
        <v>https://drive.google.com/open?id=O9v9mz7d2J4IXfmogOwt</v>
      </c>
      <c r="L448" s="3" t="str">
        <f ca="1">IFERROR(__xludf.DUMMYFUNCTION("""COMPUTED_VALUE"""),"https://drive.google.com/open?id=5TiF45x18GeiLiNPhfvG")</f>
        <v>https://drive.google.com/open?id=5TiF45x18GeiLiNPhfvG</v>
      </c>
      <c r="M448" s="1"/>
      <c r="N448" s="1"/>
      <c r="O448" s="1"/>
      <c r="P448" s="1" t="str">
        <f ca="1">IFERROR(__xludf.DUMMYFUNCTION("""COMPUTED_VALUE"""),"Full-time")</f>
        <v>Full-time</v>
      </c>
      <c r="Q448" s="1">
        <f ca="1">IFERROR(__xludf.DUMMYFUNCTION("""COMPUTED_VALUE"""),20000000)</f>
        <v>20000000</v>
      </c>
      <c r="R448" s="3" t="str">
        <f ca="1">IFERROR(__xludf.DUMMYFUNCTION("""COMPUTED_VALUE"""),"https://drive.google.com/open?id=CfTeskphd8qWpUkUfH0s")</f>
        <v>https://drive.google.com/open?id=CfTeskphd8qWpUkUfH0s</v>
      </c>
      <c r="S448" s="1">
        <f ca="1">IFERROR(__xludf.DUMMYFUNCTION("""COMPUTED_VALUE"""),60000000)</f>
        <v>60000000</v>
      </c>
      <c r="T448" s="1" t="str">
        <f ca="1">IFERROR(__xludf.DUMMYFUNCTION("""COMPUTED_VALUE"""),"Gold")</f>
        <v>Gold</v>
      </c>
      <c r="U448" s="1" t="str">
        <f ca="1">IFERROR(__xludf.DUMMYFUNCTION("""COMPUTED_VALUE"""),"Partner")</f>
        <v>Partner</v>
      </c>
    </row>
    <row r="449" spans="1:21" x14ac:dyDescent="0.25">
      <c r="A449" s="2" t="str">
        <f ca="1">IFERROR(__xludf.DUMMYFUNCTION("""COMPUTED_VALUE"""),"APP0448")</f>
        <v>APP0448</v>
      </c>
      <c r="B449" s="2">
        <f ca="1">IFERROR(__xludf.DUMMYFUNCTION("""COMPUTED_VALUE"""),45923.4430324074)</f>
        <v>45923.443032407398</v>
      </c>
      <c r="C449" s="1" t="str">
        <f ca="1">IFERROR(__xludf.DUMMYFUNCTION("""COMPUTED_VALUE"""),"Lý Văn Quỳnh")</f>
        <v>Lý Văn Quỳnh</v>
      </c>
      <c r="D449" s="1" t="str">
        <f ca="1">IFERROR(__xludf.DUMMYFUNCTION("""COMPUTED_VALUE"""),"09/10/1995")</f>
        <v>09/10/1995</v>
      </c>
      <c r="E449" s="1" t="str">
        <f ca="1">IFERROR(__xludf.DUMMYFUNCTION("""COMPUTED_VALUE"""),"Male")</f>
        <v>Male</v>
      </c>
      <c r="F449" s="1" t="str">
        <f ca="1">IFERROR(__xludf.DUMMYFUNCTION("""COMPUTED_VALUE"""),"Vietnam")</f>
        <v>Vietnam</v>
      </c>
      <c r="G449" s="1" t="str">
        <f ca="1">IFERROR(__xludf.DUMMYFUNCTION("""COMPUTED_VALUE"""),"0742173537")</f>
        <v>0742173537</v>
      </c>
      <c r="H449" s="1" t="str">
        <f ca="1">IFERROR(__xludf.DUMMYFUNCTION("""COMPUTED_VALUE"""),"lyvanquynh@gmail.com")</f>
        <v>lyvanquynh@gmail.com</v>
      </c>
      <c r="I449" s="1" t="str">
        <f ca="1">IFERROR(__xludf.DUMMYFUNCTION("""COMPUTED_VALUE"""),"98 Nguyen Trai, Quan 1, Can Tho, Viet Nam")</f>
        <v>98 Nguyen Trai, Quan 1, Can Tho, Viet Nam</v>
      </c>
      <c r="J449" s="1" t="str">
        <f ca="1">IFERROR(__xludf.DUMMYFUNCTION("""COMPUTED_VALUE"""),"016432236485")</f>
        <v>016432236485</v>
      </c>
      <c r="K449" s="3" t="str">
        <f ca="1">IFERROR(__xludf.DUMMYFUNCTION("""COMPUTED_VALUE"""),"https://drive.google.com/open?id=PAtN7HyLKYqtsUVafCCO")</f>
        <v>https://drive.google.com/open?id=PAtN7HyLKYqtsUVafCCO</v>
      </c>
      <c r="L449" s="3" t="str">
        <f ca="1">IFERROR(__xludf.DUMMYFUNCTION("""COMPUTED_VALUE"""),"https://drive.google.com/open?id=gqpIEZaeJwUtoSCrsBg7")</f>
        <v>https://drive.google.com/open?id=gqpIEZaeJwUtoSCrsBg7</v>
      </c>
      <c r="M449" s="1"/>
      <c r="N449" s="1"/>
      <c r="O449" s="1"/>
      <c r="P449" s="1" t="str">
        <f ca="1">IFERROR(__xludf.DUMMYFUNCTION("""COMPUTED_VALUE"""),"Full-time")</f>
        <v>Full-time</v>
      </c>
      <c r="Q449" s="1">
        <f ca="1">IFERROR(__xludf.DUMMYFUNCTION("""COMPUTED_VALUE"""),5000000)</f>
        <v>5000000</v>
      </c>
      <c r="R449" s="3" t="str">
        <f ca="1">IFERROR(__xludf.DUMMYFUNCTION("""COMPUTED_VALUE"""),"https://drive.google.com/open?id=MWloo6ZUynr96pluRQiW")</f>
        <v>https://drive.google.com/open?id=MWloo6ZUynr96pluRQiW</v>
      </c>
      <c r="S449" s="1">
        <f ca="1">IFERROR(__xludf.DUMMYFUNCTION("""COMPUTED_VALUE"""),15000000)</f>
        <v>15000000</v>
      </c>
      <c r="T449" s="1" t="str">
        <f ca="1">IFERROR(__xludf.DUMMYFUNCTION("""COMPUTED_VALUE"""),"Gold")</f>
        <v>Gold</v>
      </c>
      <c r="U449" s="1" t="str">
        <f ca="1">IFERROR(__xludf.DUMMYFUNCTION("""COMPUTED_VALUE"""),"Online")</f>
        <v>Online</v>
      </c>
    </row>
    <row r="450" spans="1:21" x14ac:dyDescent="0.25">
      <c r="A450" s="2" t="str">
        <f ca="1">IFERROR(__xludf.DUMMYFUNCTION("""COMPUTED_VALUE"""),"APP0449")</f>
        <v>APP0449</v>
      </c>
      <c r="B450" s="2">
        <f ca="1">IFERROR(__xludf.DUMMYFUNCTION("""COMPUTED_VALUE"""),45923.5430092592)</f>
        <v>45923.5430092592</v>
      </c>
      <c r="C450" s="1" t="str">
        <f ca="1">IFERROR(__xludf.DUMMYFUNCTION("""COMPUTED_VALUE"""),"Mary Simpson")</f>
        <v>Mary Simpson</v>
      </c>
      <c r="D450" s="1" t="str">
        <f ca="1">IFERROR(__xludf.DUMMYFUNCTION("""COMPUTED_VALUE"""),"14/10/1976")</f>
        <v>14/10/1976</v>
      </c>
      <c r="E450" s="1" t="str">
        <f ca="1">IFERROR(__xludf.DUMMYFUNCTION("""COMPUTED_VALUE"""),"Male")</f>
        <v>Male</v>
      </c>
      <c r="F450" s="1" t="str">
        <f ca="1">IFERROR(__xludf.DUMMYFUNCTION("""COMPUTED_VALUE"""),"Other")</f>
        <v>Other</v>
      </c>
      <c r="G450" s="1" t="str">
        <f ca="1">IFERROR(__xludf.DUMMYFUNCTION("""COMPUTED_VALUE"""),"+62 9490024621")</f>
        <v>+62 9490024621</v>
      </c>
      <c r="H450" s="1" t="str">
        <f ca="1">IFERROR(__xludf.DUMMYFUNCTION("""COMPUTED_VALUE"""),"marysimpson@gmail.com")</f>
        <v>marysimpson@gmail.com</v>
      </c>
      <c r="I450" s="1" t="str">
        <f ca="1">IFERROR(__xludf.DUMMYFUNCTION("""COMPUTED_VALUE"""),"230 Watts Valleys, Catherinechester, GU 89106")</f>
        <v>230 Watts Valleys, Catherinechester, GU 89106</v>
      </c>
      <c r="J450" s="1"/>
      <c r="K450" s="1"/>
      <c r="L450" s="1"/>
      <c r="M450" s="1" t="str">
        <f ca="1">IFERROR(__xludf.DUMMYFUNCTION("""COMPUTED_VALUE"""),"UE440129")</f>
        <v>UE440129</v>
      </c>
      <c r="N450" s="3" t="str">
        <f ca="1">IFERROR(__xludf.DUMMYFUNCTION("""COMPUTED_VALUE"""),"https://drive.google.com/open?id=Cc4yWY9l0zRj3GZgrHdm")</f>
        <v>https://drive.google.com/open?id=Cc4yWY9l0zRj3GZgrHdm</v>
      </c>
      <c r="O450" s="3" t="str">
        <f ca="1">IFERROR(__xludf.DUMMYFUNCTION("""COMPUTED_VALUE"""),"https://drive.google.com/open?id=RxsvFkWHG33OrFcXhQ59")</f>
        <v>https://drive.google.com/open?id=RxsvFkWHG33OrFcXhQ59</v>
      </c>
      <c r="P450" s="1" t="str">
        <f ca="1">IFERROR(__xludf.DUMMYFUNCTION("""COMPUTED_VALUE"""),"Part-time")</f>
        <v>Part-time</v>
      </c>
      <c r="Q450" s="1">
        <f ca="1">IFERROR(__xludf.DUMMYFUNCTION("""COMPUTED_VALUE"""),12000000)</f>
        <v>12000000</v>
      </c>
      <c r="R450" s="3" t="str">
        <f ca="1">IFERROR(__xludf.DUMMYFUNCTION("""COMPUTED_VALUE"""),"https://drive.google.com/open?id=xtKT5Yvz75G29ei3sao8")</f>
        <v>https://drive.google.com/open?id=xtKT5Yvz75G29ei3sao8</v>
      </c>
      <c r="S450" s="1">
        <f ca="1">IFERROR(__xludf.DUMMYFUNCTION("""COMPUTED_VALUE"""),24000000)</f>
        <v>24000000</v>
      </c>
      <c r="T450" s="1" t="str">
        <f ca="1">IFERROR(__xludf.DUMMYFUNCTION("""COMPUTED_VALUE"""),"Classic")</f>
        <v>Classic</v>
      </c>
      <c r="U450" s="1" t="str">
        <f ca="1">IFERROR(__xludf.DUMMYFUNCTION("""COMPUTED_VALUE"""),"Branch")</f>
        <v>Branch</v>
      </c>
    </row>
    <row r="451" spans="1:21" x14ac:dyDescent="0.25">
      <c r="A451" s="2" t="str">
        <f ca="1">IFERROR(__xludf.DUMMYFUNCTION("""COMPUTED_VALUE"""),"APP0450")</f>
        <v>APP0450</v>
      </c>
      <c r="B451" s="2">
        <f ca="1">IFERROR(__xludf.DUMMYFUNCTION("""COMPUTED_VALUE"""),45923.5889583333)</f>
        <v>45923.588958333297</v>
      </c>
      <c r="C451" s="1" t="str">
        <f ca="1">IFERROR(__xludf.DUMMYFUNCTION("""COMPUTED_VALUE"""),"Huỳnh Đức Giang")</f>
        <v>Huỳnh Đức Giang</v>
      </c>
      <c r="D451" s="1" t="str">
        <f ca="1">IFERROR(__xludf.DUMMYFUNCTION("""COMPUTED_VALUE"""),"05/08/2005")</f>
        <v>05/08/2005</v>
      </c>
      <c r="E451" s="1" t="str">
        <f ca="1">IFERROR(__xludf.DUMMYFUNCTION("""COMPUTED_VALUE"""),"Female")</f>
        <v>Female</v>
      </c>
      <c r="F451" s="1" t="str">
        <f ca="1">IFERROR(__xludf.DUMMYFUNCTION("""COMPUTED_VALUE"""),"Vietnam")</f>
        <v>Vietnam</v>
      </c>
      <c r="G451" s="1" t="str">
        <f ca="1">IFERROR(__xludf.DUMMYFUNCTION("""COMPUTED_VALUE"""),"0959181220")</f>
        <v>0959181220</v>
      </c>
      <c r="H451" s="1" t="str">
        <f ca="1">IFERROR(__xludf.DUMMYFUNCTION("""COMPUTED_VALUE"""),"huynhducgiang@gmail.com")</f>
        <v>huynhducgiang@gmail.com</v>
      </c>
      <c r="I451" s="1" t="str">
        <f ca="1">IFERROR(__xludf.DUMMYFUNCTION("""COMPUTED_VALUE"""),"131 Le Loi, Quan 3, TP Ho Chi Minh, Viet Nam")</f>
        <v>131 Le Loi, Quan 3, TP Ho Chi Minh, Viet Nam</v>
      </c>
      <c r="J451" s="1" t="str">
        <f ca="1">IFERROR(__xludf.DUMMYFUNCTION("""COMPUTED_VALUE"""),"014728459500")</f>
        <v>014728459500</v>
      </c>
      <c r="K451" s="3" t="str">
        <f ca="1">IFERROR(__xludf.DUMMYFUNCTION("""COMPUTED_VALUE"""),"https://drive.google.com/open?id=JNLTxEUGEYplm6CCoXua")</f>
        <v>https://drive.google.com/open?id=JNLTxEUGEYplm6CCoXua</v>
      </c>
      <c r="L451" s="3" t="str">
        <f ca="1">IFERROR(__xludf.DUMMYFUNCTION("""COMPUTED_VALUE"""),"https://drive.google.com/open?id=99dXksyROZ7xnlrr6pgw")</f>
        <v>https://drive.google.com/open?id=99dXksyROZ7xnlrr6pgw</v>
      </c>
      <c r="M451" s="1"/>
      <c r="N451" s="1"/>
      <c r="O451" s="1"/>
      <c r="P451" s="1" t="str">
        <f ca="1">IFERROR(__xludf.DUMMYFUNCTION("""COMPUTED_VALUE"""),"Full-time")</f>
        <v>Full-time</v>
      </c>
      <c r="Q451" s="1">
        <f ca="1">IFERROR(__xludf.DUMMYFUNCTION("""COMPUTED_VALUE"""),5000000)</f>
        <v>5000000</v>
      </c>
      <c r="R451" s="3" t="str">
        <f ca="1">IFERROR(__xludf.DUMMYFUNCTION("""COMPUTED_VALUE"""),"https://drive.google.com/open?id=33tcm2gGFxRWWSLaLJ7F")</f>
        <v>https://drive.google.com/open?id=33tcm2gGFxRWWSLaLJ7F</v>
      </c>
      <c r="S451" s="1">
        <f ca="1">IFERROR(__xludf.DUMMYFUNCTION("""COMPUTED_VALUE"""),10000000)</f>
        <v>10000000</v>
      </c>
      <c r="T451" s="1" t="str">
        <f ca="1">IFERROR(__xludf.DUMMYFUNCTION("""COMPUTED_VALUE"""),"Gold")</f>
        <v>Gold</v>
      </c>
      <c r="U451" s="1" t="str">
        <f ca="1">IFERROR(__xludf.DUMMYFUNCTION("""COMPUTED_VALUE"""),"Online")</f>
        <v>Online</v>
      </c>
    </row>
    <row r="452" spans="1:21" x14ac:dyDescent="0.25">
      <c r="A452" s="2" t="str">
        <f ca="1">IFERROR(__xludf.DUMMYFUNCTION("""COMPUTED_VALUE"""),"APP0451")</f>
        <v>APP0451</v>
      </c>
      <c r="B452" s="2">
        <f ca="1">IFERROR(__xludf.DUMMYFUNCTION("""COMPUTED_VALUE"""),45923.6007986111)</f>
        <v>45923.6007986111</v>
      </c>
      <c r="C452" s="1" t="str">
        <f ca="1">IFERROR(__xludf.DUMMYFUNCTION("""COMPUTED_VALUE"""),"Lý Văn Phong")</f>
        <v>Lý Văn Phong</v>
      </c>
      <c r="D452" s="1" t="str">
        <f ca="1">IFERROR(__xludf.DUMMYFUNCTION("""COMPUTED_VALUE"""),"07/12/1972")</f>
        <v>07/12/1972</v>
      </c>
      <c r="E452" s="1" t="str">
        <f ca="1">IFERROR(__xludf.DUMMYFUNCTION("""COMPUTED_VALUE"""),"Male")</f>
        <v>Male</v>
      </c>
      <c r="F452" s="1" t="str">
        <f ca="1">IFERROR(__xludf.DUMMYFUNCTION("""COMPUTED_VALUE"""),"Vietnam")</f>
        <v>Vietnam</v>
      </c>
      <c r="G452" s="1" t="str">
        <f ca="1">IFERROR(__xludf.DUMMYFUNCTION("""COMPUTED_VALUE"""),"0929209130")</f>
        <v>0929209130</v>
      </c>
      <c r="H452" s="1" t="str">
        <f ca="1">IFERROR(__xludf.DUMMYFUNCTION("""COMPUTED_VALUE"""),"lyvanphong@gmail.com")</f>
        <v>lyvanphong@gmail.com</v>
      </c>
      <c r="I452" s="1" t="str">
        <f ca="1">IFERROR(__xludf.DUMMYFUNCTION("""COMPUTED_VALUE"""),"128 Nguyen Trai, Quan 7, Ha Noi, Viet Nam")</f>
        <v>128 Nguyen Trai, Quan 7, Ha Noi, Viet Nam</v>
      </c>
      <c r="J452" s="1" t="str">
        <f ca="1">IFERROR(__xludf.DUMMYFUNCTION("""COMPUTED_VALUE"""),"059160772968")</f>
        <v>059160772968</v>
      </c>
      <c r="K452" s="3" t="str">
        <f ca="1">IFERROR(__xludf.DUMMYFUNCTION("""COMPUTED_VALUE"""),"https://drive.google.com/open?id=JOeqlPoeMh9kMKYkod8n")</f>
        <v>https://drive.google.com/open?id=JOeqlPoeMh9kMKYkod8n</v>
      </c>
      <c r="L452" s="3" t="str">
        <f ca="1">IFERROR(__xludf.DUMMYFUNCTION("""COMPUTED_VALUE"""),"https://drive.google.com/open?id=RQqzYtpC3gqZJODW3rM6")</f>
        <v>https://drive.google.com/open?id=RQqzYtpC3gqZJODW3rM6</v>
      </c>
      <c r="M452" s="1"/>
      <c r="N452" s="1"/>
      <c r="O452" s="1"/>
      <c r="P452" s="1" t="str">
        <f ca="1">IFERROR(__xludf.DUMMYFUNCTION("""COMPUTED_VALUE"""),"Freelancer")</f>
        <v>Freelancer</v>
      </c>
      <c r="Q452" s="1">
        <f ca="1">IFERROR(__xludf.DUMMYFUNCTION("""COMPUTED_VALUE"""),5000000)</f>
        <v>5000000</v>
      </c>
      <c r="R452" s="3" t="str">
        <f ca="1">IFERROR(__xludf.DUMMYFUNCTION("""COMPUTED_VALUE"""),"https://drive.google.com/open?id=coKXFtSRAlPNFm8bda1c")</f>
        <v>https://drive.google.com/open?id=coKXFtSRAlPNFm8bda1c</v>
      </c>
      <c r="S452" s="1">
        <f ca="1">IFERROR(__xludf.DUMMYFUNCTION("""COMPUTED_VALUE"""),15000000)</f>
        <v>15000000</v>
      </c>
      <c r="T452" s="1" t="str">
        <f ca="1">IFERROR(__xludf.DUMMYFUNCTION("""COMPUTED_VALUE"""),"Gold")</f>
        <v>Gold</v>
      </c>
      <c r="U452" s="1" t="str">
        <f ca="1">IFERROR(__xludf.DUMMYFUNCTION("""COMPUTED_VALUE"""),"Branch")</f>
        <v>Branch</v>
      </c>
    </row>
    <row r="453" spans="1:21" x14ac:dyDescent="0.25">
      <c r="A453" s="2" t="str">
        <f ca="1">IFERROR(__xludf.DUMMYFUNCTION("""COMPUTED_VALUE"""),"APP0452")</f>
        <v>APP0452</v>
      </c>
      <c r="B453" s="2">
        <f ca="1">IFERROR(__xludf.DUMMYFUNCTION("""COMPUTED_VALUE"""),45923.649074074)</f>
        <v>45923.649074073997</v>
      </c>
      <c r="C453" s="1" t="str">
        <f ca="1">IFERROR(__xludf.DUMMYFUNCTION("""COMPUTED_VALUE"""),"Huỳnh Anh Nam")</f>
        <v>Huỳnh Anh Nam</v>
      </c>
      <c r="D453" s="1" t="str">
        <f ca="1">IFERROR(__xludf.DUMMYFUNCTION("""COMPUTED_VALUE"""),"17/09/1972")</f>
        <v>17/09/1972</v>
      </c>
      <c r="E453" s="1" t="str">
        <f ca="1">IFERROR(__xludf.DUMMYFUNCTION("""COMPUTED_VALUE"""),"Female")</f>
        <v>Female</v>
      </c>
      <c r="F453" s="1" t="str">
        <f ca="1">IFERROR(__xludf.DUMMYFUNCTION("""COMPUTED_VALUE"""),"Vietnam")</f>
        <v>Vietnam</v>
      </c>
      <c r="G453" s="1" t="str">
        <f ca="1">IFERROR(__xludf.DUMMYFUNCTION("""COMPUTED_VALUE"""),"0934719349")</f>
        <v>0934719349</v>
      </c>
      <c r="H453" s="1" t="str">
        <f ca="1">IFERROR(__xludf.DUMMYFUNCTION("""COMPUTED_VALUE"""),"huynhanhnam@gmail.com")</f>
        <v>huynhanhnam@gmail.com</v>
      </c>
      <c r="I453" s="1" t="str">
        <f ca="1">IFERROR(__xludf.DUMMYFUNCTION("""COMPUTED_VALUE"""),"172 Nguyen Hue, Dong Da, Da Nang, Viet Nam")</f>
        <v>172 Nguyen Hue, Dong Da, Da Nang, Viet Nam</v>
      </c>
      <c r="J453" s="1" t="str">
        <f ca="1">IFERROR(__xludf.DUMMYFUNCTION("""COMPUTED_VALUE"""),"077907260342")</f>
        <v>077907260342</v>
      </c>
      <c r="K453" s="3" t="str">
        <f ca="1">IFERROR(__xludf.DUMMYFUNCTION("""COMPUTED_VALUE"""),"https://drive.google.com/open?id=LVOeajBz1LyKnboCGNez")</f>
        <v>https://drive.google.com/open?id=LVOeajBz1LyKnboCGNez</v>
      </c>
      <c r="L453" s="3" t="str">
        <f ca="1">IFERROR(__xludf.DUMMYFUNCTION("""COMPUTED_VALUE"""),"https://drive.google.com/open?id=0fHIJ789B4LUGmY1hVxK")</f>
        <v>https://drive.google.com/open?id=0fHIJ789B4LUGmY1hVxK</v>
      </c>
      <c r="M453" s="1"/>
      <c r="N453" s="1"/>
      <c r="O453" s="1"/>
      <c r="P453" s="1" t="str">
        <f ca="1">IFERROR(__xludf.DUMMYFUNCTION("""COMPUTED_VALUE"""),"Part-time")</f>
        <v>Part-time</v>
      </c>
      <c r="Q453" s="1">
        <f ca="1">IFERROR(__xludf.DUMMYFUNCTION("""COMPUTED_VALUE"""),12000000)</f>
        <v>12000000</v>
      </c>
      <c r="R453" s="3" t="str">
        <f ca="1">IFERROR(__xludf.DUMMYFUNCTION("""COMPUTED_VALUE"""),"https://drive.google.com/open?id=ddrRfJrlVJs2qQYrk2Od")</f>
        <v>https://drive.google.com/open?id=ddrRfJrlVJs2qQYrk2Od</v>
      </c>
      <c r="S453" s="1">
        <f ca="1">IFERROR(__xludf.DUMMYFUNCTION("""COMPUTED_VALUE"""),24000000)</f>
        <v>24000000</v>
      </c>
      <c r="T453" s="1" t="str">
        <f ca="1">IFERROR(__xludf.DUMMYFUNCTION("""COMPUTED_VALUE"""),"Platinum")</f>
        <v>Platinum</v>
      </c>
      <c r="U453" s="1" t="str">
        <f ca="1">IFERROR(__xludf.DUMMYFUNCTION("""COMPUTED_VALUE"""),"Partner")</f>
        <v>Partner</v>
      </c>
    </row>
    <row r="454" spans="1:21" x14ac:dyDescent="0.25">
      <c r="A454" s="2" t="str">
        <f ca="1">IFERROR(__xludf.DUMMYFUNCTION("""COMPUTED_VALUE"""),"APP0453")</f>
        <v>APP0453</v>
      </c>
      <c r="B454" s="2">
        <f ca="1">IFERROR(__xludf.DUMMYFUNCTION("""COMPUTED_VALUE"""),45923.6855324074)</f>
        <v>45923.685532407399</v>
      </c>
      <c r="C454" s="1" t="str">
        <f ca="1">IFERROR(__xludf.DUMMYFUNCTION("""COMPUTED_VALUE"""),"Bùi Ngọc Bình")</f>
        <v>Bùi Ngọc Bình</v>
      </c>
      <c r="D454" s="1" t="str">
        <f ca="1">IFERROR(__xludf.DUMMYFUNCTION("""COMPUTED_VALUE"""),"02/11/1991")</f>
        <v>02/11/1991</v>
      </c>
      <c r="E454" s="1" t="str">
        <f ca="1">IFERROR(__xludf.DUMMYFUNCTION("""COMPUTED_VALUE"""),"Male")</f>
        <v>Male</v>
      </c>
      <c r="F454" s="1" t="str">
        <f ca="1">IFERROR(__xludf.DUMMYFUNCTION("""COMPUTED_VALUE"""),"Vietnam")</f>
        <v>Vietnam</v>
      </c>
      <c r="G454" s="1" t="str">
        <f ca="1">IFERROR(__xludf.DUMMYFUNCTION("""COMPUTED_VALUE"""),"0830063183")</f>
        <v>0830063183</v>
      </c>
      <c r="H454" s="1" t="str">
        <f ca="1">IFERROR(__xludf.DUMMYFUNCTION("""COMPUTED_VALUE"""),"buingocbinh@gmail.com")</f>
        <v>buingocbinh@gmail.com</v>
      </c>
      <c r="I454" s="1" t="str">
        <f ca="1">IFERROR(__xludf.DUMMYFUNCTION("""COMPUTED_VALUE"""),"91 Nguyen Hue, Quan 1, Da Nang, Viet Nam")</f>
        <v>91 Nguyen Hue, Quan 1, Da Nang, Viet Nam</v>
      </c>
      <c r="J454" s="1" t="str">
        <f ca="1">IFERROR(__xludf.DUMMYFUNCTION("""COMPUTED_VALUE"""),"084164433227")</f>
        <v>084164433227</v>
      </c>
      <c r="K454" s="3" t="str">
        <f ca="1">IFERROR(__xludf.DUMMYFUNCTION("""COMPUTED_VALUE"""),"https://drive.google.com/open?id=k1NHCXHy8suzVpHYjah8")</f>
        <v>https://drive.google.com/open?id=k1NHCXHy8suzVpHYjah8</v>
      </c>
      <c r="L454" s="3" t="str">
        <f ca="1">IFERROR(__xludf.DUMMYFUNCTION("""COMPUTED_VALUE"""),"https://drive.google.com/open?id=PsiXBLZfu80fjsYLZ14m")</f>
        <v>https://drive.google.com/open?id=PsiXBLZfu80fjsYLZ14m</v>
      </c>
      <c r="M454" s="1"/>
      <c r="N454" s="1"/>
      <c r="O454" s="1"/>
      <c r="P454" s="1" t="str">
        <f ca="1">IFERROR(__xludf.DUMMYFUNCTION("""COMPUTED_VALUE"""),"Contract")</f>
        <v>Contract</v>
      </c>
      <c r="Q454" s="1">
        <f ca="1">IFERROR(__xludf.DUMMYFUNCTION("""COMPUTED_VALUE"""),12000000)</f>
        <v>12000000</v>
      </c>
      <c r="R454" s="3" t="str">
        <f ca="1">IFERROR(__xludf.DUMMYFUNCTION("""COMPUTED_VALUE"""),"https://drive.google.com/open?id=aqBCnt7oWVn699OBrdxc")</f>
        <v>https://drive.google.com/open?id=aqBCnt7oWVn699OBrdxc</v>
      </c>
      <c r="S454" s="1">
        <f ca="1">IFERROR(__xludf.DUMMYFUNCTION("""COMPUTED_VALUE"""),60000000)</f>
        <v>60000000</v>
      </c>
      <c r="T454" s="1" t="str">
        <f ca="1">IFERROR(__xludf.DUMMYFUNCTION("""COMPUTED_VALUE"""),"Classic")</f>
        <v>Classic</v>
      </c>
      <c r="U454" s="1" t="str">
        <f ca="1">IFERROR(__xludf.DUMMYFUNCTION("""COMPUTED_VALUE"""),"Branch")</f>
        <v>Branch</v>
      </c>
    </row>
    <row r="455" spans="1:21" x14ac:dyDescent="0.25">
      <c r="A455" s="2" t="str">
        <f ca="1">IFERROR(__xludf.DUMMYFUNCTION("""COMPUTED_VALUE"""),"APP0454")</f>
        <v>APP0454</v>
      </c>
      <c r="B455" s="2">
        <f ca="1">IFERROR(__xludf.DUMMYFUNCTION("""COMPUTED_VALUE"""),45923.7857986111)</f>
        <v>45923.785798611098</v>
      </c>
      <c r="C455" s="1" t="str">
        <f ca="1">IFERROR(__xludf.DUMMYFUNCTION("""COMPUTED_VALUE"""),"Hồ Văn Phong")</f>
        <v>Hồ Văn Phong</v>
      </c>
      <c r="D455" s="1" t="str">
        <f ca="1">IFERROR(__xludf.DUMMYFUNCTION("""COMPUTED_VALUE"""),"22/07/1972")</f>
        <v>22/07/1972</v>
      </c>
      <c r="E455" s="1" t="str">
        <f ca="1">IFERROR(__xludf.DUMMYFUNCTION("""COMPUTED_VALUE"""),"Male")</f>
        <v>Male</v>
      </c>
      <c r="F455" s="1" t="str">
        <f ca="1">IFERROR(__xludf.DUMMYFUNCTION("""COMPUTED_VALUE"""),"Vietnam")</f>
        <v>Vietnam</v>
      </c>
      <c r="G455" s="1" t="str">
        <f ca="1">IFERROR(__xludf.DUMMYFUNCTION("""COMPUTED_VALUE"""),"0720974270")</f>
        <v>0720974270</v>
      </c>
      <c r="H455" s="1" t="str">
        <f ca="1">IFERROR(__xludf.DUMMYFUNCTION("""COMPUTED_VALUE"""),"hovanphong@gmail.com")</f>
        <v>hovanphong@gmail.com</v>
      </c>
      <c r="I455" s="1" t="str">
        <f ca="1">IFERROR(__xludf.DUMMYFUNCTION("""COMPUTED_VALUE"""),"180 Nguyen Hue, Quan 3, Da Nang, Viet Nam")</f>
        <v>180 Nguyen Hue, Quan 3, Da Nang, Viet Nam</v>
      </c>
      <c r="J455" s="1" t="str">
        <f ca="1">IFERROR(__xludf.DUMMYFUNCTION("""COMPUTED_VALUE"""),"059118717430")</f>
        <v>059118717430</v>
      </c>
      <c r="K455" s="3" t="str">
        <f ca="1">IFERROR(__xludf.DUMMYFUNCTION("""COMPUTED_VALUE"""),"https://drive.google.com/open?id=jQCZiwd5mRciLtAIo5ti")</f>
        <v>https://drive.google.com/open?id=jQCZiwd5mRciLtAIo5ti</v>
      </c>
      <c r="L455" s="3" t="str">
        <f ca="1">IFERROR(__xludf.DUMMYFUNCTION("""COMPUTED_VALUE"""),"https://drive.google.com/open?id=cONBOUnIN9FBrUwSzFOx")</f>
        <v>https://drive.google.com/open?id=cONBOUnIN9FBrUwSzFOx</v>
      </c>
      <c r="M455" s="1"/>
      <c r="N455" s="1"/>
      <c r="O455" s="1"/>
      <c r="P455" s="1" t="str">
        <f ca="1">IFERROR(__xludf.DUMMYFUNCTION("""COMPUTED_VALUE"""),"Self-employed")</f>
        <v>Self-employed</v>
      </c>
      <c r="Q455" s="1">
        <f ca="1">IFERROR(__xludf.DUMMYFUNCTION("""COMPUTED_VALUE"""),5000000)</f>
        <v>5000000</v>
      </c>
      <c r="R455" s="3" t="str">
        <f ca="1">IFERROR(__xludf.DUMMYFUNCTION("""COMPUTED_VALUE"""),"https://drive.google.com/open?id=KMIse93VI807RLgFhIbl")</f>
        <v>https://drive.google.com/open?id=KMIse93VI807RLgFhIbl</v>
      </c>
      <c r="S455" s="1">
        <f ca="1">IFERROR(__xludf.DUMMYFUNCTION("""COMPUTED_VALUE"""),15000000)</f>
        <v>15000000</v>
      </c>
      <c r="T455" s="1" t="str">
        <f ca="1">IFERROR(__xludf.DUMMYFUNCTION("""COMPUTED_VALUE"""),"Gold")</f>
        <v>Gold</v>
      </c>
      <c r="U455" s="1" t="str">
        <f ca="1">IFERROR(__xludf.DUMMYFUNCTION("""COMPUTED_VALUE"""),"Partner")</f>
        <v>Partner</v>
      </c>
    </row>
    <row r="456" spans="1:21" x14ac:dyDescent="0.25">
      <c r="A456" s="2" t="str">
        <f ca="1">IFERROR(__xludf.DUMMYFUNCTION("""COMPUTED_VALUE"""),"APP0455")</f>
        <v>APP0455</v>
      </c>
      <c r="B456" s="2">
        <f ca="1">IFERROR(__xludf.DUMMYFUNCTION("""COMPUTED_VALUE"""),45923.8109953703)</f>
        <v>45923.810995370302</v>
      </c>
      <c r="C456" s="1" t="str">
        <f ca="1">IFERROR(__xludf.DUMMYFUNCTION("""COMPUTED_VALUE"""),"Hoàng Thanh Phong")</f>
        <v>Hoàng Thanh Phong</v>
      </c>
      <c r="D456" s="1" t="str">
        <f ca="1">IFERROR(__xludf.DUMMYFUNCTION("""COMPUTED_VALUE"""),"18/02/1965")</f>
        <v>18/02/1965</v>
      </c>
      <c r="E456" s="1" t="str">
        <f ca="1">IFERROR(__xludf.DUMMYFUNCTION("""COMPUTED_VALUE"""),"Male")</f>
        <v>Male</v>
      </c>
      <c r="F456" s="1" t="str">
        <f ca="1">IFERROR(__xludf.DUMMYFUNCTION("""COMPUTED_VALUE"""),"Vietnam")</f>
        <v>Vietnam</v>
      </c>
      <c r="G456" s="1" t="str">
        <f ca="1">IFERROR(__xludf.DUMMYFUNCTION("""COMPUTED_VALUE"""),"0891542918")</f>
        <v>0891542918</v>
      </c>
      <c r="H456" s="1" t="str">
        <f ca="1">IFERROR(__xludf.DUMMYFUNCTION("""COMPUTED_VALUE"""),"hoangthanhphong@gmail.com")</f>
        <v>hoangthanhphong@gmail.com</v>
      </c>
      <c r="I456" s="1" t="str">
        <f ca="1">IFERROR(__xludf.DUMMYFUNCTION("""COMPUTED_VALUE"""),"82 Ly Thuong Kiet, Dong Da, Da Nang, Viet Nam")</f>
        <v>82 Ly Thuong Kiet, Dong Da, Da Nang, Viet Nam</v>
      </c>
      <c r="J456" s="1" t="str">
        <f ca="1">IFERROR(__xludf.DUMMYFUNCTION("""COMPUTED_VALUE"""),"034645307091")</f>
        <v>034645307091</v>
      </c>
      <c r="K456" s="3" t="str">
        <f ca="1">IFERROR(__xludf.DUMMYFUNCTION("""COMPUTED_VALUE"""),"https://drive.google.com/open?id=bJIe7WeDLRYrd71CZfry")</f>
        <v>https://drive.google.com/open?id=bJIe7WeDLRYrd71CZfry</v>
      </c>
      <c r="L456" s="3" t="str">
        <f ca="1">IFERROR(__xludf.DUMMYFUNCTION("""COMPUTED_VALUE"""),"https://drive.google.com/open?id=7l3TjSUPCMFOF57nIXl5")</f>
        <v>https://drive.google.com/open?id=7l3TjSUPCMFOF57nIXl5</v>
      </c>
      <c r="M456" s="1"/>
      <c r="N456" s="1"/>
      <c r="O456" s="1"/>
      <c r="P456" s="1" t="str">
        <f ca="1">IFERROR(__xludf.DUMMYFUNCTION("""COMPUTED_VALUE"""),"Self-employed")</f>
        <v>Self-employed</v>
      </c>
      <c r="Q456" s="1">
        <f ca="1">IFERROR(__xludf.DUMMYFUNCTION("""COMPUTED_VALUE"""),20000000)</f>
        <v>20000000</v>
      </c>
      <c r="R456" s="3" t="str">
        <f ca="1">IFERROR(__xludf.DUMMYFUNCTION("""COMPUTED_VALUE"""),"https://drive.google.com/open?id=vV2KBOGCVlX7kFGK8NgN")</f>
        <v>https://drive.google.com/open?id=vV2KBOGCVlX7kFGK8NgN</v>
      </c>
      <c r="S456" s="1">
        <f ca="1">IFERROR(__xludf.DUMMYFUNCTION("""COMPUTED_VALUE"""),60000000)</f>
        <v>60000000</v>
      </c>
      <c r="T456" s="1" t="str">
        <f ca="1">IFERROR(__xludf.DUMMYFUNCTION("""COMPUTED_VALUE"""),"Classic")</f>
        <v>Classic</v>
      </c>
      <c r="U456" s="1" t="str">
        <f ca="1">IFERROR(__xludf.DUMMYFUNCTION("""COMPUTED_VALUE"""),"Partner")</f>
        <v>Partner</v>
      </c>
    </row>
    <row r="457" spans="1:21" x14ac:dyDescent="0.25">
      <c r="A457" s="2" t="str">
        <f ca="1">IFERROR(__xludf.DUMMYFUNCTION("""COMPUTED_VALUE"""),"APP0456")</f>
        <v>APP0456</v>
      </c>
      <c r="B457" s="2">
        <f ca="1">IFERROR(__xludf.DUMMYFUNCTION("""COMPUTED_VALUE"""),45923.8240509259)</f>
        <v>45923.824050925898</v>
      </c>
      <c r="C457" s="1" t="str">
        <f ca="1">IFERROR(__xludf.DUMMYFUNCTION("""COMPUTED_VALUE"""),"Nguyễn Minh Sơn")</f>
        <v>Nguyễn Minh Sơn</v>
      </c>
      <c r="D457" s="1" t="str">
        <f ca="1">IFERROR(__xludf.DUMMYFUNCTION("""COMPUTED_VALUE"""),"23/02/1967")</f>
        <v>23/02/1967</v>
      </c>
      <c r="E457" s="1" t="str">
        <f ca="1">IFERROR(__xludf.DUMMYFUNCTION("""COMPUTED_VALUE"""),"Male")</f>
        <v>Male</v>
      </c>
      <c r="F457" s="1" t="str">
        <f ca="1">IFERROR(__xludf.DUMMYFUNCTION("""COMPUTED_VALUE"""),"Vietnam")</f>
        <v>Vietnam</v>
      </c>
      <c r="G457" s="1" t="str">
        <f ca="1">IFERROR(__xludf.DUMMYFUNCTION("""COMPUTED_VALUE"""),"0771152936")</f>
        <v>0771152936</v>
      </c>
      <c r="H457" s="1" t="str">
        <f ca="1">IFERROR(__xludf.DUMMYFUNCTION("""COMPUTED_VALUE"""),"nguyenminhson@gmail.com")</f>
        <v>nguyenminhson@gmail.com</v>
      </c>
      <c r="I457" s="1" t="str">
        <f ca="1">IFERROR(__xludf.DUMMYFUNCTION("""COMPUTED_VALUE"""),"79 Le Loi, Hoan Kiem, Can Tho, Viet Nam")</f>
        <v>79 Le Loi, Hoan Kiem, Can Tho, Viet Nam</v>
      </c>
      <c r="J457" s="1" t="str">
        <f ca="1">IFERROR(__xludf.DUMMYFUNCTION("""COMPUTED_VALUE"""),"065218704001")</f>
        <v>065218704001</v>
      </c>
      <c r="K457" s="3" t="str">
        <f ca="1">IFERROR(__xludf.DUMMYFUNCTION("""COMPUTED_VALUE"""),"https://drive.google.com/open?id=zirJA8qMp5yCPde1mgUe")</f>
        <v>https://drive.google.com/open?id=zirJA8qMp5yCPde1mgUe</v>
      </c>
      <c r="L457" s="3" t="str">
        <f ca="1">IFERROR(__xludf.DUMMYFUNCTION("""COMPUTED_VALUE"""),"https://drive.google.com/open?id=5w6kjFC0nxLmt1Tk5C2w")</f>
        <v>https://drive.google.com/open?id=5w6kjFC0nxLmt1Tk5C2w</v>
      </c>
      <c r="M457" s="1"/>
      <c r="N457" s="1"/>
      <c r="O457" s="1"/>
      <c r="P457" s="1" t="str">
        <f ca="1">IFERROR(__xludf.DUMMYFUNCTION("""COMPUTED_VALUE"""),"Freelancer")</f>
        <v>Freelancer</v>
      </c>
      <c r="Q457" s="1">
        <f ca="1">IFERROR(__xludf.DUMMYFUNCTION("""COMPUTED_VALUE"""),50000000)</f>
        <v>50000000</v>
      </c>
      <c r="R457" s="3" t="str">
        <f ca="1">IFERROR(__xludf.DUMMYFUNCTION("""COMPUTED_VALUE"""),"https://drive.google.com/open?id=tVUYtdklSWF6Sq8Iqrw1")</f>
        <v>https://drive.google.com/open?id=tVUYtdklSWF6Sq8Iqrw1</v>
      </c>
      <c r="S457" s="1">
        <f ca="1">IFERROR(__xludf.DUMMYFUNCTION("""COMPUTED_VALUE"""),150000000)</f>
        <v>150000000</v>
      </c>
      <c r="T457" s="1" t="str">
        <f ca="1">IFERROR(__xludf.DUMMYFUNCTION("""COMPUTED_VALUE"""),"Gold")</f>
        <v>Gold</v>
      </c>
      <c r="U457" s="1" t="str">
        <f ca="1">IFERROR(__xludf.DUMMYFUNCTION("""COMPUTED_VALUE"""),"Branch")</f>
        <v>Branch</v>
      </c>
    </row>
    <row r="458" spans="1:21" x14ac:dyDescent="0.25">
      <c r="A458" s="2" t="str">
        <f ca="1">IFERROR(__xludf.DUMMYFUNCTION("""COMPUTED_VALUE"""),"APP0457")</f>
        <v>APP0457</v>
      </c>
      <c r="B458" s="2">
        <f ca="1">IFERROR(__xludf.DUMMYFUNCTION("""COMPUTED_VALUE"""),45923.8713194444)</f>
        <v>45923.871319444399</v>
      </c>
      <c r="C458" s="1" t="str">
        <f ca="1">IFERROR(__xludf.DUMMYFUNCTION("""COMPUTED_VALUE"""),"Phan Thanh Hải")</f>
        <v>Phan Thanh Hải</v>
      </c>
      <c r="D458" s="1" t="str">
        <f ca="1">IFERROR(__xludf.DUMMYFUNCTION("""COMPUTED_VALUE"""),"01/09/2005")</f>
        <v>01/09/2005</v>
      </c>
      <c r="E458" s="1" t="str">
        <f ca="1">IFERROR(__xludf.DUMMYFUNCTION("""COMPUTED_VALUE"""),"Male")</f>
        <v>Male</v>
      </c>
      <c r="F458" s="1" t="str">
        <f ca="1">IFERROR(__xludf.DUMMYFUNCTION("""COMPUTED_VALUE"""),"Vietnam")</f>
        <v>Vietnam</v>
      </c>
      <c r="G458" s="1" t="str">
        <f ca="1">IFERROR(__xludf.DUMMYFUNCTION("""COMPUTED_VALUE"""),"0982363053")</f>
        <v>0982363053</v>
      </c>
      <c r="H458" s="1" t="str">
        <f ca="1">IFERROR(__xludf.DUMMYFUNCTION("""COMPUTED_VALUE"""),"phanthanhhai@gmail.com")</f>
        <v>phanthanhhai@gmail.com</v>
      </c>
      <c r="I458" s="1" t="str">
        <f ca="1">IFERROR(__xludf.DUMMYFUNCTION("""COMPUTED_VALUE"""),"28 Nguyen Trai, Quan 3, Hai Phong, Viet Nam")</f>
        <v>28 Nguyen Trai, Quan 3, Hai Phong, Viet Nam</v>
      </c>
      <c r="J458" s="1" t="str">
        <f ca="1">IFERROR(__xludf.DUMMYFUNCTION("""COMPUTED_VALUE"""),"059574230491")</f>
        <v>059574230491</v>
      </c>
      <c r="K458" s="3" t="str">
        <f ca="1">IFERROR(__xludf.DUMMYFUNCTION("""COMPUTED_VALUE"""),"https://drive.google.com/open?id=hnGmuAW0FlYHjIYwj0y3")</f>
        <v>https://drive.google.com/open?id=hnGmuAW0FlYHjIYwj0y3</v>
      </c>
      <c r="L458" s="3" t="str">
        <f ca="1">IFERROR(__xludf.DUMMYFUNCTION("""COMPUTED_VALUE"""),"https://drive.google.com/open?id=1QosskiGAiBFY5IMZVVB")</f>
        <v>https://drive.google.com/open?id=1QosskiGAiBFY5IMZVVB</v>
      </c>
      <c r="M458" s="1"/>
      <c r="N458" s="1"/>
      <c r="O458" s="1"/>
      <c r="P458" s="1" t="str">
        <f ca="1">IFERROR(__xludf.DUMMYFUNCTION("""COMPUTED_VALUE"""),"Self-employed")</f>
        <v>Self-employed</v>
      </c>
      <c r="Q458" s="1">
        <f ca="1">IFERROR(__xludf.DUMMYFUNCTION("""COMPUTED_VALUE"""),50000000)</f>
        <v>50000000</v>
      </c>
      <c r="R458" s="3" t="str">
        <f ca="1">IFERROR(__xludf.DUMMYFUNCTION("""COMPUTED_VALUE"""),"https://drive.google.com/open?id=RFoHnUIPzw8MY8HaeKzE")</f>
        <v>https://drive.google.com/open?id=RFoHnUIPzw8MY8HaeKzE</v>
      </c>
      <c r="S458" s="1">
        <f ca="1">IFERROR(__xludf.DUMMYFUNCTION("""COMPUTED_VALUE"""),250000000)</f>
        <v>250000000</v>
      </c>
      <c r="T458" s="1" t="str">
        <f ca="1">IFERROR(__xludf.DUMMYFUNCTION("""COMPUTED_VALUE"""),"Platinum")</f>
        <v>Platinum</v>
      </c>
      <c r="U458" s="1" t="str">
        <f ca="1">IFERROR(__xludf.DUMMYFUNCTION("""COMPUTED_VALUE"""),"Online")</f>
        <v>Online</v>
      </c>
    </row>
    <row r="459" spans="1:21" x14ac:dyDescent="0.25">
      <c r="A459" s="2" t="str">
        <f ca="1">IFERROR(__xludf.DUMMYFUNCTION("""COMPUTED_VALUE"""),"APP0458")</f>
        <v>APP0458</v>
      </c>
      <c r="B459" s="2">
        <f ca="1">IFERROR(__xludf.DUMMYFUNCTION("""COMPUTED_VALUE"""),45924.0206018518)</f>
        <v>45924.0206018518</v>
      </c>
      <c r="C459" s="1" t="str">
        <f ca="1">IFERROR(__xludf.DUMMYFUNCTION("""COMPUTED_VALUE"""),"Dương Thị Tuấn")</f>
        <v>Dương Thị Tuấn</v>
      </c>
      <c r="D459" s="1" t="str">
        <f ca="1">IFERROR(__xludf.DUMMYFUNCTION("""COMPUTED_VALUE"""),"28/11/1995")</f>
        <v>28/11/1995</v>
      </c>
      <c r="E459" s="1" t="str">
        <f ca="1">IFERROR(__xludf.DUMMYFUNCTION("""COMPUTED_VALUE"""),"Male")</f>
        <v>Male</v>
      </c>
      <c r="F459" s="1" t="str">
        <f ca="1">IFERROR(__xludf.DUMMYFUNCTION("""COMPUTED_VALUE"""),"Vietnam")</f>
        <v>Vietnam</v>
      </c>
      <c r="G459" s="1" t="str">
        <f ca="1">IFERROR(__xludf.DUMMYFUNCTION("""COMPUTED_VALUE"""),"0864752995")</f>
        <v>0864752995</v>
      </c>
      <c r="H459" s="1" t="str">
        <f ca="1">IFERROR(__xludf.DUMMYFUNCTION("""COMPUTED_VALUE"""),"duongthituan@gmail.com")</f>
        <v>duongthituan@gmail.com</v>
      </c>
      <c r="I459" s="1" t="str">
        <f ca="1">IFERROR(__xludf.DUMMYFUNCTION("""COMPUTED_VALUE"""),"162 Tran Hung Dao, Quan 1, Ha Noi, Viet Nam")</f>
        <v>162 Tran Hung Dao, Quan 1, Ha Noi, Viet Nam</v>
      </c>
      <c r="J459" s="1" t="str">
        <f ca="1">IFERROR(__xludf.DUMMYFUNCTION("""COMPUTED_VALUE"""),"063618473330")</f>
        <v>063618473330</v>
      </c>
      <c r="K459" s="3" t="str">
        <f ca="1">IFERROR(__xludf.DUMMYFUNCTION("""COMPUTED_VALUE"""),"https://drive.google.com/open?id=MHamZTvkWsaISQDdPvap")</f>
        <v>https://drive.google.com/open?id=MHamZTvkWsaISQDdPvap</v>
      </c>
      <c r="L459" s="3" t="str">
        <f ca="1">IFERROR(__xludf.DUMMYFUNCTION("""COMPUTED_VALUE"""),"https://drive.google.com/open?id=eK31JjXCE36zthlAKAbU")</f>
        <v>https://drive.google.com/open?id=eK31JjXCE36zthlAKAbU</v>
      </c>
      <c r="M459" s="1"/>
      <c r="N459" s="1"/>
      <c r="O459" s="1"/>
      <c r="P459" s="1" t="str">
        <f ca="1">IFERROR(__xludf.DUMMYFUNCTION("""COMPUTED_VALUE"""),"Contract")</f>
        <v>Contract</v>
      </c>
      <c r="Q459" s="1">
        <f ca="1">IFERROR(__xludf.DUMMYFUNCTION("""COMPUTED_VALUE"""),20000000)</f>
        <v>20000000</v>
      </c>
      <c r="R459" s="3" t="str">
        <f ca="1">IFERROR(__xludf.DUMMYFUNCTION("""COMPUTED_VALUE"""),"https://drive.google.com/open?id=C5sREZwSlT3kChFomNiH")</f>
        <v>https://drive.google.com/open?id=C5sREZwSlT3kChFomNiH</v>
      </c>
      <c r="S459" s="1">
        <f ca="1">IFERROR(__xludf.DUMMYFUNCTION("""COMPUTED_VALUE"""),40000000)</f>
        <v>40000000</v>
      </c>
      <c r="T459" s="1" t="str">
        <f ca="1">IFERROR(__xludf.DUMMYFUNCTION("""COMPUTED_VALUE"""),"Gold")</f>
        <v>Gold</v>
      </c>
      <c r="U459" s="1" t="str">
        <f ca="1">IFERROR(__xludf.DUMMYFUNCTION("""COMPUTED_VALUE"""),"Online")</f>
        <v>Online</v>
      </c>
    </row>
    <row r="460" spans="1:21" x14ac:dyDescent="0.25">
      <c r="A460" s="2" t="str">
        <f ca="1">IFERROR(__xludf.DUMMYFUNCTION("""COMPUTED_VALUE"""),"APP0459")</f>
        <v>APP0459</v>
      </c>
      <c r="B460" s="2">
        <f ca="1">IFERROR(__xludf.DUMMYFUNCTION("""COMPUTED_VALUE"""),45924.0255902777)</f>
        <v>45924.025590277699</v>
      </c>
      <c r="C460" s="1" t="str">
        <f ca="1">IFERROR(__xludf.DUMMYFUNCTION("""COMPUTED_VALUE"""),"Đặng Anh Châu")</f>
        <v>Đặng Anh Châu</v>
      </c>
      <c r="D460" s="1" t="str">
        <f ca="1">IFERROR(__xludf.DUMMYFUNCTION("""COMPUTED_VALUE"""),"12/06/1998")</f>
        <v>12/06/1998</v>
      </c>
      <c r="E460" s="1" t="str">
        <f ca="1">IFERROR(__xludf.DUMMYFUNCTION("""COMPUTED_VALUE"""),"Female")</f>
        <v>Female</v>
      </c>
      <c r="F460" s="1" t="str">
        <f ca="1">IFERROR(__xludf.DUMMYFUNCTION("""COMPUTED_VALUE"""),"Vietnam")</f>
        <v>Vietnam</v>
      </c>
      <c r="G460" s="1" t="str">
        <f ca="1">IFERROR(__xludf.DUMMYFUNCTION("""COMPUTED_VALUE"""),"0826699669")</f>
        <v>0826699669</v>
      </c>
      <c r="H460" s="1" t="str">
        <f ca="1">IFERROR(__xludf.DUMMYFUNCTION("""COMPUTED_VALUE"""),"danganhchau@gmail.com")</f>
        <v>danganhchau@gmail.com</v>
      </c>
      <c r="I460" s="1" t="str">
        <f ca="1">IFERROR(__xludf.DUMMYFUNCTION("""COMPUTED_VALUE"""),"45 Tran Hung Dao, Quan 3, TP Ho Chi Minh, Viet Nam")</f>
        <v>45 Tran Hung Dao, Quan 3, TP Ho Chi Minh, Viet Nam</v>
      </c>
      <c r="J460" s="1" t="str">
        <f ca="1">IFERROR(__xludf.DUMMYFUNCTION("""COMPUTED_VALUE"""),"042600081529")</f>
        <v>042600081529</v>
      </c>
      <c r="K460" s="3" t="str">
        <f ca="1">IFERROR(__xludf.DUMMYFUNCTION("""COMPUTED_VALUE"""),"https://drive.google.com/open?id=9rdnMMlXVFrgmbm1CyBv")</f>
        <v>https://drive.google.com/open?id=9rdnMMlXVFrgmbm1CyBv</v>
      </c>
      <c r="L460" s="3" t="str">
        <f ca="1">IFERROR(__xludf.DUMMYFUNCTION("""COMPUTED_VALUE"""),"https://drive.google.com/open?id=9oIo3YFPrJ4rqgkTAtVT")</f>
        <v>https://drive.google.com/open?id=9oIo3YFPrJ4rqgkTAtVT</v>
      </c>
      <c r="M460" s="1"/>
      <c r="N460" s="1"/>
      <c r="O460" s="1"/>
      <c r="P460" s="1" t="str">
        <f ca="1">IFERROR(__xludf.DUMMYFUNCTION("""COMPUTED_VALUE"""),"Full-time")</f>
        <v>Full-time</v>
      </c>
      <c r="Q460" s="1">
        <f ca="1">IFERROR(__xludf.DUMMYFUNCTION("""COMPUTED_VALUE"""),20000000)</f>
        <v>20000000</v>
      </c>
      <c r="R460" s="3" t="str">
        <f ca="1">IFERROR(__xludf.DUMMYFUNCTION("""COMPUTED_VALUE"""),"https://drive.google.com/open?id=U12fGG5ERMN7URlCD3Hv")</f>
        <v>https://drive.google.com/open?id=U12fGG5ERMN7URlCD3Hv</v>
      </c>
      <c r="S460" s="1">
        <f ca="1">IFERROR(__xludf.DUMMYFUNCTION("""COMPUTED_VALUE"""),40000000)</f>
        <v>40000000</v>
      </c>
      <c r="T460" s="1" t="str">
        <f ca="1">IFERROR(__xludf.DUMMYFUNCTION("""COMPUTED_VALUE"""),"Gold")</f>
        <v>Gold</v>
      </c>
      <c r="U460" s="1" t="str">
        <f ca="1">IFERROR(__xludf.DUMMYFUNCTION("""COMPUTED_VALUE"""),"Online")</f>
        <v>Online</v>
      </c>
    </row>
    <row r="461" spans="1:21" x14ac:dyDescent="0.25">
      <c r="A461" s="2" t="str">
        <f ca="1">IFERROR(__xludf.DUMMYFUNCTION("""COMPUTED_VALUE"""),"APP0460")</f>
        <v>APP0460</v>
      </c>
      <c r="B461" s="2">
        <f ca="1">IFERROR(__xludf.DUMMYFUNCTION("""COMPUTED_VALUE"""),45924.1315046296)</f>
        <v>45924.1315046296</v>
      </c>
      <c r="C461" s="1" t="str">
        <f ca="1">IFERROR(__xludf.DUMMYFUNCTION("""COMPUTED_VALUE"""),"Trần Ngọc Khánh")</f>
        <v>Trần Ngọc Khánh</v>
      </c>
      <c r="D461" s="1" t="str">
        <f ca="1">IFERROR(__xludf.DUMMYFUNCTION("""COMPUTED_VALUE"""),"07/05/1976")</f>
        <v>07/05/1976</v>
      </c>
      <c r="E461" s="1" t="str">
        <f ca="1">IFERROR(__xludf.DUMMYFUNCTION("""COMPUTED_VALUE"""),"Female")</f>
        <v>Female</v>
      </c>
      <c r="F461" s="1" t="str">
        <f ca="1">IFERROR(__xludf.DUMMYFUNCTION("""COMPUTED_VALUE"""),"Vietnam")</f>
        <v>Vietnam</v>
      </c>
      <c r="G461" s="1" t="str">
        <f ca="1">IFERROR(__xludf.DUMMYFUNCTION("""COMPUTED_VALUE"""),"0986647106")</f>
        <v>0986647106</v>
      </c>
      <c r="H461" s="1" t="str">
        <f ca="1">IFERROR(__xludf.DUMMYFUNCTION("""COMPUTED_VALUE"""),"tranngockhanh@gmail.com")</f>
        <v>tranngockhanh@gmail.com</v>
      </c>
      <c r="I461" s="1" t="str">
        <f ca="1">IFERROR(__xludf.DUMMYFUNCTION("""COMPUTED_VALUE"""),"60 Pham Van Dong, Quan 3, Can Tho, Viet Nam")</f>
        <v>60 Pham Van Dong, Quan 3, Can Tho, Viet Nam</v>
      </c>
      <c r="J461" s="1" t="str">
        <f ca="1">IFERROR(__xludf.DUMMYFUNCTION("""COMPUTED_VALUE"""),"025123902955")</f>
        <v>025123902955</v>
      </c>
      <c r="K461" s="3" t="str">
        <f ca="1">IFERROR(__xludf.DUMMYFUNCTION("""COMPUTED_VALUE"""),"https://drive.google.com/open?id=u6YTlh4Ol2d7WKkdVClp")</f>
        <v>https://drive.google.com/open?id=u6YTlh4Ol2d7WKkdVClp</v>
      </c>
      <c r="L461" s="3" t="str">
        <f ca="1">IFERROR(__xludf.DUMMYFUNCTION("""COMPUTED_VALUE"""),"https://drive.google.com/open?id=Vw2edot8IAVn5IEDq7qU")</f>
        <v>https://drive.google.com/open?id=Vw2edot8IAVn5IEDq7qU</v>
      </c>
      <c r="M461" s="1"/>
      <c r="N461" s="1"/>
      <c r="O461" s="1"/>
      <c r="P461" s="1" t="str">
        <f ca="1">IFERROR(__xludf.DUMMYFUNCTION("""COMPUTED_VALUE"""),"Full-time")</f>
        <v>Full-time</v>
      </c>
      <c r="Q461" s="1">
        <f ca="1">IFERROR(__xludf.DUMMYFUNCTION("""COMPUTED_VALUE"""),8000000)</f>
        <v>8000000</v>
      </c>
      <c r="R461" s="3" t="str">
        <f ca="1">IFERROR(__xludf.DUMMYFUNCTION("""COMPUTED_VALUE"""),"https://drive.google.com/open?id=3znaPgfpHiX6z45inZIV")</f>
        <v>https://drive.google.com/open?id=3znaPgfpHiX6z45inZIV</v>
      </c>
      <c r="S461" s="1">
        <f ca="1">IFERROR(__xludf.DUMMYFUNCTION("""COMPUTED_VALUE"""),40000000)</f>
        <v>40000000</v>
      </c>
      <c r="T461" s="1" t="str">
        <f ca="1">IFERROR(__xludf.DUMMYFUNCTION("""COMPUTED_VALUE"""),"Classic")</f>
        <v>Classic</v>
      </c>
      <c r="U461" s="1" t="str">
        <f ca="1">IFERROR(__xludf.DUMMYFUNCTION("""COMPUTED_VALUE"""),"Online")</f>
        <v>Online</v>
      </c>
    </row>
    <row r="462" spans="1:21" x14ac:dyDescent="0.25">
      <c r="A462" s="2" t="str">
        <f ca="1">IFERROR(__xludf.DUMMYFUNCTION("""COMPUTED_VALUE"""),"APP0461")</f>
        <v>APP0461</v>
      </c>
      <c r="B462" s="2">
        <f ca="1">IFERROR(__xludf.DUMMYFUNCTION("""COMPUTED_VALUE"""),45924.1654398148)</f>
        <v>45924.165439814802</v>
      </c>
      <c r="C462" s="1" t="str">
        <f ca="1">IFERROR(__xludf.DUMMYFUNCTION("""COMPUTED_VALUE"""),"Hoàng Minh Thảo")</f>
        <v>Hoàng Minh Thảo</v>
      </c>
      <c r="D462" s="1" t="str">
        <f ca="1">IFERROR(__xludf.DUMMYFUNCTION("""COMPUTED_VALUE"""),"22/11/1964")</f>
        <v>22/11/1964</v>
      </c>
      <c r="E462" s="1" t="str">
        <f ca="1">IFERROR(__xludf.DUMMYFUNCTION("""COMPUTED_VALUE"""),"Female")</f>
        <v>Female</v>
      </c>
      <c r="F462" s="1" t="str">
        <f ca="1">IFERROR(__xludf.DUMMYFUNCTION("""COMPUTED_VALUE"""),"Vietnam")</f>
        <v>Vietnam</v>
      </c>
      <c r="G462" s="1" t="str">
        <f ca="1">IFERROR(__xludf.DUMMYFUNCTION("""COMPUTED_VALUE"""),"0799908518")</f>
        <v>0799908518</v>
      </c>
      <c r="H462" s="1" t="str">
        <f ca="1">IFERROR(__xludf.DUMMYFUNCTION("""COMPUTED_VALUE"""),"hoangminhthao@gmail.com")</f>
        <v>hoangminhthao@gmail.com</v>
      </c>
      <c r="I462" s="1" t="str">
        <f ca="1">IFERROR(__xludf.DUMMYFUNCTION("""COMPUTED_VALUE"""),"153 Nguyen Trai, Quan 3, Hai Phong, Viet Nam")</f>
        <v>153 Nguyen Trai, Quan 3, Hai Phong, Viet Nam</v>
      </c>
      <c r="J462" s="1" t="str">
        <f ca="1">IFERROR(__xludf.DUMMYFUNCTION("""COMPUTED_VALUE"""),"048630039534")</f>
        <v>048630039534</v>
      </c>
      <c r="K462" s="3" t="str">
        <f ca="1">IFERROR(__xludf.DUMMYFUNCTION("""COMPUTED_VALUE"""),"https://drive.google.com/open?id=5Ab1NMycUYuc1OFeM4ma")</f>
        <v>https://drive.google.com/open?id=5Ab1NMycUYuc1OFeM4ma</v>
      </c>
      <c r="L462" s="3" t="str">
        <f ca="1">IFERROR(__xludf.DUMMYFUNCTION("""COMPUTED_VALUE"""),"https://drive.google.com/open?id=X59i4jgiTLMZRnt9zlhj")</f>
        <v>https://drive.google.com/open?id=X59i4jgiTLMZRnt9zlhj</v>
      </c>
      <c r="M462" s="1"/>
      <c r="N462" s="1"/>
      <c r="O462" s="1"/>
      <c r="P462" s="1" t="str">
        <f ca="1">IFERROR(__xludf.DUMMYFUNCTION("""COMPUTED_VALUE"""),"Contract")</f>
        <v>Contract</v>
      </c>
      <c r="Q462" s="1">
        <f ca="1">IFERROR(__xludf.DUMMYFUNCTION("""COMPUTED_VALUE"""),20000000)</f>
        <v>20000000</v>
      </c>
      <c r="R462" s="3" t="str">
        <f ca="1">IFERROR(__xludf.DUMMYFUNCTION("""COMPUTED_VALUE"""),"https://drive.google.com/open?id=hZvvWmuflgMTjUkYVROZ")</f>
        <v>https://drive.google.com/open?id=hZvvWmuflgMTjUkYVROZ</v>
      </c>
      <c r="S462" s="1">
        <f ca="1">IFERROR(__xludf.DUMMYFUNCTION("""COMPUTED_VALUE"""),40000000)</f>
        <v>40000000</v>
      </c>
      <c r="T462" s="1" t="str">
        <f ca="1">IFERROR(__xludf.DUMMYFUNCTION("""COMPUTED_VALUE"""),"Platinum")</f>
        <v>Platinum</v>
      </c>
      <c r="U462" s="1" t="str">
        <f ca="1">IFERROR(__xludf.DUMMYFUNCTION("""COMPUTED_VALUE"""),"Partner")</f>
        <v>Partner</v>
      </c>
    </row>
    <row r="463" spans="1:21" x14ac:dyDescent="0.25">
      <c r="A463" s="2" t="str">
        <f ca="1">IFERROR(__xludf.DUMMYFUNCTION("""COMPUTED_VALUE"""),"APP0462")</f>
        <v>APP0462</v>
      </c>
      <c r="B463" s="2">
        <f ca="1">IFERROR(__xludf.DUMMYFUNCTION("""COMPUTED_VALUE"""),45924.2052662037)</f>
        <v>45924.205266203702</v>
      </c>
      <c r="C463" s="1" t="str">
        <f ca="1">IFERROR(__xludf.DUMMYFUNCTION("""COMPUTED_VALUE"""),"Lê Ngọc Quân")</f>
        <v>Lê Ngọc Quân</v>
      </c>
      <c r="D463" s="1" t="str">
        <f ca="1">IFERROR(__xludf.DUMMYFUNCTION("""COMPUTED_VALUE"""),"24/12/1984")</f>
        <v>24/12/1984</v>
      </c>
      <c r="E463" s="1" t="str">
        <f ca="1">IFERROR(__xludf.DUMMYFUNCTION("""COMPUTED_VALUE"""),"Male")</f>
        <v>Male</v>
      </c>
      <c r="F463" s="1" t="str">
        <f ca="1">IFERROR(__xludf.DUMMYFUNCTION("""COMPUTED_VALUE"""),"Vietnam")</f>
        <v>Vietnam</v>
      </c>
      <c r="G463" s="1" t="str">
        <f ca="1">IFERROR(__xludf.DUMMYFUNCTION("""COMPUTED_VALUE"""),"0967926628")</f>
        <v>0967926628</v>
      </c>
      <c r="H463" s="1" t="str">
        <f ca="1">IFERROR(__xludf.DUMMYFUNCTION("""COMPUTED_VALUE"""),"lengocquan@gmail.com")</f>
        <v>lengocquan@gmail.com</v>
      </c>
      <c r="I463" s="1" t="str">
        <f ca="1">IFERROR(__xludf.DUMMYFUNCTION("""COMPUTED_VALUE"""),"190 Nguyen Hue, Quan 1, Can Tho, Viet Nam")</f>
        <v>190 Nguyen Hue, Quan 1, Can Tho, Viet Nam</v>
      </c>
      <c r="J463" s="1" t="str">
        <f ca="1">IFERROR(__xludf.DUMMYFUNCTION("""COMPUTED_VALUE"""),"060199514695")</f>
        <v>060199514695</v>
      </c>
      <c r="K463" s="3" t="str">
        <f ca="1">IFERROR(__xludf.DUMMYFUNCTION("""COMPUTED_VALUE"""),"https://drive.google.com/open?id=xoGs65sQteKbPyZjbepZ")</f>
        <v>https://drive.google.com/open?id=xoGs65sQteKbPyZjbepZ</v>
      </c>
      <c r="L463" s="3" t="str">
        <f ca="1">IFERROR(__xludf.DUMMYFUNCTION("""COMPUTED_VALUE"""),"https://drive.google.com/open?id=RSqO8smHgKpTFO3oLmrD")</f>
        <v>https://drive.google.com/open?id=RSqO8smHgKpTFO3oLmrD</v>
      </c>
      <c r="M463" s="1"/>
      <c r="N463" s="1"/>
      <c r="O463" s="1"/>
      <c r="P463" s="1" t="str">
        <f ca="1">IFERROR(__xludf.DUMMYFUNCTION("""COMPUTED_VALUE"""),"Self-employed")</f>
        <v>Self-employed</v>
      </c>
      <c r="Q463" s="1">
        <f ca="1">IFERROR(__xludf.DUMMYFUNCTION("""COMPUTED_VALUE"""),20000000)</f>
        <v>20000000</v>
      </c>
      <c r="R463" s="3" t="str">
        <f ca="1">IFERROR(__xludf.DUMMYFUNCTION("""COMPUTED_VALUE"""),"https://drive.google.com/open?id=FvyuPOU2OEtGBeekA4VO")</f>
        <v>https://drive.google.com/open?id=FvyuPOU2OEtGBeekA4VO</v>
      </c>
      <c r="S463" s="1">
        <f ca="1">IFERROR(__xludf.DUMMYFUNCTION("""COMPUTED_VALUE"""),100000000)</f>
        <v>100000000</v>
      </c>
      <c r="T463" s="1" t="str">
        <f ca="1">IFERROR(__xludf.DUMMYFUNCTION("""COMPUTED_VALUE"""),"Classic")</f>
        <v>Classic</v>
      </c>
      <c r="U463" s="1" t="str">
        <f ca="1">IFERROR(__xludf.DUMMYFUNCTION("""COMPUTED_VALUE"""),"Branch")</f>
        <v>Branch</v>
      </c>
    </row>
    <row r="464" spans="1:21" x14ac:dyDescent="0.25">
      <c r="A464" s="2" t="str">
        <f ca="1">IFERROR(__xludf.DUMMYFUNCTION("""COMPUTED_VALUE"""),"APP0463")</f>
        <v>APP0463</v>
      </c>
      <c r="B464" s="2">
        <f ca="1">IFERROR(__xludf.DUMMYFUNCTION("""COMPUTED_VALUE"""),45924.245787037)</f>
        <v>45924.245787036998</v>
      </c>
      <c r="C464" s="1" t="str">
        <f ca="1">IFERROR(__xludf.DUMMYFUNCTION("""COMPUTED_VALUE"""),"Lê Hữu Thảo")</f>
        <v>Lê Hữu Thảo</v>
      </c>
      <c r="D464" s="1" t="str">
        <f ca="1">IFERROR(__xludf.DUMMYFUNCTION("""COMPUTED_VALUE"""),"28/01/1989")</f>
        <v>28/01/1989</v>
      </c>
      <c r="E464" s="1" t="str">
        <f ca="1">IFERROR(__xludf.DUMMYFUNCTION("""COMPUTED_VALUE"""),"Female")</f>
        <v>Female</v>
      </c>
      <c r="F464" s="1" t="str">
        <f ca="1">IFERROR(__xludf.DUMMYFUNCTION("""COMPUTED_VALUE"""),"Vietnam")</f>
        <v>Vietnam</v>
      </c>
      <c r="G464" s="1" t="str">
        <f ca="1">IFERROR(__xludf.DUMMYFUNCTION("""COMPUTED_VALUE"""),"0856809139")</f>
        <v>0856809139</v>
      </c>
      <c r="H464" s="1" t="str">
        <f ca="1">IFERROR(__xludf.DUMMYFUNCTION("""COMPUTED_VALUE"""),"lehuuthao@gmail.com")</f>
        <v>lehuuthao@gmail.com</v>
      </c>
      <c r="I464" s="1" t="str">
        <f ca="1">IFERROR(__xludf.DUMMYFUNCTION("""COMPUTED_VALUE"""),"64 Nguyen Hue, Dong Da, Da Nang, Viet Nam")</f>
        <v>64 Nguyen Hue, Dong Da, Da Nang, Viet Nam</v>
      </c>
      <c r="J464" s="1" t="str">
        <f ca="1">IFERROR(__xludf.DUMMYFUNCTION("""COMPUTED_VALUE"""),"051677747474")</f>
        <v>051677747474</v>
      </c>
      <c r="K464" s="3" t="str">
        <f ca="1">IFERROR(__xludf.DUMMYFUNCTION("""COMPUTED_VALUE"""),"https://drive.google.com/open?id=kIc3pfuDl6CtpKi54UCC")</f>
        <v>https://drive.google.com/open?id=kIc3pfuDl6CtpKi54UCC</v>
      </c>
      <c r="L464" s="3" t="str">
        <f ca="1">IFERROR(__xludf.DUMMYFUNCTION("""COMPUTED_VALUE"""),"https://drive.google.com/open?id=sG5H7BO9cR0dVpXfz1rO")</f>
        <v>https://drive.google.com/open?id=sG5H7BO9cR0dVpXfz1rO</v>
      </c>
      <c r="M464" s="1"/>
      <c r="N464" s="1"/>
      <c r="O464" s="1"/>
      <c r="P464" s="1" t="str">
        <f ca="1">IFERROR(__xludf.DUMMYFUNCTION("""COMPUTED_VALUE"""),"Freelancer")</f>
        <v>Freelancer</v>
      </c>
      <c r="Q464" s="1">
        <f ca="1">IFERROR(__xludf.DUMMYFUNCTION("""COMPUTED_VALUE"""),50000000)</f>
        <v>50000000</v>
      </c>
      <c r="R464" s="3" t="str">
        <f ca="1">IFERROR(__xludf.DUMMYFUNCTION("""COMPUTED_VALUE"""),"https://drive.google.com/open?id=Do1CNkzmOCLpzRHSnvXz")</f>
        <v>https://drive.google.com/open?id=Do1CNkzmOCLpzRHSnvXz</v>
      </c>
      <c r="S464" s="1">
        <f ca="1">IFERROR(__xludf.DUMMYFUNCTION("""COMPUTED_VALUE"""),150000000)</f>
        <v>150000000</v>
      </c>
      <c r="T464" s="1" t="str">
        <f ca="1">IFERROR(__xludf.DUMMYFUNCTION("""COMPUTED_VALUE"""),"Platinum")</f>
        <v>Platinum</v>
      </c>
      <c r="U464" s="1" t="str">
        <f ca="1">IFERROR(__xludf.DUMMYFUNCTION("""COMPUTED_VALUE"""),"Online")</f>
        <v>Online</v>
      </c>
    </row>
    <row r="465" spans="1:21" x14ac:dyDescent="0.25">
      <c r="A465" s="2" t="str">
        <f ca="1">IFERROR(__xludf.DUMMYFUNCTION("""COMPUTED_VALUE"""),"APP0464")</f>
        <v>APP0464</v>
      </c>
      <c r="B465" s="2">
        <f ca="1">IFERROR(__xludf.DUMMYFUNCTION("""COMPUTED_VALUE"""),45924.2923726851)</f>
        <v>45924.2923726851</v>
      </c>
      <c r="C465" s="1" t="str">
        <f ca="1">IFERROR(__xludf.DUMMYFUNCTION("""COMPUTED_VALUE"""),"Lý Minh Sơn")</f>
        <v>Lý Minh Sơn</v>
      </c>
      <c r="D465" s="1" t="str">
        <f ca="1">IFERROR(__xludf.DUMMYFUNCTION("""COMPUTED_VALUE"""),"26/05/1981")</f>
        <v>26/05/1981</v>
      </c>
      <c r="E465" s="1" t="str">
        <f ca="1">IFERROR(__xludf.DUMMYFUNCTION("""COMPUTED_VALUE"""),"Male")</f>
        <v>Male</v>
      </c>
      <c r="F465" s="1" t="str">
        <f ca="1">IFERROR(__xludf.DUMMYFUNCTION("""COMPUTED_VALUE"""),"Vietnam")</f>
        <v>Vietnam</v>
      </c>
      <c r="G465" s="1" t="str">
        <f ca="1">IFERROR(__xludf.DUMMYFUNCTION("""COMPUTED_VALUE"""),"0753670105")</f>
        <v>0753670105</v>
      </c>
      <c r="H465" s="1" t="str">
        <f ca="1">IFERROR(__xludf.DUMMYFUNCTION("""COMPUTED_VALUE"""),"lyminhson@gmail.com")</f>
        <v>lyminhson@gmail.com</v>
      </c>
      <c r="I465" s="1" t="str">
        <f ca="1">IFERROR(__xludf.DUMMYFUNCTION("""COMPUTED_VALUE"""),"65 Nguyen Trai, Quan 7, Da Nang, Viet Nam")</f>
        <v>65 Nguyen Trai, Quan 7, Da Nang, Viet Nam</v>
      </c>
      <c r="J465" s="1" t="str">
        <f ca="1">IFERROR(__xludf.DUMMYFUNCTION("""COMPUTED_VALUE"""),"073153698943")</f>
        <v>073153698943</v>
      </c>
      <c r="K465" s="3" t="str">
        <f ca="1">IFERROR(__xludf.DUMMYFUNCTION("""COMPUTED_VALUE"""),"https://drive.google.com/open?id=MHnlQs34DlOTqfWEBfqj")</f>
        <v>https://drive.google.com/open?id=MHnlQs34DlOTqfWEBfqj</v>
      </c>
      <c r="L465" s="3" t="str">
        <f ca="1">IFERROR(__xludf.DUMMYFUNCTION("""COMPUTED_VALUE"""),"https://drive.google.com/open?id=Pyn34WjVnk9fMOlVLEqm")</f>
        <v>https://drive.google.com/open?id=Pyn34WjVnk9fMOlVLEqm</v>
      </c>
      <c r="M465" s="1"/>
      <c r="N465" s="1"/>
      <c r="O465" s="1"/>
      <c r="P465" s="1" t="str">
        <f ca="1">IFERROR(__xludf.DUMMYFUNCTION("""COMPUTED_VALUE"""),"Self-employed")</f>
        <v>Self-employed</v>
      </c>
      <c r="Q465" s="1">
        <f ca="1">IFERROR(__xludf.DUMMYFUNCTION("""COMPUTED_VALUE"""),12000000)</f>
        <v>12000000</v>
      </c>
      <c r="R465" s="3" t="str">
        <f ca="1">IFERROR(__xludf.DUMMYFUNCTION("""COMPUTED_VALUE"""),"https://drive.google.com/open?id=eYBdlhtKWkClAp6Y0TGT")</f>
        <v>https://drive.google.com/open?id=eYBdlhtKWkClAp6Y0TGT</v>
      </c>
      <c r="S465" s="1">
        <f ca="1">IFERROR(__xludf.DUMMYFUNCTION("""COMPUTED_VALUE"""),60000000)</f>
        <v>60000000</v>
      </c>
      <c r="T465" s="1" t="str">
        <f ca="1">IFERROR(__xludf.DUMMYFUNCTION("""COMPUTED_VALUE"""),"Platinum")</f>
        <v>Platinum</v>
      </c>
      <c r="U465" s="1" t="str">
        <f ca="1">IFERROR(__xludf.DUMMYFUNCTION("""COMPUTED_VALUE"""),"Online")</f>
        <v>Online</v>
      </c>
    </row>
    <row r="466" spans="1:21" x14ac:dyDescent="0.25">
      <c r="A466" s="2" t="str">
        <f ca="1">IFERROR(__xludf.DUMMYFUNCTION("""COMPUTED_VALUE"""),"APP0465")</f>
        <v>APP0465</v>
      </c>
      <c r="B466" s="2">
        <f ca="1">IFERROR(__xludf.DUMMYFUNCTION("""COMPUTED_VALUE"""),45924.4555092592)</f>
        <v>45924.455509259198</v>
      </c>
      <c r="C466" s="1" t="str">
        <f ca="1">IFERROR(__xludf.DUMMYFUNCTION("""COMPUTED_VALUE"""),"Nguyễn Ngọc Thắng")</f>
        <v>Nguyễn Ngọc Thắng</v>
      </c>
      <c r="D466" s="1" t="str">
        <f ca="1">IFERROR(__xludf.DUMMYFUNCTION("""COMPUTED_VALUE"""),"18/10/1985")</f>
        <v>18/10/1985</v>
      </c>
      <c r="E466" s="1" t="str">
        <f ca="1">IFERROR(__xludf.DUMMYFUNCTION("""COMPUTED_VALUE"""),"Male")</f>
        <v>Male</v>
      </c>
      <c r="F466" s="1" t="str">
        <f ca="1">IFERROR(__xludf.DUMMYFUNCTION("""COMPUTED_VALUE"""),"Vietnam")</f>
        <v>Vietnam</v>
      </c>
      <c r="G466" s="1" t="str">
        <f ca="1">IFERROR(__xludf.DUMMYFUNCTION("""COMPUTED_VALUE"""),"0980888541")</f>
        <v>0980888541</v>
      </c>
      <c r="H466" s="1" t="str">
        <f ca="1">IFERROR(__xludf.DUMMYFUNCTION("""COMPUTED_VALUE"""),"nguyenngocthang@gmail.com")</f>
        <v>nguyenngocthang@gmail.com</v>
      </c>
      <c r="I466" s="1" t="str">
        <f ca="1">IFERROR(__xludf.DUMMYFUNCTION("""COMPUTED_VALUE"""),"68 Ly Thuong Kiet, Quan 7, Da Nang, Viet Nam")</f>
        <v>68 Ly Thuong Kiet, Quan 7, Da Nang, Viet Nam</v>
      </c>
      <c r="J466" s="1" t="str">
        <f ca="1">IFERROR(__xludf.DUMMYFUNCTION("""COMPUTED_VALUE"""),"078968705789")</f>
        <v>078968705789</v>
      </c>
      <c r="K466" s="3" t="str">
        <f ca="1">IFERROR(__xludf.DUMMYFUNCTION("""COMPUTED_VALUE"""),"https://drive.google.com/open?id=68zMREgQc94gsaw8h365")</f>
        <v>https://drive.google.com/open?id=68zMREgQc94gsaw8h365</v>
      </c>
      <c r="L466" s="3" t="str">
        <f ca="1">IFERROR(__xludf.DUMMYFUNCTION("""COMPUTED_VALUE"""),"https://drive.google.com/open?id=vhClRzzoAcQysLjyuYwq")</f>
        <v>https://drive.google.com/open?id=vhClRzzoAcQysLjyuYwq</v>
      </c>
      <c r="M466" s="1"/>
      <c r="N466" s="1"/>
      <c r="O466" s="1"/>
      <c r="P466" s="1" t="str">
        <f ca="1">IFERROR(__xludf.DUMMYFUNCTION("""COMPUTED_VALUE"""),"Full-time")</f>
        <v>Full-time</v>
      </c>
      <c r="Q466" s="1">
        <f ca="1">IFERROR(__xludf.DUMMYFUNCTION("""COMPUTED_VALUE"""),50000000)</f>
        <v>50000000</v>
      </c>
      <c r="R466" s="3" t="str">
        <f ca="1">IFERROR(__xludf.DUMMYFUNCTION("""COMPUTED_VALUE"""),"https://drive.google.com/open?id=A25IYcI7kUI3i7j6Twvf")</f>
        <v>https://drive.google.com/open?id=A25IYcI7kUI3i7j6Twvf</v>
      </c>
      <c r="S466" s="1">
        <f ca="1">IFERROR(__xludf.DUMMYFUNCTION("""COMPUTED_VALUE"""),250000000)</f>
        <v>250000000</v>
      </c>
      <c r="T466" s="1" t="str">
        <f ca="1">IFERROR(__xludf.DUMMYFUNCTION("""COMPUTED_VALUE"""),"Platinum")</f>
        <v>Platinum</v>
      </c>
      <c r="U466" s="1" t="str">
        <f ca="1">IFERROR(__xludf.DUMMYFUNCTION("""COMPUTED_VALUE"""),"Online")</f>
        <v>Online</v>
      </c>
    </row>
    <row r="467" spans="1:21" x14ac:dyDescent="0.25">
      <c r="A467" s="2" t="str">
        <f ca="1">IFERROR(__xludf.DUMMYFUNCTION("""COMPUTED_VALUE"""),"APP0466")</f>
        <v>APP0466</v>
      </c>
      <c r="B467" s="2">
        <f ca="1">IFERROR(__xludf.DUMMYFUNCTION("""COMPUTED_VALUE"""),45924.49875)</f>
        <v>45924.498749999999</v>
      </c>
      <c r="C467" s="1" t="str">
        <f ca="1">IFERROR(__xludf.DUMMYFUNCTION("""COMPUTED_VALUE"""),"Lê Hữu Phong")</f>
        <v>Lê Hữu Phong</v>
      </c>
      <c r="D467" s="1" t="str">
        <f ca="1">IFERROR(__xludf.DUMMYFUNCTION("""COMPUTED_VALUE"""),"27/08/1977")</f>
        <v>27/08/1977</v>
      </c>
      <c r="E467" s="1" t="str">
        <f ca="1">IFERROR(__xludf.DUMMYFUNCTION("""COMPUTED_VALUE"""),"Female")</f>
        <v>Female</v>
      </c>
      <c r="F467" s="1" t="str">
        <f ca="1">IFERROR(__xludf.DUMMYFUNCTION("""COMPUTED_VALUE"""),"Vietnam")</f>
        <v>Vietnam</v>
      </c>
      <c r="G467" s="1" t="str">
        <f ca="1">IFERROR(__xludf.DUMMYFUNCTION("""COMPUTED_VALUE"""),"0966601150")</f>
        <v>0966601150</v>
      </c>
      <c r="H467" s="1" t="str">
        <f ca="1">IFERROR(__xludf.DUMMYFUNCTION("""COMPUTED_VALUE"""),"lehuuphong@gmail.com")</f>
        <v>lehuuphong@gmail.com</v>
      </c>
      <c r="I467" s="1" t="str">
        <f ca="1">IFERROR(__xludf.DUMMYFUNCTION("""COMPUTED_VALUE"""),"8 Pham Van Dong, Hai Chau, Can Tho, Viet Nam")</f>
        <v>8 Pham Van Dong, Hai Chau, Can Tho, Viet Nam</v>
      </c>
      <c r="J467" s="1" t="str">
        <f ca="1">IFERROR(__xludf.DUMMYFUNCTION("""COMPUTED_VALUE"""),"049433795746")</f>
        <v>049433795746</v>
      </c>
      <c r="K467" s="3" t="str">
        <f ca="1">IFERROR(__xludf.DUMMYFUNCTION("""COMPUTED_VALUE"""),"https://drive.google.com/open?id=uYVw0lJHEfqXPHtNChzv")</f>
        <v>https://drive.google.com/open?id=uYVw0lJHEfqXPHtNChzv</v>
      </c>
      <c r="L467" s="3" t="str">
        <f ca="1">IFERROR(__xludf.DUMMYFUNCTION("""COMPUTED_VALUE"""),"https://drive.google.com/open?id=h9UfoBHgGh8bglm3qU8y")</f>
        <v>https://drive.google.com/open?id=h9UfoBHgGh8bglm3qU8y</v>
      </c>
      <c r="M467" s="1"/>
      <c r="N467" s="1"/>
      <c r="O467" s="1"/>
      <c r="P467" s="1" t="str">
        <f ca="1">IFERROR(__xludf.DUMMYFUNCTION("""COMPUTED_VALUE"""),"Full-time")</f>
        <v>Full-time</v>
      </c>
      <c r="Q467" s="1">
        <f ca="1">IFERROR(__xludf.DUMMYFUNCTION("""COMPUTED_VALUE"""),20000000)</f>
        <v>20000000</v>
      </c>
      <c r="R467" s="3" t="str">
        <f ca="1">IFERROR(__xludf.DUMMYFUNCTION("""COMPUTED_VALUE"""),"https://drive.google.com/open?id=XCCsvGLpipGft7ZJQyyT")</f>
        <v>https://drive.google.com/open?id=XCCsvGLpipGft7ZJQyyT</v>
      </c>
      <c r="S467" s="1">
        <f ca="1">IFERROR(__xludf.DUMMYFUNCTION("""COMPUTED_VALUE"""),40000000)</f>
        <v>40000000</v>
      </c>
      <c r="T467" s="1" t="str">
        <f ca="1">IFERROR(__xludf.DUMMYFUNCTION("""COMPUTED_VALUE"""),"Classic")</f>
        <v>Classic</v>
      </c>
      <c r="U467" s="1" t="str">
        <f ca="1">IFERROR(__xludf.DUMMYFUNCTION("""COMPUTED_VALUE"""),"Branch")</f>
        <v>Branch</v>
      </c>
    </row>
    <row r="468" spans="1:21" x14ac:dyDescent="0.25">
      <c r="A468" s="2" t="str">
        <f ca="1">IFERROR(__xludf.DUMMYFUNCTION("""COMPUTED_VALUE"""),"APP0467")</f>
        <v>APP0467</v>
      </c>
      <c r="B468" s="2">
        <f ca="1">IFERROR(__xludf.DUMMYFUNCTION("""COMPUTED_VALUE"""),45924.525474537)</f>
        <v>45924.525474536997</v>
      </c>
      <c r="C468" s="1" t="str">
        <f ca="1">IFERROR(__xludf.DUMMYFUNCTION("""COMPUTED_VALUE"""),"Dương Minh Phúc")</f>
        <v>Dương Minh Phúc</v>
      </c>
      <c r="D468" s="1" t="str">
        <f ca="1">IFERROR(__xludf.DUMMYFUNCTION("""COMPUTED_VALUE"""),"28/05/1993")</f>
        <v>28/05/1993</v>
      </c>
      <c r="E468" s="1" t="str">
        <f ca="1">IFERROR(__xludf.DUMMYFUNCTION("""COMPUTED_VALUE"""),"Female")</f>
        <v>Female</v>
      </c>
      <c r="F468" s="1" t="str">
        <f ca="1">IFERROR(__xludf.DUMMYFUNCTION("""COMPUTED_VALUE"""),"Vietnam")</f>
        <v>Vietnam</v>
      </c>
      <c r="G468" s="1" t="str">
        <f ca="1">IFERROR(__xludf.DUMMYFUNCTION("""COMPUTED_VALUE"""),"0988047185")</f>
        <v>0988047185</v>
      </c>
      <c r="H468" s="1" t="str">
        <f ca="1">IFERROR(__xludf.DUMMYFUNCTION("""COMPUTED_VALUE"""),"duongminhphuc@gmail.com")</f>
        <v>duongminhphuc@gmail.com</v>
      </c>
      <c r="I468" s="1" t="str">
        <f ca="1">IFERROR(__xludf.DUMMYFUNCTION("""COMPUTED_VALUE"""),"71 Le Loi, Dong Da, Da Nang, Viet Nam")</f>
        <v>71 Le Loi, Dong Da, Da Nang, Viet Nam</v>
      </c>
      <c r="J468" s="1" t="str">
        <f ca="1">IFERROR(__xludf.DUMMYFUNCTION("""COMPUTED_VALUE"""),"031253892498")</f>
        <v>031253892498</v>
      </c>
      <c r="K468" s="3" t="str">
        <f ca="1">IFERROR(__xludf.DUMMYFUNCTION("""COMPUTED_VALUE"""),"https://drive.google.com/open?id=50UuVvY7vA8Wp9QOQrV0")</f>
        <v>https://drive.google.com/open?id=50UuVvY7vA8Wp9QOQrV0</v>
      </c>
      <c r="L468" s="3" t="str">
        <f ca="1">IFERROR(__xludf.DUMMYFUNCTION("""COMPUTED_VALUE"""),"https://drive.google.com/open?id=qtoe9F2cqZqLXHE6IAzl")</f>
        <v>https://drive.google.com/open?id=qtoe9F2cqZqLXHE6IAzl</v>
      </c>
      <c r="M468" s="1"/>
      <c r="N468" s="1"/>
      <c r="O468" s="1"/>
      <c r="P468" s="1" t="str">
        <f ca="1">IFERROR(__xludf.DUMMYFUNCTION("""COMPUTED_VALUE"""),"Part-time")</f>
        <v>Part-time</v>
      </c>
      <c r="Q468" s="1">
        <f ca="1">IFERROR(__xludf.DUMMYFUNCTION("""COMPUTED_VALUE"""),5000000)</f>
        <v>5000000</v>
      </c>
      <c r="R468" s="3" t="str">
        <f ca="1">IFERROR(__xludf.DUMMYFUNCTION("""COMPUTED_VALUE"""),"https://drive.google.com/open?id=cITKzViifOr9FvcNkUGi")</f>
        <v>https://drive.google.com/open?id=cITKzViifOr9FvcNkUGi</v>
      </c>
      <c r="S468" s="1">
        <f ca="1">IFERROR(__xludf.DUMMYFUNCTION("""COMPUTED_VALUE"""),10000000)</f>
        <v>10000000</v>
      </c>
      <c r="T468" s="1" t="str">
        <f ca="1">IFERROR(__xludf.DUMMYFUNCTION("""COMPUTED_VALUE"""),"Gold")</f>
        <v>Gold</v>
      </c>
      <c r="U468" s="1" t="str">
        <f ca="1">IFERROR(__xludf.DUMMYFUNCTION("""COMPUTED_VALUE"""),"Partner")</f>
        <v>Partner</v>
      </c>
    </row>
    <row r="469" spans="1:21" x14ac:dyDescent="0.25">
      <c r="A469" s="2" t="str">
        <f ca="1">IFERROR(__xludf.DUMMYFUNCTION("""COMPUTED_VALUE"""),"APP0468")</f>
        <v>APP0468</v>
      </c>
      <c r="B469" s="2">
        <f ca="1">IFERROR(__xludf.DUMMYFUNCTION("""COMPUTED_VALUE"""),45924.5309027777)</f>
        <v>45924.530902777697</v>
      </c>
      <c r="C469" s="1" t="str">
        <f ca="1">IFERROR(__xludf.DUMMYFUNCTION("""COMPUTED_VALUE"""),"Bùi Minh Châu")</f>
        <v>Bùi Minh Châu</v>
      </c>
      <c r="D469" s="1" t="str">
        <f ca="1">IFERROR(__xludf.DUMMYFUNCTION("""COMPUTED_VALUE"""),"13/10/1970")</f>
        <v>13/10/1970</v>
      </c>
      <c r="E469" s="1" t="str">
        <f ca="1">IFERROR(__xludf.DUMMYFUNCTION("""COMPUTED_VALUE"""),"Female")</f>
        <v>Female</v>
      </c>
      <c r="F469" s="1" t="str">
        <f ca="1">IFERROR(__xludf.DUMMYFUNCTION("""COMPUTED_VALUE"""),"Vietnam")</f>
        <v>Vietnam</v>
      </c>
      <c r="G469" s="1" t="str">
        <f ca="1">IFERROR(__xludf.DUMMYFUNCTION("""COMPUTED_VALUE"""),"0721198985")</f>
        <v>0721198985</v>
      </c>
      <c r="H469" s="1" t="str">
        <f ca="1">IFERROR(__xludf.DUMMYFUNCTION("""COMPUTED_VALUE"""),"buiminhchau@gmail.com")</f>
        <v>buiminhchau@gmail.com</v>
      </c>
      <c r="I469" s="1" t="str">
        <f ca="1">IFERROR(__xludf.DUMMYFUNCTION("""COMPUTED_VALUE"""),"185 Ly Thuong Kiet, Dong Da, Hai Phong, Viet Nam")</f>
        <v>185 Ly Thuong Kiet, Dong Da, Hai Phong, Viet Nam</v>
      </c>
      <c r="J469" s="1" t="str">
        <f ca="1">IFERROR(__xludf.DUMMYFUNCTION("""COMPUTED_VALUE"""),"083679009470")</f>
        <v>083679009470</v>
      </c>
      <c r="K469" s="3" t="str">
        <f ca="1">IFERROR(__xludf.DUMMYFUNCTION("""COMPUTED_VALUE"""),"https://drive.google.com/open?id=U6wUxO3Qe2G45i9cjz0x")</f>
        <v>https://drive.google.com/open?id=U6wUxO3Qe2G45i9cjz0x</v>
      </c>
      <c r="L469" s="3" t="str">
        <f ca="1">IFERROR(__xludf.DUMMYFUNCTION("""COMPUTED_VALUE"""),"https://drive.google.com/open?id=shOfM5Jkz5JaItmer6na")</f>
        <v>https://drive.google.com/open?id=shOfM5Jkz5JaItmer6na</v>
      </c>
      <c r="M469" s="1"/>
      <c r="N469" s="1"/>
      <c r="O469" s="1"/>
      <c r="P469" s="1" t="str">
        <f ca="1">IFERROR(__xludf.DUMMYFUNCTION("""COMPUTED_VALUE"""),"Contract")</f>
        <v>Contract</v>
      </c>
      <c r="Q469" s="1">
        <f ca="1">IFERROR(__xludf.DUMMYFUNCTION("""COMPUTED_VALUE"""),8000000)</f>
        <v>8000000</v>
      </c>
      <c r="R469" s="3" t="str">
        <f ca="1">IFERROR(__xludf.DUMMYFUNCTION("""COMPUTED_VALUE"""),"https://drive.google.com/open?id=9dVzUPmxmd4ZWcCw2AKj")</f>
        <v>https://drive.google.com/open?id=9dVzUPmxmd4ZWcCw2AKj</v>
      </c>
      <c r="S469" s="1">
        <f ca="1">IFERROR(__xludf.DUMMYFUNCTION("""COMPUTED_VALUE"""),24000000)</f>
        <v>24000000</v>
      </c>
      <c r="T469" s="1" t="str">
        <f ca="1">IFERROR(__xludf.DUMMYFUNCTION("""COMPUTED_VALUE"""),"Gold")</f>
        <v>Gold</v>
      </c>
      <c r="U469" s="1" t="str">
        <f ca="1">IFERROR(__xludf.DUMMYFUNCTION("""COMPUTED_VALUE"""),"Branch")</f>
        <v>Branch</v>
      </c>
    </row>
    <row r="470" spans="1:21" x14ac:dyDescent="0.25">
      <c r="A470" s="2" t="str">
        <f ca="1">IFERROR(__xludf.DUMMYFUNCTION("""COMPUTED_VALUE"""),"APP0469")</f>
        <v>APP0469</v>
      </c>
      <c r="B470" s="2">
        <f ca="1">IFERROR(__xludf.DUMMYFUNCTION("""COMPUTED_VALUE"""),45924.595011574)</f>
        <v>45924.595011573998</v>
      </c>
      <c r="C470" s="1" t="str">
        <f ca="1">IFERROR(__xludf.DUMMYFUNCTION("""COMPUTED_VALUE"""),"Trần Hữu Thảo")</f>
        <v>Trần Hữu Thảo</v>
      </c>
      <c r="D470" s="1" t="str">
        <f ca="1">IFERROR(__xludf.DUMMYFUNCTION("""COMPUTED_VALUE"""),"28/08/1996")</f>
        <v>28/08/1996</v>
      </c>
      <c r="E470" s="1" t="str">
        <f ca="1">IFERROR(__xludf.DUMMYFUNCTION("""COMPUTED_VALUE"""),"Female")</f>
        <v>Female</v>
      </c>
      <c r="F470" s="1" t="str">
        <f ca="1">IFERROR(__xludf.DUMMYFUNCTION("""COMPUTED_VALUE"""),"Vietnam")</f>
        <v>Vietnam</v>
      </c>
      <c r="G470" s="1" t="str">
        <f ca="1">IFERROR(__xludf.DUMMYFUNCTION("""COMPUTED_VALUE"""),"0766191304")</f>
        <v>0766191304</v>
      </c>
      <c r="H470" s="1" t="str">
        <f ca="1">IFERROR(__xludf.DUMMYFUNCTION("""COMPUTED_VALUE"""),"tranhuuthao@gmail.com")</f>
        <v>tranhuuthao@gmail.com</v>
      </c>
      <c r="I470" s="1" t="str">
        <f ca="1">IFERROR(__xludf.DUMMYFUNCTION("""COMPUTED_VALUE"""),"99 Tran Hung Dao, Dong Da, TP Ho Chi Minh, Viet Nam")</f>
        <v>99 Tran Hung Dao, Dong Da, TP Ho Chi Minh, Viet Nam</v>
      </c>
      <c r="J470" s="1" t="str">
        <f ca="1">IFERROR(__xludf.DUMMYFUNCTION("""COMPUTED_VALUE"""),"020927489644")</f>
        <v>020927489644</v>
      </c>
      <c r="K470" s="3" t="str">
        <f ca="1">IFERROR(__xludf.DUMMYFUNCTION("""COMPUTED_VALUE"""),"https://drive.google.com/open?id=NzQRUfagaqyocSs5EBzO")</f>
        <v>https://drive.google.com/open?id=NzQRUfagaqyocSs5EBzO</v>
      </c>
      <c r="L470" s="3" t="str">
        <f ca="1">IFERROR(__xludf.DUMMYFUNCTION("""COMPUTED_VALUE"""),"https://drive.google.com/open?id=ZB5VkiSUenZLeiJ8P0zc")</f>
        <v>https://drive.google.com/open?id=ZB5VkiSUenZLeiJ8P0zc</v>
      </c>
      <c r="M470" s="1"/>
      <c r="N470" s="1"/>
      <c r="O470" s="1"/>
      <c r="P470" s="1" t="str">
        <f ca="1">IFERROR(__xludf.DUMMYFUNCTION("""COMPUTED_VALUE"""),"Full-time")</f>
        <v>Full-time</v>
      </c>
      <c r="Q470" s="1">
        <f ca="1">IFERROR(__xludf.DUMMYFUNCTION("""COMPUTED_VALUE"""),12000000)</f>
        <v>12000000</v>
      </c>
      <c r="R470" s="3" t="str">
        <f ca="1">IFERROR(__xludf.DUMMYFUNCTION("""COMPUTED_VALUE"""),"https://drive.google.com/open?id=xKGTSfa3DZTzx1Shf2Cj")</f>
        <v>https://drive.google.com/open?id=xKGTSfa3DZTzx1Shf2Cj</v>
      </c>
      <c r="S470" s="1">
        <f ca="1">IFERROR(__xludf.DUMMYFUNCTION("""COMPUTED_VALUE"""),60000000)</f>
        <v>60000000</v>
      </c>
      <c r="T470" s="1" t="str">
        <f ca="1">IFERROR(__xludf.DUMMYFUNCTION("""COMPUTED_VALUE"""),"Platinum")</f>
        <v>Platinum</v>
      </c>
      <c r="U470" s="1" t="str">
        <f ca="1">IFERROR(__xludf.DUMMYFUNCTION("""COMPUTED_VALUE"""),"Partner")</f>
        <v>Partner</v>
      </c>
    </row>
    <row r="471" spans="1:21" x14ac:dyDescent="0.25">
      <c r="A471" s="2" t="str">
        <f ca="1">IFERROR(__xludf.DUMMYFUNCTION("""COMPUTED_VALUE"""),"APP0470")</f>
        <v>APP0470</v>
      </c>
      <c r="B471" s="2">
        <f ca="1">IFERROR(__xludf.DUMMYFUNCTION("""COMPUTED_VALUE"""),45924.7122337962)</f>
        <v>45924.712233796199</v>
      </c>
      <c r="C471" s="1" t="str">
        <f ca="1">IFERROR(__xludf.DUMMYFUNCTION("""COMPUTED_VALUE"""),"Đặng Thị Tuấn")</f>
        <v>Đặng Thị Tuấn</v>
      </c>
      <c r="D471" s="1" t="str">
        <f ca="1">IFERROR(__xludf.DUMMYFUNCTION("""COMPUTED_VALUE"""),"24/06/1992")</f>
        <v>24/06/1992</v>
      </c>
      <c r="E471" s="1" t="str">
        <f ca="1">IFERROR(__xludf.DUMMYFUNCTION("""COMPUTED_VALUE"""),"Male")</f>
        <v>Male</v>
      </c>
      <c r="F471" s="1" t="str">
        <f ca="1">IFERROR(__xludf.DUMMYFUNCTION("""COMPUTED_VALUE"""),"Vietnam")</f>
        <v>Vietnam</v>
      </c>
      <c r="G471" s="1" t="str">
        <f ca="1">IFERROR(__xludf.DUMMYFUNCTION("""COMPUTED_VALUE"""),"0891893431")</f>
        <v>0891893431</v>
      </c>
      <c r="H471" s="1" t="str">
        <f ca="1">IFERROR(__xludf.DUMMYFUNCTION("""COMPUTED_VALUE"""),"dangthituan@gmail.com")</f>
        <v>dangthituan@gmail.com</v>
      </c>
      <c r="I471" s="1" t="str">
        <f ca="1">IFERROR(__xludf.DUMMYFUNCTION("""COMPUTED_VALUE"""),"51 Le Loi, Dong Da, Da Nang, Viet Nam")</f>
        <v>51 Le Loi, Dong Da, Da Nang, Viet Nam</v>
      </c>
      <c r="J471" s="1" t="str">
        <f ca="1">IFERROR(__xludf.DUMMYFUNCTION("""COMPUTED_VALUE"""),"068383508915")</f>
        <v>068383508915</v>
      </c>
      <c r="K471" s="3" t="str">
        <f ca="1">IFERROR(__xludf.DUMMYFUNCTION("""COMPUTED_VALUE"""),"https://drive.google.com/open?id=qWrnV5ABdPeohTSHUmgz")</f>
        <v>https://drive.google.com/open?id=qWrnV5ABdPeohTSHUmgz</v>
      </c>
      <c r="L471" s="3" t="str">
        <f ca="1">IFERROR(__xludf.DUMMYFUNCTION("""COMPUTED_VALUE"""),"https://drive.google.com/open?id=KrFdv97cxamOWwLeKVPW")</f>
        <v>https://drive.google.com/open?id=KrFdv97cxamOWwLeKVPW</v>
      </c>
      <c r="M471" s="1"/>
      <c r="N471" s="1"/>
      <c r="O471" s="1"/>
      <c r="P471" s="1" t="str">
        <f ca="1">IFERROR(__xludf.DUMMYFUNCTION("""COMPUTED_VALUE"""),"Full-time")</f>
        <v>Full-time</v>
      </c>
      <c r="Q471" s="1">
        <f ca="1">IFERROR(__xludf.DUMMYFUNCTION("""COMPUTED_VALUE"""),20000000)</f>
        <v>20000000</v>
      </c>
      <c r="R471" s="3" t="str">
        <f ca="1">IFERROR(__xludf.DUMMYFUNCTION("""COMPUTED_VALUE"""),"https://drive.google.com/open?id=HnpBPmrLYz2J7a6XFvGL")</f>
        <v>https://drive.google.com/open?id=HnpBPmrLYz2J7a6XFvGL</v>
      </c>
      <c r="S471" s="1">
        <f ca="1">IFERROR(__xludf.DUMMYFUNCTION("""COMPUTED_VALUE"""),60000000)</f>
        <v>60000000</v>
      </c>
      <c r="T471" s="1" t="str">
        <f ca="1">IFERROR(__xludf.DUMMYFUNCTION("""COMPUTED_VALUE"""),"Gold")</f>
        <v>Gold</v>
      </c>
      <c r="U471" s="1" t="str">
        <f ca="1">IFERROR(__xludf.DUMMYFUNCTION("""COMPUTED_VALUE"""),"Online")</f>
        <v>Online</v>
      </c>
    </row>
    <row r="472" spans="1:21" x14ac:dyDescent="0.25">
      <c r="A472" s="2" t="str">
        <f ca="1">IFERROR(__xludf.DUMMYFUNCTION("""COMPUTED_VALUE"""),"APP0471")</f>
        <v>APP0471</v>
      </c>
      <c r="B472" s="2">
        <f ca="1">IFERROR(__xludf.DUMMYFUNCTION("""COMPUTED_VALUE"""),45924.745787037)</f>
        <v>45924.745787036998</v>
      </c>
      <c r="C472" s="1" t="str">
        <f ca="1">IFERROR(__xludf.DUMMYFUNCTION("""COMPUTED_VALUE"""),"James Smith")</f>
        <v>James Smith</v>
      </c>
      <c r="D472" s="1" t="str">
        <f ca="1">IFERROR(__xludf.DUMMYFUNCTION("""COMPUTED_VALUE"""),"02/07/1978")</f>
        <v>02/07/1978</v>
      </c>
      <c r="E472" s="1" t="str">
        <f ca="1">IFERROR(__xludf.DUMMYFUNCTION("""COMPUTED_VALUE"""),"Male")</f>
        <v>Male</v>
      </c>
      <c r="F472" s="1" t="str">
        <f ca="1">IFERROR(__xludf.DUMMYFUNCTION("""COMPUTED_VALUE"""),"Other")</f>
        <v>Other</v>
      </c>
      <c r="G472" s="1" t="str">
        <f ca="1">IFERROR(__xludf.DUMMYFUNCTION("""COMPUTED_VALUE"""),"+33 6545500420")</f>
        <v>+33 6545500420</v>
      </c>
      <c r="H472" s="1" t="str">
        <f ca="1">IFERROR(__xludf.DUMMYFUNCTION("""COMPUTED_VALUE"""),"jamessmith@gmail.com")</f>
        <v>jamessmith@gmail.com</v>
      </c>
      <c r="I472" s="1" t="str">
        <f ca="1">IFERROR(__xludf.DUMMYFUNCTION("""COMPUTED_VALUE"""),"3782 Villarreal Wall, Robleston, VA 17567")</f>
        <v>3782 Villarreal Wall, Robleston, VA 17567</v>
      </c>
      <c r="J472" s="1"/>
      <c r="K472" s="1"/>
      <c r="L472" s="1"/>
      <c r="M472" s="1" t="str">
        <f ca="1">IFERROR(__xludf.DUMMYFUNCTION("""COMPUTED_VALUE"""),"pW871014")</f>
        <v>pW871014</v>
      </c>
      <c r="N472" s="3" t="str">
        <f ca="1">IFERROR(__xludf.DUMMYFUNCTION("""COMPUTED_VALUE"""),"https://drive.google.com/open?id=DR9Ujj9iHj9uUkmZwlPT")</f>
        <v>https://drive.google.com/open?id=DR9Ujj9iHj9uUkmZwlPT</v>
      </c>
      <c r="O472" s="3" t="str">
        <f ca="1">IFERROR(__xludf.DUMMYFUNCTION("""COMPUTED_VALUE"""),"https://drive.google.com/open?id=CGsPzaJWmWMOj53gDyyG")</f>
        <v>https://drive.google.com/open?id=CGsPzaJWmWMOj53gDyyG</v>
      </c>
      <c r="P472" s="1" t="str">
        <f ca="1">IFERROR(__xludf.DUMMYFUNCTION("""COMPUTED_VALUE"""),"Contract")</f>
        <v>Contract</v>
      </c>
      <c r="Q472" s="1">
        <f ca="1">IFERROR(__xludf.DUMMYFUNCTION("""COMPUTED_VALUE"""),5000000)</f>
        <v>5000000</v>
      </c>
      <c r="R472" s="3" t="str">
        <f ca="1">IFERROR(__xludf.DUMMYFUNCTION("""COMPUTED_VALUE"""),"https://drive.google.com/open?id=gLJG0UbHhrqJd39AqfeG")</f>
        <v>https://drive.google.com/open?id=gLJG0UbHhrqJd39AqfeG</v>
      </c>
      <c r="S472" s="1">
        <f ca="1">IFERROR(__xludf.DUMMYFUNCTION("""COMPUTED_VALUE"""),25000000)</f>
        <v>25000000</v>
      </c>
      <c r="T472" s="1" t="str">
        <f ca="1">IFERROR(__xludf.DUMMYFUNCTION("""COMPUTED_VALUE"""),"Platinum")</f>
        <v>Platinum</v>
      </c>
      <c r="U472" s="1" t="str">
        <f ca="1">IFERROR(__xludf.DUMMYFUNCTION("""COMPUTED_VALUE"""),"Online")</f>
        <v>Online</v>
      </c>
    </row>
    <row r="473" spans="1:21" x14ac:dyDescent="0.25">
      <c r="A473" s="2" t="str">
        <f ca="1">IFERROR(__xludf.DUMMYFUNCTION("""COMPUTED_VALUE"""),"APP0472")</f>
        <v>APP0472</v>
      </c>
      <c r="B473" s="2">
        <f ca="1">IFERROR(__xludf.DUMMYFUNCTION("""COMPUTED_VALUE"""),45924.7574189814)</f>
        <v>45924.757418981397</v>
      </c>
      <c r="C473" s="1" t="str">
        <f ca="1">IFERROR(__xludf.DUMMYFUNCTION("""COMPUTED_VALUE"""),"Võ Minh Phong")</f>
        <v>Võ Minh Phong</v>
      </c>
      <c r="D473" s="1" t="str">
        <f ca="1">IFERROR(__xludf.DUMMYFUNCTION("""COMPUTED_VALUE"""),"29/10/1984")</f>
        <v>29/10/1984</v>
      </c>
      <c r="E473" s="1" t="str">
        <f ca="1">IFERROR(__xludf.DUMMYFUNCTION("""COMPUTED_VALUE"""),"Female")</f>
        <v>Female</v>
      </c>
      <c r="F473" s="1" t="str">
        <f ca="1">IFERROR(__xludf.DUMMYFUNCTION("""COMPUTED_VALUE"""),"Vietnam")</f>
        <v>Vietnam</v>
      </c>
      <c r="G473" s="1" t="str">
        <f ca="1">IFERROR(__xludf.DUMMYFUNCTION("""COMPUTED_VALUE"""),"0982204386")</f>
        <v>0982204386</v>
      </c>
      <c r="H473" s="1" t="str">
        <f ca="1">IFERROR(__xludf.DUMMYFUNCTION("""COMPUTED_VALUE"""),"vominhphong@gmail.com")</f>
        <v>vominhphong@gmail.com</v>
      </c>
      <c r="I473" s="1" t="str">
        <f ca="1">IFERROR(__xludf.DUMMYFUNCTION("""COMPUTED_VALUE"""),"197 Ly Thuong Kiet, Hai Chau, Da Nang, Viet Nam")</f>
        <v>197 Ly Thuong Kiet, Hai Chau, Da Nang, Viet Nam</v>
      </c>
      <c r="J473" s="1" t="str">
        <f ca="1">IFERROR(__xludf.DUMMYFUNCTION("""COMPUTED_VALUE"""),"036267677743")</f>
        <v>036267677743</v>
      </c>
      <c r="K473" s="3" t="str">
        <f ca="1">IFERROR(__xludf.DUMMYFUNCTION("""COMPUTED_VALUE"""),"https://drive.google.com/open?id=JbHBR1vaZZiEelvFFEBj")</f>
        <v>https://drive.google.com/open?id=JbHBR1vaZZiEelvFFEBj</v>
      </c>
      <c r="L473" s="3" t="str">
        <f ca="1">IFERROR(__xludf.DUMMYFUNCTION("""COMPUTED_VALUE"""),"https://drive.google.com/open?id=QdxufzmgJZHvh6kR0dT6")</f>
        <v>https://drive.google.com/open?id=QdxufzmgJZHvh6kR0dT6</v>
      </c>
      <c r="M473" s="1"/>
      <c r="N473" s="1"/>
      <c r="O473" s="1"/>
      <c r="P473" s="1" t="str">
        <f ca="1">IFERROR(__xludf.DUMMYFUNCTION("""COMPUTED_VALUE"""),"Full-time")</f>
        <v>Full-time</v>
      </c>
      <c r="Q473" s="1">
        <f ca="1">IFERROR(__xludf.DUMMYFUNCTION("""COMPUTED_VALUE"""),12000000)</f>
        <v>12000000</v>
      </c>
      <c r="R473" s="3" t="str">
        <f ca="1">IFERROR(__xludf.DUMMYFUNCTION("""COMPUTED_VALUE"""),"https://drive.google.com/open?id=G6vKVE7VtQhJTXJVjeZE")</f>
        <v>https://drive.google.com/open?id=G6vKVE7VtQhJTXJVjeZE</v>
      </c>
      <c r="S473" s="1">
        <f ca="1">IFERROR(__xludf.DUMMYFUNCTION("""COMPUTED_VALUE"""),24000000)</f>
        <v>24000000</v>
      </c>
      <c r="T473" s="1" t="str">
        <f ca="1">IFERROR(__xludf.DUMMYFUNCTION("""COMPUTED_VALUE"""),"Platinum")</f>
        <v>Platinum</v>
      </c>
      <c r="U473" s="1" t="str">
        <f ca="1">IFERROR(__xludf.DUMMYFUNCTION("""COMPUTED_VALUE"""),"Online")</f>
        <v>Online</v>
      </c>
    </row>
    <row r="474" spans="1:21" x14ac:dyDescent="0.25">
      <c r="A474" s="2" t="str">
        <f ca="1">IFERROR(__xludf.DUMMYFUNCTION("""COMPUTED_VALUE"""),"APP0473")</f>
        <v>APP0473</v>
      </c>
      <c r="B474" s="2">
        <f ca="1">IFERROR(__xludf.DUMMYFUNCTION("""COMPUTED_VALUE"""),45924.784074074)</f>
        <v>45924.784074073999</v>
      </c>
      <c r="C474" s="1" t="str">
        <f ca="1">IFERROR(__xludf.DUMMYFUNCTION("""COMPUTED_VALUE"""),"Ngô Hữu Vy")</f>
        <v>Ngô Hữu Vy</v>
      </c>
      <c r="D474" s="1" t="str">
        <f ca="1">IFERROR(__xludf.DUMMYFUNCTION("""COMPUTED_VALUE"""),"12/06/1974")</f>
        <v>12/06/1974</v>
      </c>
      <c r="E474" s="1" t="str">
        <f ca="1">IFERROR(__xludf.DUMMYFUNCTION("""COMPUTED_VALUE"""),"Female")</f>
        <v>Female</v>
      </c>
      <c r="F474" s="1" t="str">
        <f ca="1">IFERROR(__xludf.DUMMYFUNCTION("""COMPUTED_VALUE"""),"Vietnam")</f>
        <v>Vietnam</v>
      </c>
      <c r="G474" s="1" t="str">
        <f ca="1">IFERROR(__xludf.DUMMYFUNCTION("""COMPUTED_VALUE"""),"0738885887")</f>
        <v>0738885887</v>
      </c>
      <c r="H474" s="1" t="str">
        <f ca="1">IFERROR(__xludf.DUMMYFUNCTION("""COMPUTED_VALUE"""),"ngohuuvy@gmail.com")</f>
        <v>ngohuuvy@gmail.com</v>
      </c>
      <c r="I474" s="1" t="str">
        <f ca="1">IFERROR(__xludf.DUMMYFUNCTION("""COMPUTED_VALUE"""),"42 Tran Hung Dao, Dong Da, Can Tho, Viet Nam")</f>
        <v>42 Tran Hung Dao, Dong Da, Can Tho, Viet Nam</v>
      </c>
      <c r="J474" s="1" t="str">
        <f ca="1">IFERROR(__xludf.DUMMYFUNCTION("""COMPUTED_VALUE"""),"073414626610")</f>
        <v>073414626610</v>
      </c>
      <c r="K474" s="3" t="str">
        <f ca="1">IFERROR(__xludf.DUMMYFUNCTION("""COMPUTED_VALUE"""),"https://drive.google.com/open?id=k5lsH8AVBO1nhlLKn4Uv")</f>
        <v>https://drive.google.com/open?id=k5lsH8AVBO1nhlLKn4Uv</v>
      </c>
      <c r="L474" s="3" t="str">
        <f ca="1">IFERROR(__xludf.DUMMYFUNCTION("""COMPUTED_VALUE"""),"https://drive.google.com/open?id=yZ9OsBeaxp95ETA88Hfy")</f>
        <v>https://drive.google.com/open?id=yZ9OsBeaxp95ETA88Hfy</v>
      </c>
      <c r="M474" s="1"/>
      <c r="N474" s="1"/>
      <c r="O474" s="1"/>
      <c r="P474" s="1" t="str">
        <f ca="1">IFERROR(__xludf.DUMMYFUNCTION("""COMPUTED_VALUE"""),"Contract")</f>
        <v>Contract</v>
      </c>
      <c r="Q474" s="1">
        <f ca="1">IFERROR(__xludf.DUMMYFUNCTION("""COMPUTED_VALUE"""),20000000)</f>
        <v>20000000</v>
      </c>
      <c r="R474" s="3" t="str">
        <f ca="1">IFERROR(__xludf.DUMMYFUNCTION("""COMPUTED_VALUE"""),"https://drive.google.com/open?id=cGDRx52UPhxGqiY1KkKo")</f>
        <v>https://drive.google.com/open?id=cGDRx52UPhxGqiY1KkKo</v>
      </c>
      <c r="S474" s="1">
        <f ca="1">IFERROR(__xludf.DUMMYFUNCTION("""COMPUTED_VALUE"""),60000000)</f>
        <v>60000000</v>
      </c>
      <c r="T474" s="1" t="str">
        <f ca="1">IFERROR(__xludf.DUMMYFUNCTION("""COMPUTED_VALUE"""),"Platinum")</f>
        <v>Platinum</v>
      </c>
      <c r="U474" s="1" t="str">
        <f ca="1">IFERROR(__xludf.DUMMYFUNCTION("""COMPUTED_VALUE"""),"Branch")</f>
        <v>Branch</v>
      </c>
    </row>
    <row r="475" spans="1:21" x14ac:dyDescent="0.25">
      <c r="A475" s="2" t="str">
        <f ca="1">IFERROR(__xludf.DUMMYFUNCTION("""COMPUTED_VALUE"""),"APP0474")</f>
        <v>APP0474</v>
      </c>
      <c r="B475" s="2">
        <f ca="1">IFERROR(__xludf.DUMMYFUNCTION("""COMPUTED_VALUE"""),45925.0379629629)</f>
        <v>45925.037962962902</v>
      </c>
      <c r="C475" s="1" t="str">
        <f ca="1">IFERROR(__xludf.DUMMYFUNCTION("""COMPUTED_VALUE"""),"Đặng Ngọc Trang")</f>
        <v>Đặng Ngọc Trang</v>
      </c>
      <c r="D475" s="1" t="str">
        <f ca="1">IFERROR(__xludf.DUMMYFUNCTION("""COMPUTED_VALUE"""),"22/12/1965")</f>
        <v>22/12/1965</v>
      </c>
      <c r="E475" s="1" t="str">
        <f ca="1">IFERROR(__xludf.DUMMYFUNCTION("""COMPUTED_VALUE"""),"Female")</f>
        <v>Female</v>
      </c>
      <c r="F475" s="1" t="str">
        <f ca="1">IFERROR(__xludf.DUMMYFUNCTION("""COMPUTED_VALUE"""),"Vietnam")</f>
        <v>Vietnam</v>
      </c>
      <c r="G475" s="1" t="str">
        <f ca="1">IFERROR(__xludf.DUMMYFUNCTION("""COMPUTED_VALUE"""),"0742888461")</f>
        <v>0742888461</v>
      </c>
      <c r="H475" s="1" t="str">
        <f ca="1">IFERROR(__xludf.DUMMYFUNCTION("""COMPUTED_VALUE"""),"dangngoctrang@gmail.com")</f>
        <v>dangngoctrang@gmail.com</v>
      </c>
      <c r="I475" s="1" t="str">
        <f ca="1">IFERROR(__xludf.DUMMYFUNCTION("""COMPUTED_VALUE"""),"82 Pham Van Dong, Quan 1, TP Ho Chi Minh, Viet Nam")</f>
        <v>82 Pham Van Dong, Quan 1, TP Ho Chi Minh, Viet Nam</v>
      </c>
      <c r="J475" s="1" t="str">
        <f ca="1">IFERROR(__xludf.DUMMYFUNCTION("""COMPUTED_VALUE"""),"063307729346")</f>
        <v>063307729346</v>
      </c>
      <c r="K475" s="3" t="str">
        <f ca="1">IFERROR(__xludf.DUMMYFUNCTION("""COMPUTED_VALUE"""),"https://drive.google.com/open?id=nDGWYU5Djep63IfHcv5X")</f>
        <v>https://drive.google.com/open?id=nDGWYU5Djep63IfHcv5X</v>
      </c>
      <c r="L475" s="3" t="str">
        <f ca="1">IFERROR(__xludf.DUMMYFUNCTION("""COMPUTED_VALUE"""),"https://drive.google.com/open?id=tjcP53fzKntOsnQ39NnJ")</f>
        <v>https://drive.google.com/open?id=tjcP53fzKntOsnQ39NnJ</v>
      </c>
      <c r="M475" s="1"/>
      <c r="N475" s="1"/>
      <c r="O475" s="1"/>
      <c r="P475" s="1" t="str">
        <f ca="1">IFERROR(__xludf.DUMMYFUNCTION("""COMPUTED_VALUE"""),"Part-time")</f>
        <v>Part-time</v>
      </c>
      <c r="Q475" s="1">
        <f ca="1">IFERROR(__xludf.DUMMYFUNCTION("""COMPUTED_VALUE"""),5000000)</f>
        <v>5000000</v>
      </c>
      <c r="R475" s="3" t="str">
        <f ca="1">IFERROR(__xludf.DUMMYFUNCTION("""COMPUTED_VALUE"""),"https://drive.google.com/open?id=PEti0EplX5hi7y4zktpR")</f>
        <v>https://drive.google.com/open?id=PEti0EplX5hi7y4zktpR</v>
      </c>
      <c r="S475" s="1">
        <f ca="1">IFERROR(__xludf.DUMMYFUNCTION("""COMPUTED_VALUE"""),15000000)</f>
        <v>15000000</v>
      </c>
      <c r="T475" s="1" t="str">
        <f ca="1">IFERROR(__xludf.DUMMYFUNCTION("""COMPUTED_VALUE"""),"Gold")</f>
        <v>Gold</v>
      </c>
      <c r="U475" s="1" t="str">
        <f ca="1">IFERROR(__xludf.DUMMYFUNCTION("""COMPUTED_VALUE"""),"Branch")</f>
        <v>Branch</v>
      </c>
    </row>
    <row r="476" spans="1:21" x14ac:dyDescent="0.25">
      <c r="A476" s="2" t="str">
        <f ca="1">IFERROR(__xludf.DUMMYFUNCTION("""COMPUTED_VALUE"""),"APP0475")</f>
        <v>APP0475</v>
      </c>
      <c r="B476" s="2">
        <f ca="1">IFERROR(__xludf.DUMMYFUNCTION("""COMPUTED_VALUE"""),45925.0408217592)</f>
        <v>45925.040821759198</v>
      </c>
      <c r="C476" s="1" t="str">
        <f ca="1">IFERROR(__xludf.DUMMYFUNCTION("""COMPUTED_VALUE"""),"Vũ Ngọc Thắng")</f>
        <v>Vũ Ngọc Thắng</v>
      </c>
      <c r="D476" s="1" t="str">
        <f ca="1">IFERROR(__xludf.DUMMYFUNCTION("""COMPUTED_VALUE"""),"30/06/1971")</f>
        <v>30/06/1971</v>
      </c>
      <c r="E476" s="1" t="str">
        <f ca="1">IFERROR(__xludf.DUMMYFUNCTION("""COMPUTED_VALUE"""),"Female")</f>
        <v>Female</v>
      </c>
      <c r="F476" s="1" t="str">
        <f ca="1">IFERROR(__xludf.DUMMYFUNCTION("""COMPUTED_VALUE"""),"Vietnam")</f>
        <v>Vietnam</v>
      </c>
      <c r="G476" s="1" t="str">
        <f ca="1">IFERROR(__xludf.DUMMYFUNCTION("""COMPUTED_VALUE"""),"0810149120")</f>
        <v>0810149120</v>
      </c>
      <c r="H476" s="1" t="str">
        <f ca="1">IFERROR(__xludf.DUMMYFUNCTION("""COMPUTED_VALUE"""),"vungocthang@gmail.com")</f>
        <v>vungocthang@gmail.com</v>
      </c>
      <c r="I476" s="1" t="str">
        <f ca="1">IFERROR(__xludf.DUMMYFUNCTION("""COMPUTED_VALUE"""),"35 Ly Thuong Kiet, Hoan Kiem, TP Ho Chi Minh, Viet Nam")</f>
        <v>35 Ly Thuong Kiet, Hoan Kiem, TP Ho Chi Minh, Viet Nam</v>
      </c>
      <c r="J476" s="1" t="str">
        <f ca="1">IFERROR(__xludf.DUMMYFUNCTION("""COMPUTED_VALUE"""),"0977029990")</f>
        <v>0977029990</v>
      </c>
      <c r="K476" s="3" t="str">
        <f ca="1">IFERROR(__xludf.DUMMYFUNCTION("""COMPUTED_VALUE"""),"https://drive.google.com/open?id=iCDz86PasWwlf2YRcXEi")</f>
        <v>https://drive.google.com/open?id=iCDz86PasWwlf2YRcXEi</v>
      </c>
      <c r="L476" s="3" t="str">
        <f ca="1">IFERROR(__xludf.DUMMYFUNCTION("""COMPUTED_VALUE"""),"https://drive.google.com/open?id=DHX9uHhCGWLBwO6MbNE5")</f>
        <v>https://drive.google.com/open?id=DHX9uHhCGWLBwO6MbNE5</v>
      </c>
      <c r="M476" s="1"/>
      <c r="N476" s="1"/>
      <c r="O476" s="1"/>
      <c r="P476" s="1" t="str">
        <f ca="1">IFERROR(__xludf.DUMMYFUNCTION("""COMPUTED_VALUE"""),"Freelancer")</f>
        <v>Freelancer</v>
      </c>
      <c r="Q476" s="1">
        <f ca="1">IFERROR(__xludf.DUMMYFUNCTION("""COMPUTED_VALUE"""),5000000)</f>
        <v>5000000</v>
      </c>
      <c r="R476" s="3" t="str">
        <f ca="1">IFERROR(__xludf.DUMMYFUNCTION("""COMPUTED_VALUE"""),"https://drive.google.com/open?id=VNtBqNUs5xetV5Px48mZ")</f>
        <v>https://drive.google.com/open?id=VNtBqNUs5xetV5Px48mZ</v>
      </c>
      <c r="S476" s="1">
        <f ca="1">IFERROR(__xludf.DUMMYFUNCTION("""COMPUTED_VALUE"""),10000000)</f>
        <v>10000000</v>
      </c>
      <c r="T476" s="1" t="str">
        <f ca="1">IFERROR(__xludf.DUMMYFUNCTION("""COMPUTED_VALUE"""),"Classic")</f>
        <v>Classic</v>
      </c>
      <c r="U476" s="1" t="str">
        <f ca="1">IFERROR(__xludf.DUMMYFUNCTION("""COMPUTED_VALUE"""),"Branch")</f>
        <v>Branch</v>
      </c>
    </row>
    <row r="477" spans="1:21" x14ac:dyDescent="0.25">
      <c r="A477" s="2" t="str">
        <f ca="1">IFERROR(__xludf.DUMMYFUNCTION("""COMPUTED_VALUE"""),"APP0476")</f>
        <v>APP0476</v>
      </c>
      <c r="B477" s="2">
        <f ca="1">IFERROR(__xludf.DUMMYFUNCTION("""COMPUTED_VALUE"""),45925.2359722222)</f>
        <v>45925.235972222203</v>
      </c>
      <c r="C477" s="1" t="str">
        <f ca="1">IFERROR(__xludf.DUMMYFUNCTION("""COMPUTED_VALUE"""),"Hồ Thị Thắng")</f>
        <v>Hồ Thị Thắng</v>
      </c>
      <c r="D477" s="1" t="str">
        <f ca="1">IFERROR(__xludf.DUMMYFUNCTION("""COMPUTED_VALUE"""),"12/06/2001")</f>
        <v>12/06/2001</v>
      </c>
      <c r="E477" s="1" t="str">
        <f ca="1">IFERROR(__xludf.DUMMYFUNCTION("""COMPUTED_VALUE"""),"Female")</f>
        <v>Female</v>
      </c>
      <c r="F477" s="1" t="str">
        <f ca="1">IFERROR(__xludf.DUMMYFUNCTION("""COMPUTED_VALUE"""),"Vietnam")</f>
        <v>Vietnam</v>
      </c>
      <c r="G477" s="1" t="str">
        <f ca="1">IFERROR(__xludf.DUMMYFUNCTION("""COMPUTED_VALUE"""),"0915345004")</f>
        <v>0915345004</v>
      </c>
      <c r="H477" s="1" t="str">
        <f ca="1">IFERROR(__xludf.DUMMYFUNCTION("""COMPUTED_VALUE"""),"hothithang@gmail.com")</f>
        <v>hothithang@gmail.com</v>
      </c>
      <c r="I477" s="1" t="str">
        <f ca="1">IFERROR(__xludf.DUMMYFUNCTION("""COMPUTED_VALUE"""),"48 Le Loi, Hoan Kiem, TP Ho Chi Minh, Viet Nam")</f>
        <v>48 Le Loi, Hoan Kiem, TP Ho Chi Minh, Viet Nam</v>
      </c>
      <c r="J477" s="1" t="str">
        <f ca="1">IFERROR(__xludf.DUMMYFUNCTION("""COMPUTED_VALUE"""),"06867564359")</f>
        <v>06867564359</v>
      </c>
      <c r="K477" s="3" t="str">
        <f ca="1">IFERROR(__xludf.DUMMYFUNCTION("""COMPUTED_VALUE"""),"https://drive.google.com/open?id=bCWdnhDWTg5ueK6MmE5c")</f>
        <v>https://drive.google.com/open?id=bCWdnhDWTg5ueK6MmE5c</v>
      </c>
      <c r="L477" s="3" t="str">
        <f ca="1">IFERROR(__xludf.DUMMYFUNCTION("""COMPUTED_VALUE"""),"https://drive.google.com/open?id=vilvygn3WDXb79HOlMNE")</f>
        <v>https://drive.google.com/open?id=vilvygn3WDXb79HOlMNE</v>
      </c>
      <c r="M477" s="1"/>
      <c r="N477" s="1"/>
      <c r="O477" s="1"/>
      <c r="P477" s="1" t="str">
        <f ca="1">IFERROR(__xludf.DUMMYFUNCTION("""COMPUTED_VALUE"""),"Freelancer")</f>
        <v>Freelancer</v>
      </c>
      <c r="Q477" s="1">
        <f ca="1">IFERROR(__xludf.DUMMYFUNCTION("""COMPUTED_VALUE"""),20000000)</f>
        <v>20000000</v>
      </c>
      <c r="R477" s="3" t="str">
        <f ca="1">IFERROR(__xludf.DUMMYFUNCTION("""COMPUTED_VALUE"""),"https://drive.google.com/open?id=dPpFn5ZVAEaWdbrPkowP")</f>
        <v>https://drive.google.com/open?id=dPpFn5ZVAEaWdbrPkowP</v>
      </c>
      <c r="S477" s="1">
        <f ca="1">IFERROR(__xludf.DUMMYFUNCTION("""COMPUTED_VALUE"""),40000000)</f>
        <v>40000000</v>
      </c>
      <c r="T477" s="1" t="str">
        <f ca="1">IFERROR(__xludf.DUMMYFUNCTION("""COMPUTED_VALUE"""),"Classic")</f>
        <v>Classic</v>
      </c>
      <c r="U477" s="1" t="str">
        <f ca="1">IFERROR(__xludf.DUMMYFUNCTION("""COMPUTED_VALUE"""),"Partner")</f>
        <v>Partner</v>
      </c>
    </row>
    <row r="478" spans="1:21" x14ac:dyDescent="0.25">
      <c r="A478" s="2" t="str">
        <f ca="1">IFERROR(__xludf.DUMMYFUNCTION("""COMPUTED_VALUE"""),"APP0477")</f>
        <v>APP0477</v>
      </c>
      <c r="B478" s="2">
        <f ca="1">IFERROR(__xludf.DUMMYFUNCTION("""COMPUTED_VALUE"""),45925.2545601851)</f>
        <v>45925.254560185102</v>
      </c>
      <c r="C478" s="1" t="str">
        <f ca="1">IFERROR(__xludf.DUMMYFUNCTION("""COMPUTED_VALUE"""),"Võ Thanh Khánh")</f>
        <v>Võ Thanh Khánh</v>
      </c>
      <c r="D478" s="1" t="str">
        <f ca="1">IFERROR(__xludf.DUMMYFUNCTION("""COMPUTED_VALUE"""),"31/07/1965")</f>
        <v>31/07/1965</v>
      </c>
      <c r="E478" s="1" t="str">
        <f ca="1">IFERROR(__xludf.DUMMYFUNCTION("""COMPUTED_VALUE"""),"Female")</f>
        <v>Female</v>
      </c>
      <c r="F478" s="1" t="str">
        <f ca="1">IFERROR(__xludf.DUMMYFUNCTION("""COMPUTED_VALUE"""),"Vietnam")</f>
        <v>Vietnam</v>
      </c>
      <c r="G478" s="1" t="str">
        <f ca="1">IFERROR(__xludf.DUMMYFUNCTION("""COMPUTED_VALUE"""),"0898742593")</f>
        <v>0898742593</v>
      </c>
      <c r="H478" s="1" t="str">
        <f ca="1">IFERROR(__xludf.DUMMYFUNCTION("""COMPUTED_VALUE"""),"vothanhkhanh@gmail.com")</f>
        <v>vothanhkhanh@gmail.com</v>
      </c>
      <c r="I478" s="1" t="str">
        <f ca="1">IFERROR(__xludf.DUMMYFUNCTION("""COMPUTED_VALUE"""),"57 Pham Van Dong, Hoan Kiem, Da Nang, Viet Nam")</f>
        <v>57 Pham Van Dong, Hoan Kiem, Da Nang, Viet Nam</v>
      </c>
      <c r="J478" s="1" t="str">
        <f ca="1">IFERROR(__xludf.DUMMYFUNCTION("""COMPUTED_VALUE"""),"08436920901")</f>
        <v>08436920901</v>
      </c>
      <c r="K478" s="3" t="str">
        <f ca="1">IFERROR(__xludf.DUMMYFUNCTION("""COMPUTED_VALUE"""),"https://drive.google.com/open?id=CKiljVoIGrttFQnuPMKx")</f>
        <v>https://drive.google.com/open?id=CKiljVoIGrttFQnuPMKx</v>
      </c>
      <c r="L478" s="3" t="str">
        <f ca="1">IFERROR(__xludf.DUMMYFUNCTION("""COMPUTED_VALUE"""),"https://drive.google.com/open?id=4F2q54safhe9pw7ggPGL")</f>
        <v>https://drive.google.com/open?id=4F2q54safhe9pw7ggPGL</v>
      </c>
      <c r="M478" s="1"/>
      <c r="N478" s="1"/>
      <c r="O478" s="1"/>
      <c r="P478" s="1" t="str">
        <f ca="1">IFERROR(__xludf.DUMMYFUNCTION("""COMPUTED_VALUE"""),"Self-employed")</f>
        <v>Self-employed</v>
      </c>
      <c r="Q478" s="1">
        <f ca="1">IFERROR(__xludf.DUMMYFUNCTION("""COMPUTED_VALUE"""),8000000)</f>
        <v>8000000</v>
      </c>
      <c r="R478" s="3" t="str">
        <f ca="1">IFERROR(__xludf.DUMMYFUNCTION("""COMPUTED_VALUE"""),"https://drive.google.com/open?id=3ggFWFY0zniFgTmey6ue")</f>
        <v>https://drive.google.com/open?id=3ggFWFY0zniFgTmey6ue</v>
      </c>
      <c r="S478" s="1">
        <f ca="1">IFERROR(__xludf.DUMMYFUNCTION("""COMPUTED_VALUE"""),16000000)</f>
        <v>16000000</v>
      </c>
      <c r="T478" s="1" t="str">
        <f ca="1">IFERROR(__xludf.DUMMYFUNCTION("""COMPUTED_VALUE"""),"Classic")</f>
        <v>Classic</v>
      </c>
      <c r="U478" s="1" t="str">
        <f ca="1">IFERROR(__xludf.DUMMYFUNCTION("""COMPUTED_VALUE"""),"Branch")</f>
        <v>Branch</v>
      </c>
    </row>
    <row r="479" spans="1:21" x14ac:dyDescent="0.25">
      <c r="A479" s="2" t="str">
        <f ca="1">IFERROR(__xludf.DUMMYFUNCTION("""COMPUTED_VALUE"""),"APP0478")</f>
        <v>APP0478</v>
      </c>
      <c r="B479" s="2">
        <f ca="1">IFERROR(__xludf.DUMMYFUNCTION("""COMPUTED_VALUE"""),45925.2548842592)</f>
        <v>45925.2548842592</v>
      </c>
      <c r="C479" s="1" t="str">
        <f ca="1">IFERROR(__xludf.DUMMYFUNCTION("""COMPUTED_VALUE"""),"Vũ Ngọc Linh")</f>
        <v>Vũ Ngọc Linh</v>
      </c>
      <c r="D479" s="1" t="str">
        <f ca="1">IFERROR(__xludf.DUMMYFUNCTION("""COMPUTED_VALUE"""),"08/03/1980")</f>
        <v>08/03/1980</v>
      </c>
      <c r="E479" s="1" t="str">
        <f ca="1">IFERROR(__xludf.DUMMYFUNCTION("""COMPUTED_VALUE"""),"Female")</f>
        <v>Female</v>
      </c>
      <c r="F479" s="1" t="str">
        <f ca="1">IFERROR(__xludf.DUMMYFUNCTION("""COMPUTED_VALUE"""),"Vietnam")</f>
        <v>Vietnam</v>
      </c>
      <c r="G479" s="1" t="str">
        <f ca="1">IFERROR(__xludf.DUMMYFUNCTION("""COMPUTED_VALUE"""),"0819088486")</f>
        <v>0819088486</v>
      </c>
      <c r="H479" s="1" t="str">
        <f ca="1">IFERROR(__xludf.DUMMYFUNCTION("""COMPUTED_VALUE"""),"vungoclinh@gmail.com")</f>
        <v>vungoclinh@gmail.com</v>
      </c>
      <c r="I479" s="1" t="str">
        <f ca="1">IFERROR(__xludf.DUMMYFUNCTION("""COMPUTED_VALUE"""),"186 Le Loi, Quan 7, Can Tho, Viet Nam")</f>
        <v>186 Le Loi, Quan 7, Can Tho, Viet Nam</v>
      </c>
      <c r="J479" s="1" t="str">
        <f ca="1">IFERROR(__xludf.DUMMYFUNCTION("""COMPUTED_VALUE"""),"026041752084")</f>
        <v>026041752084</v>
      </c>
      <c r="K479" s="3" t="str">
        <f ca="1">IFERROR(__xludf.DUMMYFUNCTION("""COMPUTED_VALUE"""),"https://drive.google.com/open?id=8TXP4DEOmJWwIw9uI7OR")</f>
        <v>https://drive.google.com/open?id=8TXP4DEOmJWwIw9uI7OR</v>
      </c>
      <c r="L479" s="3" t="str">
        <f ca="1">IFERROR(__xludf.DUMMYFUNCTION("""COMPUTED_VALUE"""),"https://drive.google.com/open?id=i2fUPJB0EH8WVq9UMrtn")</f>
        <v>https://drive.google.com/open?id=i2fUPJB0EH8WVq9UMrtn</v>
      </c>
      <c r="M479" s="1"/>
      <c r="N479" s="1"/>
      <c r="O479" s="1"/>
      <c r="P479" s="1" t="str">
        <f ca="1">IFERROR(__xludf.DUMMYFUNCTION("""COMPUTED_VALUE"""),"Freelancer")</f>
        <v>Freelancer</v>
      </c>
      <c r="Q479" s="1">
        <f ca="1">IFERROR(__xludf.DUMMYFUNCTION("""COMPUTED_VALUE"""),12000000)</f>
        <v>12000000</v>
      </c>
      <c r="R479" s="3" t="str">
        <f ca="1">IFERROR(__xludf.DUMMYFUNCTION("""COMPUTED_VALUE"""),"https://drive.google.com/open?id=ClKbnj4zZFHm7iXnOwOq")</f>
        <v>https://drive.google.com/open?id=ClKbnj4zZFHm7iXnOwOq</v>
      </c>
      <c r="S479" s="1">
        <f ca="1">IFERROR(__xludf.DUMMYFUNCTION("""COMPUTED_VALUE"""),36000000)</f>
        <v>36000000</v>
      </c>
      <c r="T479" s="1" t="str">
        <f ca="1">IFERROR(__xludf.DUMMYFUNCTION("""COMPUTED_VALUE"""),"Platinum")</f>
        <v>Platinum</v>
      </c>
      <c r="U479" s="1" t="str">
        <f ca="1">IFERROR(__xludf.DUMMYFUNCTION("""COMPUTED_VALUE"""),"Online")</f>
        <v>Online</v>
      </c>
    </row>
    <row r="480" spans="1:21" x14ac:dyDescent="0.25">
      <c r="A480" s="2" t="str">
        <f ca="1">IFERROR(__xludf.DUMMYFUNCTION("""COMPUTED_VALUE"""),"APP0479")</f>
        <v>APP0479</v>
      </c>
      <c r="B480" s="2">
        <f ca="1">IFERROR(__xludf.DUMMYFUNCTION("""COMPUTED_VALUE"""),45925.2583912037)</f>
        <v>45925.258391203701</v>
      </c>
      <c r="C480" s="1" t="str">
        <f ca="1">IFERROR(__xludf.DUMMYFUNCTION("""COMPUTED_VALUE"""),"Đỗ Anh Nam")</f>
        <v>Đỗ Anh Nam</v>
      </c>
      <c r="D480" s="1" t="str">
        <f ca="1">IFERROR(__xludf.DUMMYFUNCTION("""COMPUTED_VALUE"""),"21/02/1982")</f>
        <v>21/02/1982</v>
      </c>
      <c r="E480" s="1" t="str">
        <f ca="1">IFERROR(__xludf.DUMMYFUNCTION("""COMPUTED_VALUE"""),"Female")</f>
        <v>Female</v>
      </c>
      <c r="F480" s="1" t="str">
        <f ca="1">IFERROR(__xludf.DUMMYFUNCTION("""COMPUTED_VALUE"""),"Vietnam")</f>
        <v>Vietnam</v>
      </c>
      <c r="G480" s="1" t="str">
        <f ca="1">IFERROR(__xludf.DUMMYFUNCTION("""COMPUTED_VALUE"""),"0857600770")</f>
        <v>0857600770</v>
      </c>
      <c r="H480" s="1" t="str">
        <f ca="1">IFERROR(__xludf.DUMMYFUNCTION("""COMPUTED_VALUE"""),"doanhnam@gmail.com")</f>
        <v>doanhnam@gmail.com</v>
      </c>
      <c r="I480" s="1" t="str">
        <f ca="1">IFERROR(__xludf.DUMMYFUNCTION("""COMPUTED_VALUE"""),"64 Tran Hung Dao, Quan 3, Can Tho, Viet Nam")</f>
        <v>64 Tran Hung Dao, Quan 3, Can Tho, Viet Nam</v>
      </c>
      <c r="J480" s="1" t="str">
        <f ca="1">IFERROR(__xludf.DUMMYFUNCTION("""COMPUTED_VALUE"""),"014583409664")</f>
        <v>014583409664</v>
      </c>
      <c r="K480" s="3" t="str">
        <f ca="1">IFERROR(__xludf.DUMMYFUNCTION("""COMPUTED_VALUE"""),"https://drive.google.com/open?id=ixUzzr1WrJZ4y1N3N3vL")</f>
        <v>https://drive.google.com/open?id=ixUzzr1WrJZ4y1N3N3vL</v>
      </c>
      <c r="L480" s="3" t="str">
        <f ca="1">IFERROR(__xludf.DUMMYFUNCTION("""COMPUTED_VALUE"""),"https://drive.google.com/open?id=X4jmaEHCMnzBGG4HXVZF")</f>
        <v>https://drive.google.com/open?id=X4jmaEHCMnzBGG4HXVZF</v>
      </c>
      <c r="M480" s="1"/>
      <c r="N480" s="1"/>
      <c r="O480" s="1"/>
      <c r="P480" s="1" t="str">
        <f ca="1">IFERROR(__xludf.DUMMYFUNCTION("""COMPUTED_VALUE"""),"Self-employed")</f>
        <v>Self-employed</v>
      </c>
      <c r="Q480" s="1">
        <f ca="1">IFERROR(__xludf.DUMMYFUNCTION("""COMPUTED_VALUE"""),5000000)</f>
        <v>5000000</v>
      </c>
      <c r="R480" s="3" t="str">
        <f ca="1">IFERROR(__xludf.DUMMYFUNCTION("""COMPUTED_VALUE"""),"https://drive.google.com/open?id=MdiwzAIxU1MIFYgEmGip")</f>
        <v>https://drive.google.com/open?id=MdiwzAIxU1MIFYgEmGip</v>
      </c>
      <c r="S480" s="1">
        <f ca="1">IFERROR(__xludf.DUMMYFUNCTION("""COMPUTED_VALUE"""),10000000)</f>
        <v>10000000</v>
      </c>
      <c r="T480" s="1" t="str">
        <f ca="1">IFERROR(__xludf.DUMMYFUNCTION("""COMPUTED_VALUE"""),"Platinum")</f>
        <v>Platinum</v>
      </c>
      <c r="U480" s="1" t="str">
        <f ca="1">IFERROR(__xludf.DUMMYFUNCTION("""COMPUTED_VALUE"""),"Branch")</f>
        <v>Branch</v>
      </c>
    </row>
    <row r="481" spans="1:21" x14ac:dyDescent="0.25">
      <c r="A481" s="2" t="str">
        <f ca="1">IFERROR(__xludf.DUMMYFUNCTION("""COMPUTED_VALUE"""),"APP0480")</f>
        <v>APP0480</v>
      </c>
      <c r="B481" s="2">
        <f ca="1">IFERROR(__xludf.DUMMYFUNCTION("""COMPUTED_VALUE"""),45925.2925231481)</f>
        <v>45925.292523148099</v>
      </c>
      <c r="C481" s="1" t="str">
        <f ca="1">IFERROR(__xludf.DUMMYFUNCTION("""COMPUTED_VALUE"""),"Võ Văn Dũng")</f>
        <v>Võ Văn Dũng</v>
      </c>
      <c r="D481" s="1" t="str">
        <f ca="1">IFERROR(__xludf.DUMMYFUNCTION("""COMPUTED_VALUE"""),"24/07/1995")</f>
        <v>24/07/1995</v>
      </c>
      <c r="E481" s="1" t="str">
        <f ca="1">IFERROR(__xludf.DUMMYFUNCTION("""COMPUTED_VALUE"""),"Female")</f>
        <v>Female</v>
      </c>
      <c r="F481" s="1" t="str">
        <f ca="1">IFERROR(__xludf.DUMMYFUNCTION("""COMPUTED_VALUE"""),"Vietnam")</f>
        <v>Vietnam</v>
      </c>
      <c r="G481" s="1" t="str">
        <f ca="1">IFERROR(__xludf.DUMMYFUNCTION("""COMPUTED_VALUE"""),"0925835395")</f>
        <v>0925835395</v>
      </c>
      <c r="H481" s="1" t="str">
        <f ca="1">IFERROR(__xludf.DUMMYFUNCTION("""COMPUTED_VALUE"""),"vovandung@gmail.com")</f>
        <v>vovandung@gmail.com</v>
      </c>
      <c r="I481" s="1" t="str">
        <f ca="1">IFERROR(__xludf.DUMMYFUNCTION("""COMPUTED_VALUE"""),"93 Le Loi, Quan 1, Can Tho, Viet Nam")</f>
        <v>93 Le Loi, Quan 1, Can Tho, Viet Nam</v>
      </c>
      <c r="J481" s="1" t="str">
        <f ca="1">IFERROR(__xludf.DUMMYFUNCTION("""COMPUTED_VALUE"""),"053317265633")</f>
        <v>053317265633</v>
      </c>
      <c r="K481" s="3" t="str">
        <f ca="1">IFERROR(__xludf.DUMMYFUNCTION("""COMPUTED_VALUE"""),"https://drive.google.com/open?id=SQiMRLmNebLr4WbvVD8N")</f>
        <v>https://drive.google.com/open?id=SQiMRLmNebLr4WbvVD8N</v>
      </c>
      <c r="L481" s="3" t="str">
        <f ca="1">IFERROR(__xludf.DUMMYFUNCTION("""COMPUTED_VALUE"""),"https://drive.google.com/open?id=wueJcXJhI358cNz6i6N8")</f>
        <v>https://drive.google.com/open?id=wueJcXJhI358cNz6i6N8</v>
      </c>
      <c r="M481" s="1"/>
      <c r="N481" s="1"/>
      <c r="O481" s="1"/>
      <c r="P481" s="1" t="str">
        <f ca="1">IFERROR(__xludf.DUMMYFUNCTION("""COMPUTED_VALUE"""),"Self-employed")</f>
        <v>Self-employed</v>
      </c>
      <c r="Q481" s="1">
        <f ca="1">IFERROR(__xludf.DUMMYFUNCTION("""COMPUTED_VALUE"""),50000000)</f>
        <v>50000000</v>
      </c>
      <c r="R481" s="3" t="str">
        <f ca="1">IFERROR(__xludf.DUMMYFUNCTION("""COMPUTED_VALUE"""),"https://drive.google.com/open?id=kK2MrbqCYnYHP8VYuG0g")</f>
        <v>https://drive.google.com/open?id=kK2MrbqCYnYHP8VYuG0g</v>
      </c>
      <c r="S481" s="1">
        <f ca="1">IFERROR(__xludf.DUMMYFUNCTION("""COMPUTED_VALUE"""),150000000)</f>
        <v>150000000</v>
      </c>
      <c r="T481" s="1" t="str">
        <f ca="1">IFERROR(__xludf.DUMMYFUNCTION("""COMPUTED_VALUE"""),"Gold")</f>
        <v>Gold</v>
      </c>
      <c r="U481" s="1" t="str">
        <f ca="1">IFERROR(__xludf.DUMMYFUNCTION("""COMPUTED_VALUE"""),"Branch")</f>
        <v>Branch</v>
      </c>
    </row>
    <row r="482" spans="1:21" x14ac:dyDescent="0.25">
      <c r="A482" s="2" t="str">
        <f ca="1">IFERROR(__xludf.DUMMYFUNCTION("""COMPUTED_VALUE"""),"APP0481")</f>
        <v>APP0481</v>
      </c>
      <c r="B482" s="2">
        <f ca="1">IFERROR(__xludf.DUMMYFUNCTION("""COMPUTED_VALUE"""),45925.3485185185)</f>
        <v>45925.348518518498</v>
      </c>
      <c r="C482" s="1" t="str">
        <f ca="1">IFERROR(__xludf.DUMMYFUNCTION("""COMPUTED_VALUE"""),"Dương Thị Hải")</f>
        <v>Dương Thị Hải</v>
      </c>
      <c r="D482" s="1" t="str">
        <f ca="1">IFERROR(__xludf.DUMMYFUNCTION("""COMPUTED_VALUE"""),"19/06/2002")</f>
        <v>19/06/2002</v>
      </c>
      <c r="E482" s="1" t="str">
        <f ca="1">IFERROR(__xludf.DUMMYFUNCTION("""COMPUTED_VALUE"""),"Female")</f>
        <v>Female</v>
      </c>
      <c r="F482" s="1" t="str">
        <f ca="1">IFERROR(__xludf.DUMMYFUNCTION("""COMPUTED_VALUE"""),"Vietnam")</f>
        <v>Vietnam</v>
      </c>
      <c r="G482" s="1" t="str">
        <f ca="1">IFERROR(__xludf.DUMMYFUNCTION("""COMPUTED_VALUE"""),"0772822132")</f>
        <v>0772822132</v>
      </c>
      <c r="H482" s="1" t="str">
        <f ca="1">IFERROR(__xludf.DUMMYFUNCTION("""COMPUTED_VALUE"""),"duongthihai@gmail.com")</f>
        <v>duongthihai@gmail.com</v>
      </c>
      <c r="I482" s="1" t="str">
        <f ca="1">IFERROR(__xludf.DUMMYFUNCTION("""COMPUTED_VALUE"""),"193 Ly Thuong Kiet, Dong Da, Da Nang, Viet Nam")</f>
        <v>193 Ly Thuong Kiet, Dong Da, Da Nang, Viet Nam</v>
      </c>
      <c r="J482" s="1" t="str">
        <f ca="1">IFERROR(__xludf.DUMMYFUNCTION("""COMPUTED_VALUE"""),"098127508749")</f>
        <v>098127508749</v>
      </c>
      <c r="K482" s="3" t="str">
        <f ca="1">IFERROR(__xludf.DUMMYFUNCTION("""COMPUTED_VALUE"""),"https://drive.google.com/open?id=i2WyanvGOHNy54xBHwxy")</f>
        <v>https://drive.google.com/open?id=i2WyanvGOHNy54xBHwxy</v>
      </c>
      <c r="L482" s="3" t="str">
        <f ca="1">IFERROR(__xludf.DUMMYFUNCTION("""COMPUTED_VALUE"""),"https://drive.google.com/open?id=IBHAu7uqejU5WaxtpRSQ")</f>
        <v>https://drive.google.com/open?id=IBHAu7uqejU5WaxtpRSQ</v>
      </c>
      <c r="M482" s="1"/>
      <c r="N482" s="1"/>
      <c r="O482" s="1"/>
      <c r="P482" s="1" t="str">
        <f ca="1">IFERROR(__xludf.DUMMYFUNCTION("""COMPUTED_VALUE"""),"Part-time")</f>
        <v>Part-time</v>
      </c>
      <c r="Q482" s="1">
        <f ca="1">IFERROR(__xludf.DUMMYFUNCTION("""COMPUTED_VALUE"""),8000000)</f>
        <v>8000000</v>
      </c>
      <c r="R482" s="3" t="str">
        <f ca="1">IFERROR(__xludf.DUMMYFUNCTION("""COMPUTED_VALUE"""),"https://drive.google.com/open?id=SqKsGQsyliNT8Mr84v5U")</f>
        <v>https://drive.google.com/open?id=SqKsGQsyliNT8Mr84v5U</v>
      </c>
      <c r="S482" s="1">
        <f ca="1">IFERROR(__xludf.DUMMYFUNCTION("""COMPUTED_VALUE"""),40000000)</f>
        <v>40000000</v>
      </c>
      <c r="T482" s="1" t="str">
        <f ca="1">IFERROR(__xludf.DUMMYFUNCTION("""COMPUTED_VALUE"""),"Classic")</f>
        <v>Classic</v>
      </c>
      <c r="U482" s="1" t="str">
        <f ca="1">IFERROR(__xludf.DUMMYFUNCTION("""COMPUTED_VALUE"""),"Branch")</f>
        <v>Branch</v>
      </c>
    </row>
    <row r="483" spans="1:21" x14ac:dyDescent="0.25">
      <c r="A483" s="2" t="str">
        <f ca="1">IFERROR(__xludf.DUMMYFUNCTION("""COMPUTED_VALUE"""),"APP0482")</f>
        <v>APP0482</v>
      </c>
      <c r="B483" s="2">
        <f ca="1">IFERROR(__xludf.DUMMYFUNCTION("""COMPUTED_VALUE"""),45925.3680092592)</f>
        <v>45925.368009259197</v>
      </c>
      <c r="C483" s="1" t="str">
        <f ca="1">IFERROR(__xludf.DUMMYFUNCTION("""COMPUTED_VALUE"""),"Võ Văn Bình")</f>
        <v>Võ Văn Bình</v>
      </c>
      <c r="D483" s="1" t="str">
        <f ca="1">IFERROR(__xludf.DUMMYFUNCTION("""COMPUTED_VALUE"""),"05/03/1968")</f>
        <v>05/03/1968</v>
      </c>
      <c r="E483" s="1" t="str">
        <f ca="1">IFERROR(__xludf.DUMMYFUNCTION("""COMPUTED_VALUE"""),"Male")</f>
        <v>Male</v>
      </c>
      <c r="F483" s="1" t="str">
        <f ca="1">IFERROR(__xludf.DUMMYFUNCTION("""COMPUTED_VALUE"""),"Vietnam")</f>
        <v>Vietnam</v>
      </c>
      <c r="G483" s="1" t="str">
        <f ca="1">IFERROR(__xludf.DUMMYFUNCTION("""COMPUTED_VALUE"""),"0794291444")</f>
        <v>0794291444</v>
      </c>
      <c r="H483" s="1" t="str">
        <f ca="1">IFERROR(__xludf.DUMMYFUNCTION("""COMPUTED_VALUE"""),"vovanbinh@gmail.com")</f>
        <v>vovanbinh@gmail.com</v>
      </c>
      <c r="I483" s="1" t="str">
        <f ca="1">IFERROR(__xludf.DUMMYFUNCTION("""COMPUTED_VALUE"""),"41 Tran Hung Dao, Quan 7, Hai Phong, Viet Nam")</f>
        <v>41 Tran Hung Dao, Quan 7, Hai Phong, Viet Nam</v>
      </c>
      <c r="J483" s="1" t="str">
        <f ca="1">IFERROR(__xludf.DUMMYFUNCTION("""COMPUTED_VALUE"""),"03593011131")</f>
        <v>03593011131</v>
      </c>
      <c r="K483" s="3" t="str">
        <f ca="1">IFERROR(__xludf.DUMMYFUNCTION("""COMPUTED_VALUE"""),"https://drive.google.com/open?id=sIzdsk7Zm7ovs78hAWtw")</f>
        <v>https://drive.google.com/open?id=sIzdsk7Zm7ovs78hAWtw</v>
      </c>
      <c r="L483" s="3" t="str">
        <f ca="1">IFERROR(__xludf.DUMMYFUNCTION("""COMPUTED_VALUE"""),"https://drive.google.com/open?id=qqPWMR2vBB88So01stiy")</f>
        <v>https://drive.google.com/open?id=qqPWMR2vBB88So01stiy</v>
      </c>
      <c r="M483" s="1"/>
      <c r="N483" s="1"/>
      <c r="O483" s="1"/>
      <c r="P483" s="1" t="str">
        <f ca="1">IFERROR(__xludf.DUMMYFUNCTION("""COMPUTED_VALUE"""),"Contract")</f>
        <v>Contract</v>
      </c>
      <c r="Q483" s="1">
        <f ca="1">IFERROR(__xludf.DUMMYFUNCTION("""COMPUTED_VALUE"""),12000000)</f>
        <v>12000000</v>
      </c>
      <c r="R483" s="3" t="str">
        <f ca="1">IFERROR(__xludf.DUMMYFUNCTION("""COMPUTED_VALUE"""),"https://drive.google.com/open?id=y39Nk88b5SYVH1ALF5Hy")</f>
        <v>https://drive.google.com/open?id=y39Nk88b5SYVH1ALF5Hy</v>
      </c>
      <c r="S483" s="1">
        <f ca="1">IFERROR(__xludf.DUMMYFUNCTION("""COMPUTED_VALUE"""),60000000)</f>
        <v>60000000</v>
      </c>
      <c r="T483" s="1" t="str">
        <f ca="1">IFERROR(__xludf.DUMMYFUNCTION("""COMPUTED_VALUE"""),"Gold")</f>
        <v>Gold</v>
      </c>
      <c r="U483" s="1" t="str">
        <f ca="1">IFERROR(__xludf.DUMMYFUNCTION("""COMPUTED_VALUE"""),"Branch")</f>
        <v>Branch</v>
      </c>
    </row>
    <row r="484" spans="1:21" x14ac:dyDescent="0.25">
      <c r="A484" s="2" t="str">
        <f ca="1">IFERROR(__xludf.DUMMYFUNCTION("""COMPUTED_VALUE"""),"APP0483")</f>
        <v>APP0483</v>
      </c>
      <c r="B484" s="2">
        <f ca="1">IFERROR(__xludf.DUMMYFUNCTION("""COMPUTED_VALUE"""),45925.3746875)</f>
        <v>45925.3746875</v>
      </c>
      <c r="C484" s="1" t="str">
        <f ca="1">IFERROR(__xludf.DUMMYFUNCTION("""COMPUTED_VALUE"""),"Lê Minh Hà")</f>
        <v>Lê Minh Hà</v>
      </c>
      <c r="D484" s="1" t="str">
        <f ca="1">IFERROR(__xludf.DUMMYFUNCTION("""COMPUTED_VALUE"""),"30/08/1997")</f>
        <v>30/08/1997</v>
      </c>
      <c r="E484" s="1" t="str">
        <f ca="1">IFERROR(__xludf.DUMMYFUNCTION("""COMPUTED_VALUE"""),"Female")</f>
        <v>Female</v>
      </c>
      <c r="F484" s="1" t="str">
        <f ca="1">IFERROR(__xludf.DUMMYFUNCTION("""COMPUTED_VALUE"""),"Vietnam")</f>
        <v>Vietnam</v>
      </c>
      <c r="G484" s="1" t="str">
        <f ca="1">IFERROR(__xludf.DUMMYFUNCTION("""COMPUTED_VALUE"""),"0787821288")</f>
        <v>0787821288</v>
      </c>
      <c r="H484" s="1" t="str">
        <f ca="1">IFERROR(__xludf.DUMMYFUNCTION("""COMPUTED_VALUE"""),"leminhha@gmail.com")</f>
        <v>leminhha@gmail.com</v>
      </c>
      <c r="I484" s="1" t="str">
        <f ca="1">IFERROR(__xludf.DUMMYFUNCTION("""COMPUTED_VALUE"""),"154 Tran Hung Dao, Quan 3, Da Nang, Viet Nam")</f>
        <v>154 Tran Hung Dao, Quan 3, Da Nang, Viet Nam</v>
      </c>
      <c r="J484" s="1" t="str">
        <f ca="1">IFERROR(__xludf.DUMMYFUNCTION("""COMPUTED_VALUE"""),"011471730363")</f>
        <v>011471730363</v>
      </c>
      <c r="K484" s="3" t="str">
        <f ca="1">IFERROR(__xludf.DUMMYFUNCTION("""COMPUTED_VALUE"""),"https://drive.google.com/open?id=iM0vuoBzpMf9TTaBDQVt")</f>
        <v>https://drive.google.com/open?id=iM0vuoBzpMf9TTaBDQVt</v>
      </c>
      <c r="L484" s="3" t="str">
        <f ca="1">IFERROR(__xludf.DUMMYFUNCTION("""COMPUTED_VALUE"""),"https://drive.google.com/open?id=O8j10khDcDUEzInSLM3c")</f>
        <v>https://drive.google.com/open?id=O8j10khDcDUEzInSLM3c</v>
      </c>
      <c r="M484" s="1"/>
      <c r="N484" s="1"/>
      <c r="O484" s="1"/>
      <c r="P484" s="1" t="str">
        <f ca="1">IFERROR(__xludf.DUMMYFUNCTION("""COMPUTED_VALUE"""),"Freelancer")</f>
        <v>Freelancer</v>
      </c>
      <c r="Q484" s="1">
        <f ca="1">IFERROR(__xludf.DUMMYFUNCTION("""COMPUTED_VALUE"""),50000000)</f>
        <v>50000000</v>
      </c>
      <c r="R484" s="3" t="str">
        <f ca="1">IFERROR(__xludf.DUMMYFUNCTION("""COMPUTED_VALUE"""),"https://drive.google.com/open?id=dNJFiucFISZoAzlzXEGk")</f>
        <v>https://drive.google.com/open?id=dNJFiucFISZoAzlzXEGk</v>
      </c>
      <c r="S484" s="1">
        <f ca="1">IFERROR(__xludf.DUMMYFUNCTION("""COMPUTED_VALUE"""),250000000)</f>
        <v>250000000</v>
      </c>
      <c r="T484" s="1" t="str">
        <f ca="1">IFERROR(__xludf.DUMMYFUNCTION("""COMPUTED_VALUE"""),"Classic")</f>
        <v>Classic</v>
      </c>
      <c r="U484" s="1" t="str">
        <f ca="1">IFERROR(__xludf.DUMMYFUNCTION("""COMPUTED_VALUE"""),"Partner")</f>
        <v>Partner</v>
      </c>
    </row>
    <row r="485" spans="1:21" x14ac:dyDescent="0.25">
      <c r="A485" s="2" t="str">
        <f ca="1">IFERROR(__xludf.DUMMYFUNCTION("""COMPUTED_VALUE"""),"APP0484")</f>
        <v>APP0484</v>
      </c>
      <c r="B485" s="2">
        <f ca="1">IFERROR(__xludf.DUMMYFUNCTION("""COMPUTED_VALUE"""),45925.4491898148)</f>
        <v>45925.449189814797</v>
      </c>
      <c r="C485" s="1" t="str">
        <f ca="1">IFERROR(__xludf.DUMMYFUNCTION("""COMPUTED_VALUE"""),"Hồ Thị Tuấn")</f>
        <v>Hồ Thị Tuấn</v>
      </c>
      <c r="D485" s="1" t="str">
        <f ca="1">IFERROR(__xludf.DUMMYFUNCTION("""COMPUTED_VALUE"""),"06/11/1983")</f>
        <v>06/11/1983</v>
      </c>
      <c r="E485" s="1" t="str">
        <f ca="1">IFERROR(__xludf.DUMMYFUNCTION("""COMPUTED_VALUE"""),"Male")</f>
        <v>Male</v>
      </c>
      <c r="F485" s="1" t="str">
        <f ca="1">IFERROR(__xludf.DUMMYFUNCTION("""COMPUTED_VALUE"""),"Vietnam")</f>
        <v>Vietnam</v>
      </c>
      <c r="G485" s="1" t="str">
        <f ca="1">IFERROR(__xludf.DUMMYFUNCTION("""COMPUTED_VALUE"""),"0963910850")</f>
        <v>0963910850</v>
      </c>
      <c r="H485" s="1" t="str">
        <f ca="1">IFERROR(__xludf.DUMMYFUNCTION("""COMPUTED_VALUE"""),"hothituan@gmail.com")</f>
        <v>hothituan@gmail.com</v>
      </c>
      <c r="I485" s="1" t="str">
        <f ca="1">IFERROR(__xludf.DUMMYFUNCTION("""COMPUTED_VALUE"""),"187 Le Loi, Quan 3, Da Nang, Viet Nam")</f>
        <v>187 Le Loi, Quan 3, Da Nang, Viet Nam</v>
      </c>
      <c r="J485" s="1" t="str">
        <f ca="1">IFERROR(__xludf.DUMMYFUNCTION("""COMPUTED_VALUE"""),"031123462718")</f>
        <v>031123462718</v>
      </c>
      <c r="K485" s="3" t="str">
        <f ca="1">IFERROR(__xludf.DUMMYFUNCTION("""COMPUTED_VALUE"""),"https://drive.google.com/open?id=nLrB7tlPjhresDQJJ6EY")</f>
        <v>https://drive.google.com/open?id=nLrB7tlPjhresDQJJ6EY</v>
      </c>
      <c r="L485" s="3" t="str">
        <f ca="1">IFERROR(__xludf.DUMMYFUNCTION("""COMPUTED_VALUE"""),"https://drive.google.com/open?id=fXnLCc4arSqexVEjC6gR")</f>
        <v>https://drive.google.com/open?id=fXnLCc4arSqexVEjC6gR</v>
      </c>
      <c r="M485" s="1"/>
      <c r="N485" s="1"/>
      <c r="O485" s="1"/>
      <c r="P485" s="1" t="str">
        <f ca="1">IFERROR(__xludf.DUMMYFUNCTION("""COMPUTED_VALUE"""),"Self-employed")</f>
        <v>Self-employed</v>
      </c>
      <c r="Q485" s="1">
        <f ca="1">IFERROR(__xludf.DUMMYFUNCTION("""COMPUTED_VALUE"""),20000000)</f>
        <v>20000000</v>
      </c>
      <c r="R485" s="3" t="str">
        <f ca="1">IFERROR(__xludf.DUMMYFUNCTION("""COMPUTED_VALUE"""),"https://drive.google.com/open?id=j1XBhagAEaUhar8tU5JQ")</f>
        <v>https://drive.google.com/open?id=j1XBhagAEaUhar8tU5JQ</v>
      </c>
      <c r="S485" s="1">
        <f ca="1">IFERROR(__xludf.DUMMYFUNCTION("""COMPUTED_VALUE"""),100000000)</f>
        <v>100000000</v>
      </c>
      <c r="T485" s="1" t="str">
        <f ca="1">IFERROR(__xludf.DUMMYFUNCTION("""COMPUTED_VALUE"""),"Classic")</f>
        <v>Classic</v>
      </c>
      <c r="U485" s="1" t="str">
        <f ca="1">IFERROR(__xludf.DUMMYFUNCTION("""COMPUTED_VALUE"""),"Branch")</f>
        <v>Branch</v>
      </c>
    </row>
    <row r="486" spans="1:21" x14ac:dyDescent="0.25">
      <c r="A486" s="2" t="str">
        <f ca="1">IFERROR(__xludf.DUMMYFUNCTION("""COMPUTED_VALUE"""),"APP0485")</f>
        <v>APP0485</v>
      </c>
      <c r="B486" s="2">
        <f ca="1">IFERROR(__xludf.DUMMYFUNCTION("""COMPUTED_VALUE"""),45925.5870717592)</f>
        <v>45925.587071759197</v>
      </c>
      <c r="C486" s="1" t="str">
        <f ca="1">IFERROR(__xludf.DUMMYFUNCTION("""COMPUTED_VALUE"""),"David Perry")</f>
        <v>David Perry</v>
      </c>
      <c r="D486" s="1" t="str">
        <f ca="1">IFERROR(__xludf.DUMMYFUNCTION("""COMPUTED_VALUE"""),"30/07/2002")</f>
        <v>30/07/2002</v>
      </c>
      <c r="E486" s="1" t="str">
        <f ca="1">IFERROR(__xludf.DUMMYFUNCTION("""COMPUTED_VALUE"""),"Female")</f>
        <v>Female</v>
      </c>
      <c r="F486" s="1" t="str">
        <f ca="1">IFERROR(__xludf.DUMMYFUNCTION("""COMPUTED_VALUE"""),"Other")</f>
        <v>Other</v>
      </c>
      <c r="G486" s="1" t="str">
        <f ca="1">IFERROR(__xludf.DUMMYFUNCTION("""COMPUTED_VALUE"""),"+1 3898466839")</f>
        <v>+1 3898466839</v>
      </c>
      <c r="H486" s="1" t="str">
        <f ca="1">IFERROR(__xludf.DUMMYFUNCTION("""COMPUTED_VALUE"""),"davidperry@gmail.com")</f>
        <v>davidperry@gmail.com</v>
      </c>
      <c r="I486" s="1" t="str">
        <f ca="1">IFERROR(__xludf.DUMMYFUNCTION("""COMPUTED_VALUE"""),"1484 Palmer Shoal Apt. 642, Martinezburgh, MT 54345")</f>
        <v>1484 Palmer Shoal Apt. 642, Martinezburgh, MT 54345</v>
      </c>
      <c r="J486" s="1"/>
      <c r="K486" s="1"/>
      <c r="L486" s="1"/>
      <c r="M486" s="1" t="str">
        <f ca="1">IFERROR(__xludf.DUMMYFUNCTION("""COMPUTED_VALUE"""),"Np164252")</f>
        <v>Np164252</v>
      </c>
      <c r="N486" s="3" t="str">
        <f ca="1">IFERROR(__xludf.DUMMYFUNCTION("""COMPUTED_VALUE"""),"https://drive.google.com/open?id=1etkQK5r8zPdJzKW7glA")</f>
        <v>https://drive.google.com/open?id=1etkQK5r8zPdJzKW7glA</v>
      </c>
      <c r="O486" s="3" t="str">
        <f ca="1">IFERROR(__xludf.DUMMYFUNCTION("""COMPUTED_VALUE"""),"https://drive.google.com/open?id=N2QCZdMjTUW7S9hsXzj9")</f>
        <v>https://drive.google.com/open?id=N2QCZdMjTUW7S9hsXzj9</v>
      </c>
      <c r="P486" s="1" t="str">
        <f ca="1">IFERROR(__xludf.DUMMYFUNCTION("""COMPUTED_VALUE"""),"Full-time")</f>
        <v>Full-time</v>
      </c>
      <c r="Q486" s="1">
        <f ca="1">IFERROR(__xludf.DUMMYFUNCTION("""COMPUTED_VALUE"""),20000000)</f>
        <v>20000000</v>
      </c>
      <c r="R486" s="3" t="str">
        <f ca="1">IFERROR(__xludf.DUMMYFUNCTION("""COMPUTED_VALUE"""),"https://drive.google.com/open?id=ZviWMYaflzW3S26Lomx3")</f>
        <v>https://drive.google.com/open?id=ZviWMYaflzW3S26Lomx3</v>
      </c>
      <c r="S486" s="1">
        <f ca="1">IFERROR(__xludf.DUMMYFUNCTION("""COMPUTED_VALUE"""),40000000)</f>
        <v>40000000</v>
      </c>
      <c r="T486" s="1" t="str">
        <f ca="1">IFERROR(__xludf.DUMMYFUNCTION("""COMPUTED_VALUE"""),"Classic")</f>
        <v>Classic</v>
      </c>
      <c r="U486" s="1" t="str">
        <f ca="1">IFERROR(__xludf.DUMMYFUNCTION("""COMPUTED_VALUE"""),"Branch")</f>
        <v>Branch</v>
      </c>
    </row>
    <row r="487" spans="1:21" x14ac:dyDescent="0.25">
      <c r="A487" s="2" t="str">
        <f ca="1">IFERROR(__xludf.DUMMYFUNCTION("""COMPUTED_VALUE"""),"APP0486")</f>
        <v>APP0486</v>
      </c>
      <c r="B487" s="2">
        <f ca="1">IFERROR(__xludf.DUMMYFUNCTION("""COMPUTED_VALUE"""),45925.7091666666)</f>
        <v>45925.709166666602</v>
      </c>
      <c r="C487" s="1" t="str">
        <f ca="1">IFERROR(__xludf.DUMMYFUNCTION("""COMPUTED_VALUE"""),"Đặng Ngọc Phong")</f>
        <v>Đặng Ngọc Phong</v>
      </c>
      <c r="D487" s="1" t="str">
        <f ca="1">IFERROR(__xludf.DUMMYFUNCTION("""COMPUTED_VALUE"""),"28/08/1970")</f>
        <v>28/08/1970</v>
      </c>
      <c r="E487" s="1" t="str">
        <f ca="1">IFERROR(__xludf.DUMMYFUNCTION("""COMPUTED_VALUE"""),"Male")</f>
        <v>Male</v>
      </c>
      <c r="F487" s="1" t="str">
        <f ca="1">IFERROR(__xludf.DUMMYFUNCTION("""COMPUTED_VALUE"""),"Vietnam")</f>
        <v>Vietnam</v>
      </c>
      <c r="G487" s="1" t="str">
        <f ca="1">IFERROR(__xludf.DUMMYFUNCTION("""COMPUTED_VALUE"""),"0771944809")</f>
        <v>0771944809</v>
      </c>
      <c r="H487" s="1" t="str">
        <f ca="1">IFERROR(__xludf.DUMMYFUNCTION("""COMPUTED_VALUE"""),"dangngocphong@gmail.com")</f>
        <v>dangngocphong@gmail.com</v>
      </c>
      <c r="I487" s="1" t="str">
        <f ca="1">IFERROR(__xludf.DUMMYFUNCTION("""COMPUTED_VALUE"""),"54 Le Loi, Hoan Kiem, Can Tho, Viet Nam")</f>
        <v>54 Le Loi, Hoan Kiem, Can Tho, Viet Nam</v>
      </c>
      <c r="J487" s="1" t="str">
        <f ca="1">IFERROR(__xludf.DUMMYFUNCTION("""COMPUTED_VALUE"""),"051832115487")</f>
        <v>051832115487</v>
      </c>
      <c r="K487" s="3" t="str">
        <f ca="1">IFERROR(__xludf.DUMMYFUNCTION("""COMPUTED_VALUE"""),"https://drive.google.com/open?id=pSb8THBAVBLD2tr5RNKk")</f>
        <v>https://drive.google.com/open?id=pSb8THBAVBLD2tr5RNKk</v>
      </c>
      <c r="L487" s="3" t="str">
        <f ca="1">IFERROR(__xludf.DUMMYFUNCTION("""COMPUTED_VALUE"""),"https://drive.google.com/open?id=EeboEThErfJYTVeisZwR")</f>
        <v>https://drive.google.com/open?id=EeboEThErfJYTVeisZwR</v>
      </c>
      <c r="M487" s="1"/>
      <c r="N487" s="1"/>
      <c r="O487" s="1"/>
      <c r="P487" s="1" t="str">
        <f ca="1">IFERROR(__xludf.DUMMYFUNCTION("""COMPUTED_VALUE"""),"Self-employed")</f>
        <v>Self-employed</v>
      </c>
      <c r="Q487" s="1">
        <f ca="1">IFERROR(__xludf.DUMMYFUNCTION("""COMPUTED_VALUE"""),5000000)</f>
        <v>5000000</v>
      </c>
      <c r="R487" s="3" t="str">
        <f ca="1">IFERROR(__xludf.DUMMYFUNCTION("""COMPUTED_VALUE"""),"https://drive.google.com/open?id=ce0MsJLZr3L9ZPuKNK3M")</f>
        <v>https://drive.google.com/open?id=ce0MsJLZr3L9ZPuKNK3M</v>
      </c>
      <c r="S487" s="1">
        <f ca="1">IFERROR(__xludf.DUMMYFUNCTION("""COMPUTED_VALUE"""),25000000)</f>
        <v>25000000</v>
      </c>
      <c r="T487" s="1" t="str">
        <f ca="1">IFERROR(__xludf.DUMMYFUNCTION("""COMPUTED_VALUE"""),"Platinum")</f>
        <v>Platinum</v>
      </c>
      <c r="U487" s="1" t="str">
        <f ca="1">IFERROR(__xludf.DUMMYFUNCTION("""COMPUTED_VALUE"""),"Partner")</f>
        <v>Partner</v>
      </c>
    </row>
    <row r="488" spans="1:21" x14ac:dyDescent="0.25">
      <c r="A488" s="2" t="str">
        <f ca="1">IFERROR(__xludf.DUMMYFUNCTION("""COMPUTED_VALUE"""),"APP0487")</f>
        <v>APP0487</v>
      </c>
      <c r="B488" s="2">
        <f ca="1">IFERROR(__xludf.DUMMYFUNCTION("""COMPUTED_VALUE"""),45925.7906828703)</f>
        <v>45925.790682870298</v>
      </c>
      <c r="C488" s="1" t="str">
        <f ca="1">IFERROR(__xludf.DUMMYFUNCTION("""COMPUTED_VALUE"""),"Phan Đức Mai")</f>
        <v>Phan Đức Mai</v>
      </c>
      <c r="D488" s="1" t="str">
        <f ca="1">IFERROR(__xludf.DUMMYFUNCTION("""COMPUTED_VALUE"""),"22/08/1984")</f>
        <v>22/08/1984</v>
      </c>
      <c r="E488" s="1" t="str">
        <f ca="1">IFERROR(__xludf.DUMMYFUNCTION("""COMPUTED_VALUE"""),"Male")</f>
        <v>Male</v>
      </c>
      <c r="F488" s="1" t="str">
        <f ca="1">IFERROR(__xludf.DUMMYFUNCTION("""COMPUTED_VALUE"""),"Vietnam")</f>
        <v>Vietnam</v>
      </c>
      <c r="G488" s="1" t="str">
        <f ca="1">IFERROR(__xludf.DUMMYFUNCTION("""COMPUTED_VALUE"""),"0980659136")</f>
        <v>0980659136</v>
      </c>
      <c r="H488" s="1" t="str">
        <f ca="1">IFERROR(__xludf.DUMMYFUNCTION("""COMPUTED_VALUE"""),"phanducmai@gmail.com")</f>
        <v>phanducmai@gmail.com</v>
      </c>
      <c r="I488" s="1" t="str">
        <f ca="1">IFERROR(__xludf.DUMMYFUNCTION("""COMPUTED_VALUE"""),"9 Nguyen Hue, Dong Da, Hai Phong, Viet Nam")</f>
        <v>9 Nguyen Hue, Dong Da, Hai Phong, Viet Nam</v>
      </c>
      <c r="J488" s="1" t="str">
        <f ca="1">IFERROR(__xludf.DUMMYFUNCTION("""COMPUTED_VALUE"""),"069469762327")</f>
        <v>069469762327</v>
      </c>
      <c r="K488" s="3" t="str">
        <f ca="1">IFERROR(__xludf.DUMMYFUNCTION("""COMPUTED_VALUE"""),"https://drive.google.com/open?id=hP6aK76dYFzG0zFukuES")</f>
        <v>https://drive.google.com/open?id=hP6aK76dYFzG0zFukuES</v>
      </c>
      <c r="L488" s="3" t="str">
        <f ca="1">IFERROR(__xludf.DUMMYFUNCTION("""COMPUTED_VALUE"""),"https://drive.google.com/open?id=Knp5E6Vi1JzVnJ59y1yH")</f>
        <v>https://drive.google.com/open?id=Knp5E6Vi1JzVnJ59y1yH</v>
      </c>
      <c r="M488" s="1"/>
      <c r="N488" s="1"/>
      <c r="O488" s="1"/>
      <c r="P488" s="1" t="str">
        <f ca="1">IFERROR(__xludf.DUMMYFUNCTION("""COMPUTED_VALUE"""),"Part-time")</f>
        <v>Part-time</v>
      </c>
      <c r="Q488" s="1">
        <f ca="1">IFERROR(__xludf.DUMMYFUNCTION("""COMPUTED_VALUE"""),50000000)</f>
        <v>50000000</v>
      </c>
      <c r="R488" s="3" t="str">
        <f ca="1">IFERROR(__xludf.DUMMYFUNCTION("""COMPUTED_VALUE"""),"https://drive.google.com/open?id=PJATJCCSp7tITscT6baP")</f>
        <v>https://drive.google.com/open?id=PJATJCCSp7tITscT6baP</v>
      </c>
      <c r="S488" s="1">
        <f ca="1">IFERROR(__xludf.DUMMYFUNCTION("""COMPUTED_VALUE"""),100000000)</f>
        <v>100000000</v>
      </c>
      <c r="T488" s="1" t="str">
        <f ca="1">IFERROR(__xludf.DUMMYFUNCTION("""COMPUTED_VALUE"""),"Platinum")</f>
        <v>Platinum</v>
      </c>
      <c r="U488" s="1" t="str">
        <f ca="1">IFERROR(__xludf.DUMMYFUNCTION("""COMPUTED_VALUE"""),"Partner")</f>
        <v>Partner</v>
      </c>
    </row>
    <row r="489" spans="1:21" x14ac:dyDescent="0.25">
      <c r="A489" s="2" t="str">
        <f ca="1">IFERROR(__xludf.DUMMYFUNCTION("""COMPUTED_VALUE"""),"APP0488")</f>
        <v>APP0488</v>
      </c>
      <c r="B489" s="2">
        <f ca="1">IFERROR(__xludf.DUMMYFUNCTION("""COMPUTED_VALUE"""),45925.7932291666)</f>
        <v>45925.7932291666</v>
      </c>
      <c r="C489" s="1" t="str">
        <f ca="1">IFERROR(__xludf.DUMMYFUNCTION("""COMPUTED_VALUE"""),"Huỳnh Minh Thảo")</f>
        <v>Huỳnh Minh Thảo</v>
      </c>
      <c r="D489" s="1" t="str">
        <f ca="1">IFERROR(__xludf.DUMMYFUNCTION("""COMPUTED_VALUE"""),"05/08/2005")</f>
        <v>05/08/2005</v>
      </c>
      <c r="E489" s="1" t="str">
        <f ca="1">IFERROR(__xludf.DUMMYFUNCTION("""COMPUTED_VALUE"""),"Female")</f>
        <v>Female</v>
      </c>
      <c r="F489" s="1" t="str">
        <f ca="1">IFERROR(__xludf.DUMMYFUNCTION("""COMPUTED_VALUE"""),"Vietnam")</f>
        <v>Vietnam</v>
      </c>
      <c r="G489" s="1" t="str">
        <f ca="1">IFERROR(__xludf.DUMMYFUNCTION("""COMPUTED_VALUE"""),"0814533482")</f>
        <v>0814533482</v>
      </c>
      <c r="H489" s="1" t="str">
        <f ca="1">IFERROR(__xludf.DUMMYFUNCTION("""COMPUTED_VALUE"""),"huynhminhthao@gmail.com")</f>
        <v>huynhminhthao@gmail.com</v>
      </c>
      <c r="I489" s="1" t="str">
        <f ca="1">IFERROR(__xludf.DUMMYFUNCTION("""COMPUTED_VALUE"""),"200 Tran Hung Dao, Quan 7, Hai Phong, Viet Nam")</f>
        <v>200 Tran Hung Dao, Quan 7, Hai Phong, Viet Nam</v>
      </c>
      <c r="J489" s="1" t="str">
        <f ca="1">IFERROR(__xludf.DUMMYFUNCTION("""COMPUTED_VALUE"""),"0460015586")</f>
        <v>0460015586</v>
      </c>
      <c r="K489" s="3" t="str">
        <f ca="1">IFERROR(__xludf.DUMMYFUNCTION("""COMPUTED_VALUE"""),"https://drive.google.com/open?id=FsON31XT1tUoMQ6D6FmP")</f>
        <v>https://drive.google.com/open?id=FsON31XT1tUoMQ6D6FmP</v>
      </c>
      <c r="L489" s="3" t="str">
        <f ca="1">IFERROR(__xludf.DUMMYFUNCTION("""COMPUTED_VALUE"""),"https://drive.google.com/open?id=8mKuAV4cwUCNIHr1M2g5")</f>
        <v>https://drive.google.com/open?id=8mKuAV4cwUCNIHr1M2g5</v>
      </c>
      <c r="M489" s="1"/>
      <c r="N489" s="1"/>
      <c r="O489" s="1"/>
      <c r="P489" s="1" t="str">
        <f ca="1">IFERROR(__xludf.DUMMYFUNCTION("""COMPUTED_VALUE"""),"Freelancer")</f>
        <v>Freelancer</v>
      </c>
      <c r="Q489" s="1">
        <f ca="1">IFERROR(__xludf.DUMMYFUNCTION("""COMPUTED_VALUE"""),50000000)</f>
        <v>50000000</v>
      </c>
      <c r="R489" s="3" t="str">
        <f ca="1">IFERROR(__xludf.DUMMYFUNCTION("""COMPUTED_VALUE"""),"https://drive.google.com/open?id=vKFXrG6ILr3751SxcrA6")</f>
        <v>https://drive.google.com/open?id=vKFXrG6ILr3751SxcrA6</v>
      </c>
      <c r="S489" s="1">
        <f ca="1">IFERROR(__xludf.DUMMYFUNCTION("""COMPUTED_VALUE"""),250000000)</f>
        <v>250000000</v>
      </c>
      <c r="T489" s="1" t="str">
        <f ca="1">IFERROR(__xludf.DUMMYFUNCTION("""COMPUTED_VALUE"""),"Classic")</f>
        <v>Classic</v>
      </c>
      <c r="U489" s="1" t="str">
        <f ca="1">IFERROR(__xludf.DUMMYFUNCTION("""COMPUTED_VALUE"""),"Partner")</f>
        <v>Partner</v>
      </c>
    </row>
    <row r="490" spans="1:21" x14ac:dyDescent="0.25">
      <c r="A490" s="2" t="str">
        <f ca="1">IFERROR(__xludf.DUMMYFUNCTION("""COMPUTED_VALUE"""),"APP0489")</f>
        <v>APP0489</v>
      </c>
      <c r="B490" s="2">
        <f ca="1">IFERROR(__xludf.DUMMYFUNCTION("""COMPUTED_VALUE"""),45925.9159143518)</f>
        <v>45925.915914351797</v>
      </c>
      <c r="C490" s="1" t="str">
        <f ca="1">IFERROR(__xludf.DUMMYFUNCTION("""COMPUTED_VALUE"""),"Dương Minh Trung")</f>
        <v>Dương Minh Trung</v>
      </c>
      <c r="D490" s="1" t="str">
        <f ca="1">IFERROR(__xludf.DUMMYFUNCTION("""COMPUTED_VALUE"""),"01/12/1967")</f>
        <v>01/12/1967</v>
      </c>
      <c r="E490" s="1" t="str">
        <f ca="1">IFERROR(__xludf.DUMMYFUNCTION("""COMPUTED_VALUE"""),"Male")</f>
        <v>Male</v>
      </c>
      <c r="F490" s="1" t="str">
        <f ca="1">IFERROR(__xludf.DUMMYFUNCTION("""COMPUTED_VALUE"""),"Vietnam")</f>
        <v>Vietnam</v>
      </c>
      <c r="G490" s="1" t="str">
        <f ca="1">IFERROR(__xludf.DUMMYFUNCTION("""COMPUTED_VALUE"""),"0993487074")</f>
        <v>0993487074</v>
      </c>
      <c r="H490" s="1" t="str">
        <f ca="1">IFERROR(__xludf.DUMMYFUNCTION("""COMPUTED_VALUE"""),"duongminhtrung@gmail.com")</f>
        <v>duongminhtrung@gmail.com</v>
      </c>
      <c r="I490" s="1" t="str">
        <f ca="1">IFERROR(__xludf.DUMMYFUNCTION("""COMPUTED_VALUE"""),"12 Pham Van Dong, Hoan Kiem, Can Tho, Viet Nam")</f>
        <v>12 Pham Van Dong, Hoan Kiem, Can Tho, Viet Nam</v>
      </c>
      <c r="J490" s="1" t="str">
        <f ca="1">IFERROR(__xludf.DUMMYFUNCTION("""COMPUTED_VALUE"""),"025698760327")</f>
        <v>025698760327</v>
      </c>
      <c r="K490" s="3" t="str">
        <f ca="1">IFERROR(__xludf.DUMMYFUNCTION("""COMPUTED_VALUE"""),"https://drive.google.com/open?id=5PAqzgCUdIjm7ORDSZx0")</f>
        <v>https://drive.google.com/open?id=5PAqzgCUdIjm7ORDSZx0</v>
      </c>
      <c r="L490" s="3" t="str">
        <f ca="1">IFERROR(__xludf.DUMMYFUNCTION("""COMPUTED_VALUE"""),"https://drive.google.com/open?id=mCRYc8wC96oAnVaOvCu0")</f>
        <v>https://drive.google.com/open?id=mCRYc8wC96oAnVaOvCu0</v>
      </c>
      <c r="M490" s="1"/>
      <c r="N490" s="1"/>
      <c r="O490" s="1"/>
      <c r="P490" s="1" t="str">
        <f ca="1">IFERROR(__xludf.DUMMYFUNCTION("""COMPUTED_VALUE"""),"Freelancer")</f>
        <v>Freelancer</v>
      </c>
      <c r="Q490" s="1">
        <f ca="1">IFERROR(__xludf.DUMMYFUNCTION("""COMPUTED_VALUE"""),20000000)</f>
        <v>20000000</v>
      </c>
      <c r="R490" s="3" t="str">
        <f ca="1">IFERROR(__xludf.DUMMYFUNCTION("""COMPUTED_VALUE"""),"https://drive.google.com/open?id=3UKyGC8OGVKOfDQCbv0m")</f>
        <v>https://drive.google.com/open?id=3UKyGC8OGVKOfDQCbv0m</v>
      </c>
      <c r="S490" s="1">
        <f ca="1">IFERROR(__xludf.DUMMYFUNCTION("""COMPUTED_VALUE"""),100000000)</f>
        <v>100000000</v>
      </c>
      <c r="T490" s="1" t="str">
        <f ca="1">IFERROR(__xludf.DUMMYFUNCTION("""COMPUTED_VALUE"""),"Classic")</f>
        <v>Classic</v>
      </c>
      <c r="U490" s="1" t="str">
        <f ca="1">IFERROR(__xludf.DUMMYFUNCTION("""COMPUTED_VALUE"""),"Online")</f>
        <v>Online</v>
      </c>
    </row>
    <row r="491" spans="1:21" x14ac:dyDescent="0.25">
      <c r="A491" s="2" t="str">
        <f ca="1">IFERROR(__xludf.DUMMYFUNCTION("""COMPUTED_VALUE"""),"APP0490")</f>
        <v>APP0490</v>
      </c>
      <c r="B491" s="2">
        <f ca="1">IFERROR(__xludf.DUMMYFUNCTION("""COMPUTED_VALUE"""),45926.0748263888)</f>
        <v>45926.074826388802</v>
      </c>
      <c r="C491" s="1" t="str">
        <f ca="1">IFERROR(__xludf.DUMMYFUNCTION("""COMPUTED_VALUE"""),"Bùi Đức Hải")</f>
        <v>Bùi Đức Hải</v>
      </c>
      <c r="D491" s="1" t="str">
        <f ca="1">IFERROR(__xludf.DUMMYFUNCTION("""COMPUTED_VALUE"""),"18/04/1994")</f>
        <v>18/04/1994</v>
      </c>
      <c r="E491" s="1" t="str">
        <f ca="1">IFERROR(__xludf.DUMMYFUNCTION("""COMPUTED_VALUE"""),"Female")</f>
        <v>Female</v>
      </c>
      <c r="F491" s="1" t="str">
        <f ca="1">IFERROR(__xludf.DUMMYFUNCTION("""COMPUTED_VALUE"""),"Vietnam")</f>
        <v>Vietnam</v>
      </c>
      <c r="G491" s="1" t="str">
        <f ca="1">IFERROR(__xludf.DUMMYFUNCTION("""COMPUTED_VALUE"""),"0754491890")</f>
        <v>0754491890</v>
      </c>
      <c r="H491" s="1" t="str">
        <f ca="1">IFERROR(__xludf.DUMMYFUNCTION("""COMPUTED_VALUE"""),"buiduchai@gmail.com")</f>
        <v>buiduchai@gmail.com</v>
      </c>
      <c r="I491" s="1" t="str">
        <f ca="1">IFERROR(__xludf.DUMMYFUNCTION("""COMPUTED_VALUE"""),"80 Pham Van Dong, Hai Chau, Can Tho, Viet Nam")</f>
        <v>80 Pham Van Dong, Hai Chau, Can Tho, Viet Nam</v>
      </c>
      <c r="J491" s="1" t="str">
        <f ca="1">IFERROR(__xludf.DUMMYFUNCTION("""COMPUTED_VALUE"""),"044381149209")</f>
        <v>044381149209</v>
      </c>
      <c r="K491" s="3" t="str">
        <f ca="1">IFERROR(__xludf.DUMMYFUNCTION("""COMPUTED_VALUE"""),"https://drive.google.com/open?id=Qovfo8HVlp7KaIoPWKHJ")</f>
        <v>https://drive.google.com/open?id=Qovfo8HVlp7KaIoPWKHJ</v>
      </c>
      <c r="L491" s="3" t="str">
        <f ca="1">IFERROR(__xludf.DUMMYFUNCTION("""COMPUTED_VALUE"""),"https://drive.google.com/open?id=LB21baIFcdy3aIbASxP5")</f>
        <v>https://drive.google.com/open?id=LB21baIFcdy3aIbASxP5</v>
      </c>
      <c r="M491" s="1"/>
      <c r="N491" s="1"/>
      <c r="O491" s="1"/>
      <c r="P491" s="1" t="str">
        <f ca="1">IFERROR(__xludf.DUMMYFUNCTION("""COMPUTED_VALUE"""),"Self-employed")</f>
        <v>Self-employed</v>
      </c>
      <c r="Q491" s="1">
        <f ca="1">IFERROR(__xludf.DUMMYFUNCTION("""COMPUTED_VALUE"""),50000000)</f>
        <v>50000000</v>
      </c>
      <c r="R491" s="3" t="str">
        <f ca="1">IFERROR(__xludf.DUMMYFUNCTION("""COMPUTED_VALUE"""),"https://drive.google.com/open?id=Hlu7JqFyzxuZ2Kq55bZo")</f>
        <v>https://drive.google.com/open?id=Hlu7JqFyzxuZ2Kq55bZo</v>
      </c>
      <c r="S491" s="1">
        <f ca="1">IFERROR(__xludf.DUMMYFUNCTION("""COMPUTED_VALUE"""),250000000)</f>
        <v>250000000</v>
      </c>
      <c r="T491" s="1" t="str">
        <f ca="1">IFERROR(__xludf.DUMMYFUNCTION("""COMPUTED_VALUE"""),"Classic")</f>
        <v>Classic</v>
      </c>
      <c r="U491" s="1" t="str">
        <f ca="1">IFERROR(__xludf.DUMMYFUNCTION("""COMPUTED_VALUE"""),"Branch")</f>
        <v>Branch</v>
      </c>
    </row>
    <row r="492" spans="1:21" x14ac:dyDescent="0.25">
      <c r="A492" s="2" t="str">
        <f ca="1">IFERROR(__xludf.DUMMYFUNCTION("""COMPUTED_VALUE"""),"APP0491")</f>
        <v>APP0491</v>
      </c>
      <c r="B492" s="2">
        <f ca="1">IFERROR(__xludf.DUMMYFUNCTION("""COMPUTED_VALUE"""),45926.2692013888)</f>
        <v>45926.269201388801</v>
      </c>
      <c r="C492" s="1" t="str">
        <f ca="1">IFERROR(__xludf.DUMMYFUNCTION("""COMPUTED_VALUE"""),"Nguyễn Ngọc Hải")</f>
        <v>Nguyễn Ngọc Hải</v>
      </c>
      <c r="D492" s="1" t="str">
        <f ca="1">IFERROR(__xludf.DUMMYFUNCTION("""COMPUTED_VALUE"""),"26/04/1980")</f>
        <v>26/04/1980</v>
      </c>
      <c r="E492" s="1" t="str">
        <f ca="1">IFERROR(__xludf.DUMMYFUNCTION("""COMPUTED_VALUE"""),"Female")</f>
        <v>Female</v>
      </c>
      <c r="F492" s="1" t="str">
        <f ca="1">IFERROR(__xludf.DUMMYFUNCTION("""COMPUTED_VALUE"""),"Vietnam")</f>
        <v>Vietnam</v>
      </c>
      <c r="G492" s="1" t="str">
        <f ca="1">IFERROR(__xludf.DUMMYFUNCTION("""COMPUTED_VALUE"""),"0871122046")</f>
        <v>0871122046</v>
      </c>
      <c r="H492" s="1" t="str">
        <f ca="1">IFERROR(__xludf.DUMMYFUNCTION("""COMPUTED_VALUE"""),"nguyenngochai@gmail.com")</f>
        <v>nguyenngochai@gmail.com</v>
      </c>
      <c r="I492" s="1" t="str">
        <f ca="1">IFERROR(__xludf.DUMMYFUNCTION("""COMPUTED_VALUE"""),"14 Pham Van Dong, Quan 7, Can Tho, Viet Nam")</f>
        <v>14 Pham Van Dong, Quan 7, Can Tho, Viet Nam</v>
      </c>
      <c r="J492" s="1" t="str">
        <f ca="1">IFERROR(__xludf.DUMMYFUNCTION("""COMPUTED_VALUE"""),"032331171170")</f>
        <v>032331171170</v>
      </c>
      <c r="K492" s="3" t="str">
        <f ca="1">IFERROR(__xludf.DUMMYFUNCTION("""COMPUTED_VALUE"""),"https://drive.google.com/open?id=U12iyMFgL1X5xMLA3JJ1")</f>
        <v>https://drive.google.com/open?id=U12iyMFgL1X5xMLA3JJ1</v>
      </c>
      <c r="L492" s="3" t="str">
        <f ca="1">IFERROR(__xludf.DUMMYFUNCTION("""COMPUTED_VALUE"""),"https://drive.google.com/open?id=HEOLWwqPdqlqT8Ri1kcT")</f>
        <v>https://drive.google.com/open?id=HEOLWwqPdqlqT8Ri1kcT</v>
      </c>
      <c r="M492" s="1"/>
      <c r="N492" s="1"/>
      <c r="O492" s="1"/>
      <c r="P492" s="1" t="str">
        <f ca="1">IFERROR(__xludf.DUMMYFUNCTION("""COMPUTED_VALUE"""),"Part-time")</f>
        <v>Part-time</v>
      </c>
      <c r="Q492" s="1">
        <f ca="1">IFERROR(__xludf.DUMMYFUNCTION("""COMPUTED_VALUE"""),12000000)</f>
        <v>12000000</v>
      </c>
      <c r="R492" s="3" t="str">
        <f ca="1">IFERROR(__xludf.DUMMYFUNCTION("""COMPUTED_VALUE"""),"https://drive.google.com/open?id=OFbbmlWGRmIPVFH8DNmm")</f>
        <v>https://drive.google.com/open?id=OFbbmlWGRmIPVFH8DNmm</v>
      </c>
      <c r="S492" s="1">
        <f ca="1">IFERROR(__xludf.DUMMYFUNCTION("""COMPUTED_VALUE"""),60000000)</f>
        <v>60000000</v>
      </c>
      <c r="T492" s="1" t="str">
        <f ca="1">IFERROR(__xludf.DUMMYFUNCTION("""COMPUTED_VALUE"""),"Gold")</f>
        <v>Gold</v>
      </c>
      <c r="U492" s="1" t="str">
        <f ca="1">IFERROR(__xludf.DUMMYFUNCTION("""COMPUTED_VALUE"""),"Online")</f>
        <v>Online</v>
      </c>
    </row>
    <row r="493" spans="1:21" x14ac:dyDescent="0.25">
      <c r="A493" s="2" t="str">
        <f ca="1">IFERROR(__xludf.DUMMYFUNCTION("""COMPUTED_VALUE"""),"APP0492")</f>
        <v>APP0492</v>
      </c>
      <c r="B493" s="2">
        <f ca="1">IFERROR(__xludf.DUMMYFUNCTION("""COMPUTED_VALUE"""),45926.3176157407)</f>
        <v>45926.3176157407</v>
      </c>
      <c r="C493" s="1" t="str">
        <f ca="1">IFERROR(__xludf.DUMMYFUNCTION("""COMPUTED_VALUE"""),"Lê Thanh Hiếu")</f>
        <v>Lê Thanh Hiếu</v>
      </c>
      <c r="D493" s="1" t="str">
        <f ca="1">IFERROR(__xludf.DUMMYFUNCTION("""COMPUTED_VALUE"""),"29/12/1964")</f>
        <v>29/12/1964</v>
      </c>
      <c r="E493" s="1" t="str">
        <f ca="1">IFERROR(__xludf.DUMMYFUNCTION("""COMPUTED_VALUE"""),"Male")</f>
        <v>Male</v>
      </c>
      <c r="F493" s="1" t="str">
        <f ca="1">IFERROR(__xludf.DUMMYFUNCTION("""COMPUTED_VALUE"""),"Vietnam")</f>
        <v>Vietnam</v>
      </c>
      <c r="G493" s="1" t="str">
        <f ca="1">IFERROR(__xludf.DUMMYFUNCTION("""COMPUTED_VALUE"""),"0957550071")</f>
        <v>0957550071</v>
      </c>
      <c r="H493" s="1" t="str">
        <f ca="1">IFERROR(__xludf.DUMMYFUNCTION("""COMPUTED_VALUE"""),"lethanhhieu@gmail.com")</f>
        <v>lethanhhieu@gmail.com</v>
      </c>
      <c r="I493" s="1" t="str">
        <f ca="1">IFERROR(__xludf.DUMMYFUNCTION("""COMPUTED_VALUE"""),"169 Nguyen Hue, Quan 7, Hai Phong, Viet Nam")</f>
        <v>169 Nguyen Hue, Quan 7, Hai Phong, Viet Nam</v>
      </c>
      <c r="J493" s="1" t="str">
        <f ca="1">IFERROR(__xludf.DUMMYFUNCTION("""COMPUTED_VALUE"""),"078557370885")</f>
        <v>078557370885</v>
      </c>
      <c r="K493" s="3" t="str">
        <f ca="1">IFERROR(__xludf.DUMMYFUNCTION("""COMPUTED_VALUE"""),"https://drive.google.com/open?id=mlbDYZWxk2gsG77uZADq")</f>
        <v>https://drive.google.com/open?id=mlbDYZWxk2gsG77uZADq</v>
      </c>
      <c r="L493" s="3" t="str">
        <f ca="1">IFERROR(__xludf.DUMMYFUNCTION("""COMPUTED_VALUE"""),"https://drive.google.com/open?id=KF7aZzBwbU3aZiLdKwFP")</f>
        <v>https://drive.google.com/open?id=KF7aZzBwbU3aZiLdKwFP</v>
      </c>
      <c r="M493" s="1"/>
      <c r="N493" s="1"/>
      <c r="O493" s="1"/>
      <c r="P493" s="1" t="str">
        <f ca="1">IFERROR(__xludf.DUMMYFUNCTION("""COMPUTED_VALUE"""),"Part-time")</f>
        <v>Part-time</v>
      </c>
      <c r="Q493" s="1">
        <f ca="1">IFERROR(__xludf.DUMMYFUNCTION("""COMPUTED_VALUE"""),8000000)</f>
        <v>8000000</v>
      </c>
      <c r="R493" s="3" t="str">
        <f ca="1">IFERROR(__xludf.DUMMYFUNCTION("""COMPUTED_VALUE"""),"https://drive.google.com/open?id=ifeYvIqCgJlTWk4Ospql")</f>
        <v>https://drive.google.com/open?id=ifeYvIqCgJlTWk4Ospql</v>
      </c>
      <c r="S493" s="1">
        <f ca="1">IFERROR(__xludf.DUMMYFUNCTION("""COMPUTED_VALUE"""),40000000)</f>
        <v>40000000</v>
      </c>
      <c r="T493" s="1" t="str">
        <f ca="1">IFERROR(__xludf.DUMMYFUNCTION("""COMPUTED_VALUE"""),"Platinum")</f>
        <v>Platinum</v>
      </c>
      <c r="U493" s="1" t="str">
        <f ca="1">IFERROR(__xludf.DUMMYFUNCTION("""COMPUTED_VALUE"""),"Online")</f>
        <v>Online</v>
      </c>
    </row>
    <row r="494" spans="1:21" x14ac:dyDescent="0.25">
      <c r="A494" s="2" t="str">
        <f ca="1">IFERROR(__xludf.DUMMYFUNCTION("""COMPUTED_VALUE"""),"APP0493")</f>
        <v>APP0493</v>
      </c>
      <c r="B494" s="2">
        <f ca="1">IFERROR(__xludf.DUMMYFUNCTION("""COMPUTED_VALUE"""),45926.4536111111)</f>
        <v>45926.453611111101</v>
      </c>
      <c r="C494" s="1" t="str">
        <f ca="1">IFERROR(__xludf.DUMMYFUNCTION("""COMPUTED_VALUE"""),"Phạm Thị Trang")</f>
        <v>Phạm Thị Trang</v>
      </c>
      <c r="D494" s="1" t="str">
        <f ca="1">IFERROR(__xludf.DUMMYFUNCTION("""COMPUTED_VALUE"""),"11/08/1983")</f>
        <v>11/08/1983</v>
      </c>
      <c r="E494" s="1" t="str">
        <f ca="1">IFERROR(__xludf.DUMMYFUNCTION("""COMPUTED_VALUE"""),"Male")</f>
        <v>Male</v>
      </c>
      <c r="F494" s="1" t="str">
        <f ca="1">IFERROR(__xludf.DUMMYFUNCTION("""COMPUTED_VALUE"""),"Vietnam")</f>
        <v>Vietnam</v>
      </c>
      <c r="G494" s="1" t="str">
        <f ca="1">IFERROR(__xludf.DUMMYFUNCTION("""COMPUTED_VALUE"""),"0939195168")</f>
        <v>0939195168</v>
      </c>
      <c r="H494" s="1" t="str">
        <f ca="1">IFERROR(__xludf.DUMMYFUNCTION("""COMPUTED_VALUE"""),"phamthitrang@gmail.com")</f>
        <v>phamthitrang@gmail.com</v>
      </c>
      <c r="I494" s="1" t="str">
        <f ca="1">IFERROR(__xludf.DUMMYFUNCTION("""COMPUTED_VALUE"""),"25 Nguyen Trai, Quan 3, Can Tho, Viet Nam")</f>
        <v>25 Nguyen Trai, Quan 3, Can Tho, Viet Nam</v>
      </c>
      <c r="J494" s="1" t="str">
        <f ca="1">IFERROR(__xludf.DUMMYFUNCTION("""COMPUTED_VALUE"""),"089192829725")</f>
        <v>089192829725</v>
      </c>
      <c r="K494" s="3" t="str">
        <f ca="1">IFERROR(__xludf.DUMMYFUNCTION("""COMPUTED_VALUE"""),"https://drive.google.com/open?id=9FETE2Ia4eLx1U3uM4VQ")</f>
        <v>https://drive.google.com/open?id=9FETE2Ia4eLx1U3uM4VQ</v>
      </c>
      <c r="L494" s="3" t="str">
        <f ca="1">IFERROR(__xludf.DUMMYFUNCTION("""COMPUTED_VALUE"""),"https://drive.google.com/open?id=tP5cNczpmWq91Ydsd5sd")</f>
        <v>https://drive.google.com/open?id=tP5cNczpmWq91Ydsd5sd</v>
      </c>
      <c r="M494" s="1"/>
      <c r="N494" s="1"/>
      <c r="O494" s="1"/>
      <c r="P494" s="1" t="str">
        <f ca="1">IFERROR(__xludf.DUMMYFUNCTION("""COMPUTED_VALUE"""),"Freelancer")</f>
        <v>Freelancer</v>
      </c>
      <c r="Q494" s="1">
        <f ca="1">IFERROR(__xludf.DUMMYFUNCTION("""COMPUTED_VALUE"""),50000000)</f>
        <v>50000000</v>
      </c>
      <c r="R494" s="3" t="str">
        <f ca="1">IFERROR(__xludf.DUMMYFUNCTION("""COMPUTED_VALUE"""),"https://drive.google.com/open?id=k8vZlptbAC6SZ8HDGe31")</f>
        <v>https://drive.google.com/open?id=k8vZlptbAC6SZ8HDGe31</v>
      </c>
      <c r="S494" s="1">
        <f ca="1">IFERROR(__xludf.DUMMYFUNCTION("""COMPUTED_VALUE"""),250000000)</f>
        <v>250000000</v>
      </c>
      <c r="T494" s="1" t="str">
        <f ca="1">IFERROR(__xludf.DUMMYFUNCTION("""COMPUTED_VALUE"""),"Classic")</f>
        <v>Classic</v>
      </c>
      <c r="U494" s="1" t="str">
        <f ca="1">IFERROR(__xludf.DUMMYFUNCTION("""COMPUTED_VALUE"""),"Online")</f>
        <v>Online</v>
      </c>
    </row>
    <row r="495" spans="1:21" x14ac:dyDescent="0.25">
      <c r="A495" s="2" t="str">
        <f ca="1">IFERROR(__xludf.DUMMYFUNCTION("""COMPUTED_VALUE"""),"APP0494")</f>
        <v>APP0494</v>
      </c>
      <c r="B495" s="2">
        <f ca="1">IFERROR(__xludf.DUMMYFUNCTION("""COMPUTED_VALUE"""),45926.5209837963)</f>
        <v>45926.520983796298</v>
      </c>
      <c r="C495" s="1" t="str">
        <f ca="1">IFERROR(__xludf.DUMMYFUNCTION("""COMPUTED_VALUE"""),"Huỳnh Ngọc Yến")</f>
        <v>Huỳnh Ngọc Yến</v>
      </c>
      <c r="D495" s="1" t="str">
        <f ca="1">IFERROR(__xludf.DUMMYFUNCTION("""COMPUTED_VALUE"""),"20/05/1998")</f>
        <v>20/05/1998</v>
      </c>
      <c r="E495" s="1" t="str">
        <f ca="1">IFERROR(__xludf.DUMMYFUNCTION("""COMPUTED_VALUE"""),"Female")</f>
        <v>Female</v>
      </c>
      <c r="F495" s="1" t="str">
        <f ca="1">IFERROR(__xludf.DUMMYFUNCTION("""COMPUTED_VALUE"""),"Vietnam")</f>
        <v>Vietnam</v>
      </c>
      <c r="G495" s="1" t="str">
        <f ca="1">IFERROR(__xludf.DUMMYFUNCTION("""COMPUTED_VALUE"""),"0937384014")</f>
        <v>0937384014</v>
      </c>
      <c r="H495" s="1" t="str">
        <f ca="1">IFERROR(__xludf.DUMMYFUNCTION("""COMPUTED_VALUE"""),"huynhngocyen@gmail.com")</f>
        <v>huynhngocyen@gmail.com</v>
      </c>
      <c r="I495" s="1" t="str">
        <f ca="1">IFERROR(__xludf.DUMMYFUNCTION("""COMPUTED_VALUE"""),"49 Pham Van Dong, Quan 3, Ha Noi, Viet Nam")</f>
        <v>49 Pham Van Dong, Quan 3, Ha Noi, Viet Nam</v>
      </c>
      <c r="J495" s="1" t="str">
        <f ca="1">IFERROR(__xludf.DUMMYFUNCTION("""COMPUTED_VALUE"""),"062612058930")</f>
        <v>062612058930</v>
      </c>
      <c r="K495" s="3" t="str">
        <f ca="1">IFERROR(__xludf.DUMMYFUNCTION("""COMPUTED_VALUE"""),"https://drive.google.com/open?id=IgBzHPnTY5kosCNlWUg4")</f>
        <v>https://drive.google.com/open?id=IgBzHPnTY5kosCNlWUg4</v>
      </c>
      <c r="L495" s="3" t="str">
        <f ca="1">IFERROR(__xludf.DUMMYFUNCTION("""COMPUTED_VALUE"""),"https://drive.google.com/open?id=BC8rAGNrHYFxonA36Dkw")</f>
        <v>https://drive.google.com/open?id=BC8rAGNrHYFxonA36Dkw</v>
      </c>
      <c r="M495" s="1"/>
      <c r="N495" s="1"/>
      <c r="O495" s="1"/>
      <c r="P495" s="1" t="str">
        <f ca="1">IFERROR(__xludf.DUMMYFUNCTION("""COMPUTED_VALUE"""),"Part-time")</f>
        <v>Part-time</v>
      </c>
      <c r="Q495" s="1">
        <f ca="1">IFERROR(__xludf.DUMMYFUNCTION("""COMPUTED_VALUE"""),8000000)</f>
        <v>8000000</v>
      </c>
      <c r="R495" s="3" t="str">
        <f ca="1">IFERROR(__xludf.DUMMYFUNCTION("""COMPUTED_VALUE"""),"https://drive.google.com/open?id=FRx0JMHEwduUU3tSeqXc")</f>
        <v>https://drive.google.com/open?id=FRx0JMHEwduUU3tSeqXc</v>
      </c>
      <c r="S495" s="1">
        <f ca="1">IFERROR(__xludf.DUMMYFUNCTION("""COMPUTED_VALUE"""),40000000)</f>
        <v>40000000</v>
      </c>
      <c r="T495" s="1" t="str">
        <f ca="1">IFERROR(__xludf.DUMMYFUNCTION("""COMPUTED_VALUE"""),"Classic")</f>
        <v>Classic</v>
      </c>
      <c r="U495" s="1" t="str">
        <f ca="1">IFERROR(__xludf.DUMMYFUNCTION("""COMPUTED_VALUE"""),"Branch")</f>
        <v>Branch</v>
      </c>
    </row>
    <row r="496" spans="1:21" x14ac:dyDescent="0.25">
      <c r="A496" s="2" t="str">
        <f ca="1">IFERROR(__xludf.DUMMYFUNCTION("""COMPUTED_VALUE"""),"APP0495")</f>
        <v>APP0495</v>
      </c>
      <c r="B496" s="2">
        <f ca="1">IFERROR(__xludf.DUMMYFUNCTION("""COMPUTED_VALUE"""),45926.5615046296)</f>
        <v>45926.561504629601</v>
      </c>
      <c r="C496" s="1" t="str">
        <f ca="1">IFERROR(__xludf.DUMMYFUNCTION("""COMPUTED_VALUE"""),"Võ Minh Hùng")</f>
        <v>Võ Minh Hùng</v>
      </c>
      <c r="D496" s="1" t="str">
        <f ca="1">IFERROR(__xludf.DUMMYFUNCTION("""COMPUTED_VALUE"""),"17/05/1997")</f>
        <v>17/05/1997</v>
      </c>
      <c r="E496" s="1" t="str">
        <f ca="1">IFERROR(__xludf.DUMMYFUNCTION("""COMPUTED_VALUE"""),"Male")</f>
        <v>Male</v>
      </c>
      <c r="F496" s="1" t="str">
        <f ca="1">IFERROR(__xludf.DUMMYFUNCTION("""COMPUTED_VALUE"""),"Vietnam")</f>
        <v>Vietnam</v>
      </c>
      <c r="G496" s="1" t="str">
        <f ca="1">IFERROR(__xludf.DUMMYFUNCTION("""COMPUTED_VALUE"""),"0820528463")</f>
        <v>0820528463</v>
      </c>
      <c r="H496" s="1" t="str">
        <f ca="1">IFERROR(__xludf.DUMMYFUNCTION("""COMPUTED_VALUE"""),"vominhhung@gmail.com")</f>
        <v>vominhhung@gmail.com</v>
      </c>
      <c r="I496" s="1" t="str">
        <f ca="1">IFERROR(__xludf.DUMMYFUNCTION("""COMPUTED_VALUE"""),"163 Pham Van Dong, Quan 1, Da Nang, Viet Nam")</f>
        <v>163 Pham Van Dong, Quan 1, Da Nang, Viet Nam</v>
      </c>
      <c r="J496" s="1" t="str">
        <f ca="1">IFERROR(__xludf.DUMMYFUNCTION("""COMPUTED_VALUE"""),"080790591258")</f>
        <v>080790591258</v>
      </c>
      <c r="K496" s="3" t="str">
        <f ca="1">IFERROR(__xludf.DUMMYFUNCTION("""COMPUTED_VALUE"""),"https://drive.google.com/open?id=VTnGhHjVEI2vVqk6oHfp")</f>
        <v>https://drive.google.com/open?id=VTnGhHjVEI2vVqk6oHfp</v>
      </c>
      <c r="L496" s="3" t="str">
        <f ca="1">IFERROR(__xludf.DUMMYFUNCTION("""COMPUTED_VALUE"""),"https://drive.google.com/open?id=lZD1hOxnwWhctdy82SMC")</f>
        <v>https://drive.google.com/open?id=lZD1hOxnwWhctdy82SMC</v>
      </c>
      <c r="M496" s="1"/>
      <c r="N496" s="1"/>
      <c r="O496" s="1"/>
      <c r="P496" s="1" t="str">
        <f ca="1">IFERROR(__xludf.DUMMYFUNCTION("""COMPUTED_VALUE"""),"Self-employed")</f>
        <v>Self-employed</v>
      </c>
      <c r="Q496" s="1">
        <f ca="1">IFERROR(__xludf.DUMMYFUNCTION("""COMPUTED_VALUE"""),20000000)</f>
        <v>20000000</v>
      </c>
      <c r="R496" s="3" t="str">
        <f ca="1">IFERROR(__xludf.DUMMYFUNCTION("""COMPUTED_VALUE"""),"https://drive.google.com/open?id=KOB2BQOUeMHx0seX6Egl")</f>
        <v>https://drive.google.com/open?id=KOB2BQOUeMHx0seX6Egl</v>
      </c>
      <c r="S496" s="1">
        <f ca="1">IFERROR(__xludf.DUMMYFUNCTION("""COMPUTED_VALUE"""),100000000)</f>
        <v>100000000</v>
      </c>
      <c r="T496" s="1" t="str">
        <f ca="1">IFERROR(__xludf.DUMMYFUNCTION("""COMPUTED_VALUE"""),"Classic")</f>
        <v>Classic</v>
      </c>
      <c r="U496" s="1" t="str">
        <f ca="1">IFERROR(__xludf.DUMMYFUNCTION("""COMPUTED_VALUE"""),"Online")</f>
        <v>Online</v>
      </c>
    </row>
    <row r="497" spans="1:21" x14ac:dyDescent="0.25">
      <c r="A497" s="2" t="str">
        <f ca="1">IFERROR(__xludf.DUMMYFUNCTION("""COMPUTED_VALUE"""),"APP0496")</f>
        <v>APP0496</v>
      </c>
      <c r="B497" s="2">
        <f ca="1">IFERROR(__xludf.DUMMYFUNCTION("""COMPUTED_VALUE"""),45926.5752314814)</f>
        <v>45926.575231481402</v>
      </c>
      <c r="C497" s="1" t="str">
        <f ca="1">IFERROR(__xludf.DUMMYFUNCTION("""COMPUTED_VALUE"""),"Đỗ Hữu Quân")</f>
        <v>Đỗ Hữu Quân</v>
      </c>
      <c r="D497" s="1" t="str">
        <f ca="1">IFERROR(__xludf.DUMMYFUNCTION("""COMPUTED_VALUE"""),"25/09/1995")</f>
        <v>25/09/1995</v>
      </c>
      <c r="E497" s="1" t="str">
        <f ca="1">IFERROR(__xludf.DUMMYFUNCTION("""COMPUTED_VALUE"""),"Male")</f>
        <v>Male</v>
      </c>
      <c r="F497" s="1" t="str">
        <f ca="1">IFERROR(__xludf.DUMMYFUNCTION("""COMPUTED_VALUE"""),"Vietnam")</f>
        <v>Vietnam</v>
      </c>
      <c r="G497" s="1" t="str">
        <f ca="1">IFERROR(__xludf.DUMMYFUNCTION("""COMPUTED_VALUE"""),"0799181980")</f>
        <v>0799181980</v>
      </c>
      <c r="H497" s="1" t="str">
        <f ca="1">IFERROR(__xludf.DUMMYFUNCTION("""COMPUTED_VALUE"""),"dohuuquan@gmail.com")</f>
        <v>dohuuquan@gmail.com</v>
      </c>
      <c r="I497" s="1" t="str">
        <f ca="1">IFERROR(__xludf.DUMMYFUNCTION("""COMPUTED_VALUE"""),"94 Nguyen Trai, Quan 7, TP Ho Chi Minh, Viet Nam")</f>
        <v>94 Nguyen Trai, Quan 7, TP Ho Chi Minh, Viet Nam</v>
      </c>
      <c r="J497" s="1" t="str">
        <f ca="1">IFERROR(__xludf.DUMMYFUNCTION("""COMPUTED_VALUE"""),"031550319837")</f>
        <v>031550319837</v>
      </c>
      <c r="K497" s="3" t="str">
        <f ca="1">IFERROR(__xludf.DUMMYFUNCTION("""COMPUTED_VALUE"""),"https://drive.google.com/open?id=BflUAe1xEF0teGiW8fRv")</f>
        <v>https://drive.google.com/open?id=BflUAe1xEF0teGiW8fRv</v>
      </c>
      <c r="L497" s="3" t="str">
        <f ca="1">IFERROR(__xludf.DUMMYFUNCTION("""COMPUTED_VALUE"""),"https://drive.google.com/open?id=DcH1g5B27TXcY5KwgwVl")</f>
        <v>https://drive.google.com/open?id=DcH1g5B27TXcY5KwgwVl</v>
      </c>
      <c r="M497" s="1"/>
      <c r="N497" s="1"/>
      <c r="O497" s="1"/>
      <c r="P497" s="1" t="str">
        <f ca="1">IFERROR(__xludf.DUMMYFUNCTION("""COMPUTED_VALUE"""),"Self-employed")</f>
        <v>Self-employed</v>
      </c>
      <c r="Q497" s="1">
        <f ca="1">IFERROR(__xludf.DUMMYFUNCTION("""COMPUTED_VALUE"""),50000000)</f>
        <v>50000000</v>
      </c>
      <c r="R497" s="3" t="str">
        <f ca="1">IFERROR(__xludf.DUMMYFUNCTION("""COMPUTED_VALUE"""),"https://drive.google.com/open?id=buDQT7WEScEhzKf0Sdrm")</f>
        <v>https://drive.google.com/open?id=buDQT7WEScEhzKf0Sdrm</v>
      </c>
      <c r="S497" s="1">
        <f ca="1">IFERROR(__xludf.DUMMYFUNCTION("""COMPUTED_VALUE"""),250000000)</f>
        <v>250000000</v>
      </c>
      <c r="T497" s="1" t="str">
        <f ca="1">IFERROR(__xludf.DUMMYFUNCTION("""COMPUTED_VALUE"""),"Classic")</f>
        <v>Classic</v>
      </c>
      <c r="U497" s="1" t="str">
        <f ca="1">IFERROR(__xludf.DUMMYFUNCTION("""COMPUTED_VALUE"""),"Branch")</f>
        <v>Branch</v>
      </c>
    </row>
    <row r="498" spans="1:21" x14ac:dyDescent="0.25">
      <c r="A498" s="2" t="str">
        <f ca="1">IFERROR(__xludf.DUMMYFUNCTION("""COMPUTED_VALUE"""),"APP0497")</f>
        <v>APP0497</v>
      </c>
      <c r="B498" s="2">
        <f ca="1">IFERROR(__xludf.DUMMYFUNCTION("""COMPUTED_VALUE"""),45926.57625)</f>
        <v>45926.576249999998</v>
      </c>
      <c r="C498" s="1" t="str">
        <f ca="1">IFERROR(__xludf.DUMMYFUNCTION("""COMPUTED_VALUE"""),"Bùi Quang Thảo")</f>
        <v>Bùi Quang Thảo</v>
      </c>
      <c r="D498" s="1" t="str">
        <f ca="1">IFERROR(__xludf.DUMMYFUNCTION("""COMPUTED_VALUE"""),"19/04/1976")</f>
        <v>19/04/1976</v>
      </c>
      <c r="E498" s="1" t="str">
        <f ca="1">IFERROR(__xludf.DUMMYFUNCTION("""COMPUTED_VALUE"""),"Female")</f>
        <v>Female</v>
      </c>
      <c r="F498" s="1" t="str">
        <f ca="1">IFERROR(__xludf.DUMMYFUNCTION("""COMPUTED_VALUE"""),"Vietnam")</f>
        <v>Vietnam</v>
      </c>
      <c r="G498" s="1" t="str">
        <f ca="1">IFERROR(__xludf.DUMMYFUNCTION("""COMPUTED_VALUE"""),"0912113433")</f>
        <v>0912113433</v>
      </c>
      <c r="H498" s="1" t="str">
        <f ca="1">IFERROR(__xludf.DUMMYFUNCTION("""COMPUTED_VALUE"""),"buiquangthao@gmail.com")</f>
        <v>buiquangthao@gmail.com</v>
      </c>
      <c r="I498" s="1" t="str">
        <f ca="1">IFERROR(__xludf.DUMMYFUNCTION("""COMPUTED_VALUE"""),"17 Pham Van Dong, Quan 7, Da Nang, Viet Nam")</f>
        <v>17 Pham Van Dong, Quan 7, Da Nang, Viet Nam</v>
      </c>
      <c r="J498" s="1" t="str">
        <f ca="1">IFERROR(__xludf.DUMMYFUNCTION("""COMPUTED_VALUE"""),"084111809361")</f>
        <v>084111809361</v>
      </c>
      <c r="K498" s="3" t="str">
        <f ca="1">IFERROR(__xludf.DUMMYFUNCTION("""COMPUTED_VALUE"""),"https://drive.google.com/open?id=55VZYCMwA9oSacwDY24O")</f>
        <v>https://drive.google.com/open?id=55VZYCMwA9oSacwDY24O</v>
      </c>
      <c r="L498" s="3" t="str">
        <f ca="1">IFERROR(__xludf.DUMMYFUNCTION("""COMPUTED_VALUE"""),"https://drive.google.com/open?id=XkuI19pq8w9Qv7SJoqMy")</f>
        <v>https://drive.google.com/open?id=XkuI19pq8w9Qv7SJoqMy</v>
      </c>
      <c r="M498" s="1"/>
      <c r="N498" s="1"/>
      <c r="O498" s="1"/>
      <c r="P498" s="1" t="str">
        <f ca="1">IFERROR(__xludf.DUMMYFUNCTION("""COMPUTED_VALUE"""),"Self-employed")</f>
        <v>Self-employed</v>
      </c>
      <c r="Q498" s="1">
        <f ca="1">IFERROR(__xludf.DUMMYFUNCTION("""COMPUTED_VALUE"""),5000000)</f>
        <v>5000000</v>
      </c>
      <c r="R498" s="3" t="str">
        <f ca="1">IFERROR(__xludf.DUMMYFUNCTION("""COMPUTED_VALUE"""),"https://drive.google.com/open?id=FhW7SCwcNXdDHTUtnRjN")</f>
        <v>https://drive.google.com/open?id=FhW7SCwcNXdDHTUtnRjN</v>
      </c>
      <c r="S498" s="1">
        <f ca="1">IFERROR(__xludf.DUMMYFUNCTION("""COMPUTED_VALUE"""),10000000)</f>
        <v>10000000</v>
      </c>
      <c r="T498" s="1" t="str">
        <f ca="1">IFERROR(__xludf.DUMMYFUNCTION("""COMPUTED_VALUE"""),"Platinum")</f>
        <v>Platinum</v>
      </c>
      <c r="U498" s="1" t="str">
        <f ca="1">IFERROR(__xludf.DUMMYFUNCTION("""COMPUTED_VALUE"""),"Partner")</f>
        <v>Partner</v>
      </c>
    </row>
    <row r="499" spans="1:21" x14ac:dyDescent="0.25">
      <c r="A499" s="2" t="str">
        <f ca="1">IFERROR(__xludf.DUMMYFUNCTION("""COMPUTED_VALUE"""),"APP0498")</f>
        <v>APP0498</v>
      </c>
      <c r="B499" s="2">
        <f ca="1">IFERROR(__xludf.DUMMYFUNCTION("""COMPUTED_VALUE"""),45926.5845138888)</f>
        <v>45926.584513888803</v>
      </c>
      <c r="C499" s="1" t="str">
        <f ca="1">IFERROR(__xludf.DUMMYFUNCTION("""COMPUTED_VALUE"""),"Phạm Văn Quân")</f>
        <v>Phạm Văn Quân</v>
      </c>
      <c r="D499" s="1" t="str">
        <f ca="1">IFERROR(__xludf.DUMMYFUNCTION("""COMPUTED_VALUE"""),"21/12/1978")</f>
        <v>21/12/1978</v>
      </c>
      <c r="E499" s="1" t="str">
        <f ca="1">IFERROR(__xludf.DUMMYFUNCTION("""COMPUTED_VALUE"""),"Female")</f>
        <v>Female</v>
      </c>
      <c r="F499" s="1" t="str">
        <f ca="1">IFERROR(__xludf.DUMMYFUNCTION("""COMPUTED_VALUE"""),"Vietnam")</f>
        <v>Vietnam</v>
      </c>
      <c r="G499" s="1" t="str">
        <f ca="1">IFERROR(__xludf.DUMMYFUNCTION("""COMPUTED_VALUE"""),"0867544347")</f>
        <v>0867544347</v>
      </c>
      <c r="H499" s="1" t="str">
        <f ca="1">IFERROR(__xludf.DUMMYFUNCTION("""COMPUTED_VALUE"""),"phamvanquan@gmail.com")</f>
        <v>phamvanquan@gmail.com</v>
      </c>
      <c r="I499" s="1" t="str">
        <f ca="1">IFERROR(__xludf.DUMMYFUNCTION("""COMPUTED_VALUE"""),"182 Tran Hung Dao, Quan 7, Da Nang, Viet Nam")</f>
        <v>182 Tran Hung Dao, Quan 7, Da Nang, Viet Nam</v>
      </c>
      <c r="J499" s="1" t="str">
        <f ca="1">IFERROR(__xludf.DUMMYFUNCTION("""COMPUTED_VALUE"""),"080136980432")</f>
        <v>080136980432</v>
      </c>
      <c r="K499" s="3" t="str">
        <f ca="1">IFERROR(__xludf.DUMMYFUNCTION("""COMPUTED_VALUE"""),"https://drive.google.com/open?id=tFzO8vwqp8eqU1BQhD7F")</f>
        <v>https://drive.google.com/open?id=tFzO8vwqp8eqU1BQhD7F</v>
      </c>
      <c r="L499" s="3" t="str">
        <f ca="1">IFERROR(__xludf.DUMMYFUNCTION("""COMPUTED_VALUE"""),"https://drive.google.com/open?id=pfZbp29dSupWjVsUb8An")</f>
        <v>https://drive.google.com/open?id=pfZbp29dSupWjVsUb8An</v>
      </c>
      <c r="M499" s="1"/>
      <c r="N499" s="1"/>
      <c r="O499" s="1"/>
      <c r="P499" s="1" t="str">
        <f ca="1">IFERROR(__xludf.DUMMYFUNCTION("""COMPUTED_VALUE"""),"Freelancer")</f>
        <v>Freelancer</v>
      </c>
      <c r="Q499" s="1">
        <f ca="1">IFERROR(__xludf.DUMMYFUNCTION("""COMPUTED_VALUE"""),50000000)</f>
        <v>50000000</v>
      </c>
      <c r="R499" s="3" t="str">
        <f ca="1">IFERROR(__xludf.DUMMYFUNCTION("""COMPUTED_VALUE"""),"https://drive.google.com/open?id=EQwtTysxLszUXyOsoqkW")</f>
        <v>https://drive.google.com/open?id=EQwtTysxLszUXyOsoqkW</v>
      </c>
      <c r="S499" s="1">
        <f ca="1">IFERROR(__xludf.DUMMYFUNCTION("""COMPUTED_VALUE"""),100000000)</f>
        <v>100000000</v>
      </c>
      <c r="T499" s="1" t="str">
        <f ca="1">IFERROR(__xludf.DUMMYFUNCTION("""COMPUTED_VALUE"""),"Platinum")</f>
        <v>Platinum</v>
      </c>
      <c r="U499" s="1" t="str">
        <f ca="1">IFERROR(__xludf.DUMMYFUNCTION("""COMPUTED_VALUE"""),"Online")</f>
        <v>Online</v>
      </c>
    </row>
    <row r="500" spans="1:21" x14ac:dyDescent="0.25">
      <c r="A500" s="2" t="str">
        <f ca="1">IFERROR(__xludf.DUMMYFUNCTION("""COMPUTED_VALUE"""),"APP0499")</f>
        <v>APP0499</v>
      </c>
      <c r="B500" s="2">
        <f ca="1">IFERROR(__xludf.DUMMYFUNCTION("""COMPUTED_VALUE"""),45926.5862268518)</f>
        <v>45926.586226851803</v>
      </c>
      <c r="C500" s="1" t="str">
        <f ca="1">IFERROR(__xludf.DUMMYFUNCTION("""COMPUTED_VALUE"""),"Nguyễn Minh Châu")</f>
        <v>Nguyễn Minh Châu</v>
      </c>
      <c r="D500" s="1" t="str">
        <f ca="1">IFERROR(__xludf.DUMMYFUNCTION("""COMPUTED_VALUE"""),"10/11/2003")</f>
        <v>10/11/2003</v>
      </c>
      <c r="E500" s="1" t="str">
        <f ca="1">IFERROR(__xludf.DUMMYFUNCTION("""COMPUTED_VALUE"""),"Female")</f>
        <v>Female</v>
      </c>
      <c r="F500" s="1" t="str">
        <f ca="1">IFERROR(__xludf.DUMMYFUNCTION("""COMPUTED_VALUE"""),"Vietnam")</f>
        <v>Vietnam</v>
      </c>
      <c r="G500" s="1" t="str">
        <f ca="1">IFERROR(__xludf.DUMMYFUNCTION("""COMPUTED_VALUE"""),"0947889693")</f>
        <v>0947889693</v>
      </c>
      <c r="H500" s="1" t="str">
        <f ca="1">IFERROR(__xludf.DUMMYFUNCTION("""COMPUTED_VALUE"""),"nguyenminhchau@gmail.com")</f>
        <v>nguyenminhchau@gmail.com</v>
      </c>
      <c r="I500" s="1" t="str">
        <f ca="1">IFERROR(__xludf.DUMMYFUNCTION("""COMPUTED_VALUE"""),"81 Pham Van Dong, Quan 7, Da Nang, Viet Nam")</f>
        <v>81 Pham Van Dong, Quan 7, Da Nang, Viet Nam</v>
      </c>
      <c r="J500" s="1" t="str">
        <f ca="1">IFERROR(__xludf.DUMMYFUNCTION("""COMPUTED_VALUE"""),"026580976163")</f>
        <v>026580976163</v>
      </c>
      <c r="K500" s="3" t="str">
        <f ca="1">IFERROR(__xludf.DUMMYFUNCTION("""COMPUTED_VALUE"""),"https://drive.google.com/open?id=8hlkOveiCC3tC1iFWW2S")</f>
        <v>https://drive.google.com/open?id=8hlkOveiCC3tC1iFWW2S</v>
      </c>
      <c r="L500" s="3" t="str">
        <f ca="1">IFERROR(__xludf.DUMMYFUNCTION("""COMPUTED_VALUE"""),"https://drive.google.com/open?id=YTJygBWwrMH5iCIDI3ij")</f>
        <v>https://drive.google.com/open?id=YTJygBWwrMH5iCIDI3ij</v>
      </c>
      <c r="M500" s="1"/>
      <c r="N500" s="1"/>
      <c r="O500" s="1"/>
      <c r="P500" s="1" t="str">
        <f ca="1">IFERROR(__xludf.DUMMYFUNCTION("""COMPUTED_VALUE"""),"Freelancer")</f>
        <v>Freelancer</v>
      </c>
      <c r="Q500" s="1">
        <f ca="1">IFERROR(__xludf.DUMMYFUNCTION("""COMPUTED_VALUE"""),20000000)</f>
        <v>20000000</v>
      </c>
      <c r="R500" s="3" t="str">
        <f ca="1">IFERROR(__xludf.DUMMYFUNCTION("""COMPUTED_VALUE"""),"https://drive.google.com/open?id=4iRNivBSBvpWBvK5YyjS")</f>
        <v>https://drive.google.com/open?id=4iRNivBSBvpWBvK5YyjS</v>
      </c>
      <c r="S500" s="1">
        <f ca="1">IFERROR(__xludf.DUMMYFUNCTION("""COMPUTED_VALUE"""),100000000)</f>
        <v>100000000</v>
      </c>
      <c r="T500" s="1" t="str">
        <f ca="1">IFERROR(__xludf.DUMMYFUNCTION("""COMPUTED_VALUE"""),"Platinum")</f>
        <v>Platinum</v>
      </c>
      <c r="U500" s="1" t="str">
        <f ca="1">IFERROR(__xludf.DUMMYFUNCTION("""COMPUTED_VALUE"""),"Partner")</f>
        <v>Partner</v>
      </c>
    </row>
    <row r="501" spans="1:21" x14ac:dyDescent="0.25">
      <c r="A501" s="2" t="str">
        <f ca="1">IFERROR(__xludf.DUMMYFUNCTION("""COMPUTED_VALUE"""),"APP0500")</f>
        <v>APP0500</v>
      </c>
      <c r="B501" s="2">
        <f ca="1">IFERROR(__xludf.DUMMYFUNCTION("""COMPUTED_VALUE"""),45926.5957638888)</f>
        <v>45926.595763888799</v>
      </c>
      <c r="C501" s="1" t="str">
        <f ca="1">IFERROR(__xludf.DUMMYFUNCTION("""COMPUTED_VALUE"""),"Lê Thị An")</f>
        <v>Lê Thị An</v>
      </c>
      <c r="D501" s="1" t="str">
        <f ca="1">IFERROR(__xludf.DUMMYFUNCTION("""COMPUTED_VALUE"""),"19/01/1994")</f>
        <v>19/01/1994</v>
      </c>
      <c r="E501" s="1" t="str">
        <f ca="1">IFERROR(__xludf.DUMMYFUNCTION("""COMPUTED_VALUE"""),"Female")</f>
        <v>Female</v>
      </c>
      <c r="F501" s="1" t="str">
        <f ca="1">IFERROR(__xludf.DUMMYFUNCTION("""COMPUTED_VALUE"""),"Vietnam")</f>
        <v>Vietnam</v>
      </c>
      <c r="G501" s="1" t="str">
        <f ca="1">IFERROR(__xludf.DUMMYFUNCTION("""COMPUTED_VALUE"""),"0949610338")</f>
        <v>0949610338</v>
      </c>
      <c r="H501" s="1" t="str">
        <f ca="1">IFERROR(__xludf.DUMMYFUNCTION("""COMPUTED_VALUE"""),"lethian@gmail.com")</f>
        <v>lethian@gmail.com</v>
      </c>
      <c r="I501" s="1" t="str">
        <f ca="1">IFERROR(__xludf.DUMMYFUNCTION("""COMPUTED_VALUE"""),"188 Tran Hung Dao, Quan 1, Can Tho, Viet Nam")</f>
        <v>188 Tran Hung Dao, Quan 1, Can Tho, Viet Nam</v>
      </c>
      <c r="J501" s="1" t="str">
        <f ca="1">IFERROR(__xludf.DUMMYFUNCTION("""COMPUTED_VALUE"""),"052622906070")</f>
        <v>052622906070</v>
      </c>
      <c r="K501" s="3" t="str">
        <f ca="1">IFERROR(__xludf.DUMMYFUNCTION("""COMPUTED_VALUE"""),"https://drive.google.com/open?id=r4WsyzIZCIl7ac6Aw8Wm")</f>
        <v>https://drive.google.com/open?id=r4WsyzIZCIl7ac6Aw8Wm</v>
      </c>
      <c r="L501" s="3" t="str">
        <f ca="1">IFERROR(__xludf.DUMMYFUNCTION("""COMPUTED_VALUE"""),"https://drive.google.com/open?id=GRtYIGgxFAVQR9HGlIbY")</f>
        <v>https://drive.google.com/open?id=GRtYIGgxFAVQR9HGlIbY</v>
      </c>
      <c r="M501" s="1"/>
      <c r="N501" s="1"/>
      <c r="O501" s="1"/>
      <c r="P501" s="1" t="str">
        <f ca="1">IFERROR(__xludf.DUMMYFUNCTION("""COMPUTED_VALUE"""),"Self-employed")</f>
        <v>Self-employed</v>
      </c>
      <c r="Q501" s="1">
        <f ca="1">IFERROR(__xludf.DUMMYFUNCTION("""COMPUTED_VALUE"""),12000000)</f>
        <v>12000000</v>
      </c>
      <c r="R501" s="3" t="str">
        <f ca="1">IFERROR(__xludf.DUMMYFUNCTION("""COMPUTED_VALUE"""),"https://drive.google.com/open?id=qsnTEdOQxM1nawLbeDi9")</f>
        <v>https://drive.google.com/open?id=qsnTEdOQxM1nawLbeDi9</v>
      </c>
      <c r="S501" s="1">
        <f ca="1">IFERROR(__xludf.DUMMYFUNCTION("""COMPUTED_VALUE"""),24000000)</f>
        <v>24000000</v>
      </c>
      <c r="T501" s="1" t="str">
        <f ca="1">IFERROR(__xludf.DUMMYFUNCTION("""COMPUTED_VALUE"""),"Platinum")</f>
        <v>Platinum</v>
      </c>
      <c r="U501" s="1" t="str">
        <f ca="1">IFERROR(__xludf.DUMMYFUNCTION("""COMPUTED_VALUE"""),"Branch")</f>
        <v>Branch</v>
      </c>
    </row>
    <row r="502" spans="1:21" x14ac:dyDescent="0.25">
      <c r="A502" s="2" t="str">
        <f ca="1">IFERROR(__xludf.DUMMYFUNCTION("""COMPUTED_VALUE"""),"APP0501")</f>
        <v>APP0501</v>
      </c>
      <c r="B502" s="2">
        <f ca="1">IFERROR(__xludf.DUMMYFUNCTION("""COMPUTED_VALUE"""),45926.6226967592)</f>
        <v>45926.622696759201</v>
      </c>
      <c r="C502" s="1" t="str">
        <f ca="1">IFERROR(__xludf.DUMMYFUNCTION("""COMPUTED_VALUE"""),"Đỗ Đức Thắng")</f>
        <v>Đỗ Đức Thắng</v>
      </c>
      <c r="D502" s="1" t="str">
        <f ca="1">IFERROR(__xludf.DUMMYFUNCTION("""COMPUTED_VALUE"""),"20/01/2005")</f>
        <v>20/01/2005</v>
      </c>
      <c r="E502" s="1" t="str">
        <f ca="1">IFERROR(__xludf.DUMMYFUNCTION("""COMPUTED_VALUE"""),"Female")</f>
        <v>Female</v>
      </c>
      <c r="F502" s="1" t="str">
        <f ca="1">IFERROR(__xludf.DUMMYFUNCTION("""COMPUTED_VALUE"""),"Vietnam")</f>
        <v>Vietnam</v>
      </c>
      <c r="G502" s="1" t="str">
        <f ca="1">IFERROR(__xludf.DUMMYFUNCTION("""COMPUTED_VALUE"""),"0832871848")</f>
        <v>0832871848</v>
      </c>
      <c r="H502" s="1" t="str">
        <f ca="1">IFERROR(__xludf.DUMMYFUNCTION("""COMPUTED_VALUE"""),"doducthang@gmail.com")</f>
        <v>doducthang@gmail.com</v>
      </c>
      <c r="I502" s="1" t="str">
        <f ca="1">IFERROR(__xludf.DUMMYFUNCTION("""COMPUTED_VALUE"""),"161 Nguyen Hue, Quan 7, TP Ho Chi Minh, Viet Nam")</f>
        <v>161 Nguyen Hue, Quan 7, TP Ho Chi Minh, Viet Nam</v>
      </c>
      <c r="J502" s="1" t="str">
        <f ca="1">IFERROR(__xludf.DUMMYFUNCTION("""COMPUTED_VALUE"""),"073576233421")</f>
        <v>073576233421</v>
      </c>
      <c r="K502" s="3" t="str">
        <f ca="1">IFERROR(__xludf.DUMMYFUNCTION("""COMPUTED_VALUE"""),"https://drive.google.com/open?id=HLdbREgeBvhr9piNQeBd")</f>
        <v>https://drive.google.com/open?id=HLdbREgeBvhr9piNQeBd</v>
      </c>
      <c r="L502" s="3" t="str">
        <f ca="1">IFERROR(__xludf.DUMMYFUNCTION("""COMPUTED_VALUE"""),"https://drive.google.com/open?id=QTnJ221TzrOABNnZtigj")</f>
        <v>https://drive.google.com/open?id=QTnJ221TzrOABNnZtigj</v>
      </c>
      <c r="M502" s="1"/>
      <c r="N502" s="1"/>
      <c r="O502" s="1"/>
      <c r="P502" s="1" t="str">
        <f ca="1">IFERROR(__xludf.DUMMYFUNCTION("""COMPUTED_VALUE"""),"Freelancer")</f>
        <v>Freelancer</v>
      </c>
      <c r="Q502" s="1">
        <f ca="1">IFERROR(__xludf.DUMMYFUNCTION("""COMPUTED_VALUE"""),8000000)</f>
        <v>8000000</v>
      </c>
      <c r="R502" s="3" t="str">
        <f ca="1">IFERROR(__xludf.DUMMYFUNCTION("""COMPUTED_VALUE"""),"https://drive.google.com/open?id=ijrkFx9tkeqaP3VcpBjb")</f>
        <v>https://drive.google.com/open?id=ijrkFx9tkeqaP3VcpBjb</v>
      </c>
      <c r="S502" s="1">
        <f ca="1">IFERROR(__xludf.DUMMYFUNCTION("""COMPUTED_VALUE"""),16000000)</f>
        <v>16000000</v>
      </c>
      <c r="T502" s="1" t="str">
        <f ca="1">IFERROR(__xludf.DUMMYFUNCTION("""COMPUTED_VALUE"""),"Classic")</f>
        <v>Classic</v>
      </c>
      <c r="U502" s="1" t="str">
        <f ca="1">IFERROR(__xludf.DUMMYFUNCTION("""COMPUTED_VALUE"""),"Online")</f>
        <v>Online</v>
      </c>
    </row>
    <row r="503" spans="1:21" x14ac:dyDescent="0.25">
      <c r="A503" s="2" t="str">
        <f ca="1">IFERROR(__xludf.DUMMYFUNCTION("""COMPUTED_VALUE"""),"APP0502")</f>
        <v>APP0502</v>
      </c>
      <c r="B503" s="2">
        <f ca="1">IFERROR(__xludf.DUMMYFUNCTION("""COMPUTED_VALUE"""),45926.6434837962)</f>
        <v>45926.643483796201</v>
      </c>
      <c r="C503" s="1" t="str">
        <f ca="1">IFERROR(__xludf.DUMMYFUNCTION("""COMPUTED_VALUE"""),"Bùi Quang Quỳnh")</f>
        <v>Bùi Quang Quỳnh</v>
      </c>
      <c r="D503" s="1" t="str">
        <f ca="1">IFERROR(__xludf.DUMMYFUNCTION("""COMPUTED_VALUE"""),"02/06/1973")</f>
        <v>02/06/1973</v>
      </c>
      <c r="E503" s="1" t="str">
        <f ca="1">IFERROR(__xludf.DUMMYFUNCTION("""COMPUTED_VALUE"""),"Male")</f>
        <v>Male</v>
      </c>
      <c r="F503" s="1" t="str">
        <f ca="1">IFERROR(__xludf.DUMMYFUNCTION("""COMPUTED_VALUE"""),"Vietnam")</f>
        <v>Vietnam</v>
      </c>
      <c r="G503" s="1" t="str">
        <f ca="1">IFERROR(__xludf.DUMMYFUNCTION("""COMPUTED_VALUE"""),"0931675093")</f>
        <v>0931675093</v>
      </c>
      <c r="H503" s="1" t="str">
        <f ca="1">IFERROR(__xludf.DUMMYFUNCTION("""COMPUTED_VALUE"""),"buiquangquynh@gmail.com")</f>
        <v>buiquangquynh@gmail.com</v>
      </c>
      <c r="I503" s="1" t="str">
        <f ca="1">IFERROR(__xludf.DUMMYFUNCTION("""COMPUTED_VALUE"""),"175 Le Loi, Hai Chau, Can Tho, Viet Nam")</f>
        <v>175 Le Loi, Hai Chau, Can Tho, Viet Nam</v>
      </c>
      <c r="J503" s="1" t="str">
        <f ca="1">IFERROR(__xludf.DUMMYFUNCTION("""COMPUTED_VALUE"""),"028836667762")</f>
        <v>028836667762</v>
      </c>
      <c r="K503" s="3" t="str">
        <f ca="1">IFERROR(__xludf.DUMMYFUNCTION("""COMPUTED_VALUE"""),"https://drive.google.com/open?id=6gtsRPXPciLQ9SskywmI")</f>
        <v>https://drive.google.com/open?id=6gtsRPXPciLQ9SskywmI</v>
      </c>
      <c r="L503" s="3" t="str">
        <f ca="1">IFERROR(__xludf.DUMMYFUNCTION("""COMPUTED_VALUE"""),"https://drive.google.com/open?id=XDRQl7csC6gxgsMVDDyH")</f>
        <v>https://drive.google.com/open?id=XDRQl7csC6gxgsMVDDyH</v>
      </c>
      <c r="M503" s="1"/>
      <c r="N503" s="1"/>
      <c r="O503" s="1"/>
      <c r="P503" s="1" t="str">
        <f ca="1">IFERROR(__xludf.DUMMYFUNCTION("""COMPUTED_VALUE"""),"Part-time")</f>
        <v>Part-time</v>
      </c>
      <c r="Q503" s="1">
        <f ca="1">IFERROR(__xludf.DUMMYFUNCTION("""COMPUTED_VALUE"""),8000000)</f>
        <v>8000000</v>
      </c>
      <c r="R503" s="3" t="str">
        <f ca="1">IFERROR(__xludf.DUMMYFUNCTION("""COMPUTED_VALUE"""),"https://drive.google.com/open?id=DSngNVm7UPD6P8wDxSNm")</f>
        <v>https://drive.google.com/open?id=DSngNVm7UPD6P8wDxSNm</v>
      </c>
      <c r="S503" s="1">
        <f ca="1">IFERROR(__xludf.DUMMYFUNCTION("""COMPUTED_VALUE"""),16000000)</f>
        <v>16000000</v>
      </c>
      <c r="T503" s="1" t="str">
        <f ca="1">IFERROR(__xludf.DUMMYFUNCTION("""COMPUTED_VALUE"""),"Gold")</f>
        <v>Gold</v>
      </c>
      <c r="U503" s="1" t="str">
        <f ca="1">IFERROR(__xludf.DUMMYFUNCTION("""COMPUTED_VALUE"""),"Online")</f>
        <v>Online</v>
      </c>
    </row>
  </sheetData>
  <hyperlinks>
    <hyperlink ref="K2" r:id="rId1" display="https://drive.google.com/open?id=10Cd5BajwrxAGhjl4ZFaAlrj8MBO9qtzR" xr:uid="{7C3EDC4E-CAA8-42F6-9C0D-5B7DA07FC674}"/>
    <hyperlink ref="L2" r:id="rId2" display="https://drive.google.com/open?id=1KIKIO62Z6BPtKfYUnE6t-l4BxPqe1izG" xr:uid="{2D8B2C2C-259F-42F3-A653-117B94544079}"/>
    <hyperlink ref="R2" r:id="rId3" display="https://drive.google.com/open?id=1fR7iaO3FftBP67ShxEpoRXM4U7eB0OSA" xr:uid="{C0CB42AA-535A-44A7-8968-BBFDF610AEF2}"/>
    <hyperlink ref="K493" r:id="rId4" display="https://drive.google.com/open?id=mlbDYZWxk2gsG77uZADq" xr:uid="{AE37FA18-4D55-44A4-AA60-79E73BC98B84}"/>
    <hyperlink ref="L493" r:id="rId5" display="https://drive.google.com/open?id=KF7aZzBwbU3aZiLdKwFP" xr:uid="{D0044E61-D3DB-43EF-AD46-894F8614F57F}"/>
    <hyperlink ref="R493" r:id="rId6" display="https://drive.google.com/open?id=ifeYvIqCgJlTWk4Ospql" xr:uid="{C59B6482-43DD-4AC6-8B8D-BE48D84539BE}"/>
    <hyperlink ref="R503" r:id="rId7" display="https://drive.google.com/open?id=DSngNVm7UPD6P8wDxSNm" xr:uid="{581E5872-5BCE-4404-B318-595384D20A3A}"/>
    <hyperlink ref="L503" r:id="rId8" display="https://drive.google.com/open?id=XDRQl7csC6gxgsMVDDyH" xr:uid="{4B9CEE9E-39D1-41B6-98A2-013629582F45}"/>
    <hyperlink ref="K503" r:id="rId9" display="https://drive.google.com/open?id=6gtsRPXPciLQ9SskywmI" xr:uid="{90FA3618-34C2-464E-A829-A1DC9CEE41C7}"/>
    <hyperlink ref="R502" r:id="rId10" display="https://drive.google.com/open?id=ijrkFx9tkeqaP3VcpBjb" xr:uid="{F6EE592D-9F69-4F7B-83F0-525320B69E8C}"/>
    <hyperlink ref="L502" r:id="rId11" display="https://drive.google.com/open?id=QTnJ221TzrOABNnZtigj" xr:uid="{B7ABBE36-28AB-4EF3-A046-B1A1CA129568}"/>
    <hyperlink ref="K502" r:id="rId12" display="https://drive.google.com/open?id=HLdbREgeBvhr9piNQeBd" xr:uid="{A15DEF97-FBF3-4AFC-9D3A-92865FEF8AB0}"/>
    <hyperlink ref="R501" r:id="rId13" display="https://drive.google.com/open?id=qsnTEdOQxM1nawLbeDi9" xr:uid="{37D22176-5213-4D78-B842-D964CFF94B8C}"/>
    <hyperlink ref="L501" r:id="rId14" display="https://drive.google.com/open?id=GRtYIGgxFAVQR9HGlIbY" xr:uid="{B8C69CEF-55A4-4F84-BC1C-26A7B3801B00}"/>
    <hyperlink ref="K501" r:id="rId15" display="https://drive.google.com/open?id=r4WsyzIZCIl7ac6Aw8Wm" xr:uid="{2D580FA5-D139-4A94-A562-8D3CA4ED41F2}"/>
    <hyperlink ref="R500" r:id="rId16" display="https://drive.google.com/open?id=4iRNivBSBvpWBvK5YyjS" xr:uid="{DE06B3E8-1EB4-4D2B-B59C-ED9FEFB8AF8B}"/>
    <hyperlink ref="L500" r:id="rId17" display="https://drive.google.com/open?id=YTJygBWwrMH5iCIDI3ij" xr:uid="{48D01115-EDE2-41CB-8A4B-34F7EE0FCD94}"/>
    <hyperlink ref="K500" r:id="rId18" display="https://drive.google.com/open?id=8hlkOveiCC3tC1iFWW2S" xr:uid="{CC34788B-E8F2-48B3-BA2E-15B5AA28EB87}"/>
    <hyperlink ref="R499" r:id="rId19" display="https://drive.google.com/open?id=EQwtTysxLszUXyOsoqkW" xr:uid="{CF315448-D0A1-455D-BD03-DB7BAD3E59D9}"/>
    <hyperlink ref="L499" r:id="rId20" display="https://drive.google.com/open?id=pfZbp29dSupWjVsUb8An" xr:uid="{9C03283E-C4E2-48E1-BA1D-084A30F54A95}"/>
    <hyperlink ref="K499" r:id="rId21" display="https://drive.google.com/open?id=tFzO8vwqp8eqU1BQhD7F" xr:uid="{FA264189-924F-4AD8-A6C3-81E7BD49FD04}"/>
    <hyperlink ref="R498" r:id="rId22" display="https://drive.google.com/open?id=FhW7SCwcNXdDHTUtnRjN" xr:uid="{6C34F280-DC69-4807-B358-71F3C2A12486}"/>
    <hyperlink ref="L498" r:id="rId23" display="https://drive.google.com/open?id=XkuI19pq8w9Qv7SJoqMy" xr:uid="{1E5A881B-68BC-4280-B246-AE73B1EF27B5}"/>
    <hyperlink ref="K498" r:id="rId24" display="https://drive.google.com/open?id=55VZYCMwA9oSacwDY24O" xr:uid="{73E00A62-EC2B-4680-A23B-C31A446F6648}"/>
    <hyperlink ref="R497" r:id="rId25" display="https://drive.google.com/open?id=buDQT7WEScEhzKf0Sdrm" xr:uid="{8CE4F1AC-F685-4987-A3C7-C9B5332C9ED2}"/>
    <hyperlink ref="L497" r:id="rId26" display="https://drive.google.com/open?id=DcH1g5B27TXcY5KwgwVl" xr:uid="{893BF4B7-93D0-4555-8763-CB30A551A650}"/>
    <hyperlink ref="K497" r:id="rId27" display="https://drive.google.com/open?id=BflUAe1xEF0teGiW8fRv" xr:uid="{298480A4-1038-45DF-8DA6-BFF75CA24A94}"/>
    <hyperlink ref="R496" r:id="rId28" display="https://drive.google.com/open?id=KOB2BQOUeMHx0seX6Egl" xr:uid="{2F0C67FE-5D49-4BF9-AC96-1DE69CF4BB46}"/>
    <hyperlink ref="L496" r:id="rId29" display="https://drive.google.com/open?id=lZD1hOxnwWhctdy82SMC" xr:uid="{6D110612-BD05-426D-BA9C-CBE994BBDEBC}"/>
    <hyperlink ref="K496" r:id="rId30" display="https://drive.google.com/open?id=VTnGhHjVEI2vVqk6oHfp" xr:uid="{5DC37F0F-7D7A-435F-9360-843B6A89A1C6}"/>
    <hyperlink ref="R495" r:id="rId31" display="https://drive.google.com/open?id=FRx0JMHEwduUU3tSeqXc" xr:uid="{CD9AAE44-8AF2-49E4-9228-AC389468CFD1}"/>
    <hyperlink ref="L495" r:id="rId32" display="https://drive.google.com/open?id=BC8rAGNrHYFxonA36Dkw" xr:uid="{966A89F4-861B-4213-A731-FA9693CE1C38}"/>
    <hyperlink ref="K495" r:id="rId33" display="https://drive.google.com/open?id=IgBzHPnTY5kosCNlWUg4" xr:uid="{59C2256F-A647-463C-AAAF-3674099D472E}"/>
    <hyperlink ref="R494" r:id="rId34" display="https://drive.google.com/open?id=k8vZlptbAC6SZ8HDGe31" xr:uid="{06123E4A-EFFF-4679-A715-48751401C535}"/>
    <hyperlink ref="L494" r:id="rId35" display="https://drive.google.com/open?id=tP5cNczpmWq91Ydsd5sd" xr:uid="{D1602207-000A-4D11-88A2-93D41A8CBBE4}"/>
    <hyperlink ref="K494" r:id="rId36" display="https://drive.google.com/open?id=9FETE2Ia4eLx1U3uM4VQ" xr:uid="{AAC1C22F-BEE1-4019-B5EF-64566487349F}"/>
    <hyperlink ref="R492" r:id="rId37" display="https://drive.google.com/open?id=OFbbmlWGRmIPVFH8DNmm" xr:uid="{EC3D8C29-D96E-401F-B027-F15D6494B8BF}"/>
    <hyperlink ref="L492" r:id="rId38" display="https://drive.google.com/open?id=HEOLWwqPdqlqT8Ri1kcT" xr:uid="{4C69F561-173C-4C50-B66E-2D7029C60E4B}"/>
    <hyperlink ref="K492" r:id="rId39" display="https://drive.google.com/open?id=U12iyMFgL1X5xMLA3JJ1" xr:uid="{3D7305C7-F0A0-4A59-A1DE-4FE53FF01D26}"/>
    <hyperlink ref="R491" r:id="rId40" display="https://drive.google.com/open?id=Hlu7JqFyzxuZ2Kq55bZo" xr:uid="{628D1BFB-C0A1-4606-9DB1-603AF4B18B49}"/>
    <hyperlink ref="L491" r:id="rId41" display="https://drive.google.com/open?id=LB21baIFcdy3aIbASxP5" xr:uid="{3C74D843-CDAA-4C2C-976D-69F919EFEDBA}"/>
    <hyperlink ref="K491" r:id="rId42" display="https://drive.google.com/open?id=Qovfo8HVlp7KaIoPWKHJ" xr:uid="{CF097E5B-9B85-428F-B33B-5589012E3C82}"/>
    <hyperlink ref="R490" r:id="rId43" display="https://drive.google.com/open?id=3UKyGC8OGVKOfDQCbv0m" xr:uid="{F18EA33D-5C51-4120-B084-7DFEBFBB0B79}"/>
    <hyperlink ref="L490" r:id="rId44" display="https://drive.google.com/open?id=mCRYc8wC96oAnVaOvCu0" xr:uid="{CA0A6861-7B64-487E-8E3C-9E1317C5B7CD}"/>
    <hyperlink ref="K490" r:id="rId45" display="https://drive.google.com/open?id=5PAqzgCUdIjm7ORDSZx0" xr:uid="{7F50F5DD-E41D-48A5-BAC5-7F5D7592D82A}"/>
    <hyperlink ref="R489" r:id="rId46" display="https://drive.google.com/open?id=vKFXrG6ILr3751SxcrA6" xr:uid="{2C4B7A96-B752-4DDC-9F6B-598AE12B22D9}"/>
    <hyperlink ref="L489" r:id="rId47" display="https://drive.google.com/open?id=8mKuAV4cwUCNIHr1M2g5" xr:uid="{F44B5711-82C5-486E-9180-218ACFABBC6A}"/>
    <hyperlink ref="K489" r:id="rId48" display="https://drive.google.com/open?id=FsON31XT1tUoMQ6D6FmP" xr:uid="{737BC36C-704E-4C7A-9BF8-2BEF7BBE48EC}"/>
    <hyperlink ref="R488" r:id="rId49" display="https://drive.google.com/open?id=PJATJCCSp7tITscT6baP" xr:uid="{2C330843-FCA2-497C-B0AB-B1D93E2C4E41}"/>
    <hyperlink ref="L488" r:id="rId50" display="https://drive.google.com/open?id=Knp5E6Vi1JzVnJ59y1yH" xr:uid="{C2BA55C6-4AF2-4616-890B-918059ACBD4D}"/>
    <hyperlink ref="K488" r:id="rId51" display="https://drive.google.com/open?id=hP6aK76dYFzG0zFukuES" xr:uid="{75AAB5C8-36F9-42F2-9DB3-A086E480116D}"/>
    <hyperlink ref="R487" r:id="rId52" display="https://drive.google.com/open?id=ce0MsJLZr3L9ZPuKNK3M" xr:uid="{308554C8-6CCD-4F6E-BEDA-4DD202C0CF0E}"/>
    <hyperlink ref="L487" r:id="rId53" display="https://drive.google.com/open?id=EeboEThErfJYTVeisZwR" xr:uid="{37982360-746B-48B9-8295-1E68C1C4A216}"/>
    <hyperlink ref="K487" r:id="rId54" display="https://drive.google.com/open?id=pSb8THBAVBLD2tr5RNKk" xr:uid="{8B3F0BCD-17C0-4BAC-B0C4-8743ED9F02D6}"/>
    <hyperlink ref="R486" r:id="rId55" display="https://drive.google.com/open?id=ZviWMYaflzW3S26Lomx3" xr:uid="{E64C3E8D-E30E-4895-9C60-8CC0DF2655BF}"/>
    <hyperlink ref="O486" r:id="rId56" display="https://drive.google.com/open?id=N2QCZdMjTUW7S9hsXzj9" xr:uid="{03DAC6E0-D6E5-4DC1-AED8-4414A9E8D8A7}"/>
    <hyperlink ref="N486" r:id="rId57" display="https://drive.google.com/open?id=1etkQK5r8zPdJzKW7glA" xr:uid="{BB1C8CE4-23D6-4C7D-875B-EE8905915D35}"/>
    <hyperlink ref="R485" r:id="rId58" display="https://drive.google.com/open?id=j1XBhagAEaUhar8tU5JQ" xr:uid="{4DD22DFF-A12A-4FC8-8654-2C492F61BE42}"/>
    <hyperlink ref="L485" r:id="rId59" display="https://drive.google.com/open?id=fXnLCc4arSqexVEjC6gR" xr:uid="{E3AE2D0F-658F-4B99-8E74-B2483807B418}"/>
    <hyperlink ref="K485" r:id="rId60" display="https://drive.google.com/open?id=nLrB7tlPjhresDQJJ6EY" xr:uid="{C7DF8F9D-22E1-40FE-9604-FAAD1D872FA8}"/>
    <hyperlink ref="R484" r:id="rId61" display="https://drive.google.com/open?id=dNJFiucFISZoAzlzXEGk" xr:uid="{477C4C82-0555-461C-B9FC-5377C073D9A6}"/>
    <hyperlink ref="L484" r:id="rId62" display="https://drive.google.com/open?id=O8j10khDcDUEzInSLM3c" xr:uid="{9E6506B4-3845-4253-B7FD-25ABD76CDD96}"/>
    <hyperlink ref="K484" r:id="rId63" display="https://drive.google.com/open?id=iM0vuoBzpMf9TTaBDQVt" xr:uid="{90D35832-385F-4A2A-94BB-2BF42473F754}"/>
    <hyperlink ref="R483" r:id="rId64" display="https://drive.google.com/open?id=y39Nk88b5SYVH1ALF5Hy" xr:uid="{E3A73054-7E19-4C9A-8D66-DC0C5763D921}"/>
    <hyperlink ref="L483" r:id="rId65" display="https://drive.google.com/open?id=qqPWMR2vBB88So01stiy" xr:uid="{A0454883-7176-47DD-AA0B-8FD46F3D3C2D}"/>
    <hyperlink ref="K483" r:id="rId66" display="https://drive.google.com/open?id=sIzdsk7Zm7ovs78hAWtw" xr:uid="{B6D9C909-ED28-4643-9246-BEB66BB6536B}"/>
    <hyperlink ref="R482" r:id="rId67" display="https://drive.google.com/open?id=SqKsGQsyliNT8Mr84v5U" xr:uid="{3E77023E-A343-4958-BC49-39719BD34E75}"/>
    <hyperlink ref="L482" r:id="rId68" display="https://drive.google.com/open?id=IBHAu7uqejU5WaxtpRSQ" xr:uid="{16C924A0-1FCE-42E9-97CB-A934A69267EA}"/>
    <hyperlink ref="K482" r:id="rId69" display="https://drive.google.com/open?id=i2WyanvGOHNy54xBHwxy" xr:uid="{8C0E9563-338F-4CC1-B079-9F25A5F6C5FE}"/>
    <hyperlink ref="R481" r:id="rId70" display="https://drive.google.com/open?id=kK2MrbqCYnYHP8VYuG0g" xr:uid="{4477B6EA-AC04-436C-A5BB-172FD114F2F7}"/>
    <hyperlink ref="L481" r:id="rId71" display="https://drive.google.com/open?id=wueJcXJhI358cNz6i6N8" xr:uid="{9D0955C6-361D-41E7-8D17-DC225986E781}"/>
    <hyperlink ref="K481" r:id="rId72" display="https://drive.google.com/open?id=SQiMRLmNebLr4WbvVD8N" xr:uid="{743BBA0B-F1A5-4CB6-97F7-D06FE4D73BAA}"/>
    <hyperlink ref="R480" r:id="rId73" display="https://drive.google.com/open?id=MdiwzAIxU1MIFYgEmGip" xr:uid="{CFE94535-AF2D-4EB8-9157-F9BED78A2112}"/>
    <hyperlink ref="L480" r:id="rId74" display="https://drive.google.com/open?id=X4jmaEHCMnzBGG4HXVZF" xr:uid="{5E972905-CF6A-4F3D-AF68-100A880F00FD}"/>
    <hyperlink ref="K480" r:id="rId75" display="https://drive.google.com/open?id=ixUzzr1WrJZ4y1N3N3vL" xr:uid="{A47AA0BC-D1E4-49D7-AF88-6ADBECD56CAC}"/>
    <hyperlink ref="R479" r:id="rId76" display="https://drive.google.com/open?id=ClKbnj4zZFHm7iXnOwOq" xr:uid="{D14DBBD1-0111-4151-A9C2-31E2BDEC7B8F}"/>
    <hyperlink ref="L479" r:id="rId77" display="https://drive.google.com/open?id=i2fUPJB0EH8WVq9UMrtn" xr:uid="{A55D41CD-4FBC-4867-8DA4-0EE4B8A385C5}"/>
    <hyperlink ref="K479" r:id="rId78" display="https://drive.google.com/open?id=8TXP4DEOmJWwIw9uI7OR" xr:uid="{6A4D3854-023F-4D19-BD2E-50B4915CE5B0}"/>
    <hyperlink ref="R478" r:id="rId79" display="https://drive.google.com/open?id=3ggFWFY0zniFgTmey6ue" xr:uid="{C942BB6B-8075-4896-A29C-AED8882D1E9B}"/>
    <hyperlink ref="L478" r:id="rId80" display="https://drive.google.com/open?id=4F2q54safhe9pw7ggPGL" xr:uid="{CD64CAF7-5EDA-4B35-BACF-8A56590CB50F}"/>
    <hyperlink ref="K478" r:id="rId81" display="https://drive.google.com/open?id=CKiljVoIGrttFQnuPMKx" xr:uid="{D2EF0AFC-5F1A-48EE-9FE6-73491BDAE128}"/>
    <hyperlink ref="R477" r:id="rId82" display="https://drive.google.com/open?id=dPpFn5ZVAEaWdbrPkowP" xr:uid="{1ED0E8B9-0B2B-46D8-B157-22AFBF140110}"/>
    <hyperlink ref="L477" r:id="rId83" display="https://drive.google.com/open?id=vilvygn3WDXb79HOlMNE" xr:uid="{2410E83D-D7C0-4C62-8495-9C223D39B1A7}"/>
    <hyperlink ref="K477" r:id="rId84" display="https://drive.google.com/open?id=bCWdnhDWTg5ueK6MmE5c" xr:uid="{4FEAE99C-16A8-4973-BA59-CD2329E6B0A1}"/>
    <hyperlink ref="R476" r:id="rId85" display="https://drive.google.com/open?id=VNtBqNUs5xetV5Px48mZ" xr:uid="{368578CC-6AA6-4F45-B4D5-47F7C1120AC3}"/>
    <hyperlink ref="L476" r:id="rId86" display="https://drive.google.com/open?id=DHX9uHhCGWLBwO6MbNE5" xr:uid="{F46094C2-8B98-491F-852C-D43F93B9E322}"/>
    <hyperlink ref="K476" r:id="rId87" display="https://drive.google.com/open?id=iCDz86PasWwlf2YRcXEi" xr:uid="{435408D4-ECCE-4B92-8146-6EB1B57E455B}"/>
    <hyperlink ref="R475" r:id="rId88" display="https://drive.google.com/open?id=PEti0EplX5hi7y4zktpR" xr:uid="{016115B8-A87B-4980-B430-122DBEFEEBCE}"/>
    <hyperlink ref="L475" r:id="rId89" display="https://drive.google.com/open?id=tjcP53fzKntOsnQ39NnJ" xr:uid="{3439189B-1602-4BE6-BE39-45792893854C}"/>
    <hyperlink ref="K475" r:id="rId90" display="https://drive.google.com/open?id=nDGWYU5Djep63IfHcv5X" xr:uid="{8E122275-4404-4A29-AF61-F491C907DEDF}"/>
    <hyperlink ref="R474" r:id="rId91" display="https://drive.google.com/open?id=cGDRx52UPhxGqiY1KkKo" xr:uid="{3BCCA217-8413-422A-A866-A78B2F85AFD7}"/>
    <hyperlink ref="L474" r:id="rId92" display="https://drive.google.com/open?id=yZ9OsBeaxp95ETA88Hfy" xr:uid="{8FA866DB-1302-44CF-BFB2-1AA1B292BA53}"/>
    <hyperlink ref="K474" r:id="rId93" display="https://drive.google.com/open?id=k5lsH8AVBO1nhlLKn4Uv" xr:uid="{2AD89BEC-477B-4414-9B00-7126C21A20BE}"/>
    <hyperlink ref="R473" r:id="rId94" display="https://drive.google.com/open?id=G6vKVE7VtQhJTXJVjeZE" xr:uid="{589841A7-02BB-4211-B175-0A6A50D3FC49}"/>
    <hyperlink ref="L473" r:id="rId95" display="https://drive.google.com/open?id=QdxufzmgJZHvh6kR0dT6" xr:uid="{414B124E-60DD-4967-B02F-91DE11A9820E}"/>
    <hyperlink ref="K473" r:id="rId96" display="https://drive.google.com/open?id=JbHBR1vaZZiEelvFFEBj" xr:uid="{666C945A-F9CD-4C0A-8063-6894D94D53F3}"/>
    <hyperlink ref="R472" r:id="rId97" display="https://drive.google.com/open?id=gLJG0UbHhrqJd39AqfeG" xr:uid="{7FFD0CC5-771A-4C66-87BB-6A555CEF9DA2}"/>
    <hyperlink ref="O472" r:id="rId98" display="https://drive.google.com/open?id=CGsPzaJWmWMOj53gDyyG" xr:uid="{AB35F645-F171-4485-AAB5-9954113C794A}"/>
    <hyperlink ref="N472" r:id="rId99" display="https://drive.google.com/open?id=DR9Ujj9iHj9uUkmZwlPT" xr:uid="{E970F527-B1F4-40C6-A97C-7FB6930FB84F}"/>
    <hyperlink ref="R471" r:id="rId100" display="https://drive.google.com/open?id=HnpBPmrLYz2J7a6XFvGL" xr:uid="{F1523AE6-C164-4579-9FA5-ECCC8BD6BE92}"/>
    <hyperlink ref="L471" r:id="rId101" display="https://drive.google.com/open?id=KrFdv97cxamOWwLeKVPW" xr:uid="{12E8AE02-0F59-4DF9-9C78-074C5459B81C}"/>
    <hyperlink ref="K471" r:id="rId102" display="https://drive.google.com/open?id=qWrnV5ABdPeohTSHUmgz" xr:uid="{29C5A54F-B16C-4348-9BF6-9EB409445D96}"/>
    <hyperlink ref="R470" r:id="rId103" display="https://drive.google.com/open?id=xKGTSfa3DZTzx1Shf2Cj" xr:uid="{D691FB1B-F4F0-4B8D-8D16-012AA730795C}"/>
    <hyperlink ref="L470" r:id="rId104" display="https://drive.google.com/open?id=ZB5VkiSUenZLeiJ8P0zc" xr:uid="{5ABE34DC-D252-49E4-A40A-B93D491B1E98}"/>
    <hyperlink ref="K470" r:id="rId105" display="https://drive.google.com/open?id=NzQRUfagaqyocSs5EBzO" xr:uid="{468AA0EA-FFBD-4418-89C5-DAF9CE05D0AD}"/>
    <hyperlink ref="R469" r:id="rId106" display="https://drive.google.com/open?id=9dVzUPmxmd4ZWcCw2AKj" xr:uid="{86FA762D-DA22-43BE-846D-E69FEB085106}"/>
    <hyperlink ref="L469" r:id="rId107" display="https://drive.google.com/open?id=shOfM5Jkz5JaItmer6na" xr:uid="{5DEB0020-3448-48CC-B406-15DF7C14A7DE}"/>
    <hyperlink ref="K469" r:id="rId108" display="https://drive.google.com/open?id=U6wUxO3Qe2G45i9cjz0x" xr:uid="{E37024A4-50A5-4BDF-BD88-88654D991181}"/>
    <hyperlink ref="R468" r:id="rId109" display="https://drive.google.com/open?id=cITKzViifOr9FvcNkUGi" xr:uid="{E87A88ED-91B9-4324-90F0-F34DFBEED9E3}"/>
    <hyperlink ref="L468" r:id="rId110" display="https://drive.google.com/open?id=qtoe9F2cqZqLXHE6IAzl" xr:uid="{E4751574-BCA5-4664-A62C-303966BBD197}"/>
    <hyperlink ref="K468" r:id="rId111" display="https://drive.google.com/open?id=50UuVvY7vA8Wp9QOQrV0" xr:uid="{E21CAA3F-E822-4BA1-BEFB-BBAC0A810779}"/>
    <hyperlink ref="R467" r:id="rId112" display="https://drive.google.com/open?id=XCCsvGLpipGft7ZJQyyT" xr:uid="{0645DCF9-AF7B-490D-B56E-BC2519B7B2F2}"/>
    <hyperlink ref="L467" r:id="rId113" display="https://drive.google.com/open?id=h9UfoBHgGh8bglm3qU8y" xr:uid="{6205E023-F694-48B8-B911-DE069142C77D}"/>
    <hyperlink ref="K467" r:id="rId114" display="https://drive.google.com/open?id=uYVw0lJHEfqXPHtNChzv" xr:uid="{791F1E45-65CC-42BD-996C-5F945515201E}"/>
    <hyperlink ref="R466" r:id="rId115" display="https://drive.google.com/open?id=A25IYcI7kUI3i7j6Twvf" xr:uid="{240C16E8-7436-45A8-83E4-04D753156D42}"/>
    <hyperlink ref="L466" r:id="rId116" display="https://drive.google.com/open?id=vhClRzzoAcQysLjyuYwq" xr:uid="{49395EBF-2395-4421-8BF4-C94E52F3FDE8}"/>
    <hyperlink ref="K466" r:id="rId117" display="https://drive.google.com/open?id=68zMREgQc94gsaw8h365" xr:uid="{2AF90FAF-4E09-4B36-8C66-10BCAA734094}"/>
    <hyperlink ref="R465" r:id="rId118" display="https://drive.google.com/open?id=eYBdlhtKWkClAp6Y0TGT" xr:uid="{5DE50BC5-AC7F-4A72-9406-8353318722BB}"/>
    <hyperlink ref="L465" r:id="rId119" display="https://drive.google.com/open?id=Pyn34WjVnk9fMOlVLEqm" xr:uid="{1EC44A12-4382-4BA7-A3AB-411DD006D2D0}"/>
    <hyperlink ref="K465" r:id="rId120" display="https://drive.google.com/open?id=MHnlQs34DlOTqfWEBfqj" xr:uid="{746F65C7-9F70-4181-9EB3-F70393CABBFC}"/>
    <hyperlink ref="R464" r:id="rId121" display="https://drive.google.com/open?id=Do1CNkzmOCLpzRHSnvXz" xr:uid="{1925480A-7150-403E-825D-4B0C0CE4BB05}"/>
    <hyperlink ref="L464" r:id="rId122" display="https://drive.google.com/open?id=sG5H7BO9cR0dVpXfz1rO" xr:uid="{CEC265F9-2400-40CC-BEA0-A4951182F8F8}"/>
    <hyperlink ref="K464" r:id="rId123" display="https://drive.google.com/open?id=kIc3pfuDl6CtpKi54UCC" xr:uid="{7EED3A49-1CA3-439C-A258-5EC73E1314A1}"/>
    <hyperlink ref="R463" r:id="rId124" display="https://drive.google.com/open?id=FvyuPOU2OEtGBeekA4VO" xr:uid="{9A96A65A-776A-4A03-80DA-B8386E66063A}"/>
    <hyperlink ref="L463" r:id="rId125" display="https://drive.google.com/open?id=RSqO8smHgKpTFO3oLmrD" xr:uid="{CBD6155D-C687-4D9A-AC0A-87FE9E6B31F1}"/>
    <hyperlink ref="K463" r:id="rId126" display="https://drive.google.com/open?id=xoGs65sQteKbPyZjbepZ" xr:uid="{563F55AE-9E71-4D31-979C-43ABFC100F8C}"/>
    <hyperlink ref="R462" r:id="rId127" display="https://drive.google.com/open?id=hZvvWmuflgMTjUkYVROZ" xr:uid="{281D7981-3BEA-40A4-B83E-17E471C86834}"/>
    <hyperlink ref="L462" r:id="rId128" display="https://drive.google.com/open?id=X59i4jgiTLMZRnt9zlhj" xr:uid="{E39A24C0-43C6-41B9-B15B-2879CCEAD2E1}"/>
    <hyperlink ref="K462" r:id="rId129" display="https://drive.google.com/open?id=5Ab1NMycUYuc1OFeM4ma" xr:uid="{C8CE5685-C7BA-4CF8-A553-5CA150DA15F9}"/>
    <hyperlink ref="R461" r:id="rId130" display="https://drive.google.com/open?id=3znaPgfpHiX6z45inZIV" xr:uid="{1671A168-B2B5-48D2-A2C3-D5A5286F629B}"/>
    <hyperlink ref="L461" r:id="rId131" display="https://drive.google.com/open?id=Vw2edot8IAVn5IEDq7qU" xr:uid="{8A3A6A25-2CB0-4904-BC0E-B394C578596B}"/>
    <hyperlink ref="K461" r:id="rId132" display="https://drive.google.com/open?id=u6YTlh4Ol2d7WKkdVClp" xr:uid="{C3AF1C57-63D1-4D0A-BBC3-70BC598772D3}"/>
    <hyperlink ref="R460" r:id="rId133" display="https://drive.google.com/open?id=U12fGG5ERMN7URlCD3Hv" xr:uid="{5D92E2F6-0124-402F-BC48-D142E8F31954}"/>
    <hyperlink ref="L460" r:id="rId134" display="https://drive.google.com/open?id=9oIo3YFPrJ4rqgkTAtVT" xr:uid="{C05A5F38-5CC1-451E-9635-88772F95B2A1}"/>
    <hyperlink ref="K460" r:id="rId135" display="https://drive.google.com/open?id=9rdnMMlXVFrgmbm1CyBv" xr:uid="{CE54016A-FEC3-4D46-A54C-21D7601FAD6D}"/>
    <hyperlink ref="R459" r:id="rId136" display="https://drive.google.com/open?id=C5sREZwSlT3kChFomNiH" xr:uid="{5710EB34-7A98-42B2-9271-FD01CBADF702}"/>
    <hyperlink ref="L459" r:id="rId137" display="https://drive.google.com/open?id=eK31JjXCE36zthlAKAbU" xr:uid="{07678EF6-1CEA-45F2-8D97-D48134A55FA3}"/>
    <hyperlink ref="K459" r:id="rId138" display="https://drive.google.com/open?id=MHamZTvkWsaISQDdPvap" xr:uid="{8630E149-0336-495A-AB90-7AFA1C96E307}"/>
    <hyperlink ref="R458" r:id="rId139" display="https://drive.google.com/open?id=RFoHnUIPzw8MY8HaeKzE" xr:uid="{44114525-E00B-43F8-8924-7F85EC85216A}"/>
    <hyperlink ref="L458" r:id="rId140" display="https://drive.google.com/open?id=1QosskiGAiBFY5IMZVVB" xr:uid="{1A459ECA-96CC-479B-AA28-EE8BA6C5D23B}"/>
    <hyperlink ref="K458" r:id="rId141" display="https://drive.google.com/open?id=hnGmuAW0FlYHjIYwj0y3" xr:uid="{A63302BD-5F75-4FBB-AA10-7D65FE720000}"/>
    <hyperlink ref="R457" r:id="rId142" display="https://drive.google.com/open?id=tVUYtdklSWF6Sq8Iqrw1" xr:uid="{8A87F6FA-809D-4649-919B-980040306317}"/>
    <hyperlink ref="L457" r:id="rId143" display="https://drive.google.com/open?id=5w6kjFC0nxLmt1Tk5C2w" xr:uid="{6E23A78B-4093-400A-9520-7BF778A0517C}"/>
    <hyperlink ref="K457" r:id="rId144" display="https://drive.google.com/open?id=zirJA8qMp5yCPde1mgUe" xr:uid="{D4B6DD03-9135-4C1C-9F80-25077E694D02}"/>
    <hyperlink ref="R456" r:id="rId145" display="https://drive.google.com/open?id=vV2KBOGCVlX7kFGK8NgN" xr:uid="{6B3E052F-D034-4F4D-86CF-FDFD0ED45F6C}"/>
    <hyperlink ref="L456" r:id="rId146" display="https://drive.google.com/open?id=7l3TjSUPCMFOF57nIXl5" xr:uid="{66CC0597-86B9-4E4F-92B3-BE17707C585F}"/>
    <hyperlink ref="K456" r:id="rId147" display="https://drive.google.com/open?id=bJIe7WeDLRYrd71CZfry" xr:uid="{E82FE883-A44B-46F9-945D-146CE8527C3B}"/>
    <hyperlink ref="R455" r:id="rId148" display="https://drive.google.com/open?id=KMIse93VI807RLgFhIbl" xr:uid="{78C7EE45-4307-4E97-9B3B-D06AFD488E0E}"/>
    <hyperlink ref="L455" r:id="rId149" display="https://drive.google.com/open?id=cONBOUnIN9FBrUwSzFOx" xr:uid="{5D40FF46-34F2-45F0-ABDF-F110F49EF77B}"/>
    <hyperlink ref="K455" r:id="rId150" display="https://drive.google.com/open?id=jQCZiwd5mRciLtAIo5ti" xr:uid="{B464567E-C5F4-4377-9353-32A1DD4F3365}"/>
    <hyperlink ref="R454" r:id="rId151" display="https://drive.google.com/open?id=aqBCnt7oWVn699OBrdxc" xr:uid="{94014B0D-7500-4C1E-907B-5A9963F5A190}"/>
    <hyperlink ref="L454" r:id="rId152" display="https://drive.google.com/open?id=PsiXBLZfu80fjsYLZ14m" xr:uid="{451F74F9-449D-43D9-97EC-65F1E29C87D4}"/>
    <hyperlink ref="K454" r:id="rId153" display="https://drive.google.com/open?id=k1NHCXHy8suzVpHYjah8" xr:uid="{AF719BE6-C36E-4F5B-8E76-704122A68B83}"/>
    <hyperlink ref="R453" r:id="rId154" display="https://drive.google.com/open?id=ddrRfJrlVJs2qQYrk2Od" xr:uid="{5499A567-651B-42DB-8FDE-7D6B920ECDB8}"/>
    <hyperlink ref="L453" r:id="rId155" display="https://drive.google.com/open?id=0fHIJ789B4LUGmY1hVxK" xr:uid="{13FA267A-DB8A-47AB-824D-C9FC49186ECF}"/>
    <hyperlink ref="K453" r:id="rId156" display="https://drive.google.com/open?id=LVOeajBz1LyKnboCGNez" xr:uid="{EDFB55B4-8CA7-4905-90FE-27C9E3F7FB6D}"/>
    <hyperlink ref="R452" r:id="rId157" display="https://drive.google.com/open?id=coKXFtSRAlPNFm8bda1c" xr:uid="{19DB1E71-46E4-470B-8F5F-FCD342674FA3}"/>
    <hyperlink ref="L452" r:id="rId158" display="https://drive.google.com/open?id=RQqzYtpC3gqZJODW3rM6" xr:uid="{5A0FC6DB-9402-4674-BFA2-E17F8909A5B7}"/>
    <hyperlink ref="K452" r:id="rId159" display="https://drive.google.com/open?id=JOeqlPoeMh9kMKYkod8n" xr:uid="{167D013A-3160-4F42-8FB8-32B21B074BB0}"/>
    <hyperlink ref="R451" r:id="rId160" display="https://drive.google.com/open?id=33tcm2gGFxRWWSLaLJ7F" xr:uid="{D121A750-26BF-497C-BDAA-F7CE7EE57801}"/>
    <hyperlink ref="L451" r:id="rId161" display="https://drive.google.com/open?id=99dXksyROZ7xnlrr6pgw" xr:uid="{D34B02A6-E541-46CE-8D25-19F44AE694AB}"/>
    <hyperlink ref="K451" r:id="rId162" display="https://drive.google.com/open?id=JNLTxEUGEYplm6CCoXua" xr:uid="{28D77AB5-49A8-4AFB-8785-068578F60956}"/>
    <hyperlink ref="R450" r:id="rId163" display="https://drive.google.com/open?id=xtKT5Yvz75G29ei3sao8" xr:uid="{6D503C69-BB23-461D-899C-C33E7F71E356}"/>
    <hyperlink ref="O450" r:id="rId164" display="https://drive.google.com/open?id=RxsvFkWHG33OrFcXhQ59" xr:uid="{F8B01B8B-53E6-4803-A7CC-408DFBA97D35}"/>
    <hyperlink ref="N450" r:id="rId165" display="https://drive.google.com/open?id=Cc4yWY9l0zRj3GZgrHdm" xr:uid="{5C58671E-0978-4BAC-918F-BADB803A28E1}"/>
    <hyperlink ref="R449" r:id="rId166" display="https://drive.google.com/open?id=MWloo6ZUynr96pluRQiW" xr:uid="{685BAE2A-6DC7-463D-BED5-8DDFFA273C75}"/>
    <hyperlink ref="L449" r:id="rId167" display="https://drive.google.com/open?id=gqpIEZaeJwUtoSCrsBg7" xr:uid="{D61A1CA6-91D2-49F9-8B2C-DC2CE84655D2}"/>
    <hyperlink ref="K449" r:id="rId168" display="https://drive.google.com/open?id=PAtN7HyLKYqtsUVafCCO" xr:uid="{B852BD5B-D4F9-4210-BB5A-6A171B344B9F}"/>
    <hyperlink ref="R448" r:id="rId169" display="https://drive.google.com/open?id=CfTeskphd8qWpUkUfH0s" xr:uid="{78A97F39-0CE8-4AF5-9117-2F5E90DFC0E8}"/>
    <hyperlink ref="L448" r:id="rId170" display="https://drive.google.com/open?id=5TiF45x18GeiLiNPhfvG" xr:uid="{E81C4FCF-9205-4B23-BB25-B2951C402272}"/>
    <hyperlink ref="K448" r:id="rId171" display="https://drive.google.com/open?id=O9v9mz7d2J4IXfmogOwt" xr:uid="{2957C536-52BD-4515-9877-A75B42E36C9C}"/>
    <hyperlink ref="R447" r:id="rId172" display="https://drive.google.com/open?id=os13KTXhbEMe4GKmrMWv" xr:uid="{7D36BE30-C0D2-4F31-A32B-49DAC83CC8C1}"/>
    <hyperlink ref="L447" r:id="rId173" display="https://drive.google.com/open?id=4lHr6Pj6HxZEYgpt1uvu" xr:uid="{CB06D654-9BD8-4CCB-9356-D309397CF70C}"/>
    <hyperlink ref="K447" r:id="rId174" display="https://drive.google.com/open?id=n5pNBZgSMZHc2MJtR2QF" xr:uid="{88B021E7-C204-4E5B-BEBF-D3BE64F3C125}"/>
    <hyperlink ref="R446" r:id="rId175" display="https://drive.google.com/open?id=n5OnDRKwOImT83w4wIxp" xr:uid="{436A281A-530A-43FF-B2FD-BD24E803D7D9}"/>
    <hyperlink ref="L446" r:id="rId176" display="https://drive.google.com/open?id=ntZFPVuk7YQ6VmB3ZGQf" xr:uid="{32AAAEBD-5F90-45DD-912E-A14C6E3A9B6F}"/>
    <hyperlink ref="K446" r:id="rId177" display="https://drive.google.com/open?id=sHAI2Q6ZAgNTiXx8dG0K" xr:uid="{AF3BB851-D584-4015-BBB3-0FB1F25DAC86}"/>
    <hyperlink ref="R445" r:id="rId178" display="https://drive.google.com/open?id=uq1DTn5H3xUCQrA7Gwqu" xr:uid="{21F5D419-CB19-4A2B-8D37-ED7758BD5320}"/>
    <hyperlink ref="O445" r:id="rId179" display="https://drive.google.com/open?id=LTskSqunAzh9kTagUOYM" xr:uid="{A6D18F9A-F183-415E-8601-66F85E041ED9}"/>
    <hyperlink ref="N445" r:id="rId180" display="https://drive.google.com/open?id=ffkQuhL5EptZT1QnDxR0" xr:uid="{7EE118C6-A234-4005-AA76-03E597E56741}"/>
    <hyperlink ref="R444" r:id="rId181" display="https://drive.google.com/open?id=ANHOUxvjmDZmypCtxk8i" xr:uid="{6665ADDD-B8C5-4F2C-A588-7F29765FA127}"/>
    <hyperlink ref="L444" r:id="rId182" display="https://drive.google.com/open?id=bM56365QeYitj6TO2YRI" xr:uid="{0D7312FD-0C8D-4FD5-8D70-6A67190FACB9}"/>
    <hyperlink ref="K444" r:id="rId183" display="https://drive.google.com/open?id=wORbYUnjtgytVuvbAF1d" xr:uid="{0393EFEA-662C-485B-AE35-A7D890FBB2AB}"/>
    <hyperlink ref="R443" r:id="rId184" display="https://drive.google.com/open?id=u8SoI7djhK0jlugBUa8h" xr:uid="{D599293C-66BF-48D2-99CE-AF362EB8990A}"/>
    <hyperlink ref="L443" r:id="rId185" display="https://drive.google.com/open?id=rz7xH37d2UnnBOgEZwVs" xr:uid="{DB3D187F-955A-433C-8365-4C677FFEA8E5}"/>
    <hyperlink ref="K443" r:id="rId186" display="https://drive.google.com/open?id=M78aIMSTH9Lo1Z0yfT6I" xr:uid="{52AF5074-6AD2-4798-B325-804C58F3AA72}"/>
    <hyperlink ref="R442" r:id="rId187" display="https://drive.google.com/open?id=XB20CB9FqBBI1VgVvQn8" xr:uid="{AF2DE0C5-C058-48B0-8C8B-D2852107F0CD}"/>
    <hyperlink ref="O442" r:id="rId188" display="https://drive.google.com/open?id=1ekTupdEjJJmuSXV4Opu" xr:uid="{C08C5678-DA6E-490D-AEE9-8BA716A9DAED}"/>
    <hyperlink ref="N442" r:id="rId189" display="https://drive.google.com/open?id=s9lyglX6CQvx1zPt0w17" xr:uid="{AFBB0C88-3FAD-4CAC-9EA6-CC79BE1E3E79}"/>
    <hyperlink ref="R441" r:id="rId190" display="https://drive.google.com/open?id=KmPvuMlss0xFIEl1twoZ" xr:uid="{5F568913-CFF7-43F4-8E00-F8A243E75051}"/>
    <hyperlink ref="L441" r:id="rId191" display="https://drive.google.com/open?id=B1AWTb7bDyhxFO43jtPA" xr:uid="{1E738369-49B7-4E18-8A2F-83DB61CEFCEF}"/>
    <hyperlink ref="K441" r:id="rId192" display="https://drive.google.com/open?id=tHe5hCJtSJEnvRCVilTb" xr:uid="{2780AAEF-B3BC-4272-A9A8-FB88D27330D3}"/>
    <hyperlink ref="R440" r:id="rId193" display="https://drive.google.com/open?id=1I9OLvLYuMSbq9I09d7U" xr:uid="{11C9F508-18F5-4496-B518-A55FC9094333}"/>
    <hyperlink ref="O440" r:id="rId194" display="https://drive.google.com/open?id=GVgkwGocr9zNP8SgPdyU" xr:uid="{6CBF2BFB-429E-4B95-A9DF-0DA4F7457794}"/>
    <hyperlink ref="N440" r:id="rId195" display="https://drive.google.com/open?id=5hK9i6Cg01EcBTX0lb59" xr:uid="{B20D4674-7FAC-4489-A3C3-FF1112D1A0E2}"/>
    <hyperlink ref="R439" r:id="rId196" display="https://drive.google.com/open?id=9C8XbeIZnwcAGqzswXhd" xr:uid="{6DC6BBAD-EE99-4343-8796-7C7D50215BCF}"/>
    <hyperlink ref="L439" r:id="rId197" display="https://drive.google.com/open?id=LxcGkAW2MjFeFM1hTlYA" xr:uid="{4656C77D-E7FB-4E02-B991-5CAD279A134F}"/>
    <hyperlink ref="K439" r:id="rId198" display="https://drive.google.com/open?id=Y52A3bsJieJWbnzHvJke" xr:uid="{36114C23-75D4-4864-8FFE-9FF592276962}"/>
    <hyperlink ref="R438" r:id="rId199" display="https://drive.google.com/open?id=KP4U8G666kb9w2HDaJAM" xr:uid="{BF57397F-667B-4B46-AA02-820ED90FCCF4}"/>
    <hyperlink ref="L438" r:id="rId200" display="https://drive.google.com/open?id=R4qTXKYa5iwQAsIx2F5j" xr:uid="{6D165811-F9AB-4637-A6E3-454AC3B662A8}"/>
    <hyperlink ref="K438" r:id="rId201" display="https://drive.google.com/open?id=1I8E0T5ZHr3F7g5hwP6I" xr:uid="{CF859EE7-88B2-42AD-97E1-4038A34EBECB}"/>
    <hyperlink ref="R437" r:id="rId202" display="https://drive.google.com/open?id=LH3eENBeuc7A4gzALmV8" xr:uid="{E54387F9-B3E3-4DF1-9E41-4A0041D23575}"/>
    <hyperlink ref="L437" r:id="rId203" display="https://drive.google.com/open?id=9hIP60EaSsBh6QqWfQXh" xr:uid="{5B75EFAB-A1D4-45BF-92A7-BAF4D6AF7A92}"/>
    <hyperlink ref="K437" r:id="rId204" display="https://drive.google.com/open?id=yTTqWclkDybj8zxTUsPn" xr:uid="{C17EE4B0-A0D0-4B07-8793-BD90A1EEFB35}"/>
    <hyperlink ref="R436" r:id="rId205" display="https://drive.google.com/open?id=bMuinmrdcHIql3qey1wM" xr:uid="{27F08DAA-B727-40DC-8459-35888670E4B3}"/>
    <hyperlink ref="L436" r:id="rId206" display="https://drive.google.com/open?id=2feMTgZzBqiRqF3DLmJS" xr:uid="{12E8A92D-9E4A-442D-A230-A28BA58AB1D1}"/>
    <hyperlink ref="K436" r:id="rId207" display="https://drive.google.com/open?id=EiYtR2l9BGaf1WJBwrlP" xr:uid="{6B6F9829-BC96-46FB-8280-7AD2033347B5}"/>
    <hyperlink ref="R435" r:id="rId208" display="https://drive.google.com/open?id=z0GMmycdMGg5gjppsk4U" xr:uid="{10401BF4-EF65-4AFF-9390-8B1573525E50}"/>
    <hyperlink ref="L435" r:id="rId209" display="https://drive.google.com/open?id=sciVqL38fUqGmHUxl7r1" xr:uid="{FE14A31B-8D8F-4466-B55F-291166BDB53F}"/>
    <hyperlink ref="K435" r:id="rId210" display="https://drive.google.com/open?id=nAc6SiQDfvbMvRkVSQA4" xr:uid="{73142DEE-B7BE-4E4D-A092-B4A2071EB901}"/>
    <hyperlink ref="R434" r:id="rId211" display="https://drive.google.com/open?id=Z8wYCWGhlQBXRIU5tZmL" xr:uid="{BA37DC9D-104E-4FC4-B165-B8146B9CC490}"/>
    <hyperlink ref="O434" r:id="rId212" display="https://drive.google.com/open?id=IeNEhJXExZbgCC0yFfLO" xr:uid="{5EBCB171-6A6A-4B41-9646-49E5B82FA2A1}"/>
    <hyperlink ref="N434" r:id="rId213" display="https://drive.google.com/open?id=I88WqZJzfe8Kp0Z56L0n" xr:uid="{55089059-6CD5-4144-A2B9-333A9FD6164B}"/>
    <hyperlink ref="R433" r:id="rId214" display="https://drive.google.com/open?id=sp8TPeolt1qh3ALzUsF3" xr:uid="{DACE36CB-1D27-4B7C-A262-AB615DFBF4F4}"/>
    <hyperlink ref="O433" r:id="rId215" display="https://drive.google.com/open?id=sEpxsS2EzlJWatP48gFu" xr:uid="{3A20393D-FFB0-43AE-AF41-A018DD9FCEC2}"/>
    <hyperlink ref="N433" r:id="rId216" display="https://drive.google.com/open?id=naT2n3Zx4AJFkNmjE92f" xr:uid="{E9B48BEF-13E2-4CE7-ADEE-F760888D31F7}"/>
    <hyperlink ref="R432" r:id="rId217" display="https://drive.google.com/open?id=jgoGf0co9dgi35Zsj87B" xr:uid="{9DF50B94-BD8E-48EA-893D-F078354C2878}"/>
    <hyperlink ref="L432" r:id="rId218" display="https://drive.google.com/open?id=dvle6yol0j3LFhJYNSw6" xr:uid="{60B70D47-00A9-4FAC-942D-6E4DE8BEB4CD}"/>
    <hyperlink ref="K432" r:id="rId219" display="https://drive.google.com/open?id=lQZNnwkXtoKd4Jw3EICa" xr:uid="{557C0DC3-F819-401D-93AF-788CCE4F81D8}"/>
    <hyperlink ref="R431" r:id="rId220" display="https://drive.google.com/open?id=0dCkt1kUfPMdclFCsDcL" xr:uid="{F36AF9AC-9A0B-4D50-B5C4-C53E2E73ACF6}"/>
    <hyperlink ref="L431" r:id="rId221" display="https://drive.google.com/open?id=FeHVnsNWjzXnSPDYVA1N" xr:uid="{8AB35524-31CB-4FED-BBB2-6A197256984B}"/>
    <hyperlink ref="K431" r:id="rId222" display="https://drive.google.com/open?id=Bk9vPC7TB5Eb5Gi8gq28" xr:uid="{61476D1A-59E0-4E1E-9B5C-A3FB355F0948}"/>
    <hyperlink ref="R430" r:id="rId223" display="https://drive.google.com/open?id=bUiMxUuZpThEXRzQbsZB" xr:uid="{EEF6D1CB-E524-453E-9976-F5789BB03150}"/>
    <hyperlink ref="O430" r:id="rId224" display="https://drive.google.com/open?id=XEt91Np4ufQfTnm6Kn9o" xr:uid="{5A89A910-AF63-4FE8-811F-3B254ACD921B}"/>
    <hyperlink ref="N430" r:id="rId225" display="https://drive.google.com/open?id=alJvNRhyK920shJaQn5g" xr:uid="{4C445AFF-522F-40CF-B20D-9844C118B5BE}"/>
    <hyperlink ref="R429" r:id="rId226" display="https://drive.google.com/open?id=cWBD0hGfcesdBp28ntLN" xr:uid="{120092CA-905D-4F2F-B49E-2B651D17B682}"/>
    <hyperlink ref="L429" r:id="rId227" display="https://drive.google.com/open?id=aDhBRV6278uk9J5OowSK" xr:uid="{98B8D621-2F88-4432-AC98-4BDC262F80A8}"/>
    <hyperlink ref="K429" r:id="rId228" display="https://drive.google.com/open?id=3ygeBpbm3h1XvmDTdtDo" xr:uid="{9B2AAF39-5BC8-4EE7-BED0-FBEEEFB99C53}"/>
    <hyperlink ref="R428" r:id="rId229" display="https://drive.google.com/open?id=9eLrmQoNXvF06MNdD3Dh" xr:uid="{BC06684A-E243-4006-B75B-9C0BDA593838}"/>
    <hyperlink ref="L428" r:id="rId230" display="https://drive.google.com/open?id=zg5IVWmHVNMpubUpwIhA" xr:uid="{E917BAB3-7E7A-468B-860A-A0EAE3927A9B}"/>
    <hyperlink ref="K428" r:id="rId231" display="https://drive.google.com/open?id=ZHv3hQefDK72FnJ8zc1R" xr:uid="{1B69C054-EC5D-4EEB-A434-B8C2BD2B2CBC}"/>
    <hyperlink ref="R427" r:id="rId232" display="https://drive.google.com/open?id=ILjewjJgpj65OpWeX8Hr" xr:uid="{2F0BF772-B434-4B95-82EB-28730E004A8E}"/>
    <hyperlink ref="L427" r:id="rId233" display="https://drive.google.com/open?id=0yfgRcT2GcyYkBBFAqLr" xr:uid="{D5DEBFF8-34B8-4EF4-83D1-3EF0FAFFD9D7}"/>
    <hyperlink ref="K427" r:id="rId234" display="https://drive.google.com/open?id=Polh81IerHgvkUb62GcY" xr:uid="{88365CB1-EB3E-458E-B1AF-0ADC4133DB5A}"/>
    <hyperlink ref="R426" r:id="rId235" display="https://drive.google.com/open?id=31ZMlGI4m5hUBuh0MVrJ" xr:uid="{245741D8-C59D-4866-9A70-82675D880530}"/>
    <hyperlink ref="O426" r:id="rId236" display="https://drive.google.com/open?id=ARc94eWNYmczzPfy0dVE" xr:uid="{AC6E2E77-32FE-4B32-9274-707A775ACA54}"/>
    <hyperlink ref="N426" r:id="rId237" display="https://drive.google.com/open?id=PoB9tRcrc9AW8JyLt6GU" xr:uid="{E46758B2-DDCC-4EC1-932D-DE1F343DD3E8}"/>
    <hyperlink ref="R425" r:id="rId238" display="https://drive.google.com/open?id=tNQD6Ejfwds5eCRZhThI" xr:uid="{9D921ADD-0837-407D-B823-1C4B4346C1DE}"/>
    <hyperlink ref="O425" r:id="rId239" display="https://drive.google.com/open?id=arNu4rtD8zpwoVC2E63C" xr:uid="{4FE1AC4C-4B9C-436B-A7CA-EB1C599ADF45}"/>
    <hyperlink ref="N425" r:id="rId240" display="https://drive.google.com/open?id=vlZVqiKVQaMerOtI3MR9" xr:uid="{45D33163-460B-41F1-854D-5905C2ADC6DE}"/>
    <hyperlink ref="R424" r:id="rId241" display="https://drive.google.com/open?id=bgNJz2ql1pLumOUeAXkX" xr:uid="{E30EEF05-FB8B-4CE6-8B36-F57EDDA4D705}"/>
    <hyperlink ref="L424" r:id="rId242" display="https://drive.google.com/open?id=pihjrZItxrfF1l5sfuyd" xr:uid="{C0EE6C80-AE77-44A0-8A72-F6CA8680F6B6}"/>
    <hyperlink ref="K424" r:id="rId243" display="https://drive.google.com/open?id=ngGUzOGKPgLAkIoGOWI0" xr:uid="{FE7921C2-38C1-4376-95EB-482D736E9826}"/>
    <hyperlink ref="R423" r:id="rId244" display="https://drive.google.com/open?id=3wGjELKDpC85sr3MGAbE" xr:uid="{8B7E74DA-DCB6-45BA-8873-5978794D18D1}"/>
    <hyperlink ref="L423" r:id="rId245" display="https://drive.google.com/open?id=G8ZwufriypYh4s5dr9xa" xr:uid="{9592DE7E-0BDF-4874-A1DD-2656E5C833E9}"/>
    <hyperlink ref="K423" r:id="rId246" display="https://drive.google.com/open?id=3MEjb4JpEM3WFxm2v1l8" xr:uid="{CBA1760A-C4F1-433F-917B-D3AEF0F827C7}"/>
    <hyperlink ref="R422" r:id="rId247" display="https://drive.google.com/open?id=BCVf5gyC9XLlveAABiGR" xr:uid="{C5D54D50-4DE3-4093-B4BB-051734556F5C}"/>
    <hyperlink ref="L422" r:id="rId248" display="https://drive.google.com/open?id=Gk11jCVIRVsV74Vc1X9q" xr:uid="{178CD832-E750-439A-8C10-A4073A03AEAB}"/>
    <hyperlink ref="K422" r:id="rId249" display="https://drive.google.com/open?id=cDJkR4dSAJBOAdo6SvXk" xr:uid="{4B68DA10-CDB7-4BEF-AD26-47914CD8E60A}"/>
    <hyperlink ref="R421" r:id="rId250" display="https://drive.google.com/open?id=K6WfNU9Qf3zQBavWfiUc" xr:uid="{72ACD7A7-B1B2-4543-A276-3DCCE24CCCFE}"/>
    <hyperlink ref="L421" r:id="rId251" display="https://drive.google.com/open?id=f38CZLqHpmmgI9bBqaO1" xr:uid="{EBFE0420-320E-4E24-A618-7844E4612CF0}"/>
    <hyperlink ref="K421" r:id="rId252" display="https://drive.google.com/open?id=lBDAb6Jo3qpI0rAkv9OK" xr:uid="{F5A5A335-1DC5-4714-886F-85CAB803E04F}"/>
    <hyperlink ref="R420" r:id="rId253" display="https://drive.google.com/open?id=DXRO0wfRfxw0AIAR5ZtT" xr:uid="{D9C7FFBA-A2EE-4A03-AE38-AEE5AEE10D4D}"/>
    <hyperlink ref="L420" r:id="rId254" display="https://drive.google.com/open?id=GJylD8ArP9UEvZOH5qZm" xr:uid="{0B4151C7-78B2-4A2D-A961-003D4EEF3972}"/>
    <hyperlink ref="K420" r:id="rId255" display="https://drive.google.com/open?id=pin3RbvfIV1kM8UAAwyg" xr:uid="{272CDAA0-27A3-4015-89F8-9A5398075DD0}"/>
    <hyperlink ref="R419" r:id="rId256" display="https://drive.google.com/open?id=wWcYHFd1jUrzqmhpSMFI" xr:uid="{C8ACDC97-C15C-48BB-BB98-987910652A79}"/>
    <hyperlink ref="L419" r:id="rId257" display="https://drive.google.com/open?id=fw6BJepnWr75jMgohMFy" xr:uid="{5D08641C-5199-4644-B225-D56850603739}"/>
    <hyperlink ref="K419" r:id="rId258" display="https://drive.google.com/open?id=fWAcXD8KvsbVjVMuvrov" xr:uid="{502DBE09-9C62-48E1-A4E7-DC47B5EA20BA}"/>
    <hyperlink ref="R418" r:id="rId259" display="https://drive.google.com/open?id=A85P5OqR13e3XFowS1gf" xr:uid="{01380BBF-EF97-42E3-8049-BE474FBB8BDE}"/>
    <hyperlink ref="L418" r:id="rId260" display="https://drive.google.com/open?id=vwLgkDgg19DJMPOFBexG" xr:uid="{2059B7F5-2F2C-41DF-82D8-F26CECCA91C5}"/>
    <hyperlink ref="K418" r:id="rId261" display="https://drive.google.com/open?id=B3ADqVsZQIq9nEg55VCC" xr:uid="{760E4872-ACB4-42A1-BC30-C3FBD8D4028D}"/>
    <hyperlink ref="R417" r:id="rId262" display="https://drive.google.com/open?id=PMx6afHAUMqPTg4inMay" xr:uid="{2B73CCCD-8794-4F2C-96E0-5C4BEA5E4F6A}"/>
    <hyperlink ref="L417" r:id="rId263" display="https://drive.google.com/open?id=VtccvxMeqIsLxRBvOMpv" xr:uid="{09FC9EFC-150A-4040-8E5B-D1F49169FCCE}"/>
    <hyperlink ref="K417" r:id="rId264" display="https://drive.google.com/open?id=1sEO7Yo2tTLi94W6LKsv" xr:uid="{7CE44805-002C-4606-BD1C-E8B1357DC10B}"/>
    <hyperlink ref="R416" r:id="rId265" display="https://drive.google.com/open?id=YMczAb4AedCyOWwUF0Wh" xr:uid="{1EA4ED70-AE33-4ABC-8F3B-867DA78DB768}"/>
    <hyperlink ref="O416" r:id="rId266" display="https://drive.google.com/open?id=uI4Ky9ygDFTVUsTykJqP" xr:uid="{FB1A791E-72A9-46B7-BAE8-11F0217F4413}"/>
    <hyperlink ref="N416" r:id="rId267" display="https://drive.google.com/open?id=cdP9x0CldDQpBkUYIPUd" xr:uid="{451C0F4B-BD5F-4DF6-A7F0-72C8F6B2DD17}"/>
    <hyperlink ref="R415" r:id="rId268" display="https://drive.google.com/open?id=L9i0AYmAUyd8OsBdsEW3" xr:uid="{FDC707A3-0BD1-4C8B-A62B-2C270D4B7F76}"/>
    <hyperlink ref="L415" r:id="rId269" display="https://drive.google.com/open?id=NPUFfPasr2fWmdol1XjS" xr:uid="{EE2E5BF8-6A3B-4619-8C42-4814DD42BF9D}"/>
    <hyperlink ref="K415" r:id="rId270" display="https://drive.google.com/open?id=wyWhjn7v5kQlyRwszI8g" xr:uid="{4FB143B0-497E-4278-946D-31F9D59792B0}"/>
    <hyperlink ref="R414" r:id="rId271" display="https://drive.google.com/open?id=3bquXngTj6ZscTHDMlRV" xr:uid="{CC4274D3-8745-4AAD-B3B4-DC44F98612C3}"/>
    <hyperlink ref="O414" r:id="rId272" display="https://drive.google.com/open?id=BLL0diCJ8cvyZhT61up4" xr:uid="{A904C3A8-94B5-43E3-8852-D1938CE69D37}"/>
    <hyperlink ref="N414" r:id="rId273" display="https://drive.google.com/open?id=ennP95CIVQ3JDLxLjKBH" xr:uid="{7C462A97-9715-49C7-9E29-A699AEB83FEA}"/>
    <hyperlink ref="R413" r:id="rId274" display="https://drive.google.com/open?id=IJX7g9BlWkLFnXmKbKvY" xr:uid="{2A940DA1-D898-48DE-967B-02B201E4FD35}"/>
    <hyperlink ref="O413" r:id="rId275" display="https://drive.google.com/open?id=LfsGGbktVMX5Y8c4Qw2l" xr:uid="{E5F81A8C-0C2B-44C4-B2CC-1E1413BA33B5}"/>
    <hyperlink ref="N413" r:id="rId276" display="https://drive.google.com/open?id=wUo0YSMYTtxEpFxqIINM" xr:uid="{B520A5C9-DDCE-4D66-BBE1-0908371E40D4}"/>
    <hyperlink ref="R412" r:id="rId277" display="https://drive.google.com/open?id=bvSrDc2L8HzXK4uBI80d" xr:uid="{D396E3CF-7E51-4098-BAF8-7FECA4BF77E6}"/>
    <hyperlink ref="L412" r:id="rId278" display="https://drive.google.com/open?id=GhsMzfGWtRVT767prL64" xr:uid="{481FF1EE-A4EC-48A3-AB76-00C810CC1B84}"/>
    <hyperlink ref="K412" r:id="rId279" display="https://drive.google.com/open?id=zaW54x8qkj3dvY8kEPsO" xr:uid="{8D8EE3B2-D1AD-4155-AF09-160161D31274}"/>
    <hyperlink ref="R411" r:id="rId280" display="https://drive.google.com/open?id=ixHhMmfFsNhdJLlrepfG" xr:uid="{4F45BAF3-A9B7-44A3-BA0A-3F5A1B1C4CB5}"/>
    <hyperlink ref="L411" r:id="rId281" display="https://drive.google.com/open?id=Wm3cDJYgtCjW3nO09m2G" xr:uid="{C93F4258-2EBF-4D98-B1B7-15FDC675FF5C}"/>
    <hyperlink ref="K411" r:id="rId282" display="https://drive.google.com/open?id=H7OuuMgPwiJOQTrcD9y9" xr:uid="{78EF0AE7-AABE-4048-B39B-86E356810812}"/>
    <hyperlink ref="R410" r:id="rId283" display="https://drive.google.com/open?id=SkG3LK7W2Io6k3f8Y8SY" xr:uid="{FCB7F134-E5D0-4B2A-8661-D445712F49A9}"/>
    <hyperlink ref="L410" r:id="rId284" display="https://drive.google.com/open?id=K1WwmbIGrBbC0o4SLYhu" xr:uid="{C30139D7-905F-47D7-8E06-7BBEACAD29C4}"/>
    <hyperlink ref="K410" r:id="rId285" display="https://drive.google.com/open?id=rLxguIsUrt2OdqsoGNGO" xr:uid="{39B26816-20B4-4D43-9FC9-1FF45F111FBC}"/>
    <hyperlink ref="R409" r:id="rId286" display="https://drive.google.com/open?id=dUuvOlfUUkk3zUWjRCzS" xr:uid="{AA4BF0D2-0CD5-4B45-9719-95D9F6F60BCC}"/>
    <hyperlink ref="L409" r:id="rId287" display="https://drive.google.com/open?id=PkQbGIcFfOC13NA1Rv6m" xr:uid="{61D56C33-CD2C-4B0C-A112-FDFE91CA402F}"/>
    <hyperlink ref="K409" r:id="rId288" display="https://drive.google.com/open?id=NgvgeIXVkIOG8H4BiC9p" xr:uid="{1433B1A9-7326-42CE-A035-2CCA14E354A1}"/>
    <hyperlink ref="R408" r:id="rId289" display="https://drive.google.com/open?id=tWPuYTB3RUgZ2ks4mVre" xr:uid="{351EF40A-3A84-4E2E-9A10-CED5D57771A8}"/>
    <hyperlink ref="L408" r:id="rId290" display="https://drive.google.com/open?id=hrAArfvjoo9pqPbSXeJC" xr:uid="{9541B4E0-FD4E-4F67-9A05-465F9176597B}"/>
    <hyperlink ref="K408" r:id="rId291" display="https://drive.google.com/open?id=QVqMBtXVKXOWm9T5YLec" xr:uid="{A6ED7673-2934-476F-A813-7776AC9F7471}"/>
    <hyperlink ref="R407" r:id="rId292" display="https://drive.google.com/open?id=NU9ffSETpphzGvh3OSyt" xr:uid="{C3515A6C-877A-4D29-8AF6-E839866C92D9}"/>
    <hyperlink ref="L407" r:id="rId293" display="https://drive.google.com/open?id=TDKdHgZ2Lp40sxGjbh5i" xr:uid="{8CF0190E-F65A-41AD-8375-01EEBFA1B720}"/>
    <hyperlink ref="K407" r:id="rId294" display="https://drive.google.com/open?id=q8RZVQJmWcH2BBTPQi91" xr:uid="{7FBE9738-8002-4148-A5C2-1E42285EE13F}"/>
    <hyperlink ref="R406" r:id="rId295" display="https://drive.google.com/open?id=vxirXOdQjgvZ5m3zdd7R" xr:uid="{D75BFF49-BA4C-4AFF-B16F-3DE8EA694EFE}"/>
    <hyperlink ref="L406" r:id="rId296" display="https://drive.google.com/open?id=88p2TAtxVeGDGyV1KhsL" xr:uid="{931DA22D-1B9C-41CD-9FF9-5CA008F96014}"/>
    <hyperlink ref="K406" r:id="rId297" display="https://drive.google.com/open?id=E5yd2ZrCFaYdIfKeIAFT" xr:uid="{47AC0443-E5B1-43F2-ADFC-6D9B131C3BE5}"/>
    <hyperlink ref="R405" r:id="rId298" display="https://drive.google.com/open?id=a5awX2HR5R0WSv2TJ8Ng" xr:uid="{CA4A65E2-7360-43AE-8EA9-10F5C2649621}"/>
    <hyperlink ref="L405" r:id="rId299" display="https://drive.google.com/open?id=pEqKjRZmvaBTVTW1NElM" xr:uid="{091FB7CF-B058-49EF-A303-47B4CBB0F326}"/>
    <hyperlink ref="K405" r:id="rId300" display="https://drive.google.com/open?id=s3205TUl9wxcpcxTtbsV" xr:uid="{29D5A1A4-6E30-4293-A005-7D5563BF6524}"/>
    <hyperlink ref="R404" r:id="rId301" display="https://drive.google.com/open?id=S1BBHPHh3EsQ6kfoM1Jo" xr:uid="{E61C8117-3F8F-4B10-A96C-424DC75E455C}"/>
    <hyperlink ref="L404" r:id="rId302" display="https://drive.google.com/open?id=RjOL9GQvsvZRJdnnjRwo" xr:uid="{B6631D18-F443-478C-9B09-CCD96D85A27B}"/>
    <hyperlink ref="K404" r:id="rId303" display="https://drive.google.com/open?id=DmZuhnO93ZJRKX5mmv5b" xr:uid="{6D145BAE-1363-47C7-BFB2-E490D9343B5E}"/>
    <hyperlink ref="R403" r:id="rId304" display="https://drive.google.com/open?id=Yuz4ajXpzZPhH6smLQdh" xr:uid="{C39161D4-CDB2-4D6B-B034-648BEE111891}"/>
    <hyperlink ref="L403" r:id="rId305" display="https://drive.google.com/open?id=RujajNgIxWp2nODjgakt" xr:uid="{025C18DD-BA43-4A39-8D65-60C40FA42B42}"/>
    <hyperlink ref="K403" r:id="rId306" display="https://drive.google.com/open?id=1s33oiBzKrvxGdFi8T1T" xr:uid="{CFFDF604-DE2D-474D-9F2C-92D583A40CBA}"/>
    <hyperlink ref="R402" r:id="rId307" display="https://drive.google.com/open?id=zFJxuuYTR7t9lcbnqeAI" xr:uid="{3E974A6D-4D33-4A12-80A3-32BFA65DDE06}"/>
    <hyperlink ref="L402" r:id="rId308" display="https://drive.google.com/open?id=SoKz97WEtVWVPwbBHZiz" xr:uid="{5E57C843-4805-45DA-9572-11A642CB4090}"/>
    <hyperlink ref="K402" r:id="rId309" display="https://drive.google.com/open?id=NBNrRLWfZa7DadiF39g8" xr:uid="{DBEB8B12-FB66-4DEC-9CAE-5BDC05FEF55B}"/>
    <hyperlink ref="R401" r:id="rId310" display="https://drive.google.com/open?id=7Bu2mayvpaYeHdXE1vJj" xr:uid="{EE47BFE3-97CF-413C-9FAC-F58C17DE2242}"/>
    <hyperlink ref="L401" r:id="rId311" display="https://drive.google.com/open?id=PKFMnQUaR3afOGt5Ofi6" xr:uid="{E919284D-EC06-4A66-B09B-A7E82E35CAFE}"/>
    <hyperlink ref="K401" r:id="rId312" display="https://drive.google.com/open?id=0fCbSVCm3rQGXHSRL01j" xr:uid="{F0F35E31-64BC-4766-9048-68FFB8101B9D}"/>
    <hyperlink ref="R400" r:id="rId313" display="https://drive.google.com/open?id=RyfUu6XxLXUV6JwirLX4" xr:uid="{67F10279-D78C-45EF-9F89-65EB19AC2CDD}"/>
    <hyperlink ref="L400" r:id="rId314" display="https://drive.google.com/open?id=hbJoC2CSlVbpatwQ9ELD" xr:uid="{C3012DB2-9CEB-449D-AF17-8B69C17248B0}"/>
    <hyperlink ref="K400" r:id="rId315" display="https://drive.google.com/open?id=6X1x5UAQMiZOAA7rat3j" xr:uid="{145E390B-0E92-4B00-9DB8-52B6A5D17852}"/>
    <hyperlink ref="R399" r:id="rId316" display="https://drive.google.com/open?id=1xwfW39i789p8UNwsiCg" xr:uid="{B473EBCE-D68B-448A-88A5-1C28B1E212F2}"/>
    <hyperlink ref="L399" r:id="rId317" display="https://drive.google.com/open?id=iOvg4nRrjgBY36bAn3Hs" xr:uid="{81B8F135-15B7-4F88-8429-24E603898967}"/>
    <hyperlink ref="K399" r:id="rId318" display="https://drive.google.com/open?id=GYSnyouUBKj3808WQ9Wd" xr:uid="{DBD883A7-6643-4D8F-A4AC-4933BCFD36AF}"/>
    <hyperlink ref="R398" r:id="rId319" display="https://drive.google.com/open?id=IiuaYt1i7qTNxLqnRQG9" xr:uid="{BDB16A30-AB94-49BF-806B-64E07038BA25}"/>
    <hyperlink ref="L398" r:id="rId320" display="https://drive.google.com/open?id=SXgd397GAL4A89M4GvZb" xr:uid="{A1CFBCFB-A48D-49AD-944A-BDBB7275360D}"/>
    <hyperlink ref="K398" r:id="rId321" display="https://drive.google.com/open?id=tTYjpVcBXHY0gjwxMQcD" xr:uid="{7DDA09AA-CD35-4D71-9335-AB370158320E}"/>
    <hyperlink ref="R397" r:id="rId322" display="https://drive.google.com/open?id=MYBPrcdAkGDcocAXCCgO" xr:uid="{BA0F967B-3C20-4DBE-A4E1-E58D12F6983B}"/>
    <hyperlink ref="L397" r:id="rId323" display="https://drive.google.com/open?id=K6MuHh5382YRP3EA2aX7" xr:uid="{5A489754-FA7E-449E-AE16-54C06ED74500}"/>
    <hyperlink ref="K397" r:id="rId324" display="https://drive.google.com/open?id=EE6nprDoTow7rzYsEM4i" xr:uid="{753C313A-0360-4D16-BD3D-D22F69F66356}"/>
    <hyperlink ref="R396" r:id="rId325" display="https://drive.google.com/open?id=zGWGgH1XUf2cCKO65MD6" xr:uid="{CE3BF6B4-B7F8-479B-93AF-C185B647931B}"/>
    <hyperlink ref="L396" r:id="rId326" display="https://drive.google.com/open?id=kV8dh0Fwxmke9a9QJ8nH" xr:uid="{75D1E037-B67C-4D1B-88D7-27B082996577}"/>
    <hyperlink ref="K396" r:id="rId327" display="https://drive.google.com/open?id=v8MFibkQ0mSL3yF1zP3a" xr:uid="{8BDD5112-7917-4B88-825F-5F9450473510}"/>
    <hyperlink ref="R395" r:id="rId328" display="https://drive.google.com/open?id=Pt5gx9MwUjf8RPbr2Og3" xr:uid="{C2150A83-8222-41EA-9E48-523C49D906E8}"/>
    <hyperlink ref="O395" r:id="rId329" display="https://drive.google.com/open?id=wZioW1Q8e1VPY1v97XfX" xr:uid="{D852CC8F-18C9-4740-B062-0D010C526A8C}"/>
    <hyperlink ref="N395" r:id="rId330" display="https://drive.google.com/open?id=sN8xPgr93daKvJmxFk6o" xr:uid="{6C8B5135-0A0B-401A-B71B-AF511359DD7F}"/>
    <hyperlink ref="R394" r:id="rId331" display="https://drive.google.com/open?id=Xf2CnuWF7lJzylCMD6MT" xr:uid="{89834651-D789-4D38-87B3-33947C6F8D1B}"/>
    <hyperlink ref="L394" r:id="rId332" display="https://drive.google.com/open?id=XszniS9LJULSiBxMiXjx" xr:uid="{88271EA9-6F5F-4A5D-8A64-6019F2ADB0FA}"/>
    <hyperlink ref="K394" r:id="rId333" display="https://drive.google.com/open?id=j00h96E1tj6AljTyYcJ5" xr:uid="{4CB9B43C-04DA-4C44-AE9C-B1FDE91F8DFF}"/>
    <hyperlink ref="R393" r:id="rId334" display="https://drive.google.com/open?id=kn1dArkjWcLZun77Wqyk" xr:uid="{DA42CC1C-2790-4EFB-B734-EE979347C9B5}"/>
    <hyperlink ref="L393" r:id="rId335" display="https://drive.google.com/open?id=TaKDX0FVHcaRyuSiFini" xr:uid="{437A3577-817D-4C96-AF3C-C79722EF3D6C}"/>
    <hyperlink ref="K393" r:id="rId336" display="https://drive.google.com/open?id=6W0njBC4X5Hw5ohRKYeY" xr:uid="{857DA09E-6B54-4933-AA05-568A228FCE2E}"/>
    <hyperlink ref="R392" r:id="rId337" display="https://drive.google.com/open?id=Ku9nexHTjtL5dXL5uYTh" xr:uid="{5EAC7771-56F7-4DE3-A25F-6EE3E055F501}"/>
    <hyperlink ref="L392" r:id="rId338" display="https://drive.google.com/open?id=zlVyVdKiGmZtMXfpKUhu" xr:uid="{4DDCC83D-76A5-44F3-B1E5-4F2FA8C399EF}"/>
    <hyperlink ref="K392" r:id="rId339" display="https://drive.google.com/open?id=TZ52TlvuS2onBrEmg5hm" xr:uid="{4991A4EE-841D-43C6-A8F4-A1F63C3CC8C3}"/>
    <hyperlink ref="R391" r:id="rId340" display="https://drive.google.com/open?id=LpP7hjuB5Ctvyc67FR6a" xr:uid="{104EF2A6-37AE-4474-8257-169E2D9B1CB3}"/>
    <hyperlink ref="O391" r:id="rId341" display="https://drive.google.com/open?id=Ez1cnZtBAMy2W9Ip7ixb" xr:uid="{D900A287-058E-4D90-998F-E941AF296A44}"/>
    <hyperlink ref="N391" r:id="rId342" display="https://drive.google.com/open?id=9XIDxsY6nLViwAqO90sW" xr:uid="{6672E670-124E-4E5A-B235-FF624F0C45DE}"/>
    <hyperlink ref="R390" r:id="rId343" display="https://drive.google.com/open?id=dVZ6lopt0vMh805eHpRu" xr:uid="{57C821EE-6713-4118-9D6D-2428B9B17012}"/>
    <hyperlink ref="L390" r:id="rId344" display="https://drive.google.com/open?id=bCPYlgjmNTNxmux68nWi" xr:uid="{75F4B4F1-59D1-4B21-B841-84E94679BB34}"/>
    <hyperlink ref="K390" r:id="rId345" display="https://drive.google.com/open?id=joUtDYGOgXFJyygJeG88" xr:uid="{3F718EB6-D463-4A9A-9C50-A9018822A7A1}"/>
    <hyperlink ref="R389" r:id="rId346" display="https://drive.google.com/open?id=RrHDOrxUnBE6lg92jPxo" xr:uid="{3858A871-14C5-44D2-B850-B49199B868CB}"/>
    <hyperlink ref="L389" r:id="rId347" display="https://drive.google.com/open?id=GI0QtLRVb9dwI1WQdswq" xr:uid="{C1B0FB4D-C963-4882-80AA-81249032BB46}"/>
    <hyperlink ref="K389" r:id="rId348" display="https://drive.google.com/open?id=U8xu3jcovwzWtbBrMuAC" xr:uid="{1B8984F9-3225-4F04-B3CF-ED3C7C9AB1A6}"/>
    <hyperlink ref="R388" r:id="rId349" display="https://drive.google.com/open?id=nGMkCKI6eBUEe0EmUePJ" xr:uid="{56D2D692-5E15-4966-89C9-8AAF8F19A4BF}"/>
    <hyperlink ref="L388" r:id="rId350" display="https://drive.google.com/open?id=a4lJgr9ou1JmmcwKA7GB" xr:uid="{A498ACB5-E479-413B-9B65-1120CFD2632B}"/>
    <hyperlink ref="K388" r:id="rId351" display="https://drive.google.com/open?id=wCS5UtEGfwOzzPZxHCjd" xr:uid="{A4CB0500-4873-42D9-A3FC-BFD025664A8D}"/>
    <hyperlink ref="R387" r:id="rId352" display="https://drive.google.com/open?id=QioOLCOojHuHHsVtLkrl" xr:uid="{32E9E576-6B3B-4F58-ABE9-4ECC4252C27F}"/>
    <hyperlink ref="L387" r:id="rId353" display="https://drive.google.com/open?id=QTa4WNv5TEWjXYxrZDUJ" xr:uid="{D69607AC-572B-4077-B6B1-6186E719B842}"/>
    <hyperlink ref="K387" r:id="rId354" display="https://drive.google.com/open?id=RUpTCT0SxBFwMDzemthd" xr:uid="{5343866C-A8C7-4D4A-ABFD-2B98C851B17C}"/>
    <hyperlink ref="R386" r:id="rId355" display="https://drive.google.com/open?id=xuXSZRdr2drFvv0ndHG5" xr:uid="{6C0984EA-22C2-41D0-9D7B-398D8C501EF2}"/>
    <hyperlink ref="L386" r:id="rId356" display="https://drive.google.com/open?id=cXZVqqzERq5AowcfHFJ8" xr:uid="{AC7E253F-4183-46A4-9149-A6DB064122F0}"/>
    <hyperlink ref="K386" r:id="rId357" display="https://drive.google.com/open?id=8LY86n2kVQPcg1kv7FYo" xr:uid="{F5008980-8FCD-48EC-8C5D-FB35319F840A}"/>
    <hyperlink ref="R385" r:id="rId358" display="https://drive.google.com/open?id=VSP5afWoExEWkrRcw2AI" xr:uid="{A8F6184A-AE75-4B39-8CD0-1BA4DAF8630F}"/>
    <hyperlink ref="L385" r:id="rId359" display="https://drive.google.com/open?id=ThvRoyQOHpTIJueq0Ci4" xr:uid="{3C2708B8-F029-4C64-BEE3-CBA4810B2528}"/>
    <hyperlink ref="K385" r:id="rId360" display="https://drive.google.com/open?id=3bC8nuCV0f4OgmUlRZhz" xr:uid="{05A8C9C7-E7E3-46A1-B780-75E6F997AC65}"/>
    <hyperlink ref="R384" r:id="rId361" display="https://drive.google.com/open?id=3IZSDLrh6KJ1RaPuF26t" xr:uid="{1690E9F6-08D5-40F1-ABAF-4C9501987518}"/>
    <hyperlink ref="L384" r:id="rId362" display="https://drive.google.com/open?id=YYhvIF8GGFCvn1sU7Z1E" xr:uid="{7580712D-8FFA-4B47-B3B7-E7C0336CA8A2}"/>
    <hyperlink ref="K384" r:id="rId363" display="https://drive.google.com/open?id=tB4sWTjACsughtxTTmTb" xr:uid="{20C85159-2ED4-4DD4-A73E-120A39CFEA24}"/>
    <hyperlink ref="R383" r:id="rId364" display="https://drive.google.com/open?id=HfhdIJgf52JbDmeJOsog" xr:uid="{8284E289-D030-42A5-BD63-B5A4EB3E53F1}"/>
    <hyperlink ref="L383" r:id="rId365" display="https://drive.google.com/open?id=2MJCwkDXvvEng7tN3wIg" xr:uid="{EFF20A2D-5345-42A8-A8C6-49563A04C2FC}"/>
    <hyperlink ref="K383" r:id="rId366" display="https://drive.google.com/open?id=eqWNOkdeqQiDEXoLe8mB" xr:uid="{A251DA8F-A4EA-4119-A045-FE5B65F07E9A}"/>
    <hyperlink ref="R382" r:id="rId367" display="https://drive.google.com/open?id=3QEN1BU8HmHPrZi4giTQ" xr:uid="{650BF7B5-2D64-41F6-9ABC-4282F9CEAB2C}"/>
    <hyperlink ref="L382" r:id="rId368" display="https://drive.google.com/open?id=Tpy0iI19n4r8OnoUFR8v" xr:uid="{82B46294-77B1-4BC9-BF09-F9F17AB8463C}"/>
    <hyperlink ref="K382" r:id="rId369" display="https://drive.google.com/open?id=jL8knrMoyCHBOTuA8aXs" xr:uid="{97790C98-6390-40EA-B9E0-2450D6E58B7E}"/>
    <hyperlink ref="R381" r:id="rId370" display="https://drive.google.com/open?id=69i5Es7KPr4hLLntMzkr" xr:uid="{A1086444-7D3A-4219-B1D8-EA39B2744938}"/>
    <hyperlink ref="L381" r:id="rId371" display="https://drive.google.com/open?id=he6FJX8pmwFTH1D5iDWN" xr:uid="{81D89ABA-5C44-4DB1-AA3C-8D17F97BBEE6}"/>
    <hyperlink ref="K381" r:id="rId372" display="https://drive.google.com/open?id=NbBnuVhNsbb5K6f1e1na" xr:uid="{19BAF635-CD3F-48FF-AAAC-F99C38C3DC28}"/>
    <hyperlink ref="R380" r:id="rId373" display="https://drive.google.com/open?id=583gZ4Ipcs87gMiTXUf5" xr:uid="{F7585284-FDC9-4137-BAAB-6FA1987DE80F}"/>
    <hyperlink ref="L380" r:id="rId374" display="https://drive.google.com/open?id=G5wLpQsrcV8dJGS8YhWY" xr:uid="{C57CA126-2384-4A4B-AD0C-302CFFCF2DF4}"/>
    <hyperlink ref="K380" r:id="rId375" display="https://drive.google.com/open?id=E538M69oSJSjeXGgwPRM" xr:uid="{9C9F600B-49F0-47DB-95B2-6017747223B2}"/>
    <hyperlink ref="R379" r:id="rId376" display="https://drive.google.com/open?id=GAsqB8hJP1XZkTUROANK" xr:uid="{DCCBF8D7-94DC-49EF-9D54-CE18F4339CCD}"/>
    <hyperlink ref="L379" r:id="rId377" display="https://drive.google.com/open?id=HBRFV4hTp2Ze55xJUy4f" xr:uid="{56CA7541-8E4C-4E07-99CB-85D2351178C6}"/>
    <hyperlink ref="K379" r:id="rId378" display="https://drive.google.com/open?id=ToK6PsDSaV12M6sIagkN" xr:uid="{CBD2C971-2840-470A-8A8C-16B6FACFBE73}"/>
    <hyperlink ref="R378" r:id="rId379" display="https://drive.google.com/open?id=rl3mGPr82v4E5kRF1xCC" xr:uid="{801D1ED6-4D0B-4901-8EDE-FAC73E6E33B5}"/>
    <hyperlink ref="L378" r:id="rId380" display="https://drive.google.com/open?id=s2GQXzDRfpMyIAlHnixU" xr:uid="{73ED7824-4E7F-4303-93C5-F074E28A8348}"/>
    <hyperlink ref="K378" r:id="rId381" display="https://drive.google.com/open?id=Hds23OpU33drmqi5KBsx" xr:uid="{F41A9CD4-5B55-4E06-89D0-C31B1722AC7E}"/>
    <hyperlink ref="R377" r:id="rId382" display="https://drive.google.com/open?id=KVf1yjgG7excrNDURoHS" xr:uid="{3B090C46-0B71-40E0-B827-C16650270E14}"/>
    <hyperlink ref="L377" r:id="rId383" display="https://drive.google.com/open?id=UdAv8TenIXyZKKpgRM4a" xr:uid="{D731B6DF-E1D8-420C-AE17-BDEE360DACCD}"/>
    <hyperlink ref="K377" r:id="rId384" display="https://drive.google.com/open?id=OJLuBMS5qfWJdOLI0CGd" xr:uid="{781356D2-9DCA-4049-9FC2-AFB844EE3C45}"/>
    <hyperlink ref="R376" r:id="rId385" display="https://drive.google.com/open?id=yIItXt5IIDd34szqLuDy" xr:uid="{B2426B83-6086-4BDF-8969-473DA0710F53}"/>
    <hyperlink ref="L376" r:id="rId386" display="https://drive.google.com/open?id=kaNa7mG1Ug2kvcPEzOAS" xr:uid="{5A2748EF-CAC5-4880-9671-AC2DCDCC1B3B}"/>
    <hyperlink ref="K376" r:id="rId387" display="https://drive.google.com/open?id=hjgjdG13VXFXyAjZPv12" xr:uid="{7A4D2441-B5C4-45B4-B316-6CCE10CF6798}"/>
    <hyperlink ref="R375" r:id="rId388" display="https://drive.google.com/open?id=ZtAolFS0IjfMyQZhHTkL" xr:uid="{2F32BDFD-B18A-426B-BD46-6D3294E22714}"/>
    <hyperlink ref="L375" r:id="rId389" display="https://drive.google.com/open?id=VPEwy218BVzOpPWKXIlP" xr:uid="{458A7FCA-D114-45D3-ADDB-DBF58D441857}"/>
    <hyperlink ref="K375" r:id="rId390" display="https://drive.google.com/open?id=T7Zye5cIoNcPvGpE1Mjb" xr:uid="{8765F681-F5D9-414F-9224-8CAD6F37DA84}"/>
    <hyperlink ref="R374" r:id="rId391" display="https://drive.google.com/open?id=cx216DRKZKzGpi3o9Fwx" xr:uid="{CB0A1D01-74B4-45BB-80B0-C8585ED20F05}"/>
    <hyperlink ref="L374" r:id="rId392" display="https://drive.google.com/open?id=WFel6SZOA4icUFMCQt4p" xr:uid="{84EE7B81-3647-41CF-8F8E-DCECFEA67B2D}"/>
    <hyperlink ref="K374" r:id="rId393" display="https://drive.google.com/open?id=GWcvMNBCHWtuc1yhSykV" xr:uid="{B7B646F8-1FE0-49BD-BA22-4A36BE06D987}"/>
    <hyperlink ref="R373" r:id="rId394" display="https://drive.google.com/open?id=cxVmLgTLRd2s7rve5sXL" xr:uid="{E69E25AE-E2FD-4A39-93EA-80C19780440D}"/>
    <hyperlink ref="L373" r:id="rId395" display="https://drive.google.com/open?id=IgXrVaKieLYiC2mzHq5I" xr:uid="{7E4A6E92-8222-48BD-B058-933E6F22C34E}"/>
    <hyperlink ref="K373" r:id="rId396" display="https://drive.google.com/open?id=LdYTqOvhN1MfiNLpn1nU" xr:uid="{6AAD2ED2-6984-4C00-A30C-722F5D463736}"/>
    <hyperlink ref="R372" r:id="rId397" display="https://drive.google.com/open?id=nsHTqAksUW2YHJBgxLw5" xr:uid="{D1F5A801-21A7-4F06-85F9-3207B70DBFF7}"/>
    <hyperlink ref="L372" r:id="rId398" display="https://drive.google.com/open?id=FzDd1B7yNvjhusdIh8pR" xr:uid="{705840B5-6BA0-4091-96E5-9B178F5971EB}"/>
    <hyperlink ref="K372" r:id="rId399" display="https://drive.google.com/open?id=5iP0zuXvSLUdgrXB6HuC" xr:uid="{92B950BD-4BB1-4AEC-84DF-AC87F65E1756}"/>
    <hyperlink ref="R371" r:id="rId400" display="https://drive.google.com/open?id=pzuPeCo44rUd3mbIa50m" xr:uid="{2A4582C4-83A7-4E8B-99EB-40057DBC8051}"/>
    <hyperlink ref="L371" r:id="rId401" display="https://drive.google.com/open?id=vSAOFiFsXYydbI7ItM2c" xr:uid="{EBE486C8-EB05-4EA5-A4BB-A8A9A150112D}"/>
    <hyperlink ref="K371" r:id="rId402" display="https://drive.google.com/open?id=oDOkbfjwHA90448Vqjzr" xr:uid="{C3B99562-2202-4A32-AF11-A6BEDA325585}"/>
    <hyperlink ref="R370" r:id="rId403" display="https://drive.google.com/open?id=EMh2pOYaxRUqcCYfhlvH" xr:uid="{7D4EF684-E2B3-44C0-B210-F7219F92E823}"/>
    <hyperlink ref="L370" r:id="rId404" display="https://drive.google.com/open?id=Zsf9x5ST2W7OZocJwezy" xr:uid="{2D7C0A1A-C690-48B8-899A-F50E658E9E43}"/>
    <hyperlink ref="K370" r:id="rId405" display="https://drive.google.com/open?id=GGkUYP4PWnH5S27vtNNl" xr:uid="{209E6B6C-8AD3-4967-A23F-5A27CD3911E4}"/>
    <hyperlink ref="R369" r:id="rId406" display="https://drive.google.com/open?id=IjKGU9FnyYe9sWeD5x6i" xr:uid="{5FE23994-1BA5-444B-BBE3-DE555323FB87}"/>
    <hyperlink ref="L369" r:id="rId407" display="https://drive.google.com/open?id=G8AQfSIE64qMQ47lD3TH" xr:uid="{EB88BB65-FB5C-4788-AB9E-1EFE941299CC}"/>
    <hyperlink ref="K369" r:id="rId408" display="https://drive.google.com/open?id=HE0KqNUes3GFuhp303iA" xr:uid="{F2F81980-F5C9-4EDC-B6C0-100990F15453}"/>
    <hyperlink ref="R368" r:id="rId409" display="https://drive.google.com/open?id=TknkWpbsKnVjb1taBZ2g" xr:uid="{97B39E9F-C894-4BE7-9550-8C030EBFFE60}"/>
    <hyperlink ref="L368" r:id="rId410" display="https://drive.google.com/open?id=LA1bV75JmpBmye1mlefN" xr:uid="{37C211BA-3265-4618-96AB-1827B620411A}"/>
    <hyperlink ref="K368" r:id="rId411" display="https://drive.google.com/open?id=kWAAcIdLqQdeykqS2EHW" xr:uid="{FC22FAD2-B9FE-41A0-89A3-FA79F1E3EBB1}"/>
    <hyperlink ref="R367" r:id="rId412" display="https://drive.google.com/open?id=ciizIKy0SU4uRobATSce" xr:uid="{EA5CD843-B494-49DF-B5EE-7FB2BBD76116}"/>
    <hyperlink ref="L367" r:id="rId413" display="https://drive.google.com/open?id=5lel3IWWJVvsOYPWBWLO" xr:uid="{E01AADA5-6079-453F-8FE0-AAC9C64F9495}"/>
    <hyperlink ref="K367" r:id="rId414" display="https://drive.google.com/open?id=iIhALSC0AvaXyGGX4SnY" xr:uid="{B7EB658D-19BA-4453-8796-6938B62124E3}"/>
    <hyperlink ref="R366" r:id="rId415" display="https://drive.google.com/open?id=dAxoEr9HXQIxpZGmHepN" xr:uid="{4C95F389-4AF1-4EA7-AD00-A22932F8F31A}"/>
    <hyperlink ref="O366" r:id="rId416" display="https://drive.google.com/open?id=CyjFPRpoPlySC8oHRcll" xr:uid="{FA12E985-181E-40B5-AA33-42504D805C6C}"/>
    <hyperlink ref="N366" r:id="rId417" display="https://drive.google.com/open?id=3bSkDdQ2K7lou5xHkaP2" xr:uid="{60C0D405-5C5A-48BD-AD84-96DDA599AC61}"/>
    <hyperlink ref="R365" r:id="rId418" display="https://drive.google.com/open?id=lk1ovK8CbnrnBy27m69A" xr:uid="{BD600998-1525-405D-BFC2-E8B06658CBCC}"/>
    <hyperlink ref="O365" r:id="rId419" display="https://drive.google.com/open?id=H2xxYQmXckzuRBRkEl1q" xr:uid="{1337D484-4677-403C-BEAC-BF436A108F4E}"/>
    <hyperlink ref="N365" r:id="rId420" display="https://drive.google.com/open?id=5jvNf8oV6pZiFaLIqJoX" xr:uid="{2F13AFD0-362B-48C5-954F-D5E1F335CDCA}"/>
    <hyperlink ref="R364" r:id="rId421" display="https://drive.google.com/open?id=ykj85UUkrWrwD16tCwbP" xr:uid="{D9366F2F-63AA-434F-B6F0-01A27A6C8AD9}"/>
    <hyperlink ref="L364" r:id="rId422" display="https://drive.google.com/open?id=mVhZrsMsWH1ROwkqTPOc" xr:uid="{695AEA40-7683-4905-9592-D8629F492C0A}"/>
    <hyperlink ref="K364" r:id="rId423" display="https://drive.google.com/open?id=dkR5sX0XD9vZetN8sB23" xr:uid="{7D4AA386-8FE8-4F46-860C-C6B71380187D}"/>
    <hyperlink ref="R363" r:id="rId424" display="https://drive.google.com/open?id=bSqusicFPTssVzGM2IsJ" xr:uid="{13584163-A568-4B02-9097-4F1CF8FDE5F0}"/>
    <hyperlink ref="L363" r:id="rId425" display="https://drive.google.com/open?id=EjI8X9ROe1oyJ5pm8lQH" xr:uid="{BBE1B49C-5544-4DC9-BA82-5B5F65FB2DFB}"/>
    <hyperlink ref="K363" r:id="rId426" display="https://drive.google.com/open?id=tXX9doWcBBf9mkfl0Omn" xr:uid="{771B9261-AE3D-4A06-92A4-39E6D0468701}"/>
    <hyperlink ref="R362" r:id="rId427" display="https://drive.google.com/open?id=MUgrrF2F0Dk1kS8fd23h" xr:uid="{E276A45E-A026-4B54-9C30-1D4392E106F3}"/>
    <hyperlink ref="L362" r:id="rId428" display="https://drive.google.com/open?id=46FhNC9EPMnnG5b432pe" xr:uid="{D6A0FD0A-9C1A-4F34-B827-8EE38E0A7885}"/>
    <hyperlink ref="K362" r:id="rId429" display="https://drive.google.com/open?id=ro3K35Srzly5BrtaGDgF" xr:uid="{D91D4ED1-7C5A-4949-972A-7008153B19CC}"/>
    <hyperlink ref="R361" r:id="rId430" display="https://drive.google.com/open?id=cw43bhIVpwLWT8IxYXs9" xr:uid="{92689A26-E71A-4818-BAAE-77126B0AF2FC}"/>
    <hyperlink ref="L361" r:id="rId431" display="https://drive.google.com/open?id=Rtw1BFNPgOQyx9cyxaap" xr:uid="{617DAAAC-3720-4561-9963-E64D58A55E5E}"/>
    <hyperlink ref="K361" r:id="rId432" display="https://drive.google.com/open?id=AF8e97vCKNgp0ujHxzQN" xr:uid="{857E291E-C3FC-4205-A9CD-0F89C772B319}"/>
    <hyperlink ref="R360" r:id="rId433" display="https://drive.google.com/open?id=u059SuYgNeSuHoeapCqN" xr:uid="{5E17B581-D235-4799-BE48-7F971A1678F4}"/>
    <hyperlink ref="L360" r:id="rId434" display="https://drive.google.com/open?id=AXAcRpsC3vJIoNByXz7m" xr:uid="{4FE72381-FE18-43A1-AF00-CFFB2E925E4E}"/>
    <hyperlink ref="K360" r:id="rId435" display="https://drive.google.com/open?id=ZpVxNodxImpiQVkAUZff" xr:uid="{BB89F857-C8EB-4013-A396-0B1FE0CF3611}"/>
    <hyperlink ref="R359" r:id="rId436" display="https://drive.google.com/open?id=T4zzDI7nY56NAIM3r6mv" xr:uid="{798CE19A-1C0D-4F91-9C66-559923C0F2AF}"/>
    <hyperlink ref="L359" r:id="rId437" display="https://drive.google.com/open?id=jZdiW70OrdePDxF8kIN4" xr:uid="{521E3EFE-C4D7-4141-94B0-FDF9FA9B48CB}"/>
    <hyperlink ref="K359" r:id="rId438" display="https://drive.google.com/open?id=igBAmaBp7GLOsj2GUPwe" xr:uid="{203C279D-DC68-47AD-9A0A-F9472F4FEFE4}"/>
    <hyperlink ref="R358" r:id="rId439" display="https://drive.google.com/open?id=lpHBMVvTV83fZvz5UVGP" xr:uid="{2D52967F-0324-46EE-92AA-B2637328DD67}"/>
    <hyperlink ref="O358" r:id="rId440" display="https://drive.google.com/open?id=o0OaUSz6lMMOloUi4oyR" xr:uid="{18FF9F08-A02B-416F-83CC-416ABBC083C4}"/>
    <hyperlink ref="N358" r:id="rId441" display="https://drive.google.com/open?id=6Jq923zIgC6EuQxiXko7" xr:uid="{5DF179D3-1CEB-4951-9ACA-95F413F002A7}"/>
    <hyperlink ref="R357" r:id="rId442" display="https://drive.google.com/open?id=2z4bd02L3oAxZxjWxeJj" xr:uid="{D29009D9-1D37-4E35-92DC-B2388172E96F}"/>
    <hyperlink ref="O357" r:id="rId443" display="https://drive.google.com/open?id=lJtq2tRgcfplriomkssI" xr:uid="{B840D87F-484F-4917-B08E-9F795EF9DAA0}"/>
    <hyperlink ref="N357" r:id="rId444" display="https://drive.google.com/open?id=Qfnl3G61eA6xmoILhEtp" xr:uid="{0A177E49-86A1-4BF0-A849-A8BE91D384C7}"/>
    <hyperlink ref="R356" r:id="rId445" display="https://drive.google.com/open?id=6eF4nrWlMbrVxJxRQarE" xr:uid="{2D4C2763-EFF3-4E3B-96D5-B314B4934EF2}"/>
    <hyperlink ref="L356" r:id="rId446" display="https://drive.google.com/open?id=osw3aIdwMVMTVJ8c3k97" xr:uid="{64EF0191-93E2-4138-9B52-2FF77523D248}"/>
    <hyperlink ref="K356" r:id="rId447" display="https://drive.google.com/open?id=WcE0kHhlOxkXZklrC2k4" xr:uid="{B68DA27A-9F3B-42B4-BE73-E5C35310A604}"/>
    <hyperlink ref="R355" r:id="rId448" display="https://drive.google.com/open?id=Tt8F1FkIzxGSTcP7fqVE" xr:uid="{10DFE72F-2A4E-439A-A5D9-FB02D2D84DB0}"/>
    <hyperlink ref="L355" r:id="rId449" display="https://drive.google.com/open?id=qxtd6WjzJQQexUtKXkMy" xr:uid="{280EFB2D-E63F-4203-AD2B-952BDB94E970}"/>
    <hyperlink ref="K355" r:id="rId450" display="https://drive.google.com/open?id=7zs1md7gBhnrgYTHDdgR" xr:uid="{A570F435-A47B-4CC3-8AD7-E975B650C962}"/>
    <hyperlink ref="R354" r:id="rId451" display="https://drive.google.com/open?id=6sBTKNO2PwOnRwZ8oUzC" xr:uid="{F1BDF040-9E83-4550-8A7F-0BE03F38D656}"/>
    <hyperlink ref="L354" r:id="rId452" display="https://drive.google.com/open?id=nttg6pAY83kwHEwetnFz" xr:uid="{17DDBD27-5101-4513-8407-9ABCEBAD4A08}"/>
    <hyperlink ref="K354" r:id="rId453" display="https://drive.google.com/open?id=HCfqPsdYlpigOI4BTqWU" xr:uid="{09537F77-9F73-434C-9529-749B77D44930}"/>
    <hyperlink ref="R353" r:id="rId454" display="https://drive.google.com/open?id=BEvLRGxFrFFZYLcm54Em" xr:uid="{BF21F64E-F45C-4AE3-8356-CC4C3221D53E}"/>
    <hyperlink ref="L353" r:id="rId455" display="https://drive.google.com/open?id=HbFGQcYx8005Dc7dUVY6" xr:uid="{FD920C85-B086-4247-8BEB-3CBEF1527256}"/>
    <hyperlink ref="K353" r:id="rId456" display="https://drive.google.com/open?id=xFOfmjOHExuZTImmPYuf" xr:uid="{9FACA0F4-2966-41F0-AB7A-D94D2DD6B68C}"/>
    <hyperlink ref="R352" r:id="rId457" display="https://drive.google.com/open?id=OIkaLQfHB6Lbs9NnlnEO" xr:uid="{9046314F-91BF-45AB-B203-B413C72377FF}"/>
    <hyperlink ref="L352" r:id="rId458" display="https://drive.google.com/open?id=gFSYjGq7rLZLZJQdWQxO" xr:uid="{9E861E13-3BEE-4997-9325-04E3AF421F0F}"/>
    <hyperlink ref="K352" r:id="rId459" display="https://drive.google.com/open?id=NOIHHWMpnN2CS1BKShB2" xr:uid="{B37B8BFE-CC92-4D54-B4B9-5C5B8D522F6E}"/>
    <hyperlink ref="R351" r:id="rId460" display="https://drive.google.com/open?id=Jij6iWYGiyWQGXsKgt0j" xr:uid="{D6CC41DC-6DEA-4DEB-8D2B-FDA9A17E2600}"/>
    <hyperlink ref="L351" r:id="rId461" display="https://drive.google.com/open?id=vXkJO30w8hLLSSTERlpx" xr:uid="{90D53E77-7A24-4E0F-9790-35626FC9BDA6}"/>
    <hyperlink ref="K351" r:id="rId462" display="https://drive.google.com/open?id=5kFHMWQaqlYeLwwDPgny" xr:uid="{2477F99E-2871-4A26-AA8B-A3BCEDEA1F5E}"/>
    <hyperlink ref="R350" r:id="rId463" display="https://drive.google.com/open?id=rV5sVSyBeafsNDTA5Ntf" xr:uid="{878B8F62-6AA2-46BC-94CA-E1687B6DF3BC}"/>
    <hyperlink ref="L350" r:id="rId464" display="https://drive.google.com/open?id=t3wfgMU8PZUahnIie54y" xr:uid="{0F3B309B-690A-4F98-B80F-1A813E1381FC}"/>
    <hyperlink ref="K350" r:id="rId465" display="https://drive.google.com/open?id=31DT7NFsKM5HaWSx8ise" xr:uid="{E4DC397B-9DE7-4D72-AA3D-33969C75746A}"/>
    <hyperlink ref="R349" r:id="rId466" display="https://drive.google.com/open?id=geTscWIWK4F2zewSpaT3" xr:uid="{8A43DD92-35C3-473A-82B2-7E5B9A63F167}"/>
    <hyperlink ref="O349" r:id="rId467" display="https://drive.google.com/open?id=8pLvbjoEZNCVoUzqctr2" xr:uid="{D1D9B1F2-DA98-4149-AC70-F0C5BB38C3B7}"/>
    <hyperlink ref="N349" r:id="rId468" display="https://drive.google.com/open?id=6KS03M25Ejr8DfTF3Bdf" xr:uid="{CF7EA63B-4D35-4A1C-A91F-C0A977F36BB8}"/>
    <hyperlink ref="R348" r:id="rId469" display="https://drive.google.com/open?id=939zkymUTQhvYlR8WiLI" xr:uid="{9BE4D66C-8F49-4DAA-A43D-CFC06C75DAC8}"/>
    <hyperlink ref="O348" r:id="rId470" display="https://drive.google.com/open?id=UEGazcngjTeGnnzbswRE" xr:uid="{4B785B02-05E5-4E7D-B848-DFEAE3D0A477}"/>
    <hyperlink ref="N348" r:id="rId471" display="https://drive.google.com/open?id=Te5flZ4Eq4i9ishiGmXn" xr:uid="{91980637-42AC-476E-BD11-8AB35F2E0705}"/>
    <hyperlink ref="R347" r:id="rId472" display="https://drive.google.com/open?id=yH01uiKD7L3jL6ja3k4E" xr:uid="{0B76F141-9AB8-414D-9359-70414426B36D}"/>
    <hyperlink ref="L347" r:id="rId473" display="https://drive.google.com/open?id=utg5uxliX6nGwTyjVOlF" xr:uid="{AC99A715-4B94-48CE-A3B1-56CFADFE3520}"/>
    <hyperlink ref="K347" r:id="rId474" display="https://drive.google.com/open?id=qUSQrAfGsJzSQAcHfFVb" xr:uid="{3E9CFD9D-9EC5-401E-A5D5-1FA803394DAC}"/>
    <hyperlink ref="R346" r:id="rId475" display="https://drive.google.com/open?id=mfXhaE1Jk9r6cMPwatA0" xr:uid="{0857AD77-9E8A-4AA1-8CB7-6E75ABD2BFF2}"/>
    <hyperlink ref="L346" r:id="rId476" display="https://drive.google.com/open?id=nKAaYQCWslgrdF5AjFcp" xr:uid="{70447916-0113-4512-A54A-DA838F65CD77}"/>
    <hyperlink ref="K346" r:id="rId477" display="https://drive.google.com/open?id=4fsFjwEsSBpKXesWYo5t" xr:uid="{EE23A863-9ABB-44A2-B7C4-C46C976B998D}"/>
    <hyperlink ref="R345" r:id="rId478" display="https://drive.google.com/open?id=4x49NdbXiiLZiTYX0XTY" xr:uid="{DCB4BD90-5BEB-4D92-B5DD-A31B00A7A085}"/>
    <hyperlink ref="L345" r:id="rId479" display="https://drive.google.com/open?id=aTdyX1BVcg6UcinngTiY" xr:uid="{4A6A0BEF-BE10-4207-A565-A3E5C09AF83A}"/>
    <hyperlink ref="K345" r:id="rId480" display="https://drive.google.com/open?id=d2o6zAVX4O6sdQjHvMD6" xr:uid="{522B4732-53F8-4C4E-BAC7-D811EAEC8B2E}"/>
    <hyperlink ref="R344" r:id="rId481" display="https://drive.google.com/open?id=PsMRxmZHJhdXiVRGeTQ0" xr:uid="{B2D037FE-7C82-4D47-8649-5D07A496E865}"/>
    <hyperlink ref="L344" r:id="rId482" display="https://drive.google.com/open?id=5fwXcOnxbbLDFkEyj0VU" xr:uid="{3AC5D695-B871-4487-8320-DD24145EEC8B}"/>
    <hyperlink ref="K344" r:id="rId483" display="https://drive.google.com/open?id=WWtCLCsEc19YjSeFEbjU" xr:uid="{20D4B420-7D13-4B4D-BFF5-6741D8EC6555}"/>
    <hyperlink ref="R343" r:id="rId484" display="https://drive.google.com/open?id=ef4iecgCiEmdqpaRzqkZ" xr:uid="{7B4B4870-612E-4D8F-AF29-8BB59D0B3A44}"/>
    <hyperlink ref="L343" r:id="rId485" display="https://drive.google.com/open?id=1dtc2giYhWtH6bFsNTb6" xr:uid="{887693F7-59A7-4BEB-8DA7-B34CF8C2F93E}"/>
    <hyperlink ref="K343" r:id="rId486" display="https://drive.google.com/open?id=CKbGivmjo5fjnu3sEx3Y" xr:uid="{542E50D9-3BAD-4C1A-9C1F-D3F99BE32130}"/>
    <hyperlink ref="R342" r:id="rId487" display="https://drive.google.com/open?id=9ssqWOKgyM0tcDvHLxWE" xr:uid="{C6B0EC20-A80E-4247-A9E9-A497829616D2}"/>
    <hyperlink ref="L342" r:id="rId488" display="https://drive.google.com/open?id=ODjqjTM82x97rFlsweZi" xr:uid="{4A1922FC-22DF-428A-9200-69FDECD7D944}"/>
    <hyperlink ref="K342" r:id="rId489" display="https://drive.google.com/open?id=x2Wt5AXhuOZngHBmIuD3" xr:uid="{606A9F96-6105-4DFA-87F4-3826AF2B5840}"/>
    <hyperlink ref="R341" r:id="rId490" display="https://drive.google.com/open?id=2kX6hm3MkT9geRx4OIeF" xr:uid="{64B1E24C-3D13-445E-B0AE-86E7331C91DF}"/>
    <hyperlink ref="L341" r:id="rId491" display="https://drive.google.com/open?id=LTZGzrk4orqHRa9Xf0s4" xr:uid="{6C7F6476-C1D8-4DB3-89A6-296C8D11840E}"/>
    <hyperlink ref="K341" r:id="rId492" display="https://drive.google.com/open?id=nnNu2cOC41McbsPW3o1B" xr:uid="{4A92B1C0-EEC0-40EC-903E-B1B98F1913AA}"/>
    <hyperlink ref="R340" r:id="rId493" display="https://drive.google.com/open?id=q6WajbqYHOc3KK2SAPng" xr:uid="{AD410AD6-A693-476B-96C3-17DDEABA8C30}"/>
    <hyperlink ref="L340" r:id="rId494" display="https://drive.google.com/open?id=Fd2isp6c9tCQUOoYS2jJ" xr:uid="{3606EE11-9AA9-4AF5-A46A-29C64263F46E}"/>
    <hyperlink ref="K340" r:id="rId495" display="https://drive.google.com/open?id=2Tt9YCQnMmzFKBnne5op" xr:uid="{EBD98C6A-571F-4A55-BAD0-9E03D8434104}"/>
    <hyperlink ref="R339" r:id="rId496" display="https://drive.google.com/open?id=AFnS3uOdCDnGMAreDv2d" xr:uid="{BC850DBC-F3B8-43BA-A796-DFF1B5CD0B62}"/>
    <hyperlink ref="L339" r:id="rId497" display="https://drive.google.com/open?id=JW4KYUciHJPMrlpz9DAj" xr:uid="{4CA3DBC5-BA07-4EDB-BDD2-C83AC68D6424}"/>
    <hyperlink ref="K339" r:id="rId498" display="https://drive.google.com/open?id=I9KTZoJG5uGbMvNxDMYF" xr:uid="{B1FAE335-9131-4BCD-BC2F-A10E46A7966A}"/>
    <hyperlink ref="R338" r:id="rId499" display="https://drive.google.com/open?id=Ss39mPRPkHpqfO7WLxSZ" xr:uid="{7B60009E-1C94-49B5-ADAC-454CCC8C0812}"/>
    <hyperlink ref="L338" r:id="rId500" display="https://drive.google.com/open?id=ylF0azcvBXT0fnB93ci4" xr:uid="{7BABB32F-2BBB-429C-9082-FF95A62B1ACD}"/>
    <hyperlink ref="K338" r:id="rId501" display="https://drive.google.com/open?id=G0YEu05H0V3sSJt4ZHMH" xr:uid="{7E82E2A0-DEC5-4102-B830-15F1A527AE05}"/>
    <hyperlink ref="R337" r:id="rId502" display="https://drive.google.com/open?id=0vqcSSnoy7tX2RFMu40b" xr:uid="{1B78864D-4BCB-4D9B-87A5-6C1C05BC7034}"/>
    <hyperlink ref="O337" r:id="rId503" display="https://drive.google.com/open?id=pvTR7hCokj8N1bLW5BF1" xr:uid="{6C7968D0-82AC-49BB-BAEB-5730A0703DBA}"/>
    <hyperlink ref="N337" r:id="rId504" display="https://drive.google.com/open?id=EKXwPJD1Uxx45wfbeHd3" xr:uid="{9F8FC2CF-ED03-4F7E-AF1F-EAFC89595057}"/>
    <hyperlink ref="R336" r:id="rId505" display="https://drive.google.com/open?id=ViVl3GwVBgnJ7ttw53Br" xr:uid="{C93EC71E-DEDD-4FC3-9ADC-36B265730C78}"/>
    <hyperlink ref="L336" r:id="rId506" display="https://drive.google.com/open?id=xNuqWRnN6oOb69sPN2Db" xr:uid="{198AF71D-2E1B-4FAC-A87E-70CF44F056E0}"/>
    <hyperlink ref="K336" r:id="rId507" display="https://drive.google.com/open?id=dI27fCwak8bcRdEMrOB9" xr:uid="{7F976EE6-67F7-4E62-94B9-014978419845}"/>
    <hyperlink ref="R335" r:id="rId508" display="https://drive.google.com/open?id=YknwSFNjWILIuUwcCaOM" xr:uid="{E5DCD20A-BC56-4CA9-A7A1-E4752BE8578A}"/>
    <hyperlink ref="L335" r:id="rId509" display="https://drive.google.com/open?id=BbdjovaxwGD3ExrNqBFE" xr:uid="{51DD81C0-524D-430C-8711-4CFD456BE051}"/>
    <hyperlink ref="K335" r:id="rId510" display="https://drive.google.com/open?id=3t2N3rNVix3xKaE9bhrA" xr:uid="{F494C2CB-22CF-4464-A7C8-58246C32D17F}"/>
    <hyperlink ref="R334" r:id="rId511" display="https://drive.google.com/open?id=6Vj17f9RAj7Gil2EGOLj" xr:uid="{86DA6862-6657-4FA1-8A6B-345AA2D48380}"/>
    <hyperlink ref="L334" r:id="rId512" display="https://drive.google.com/open?id=laTeIl3v1OVZZ62FgrPC" xr:uid="{4EC709BC-D0ED-4EE5-B602-E592DF4290AE}"/>
    <hyperlink ref="K334" r:id="rId513" display="https://drive.google.com/open?id=ZOmg0TEyaHR7IiQt1vwn" xr:uid="{6D2D29BB-F34A-428F-992E-00848952C6A5}"/>
    <hyperlink ref="R333" r:id="rId514" display="https://drive.google.com/open?id=hE9TNrsS7RtiEcrHm3B3" xr:uid="{1F307A7A-6EDA-4D82-B0F4-ECB6FFD8D652}"/>
    <hyperlink ref="L333" r:id="rId515" display="https://drive.google.com/open?id=hNbsUcGLFpyRHeihQiQG" xr:uid="{3E754F84-FDF1-48E8-877A-672165E729B1}"/>
    <hyperlink ref="K333" r:id="rId516" display="https://drive.google.com/open?id=s9gL6frsAugNLslRpUmM" xr:uid="{FC495436-1A59-488D-A8DD-003B37E81931}"/>
    <hyperlink ref="R332" r:id="rId517" display="https://drive.google.com/open?id=Ql7879Bfh8FGyuw8f12H" xr:uid="{6F515114-11E9-420A-BC66-39A5BF68487F}"/>
    <hyperlink ref="L332" r:id="rId518" display="https://drive.google.com/open?id=nL6C5bjgsdH1kJHWr9GM" xr:uid="{ED5014DF-3575-48A6-A241-D28E1E4C8D21}"/>
    <hyperlink ref="K332" r:id="rId519" display="https://drive.google.com/open?id=fj8qreFlYaYPHNT0FM9D" xr:uid="{6D7345B0-B3CA-48F5-83C7-94DD7BA39AFF}"/>
    <hyperlink ref="R331" r:id="rId520" display="https://drive.google.com/open?id=rJMGOpjH1aIySPbMXq8K" xr:uid="{E0D3E218-A9F4-4F85-9C74-C9A42AF4EC70}"/>
    <hyperlink ref="L331" r:id="rId521" display="https://drive.google.com/open?id=RyC8vIPJwsXEn8eyl67y" xr:uid="{5DE7BF95-A2F9-4B05-9A3D-C1FDBC24CF7B}"/>
    <hyperlink ref="K331" r:id="rId522" display="https://drive.google.com/open?id=ciJQaemQMhybA5fYEse2" xr:uid="{00893D30-324A-4A8A-9743-2BCA4E4B4252}"/>
    <hyperlink ref="R330" r:id="rId523" display="https://drive.google.com/open?id=O8KnIHHWGESXUGKE6dkq" xr:uid="{42599B4D-868F-46BB-B51D-D05C7BD87D79}"/>
    <hyperlink ref="L330" r:id="rId524" display="https://drive.google.com/open?id=9X8bMKtdktylra8GtWoQ" xr:uid="{82F004D1-FC80-4C2C-BD5A-D789EB1B4A08}"/>
    <hyperlink ref="K330" r:id="rId525" display="https://drive.google.com/open?id=ywxWK0O8Qbvyw6ys42MB" xr:uid="{6B19262D-1588-46B4-B05C-632C83DC0516}"/>
    <hyperlink ref="R329" r:id="rId526" display="https://drive.google.com/open?id=76HjbVx139qDkRwHHorE" xr:uid="{CCB725E6-4788-4240-86EB-8AA04AA0B4FF}"/>
    <hyperlink ref="L329" r:id="rId527" display="https://drive.google.com/open?id=H1sqEkI89D8uVEtOKiFG" xr:uid="{5DFA9602-3E2D-4203-B534-76593BF95EA8}"/>
    <hyperlink ref="K329" r:id="rId528" display="https://drive.google.com/open?id=WmJm73uxvrKnL2CTaXEu" xr:uid="{CAA641D9-4244-49D2-B664-4041EB7873EA}"/>
    <hyperlink ref="R328" r:id="rId529" display="https://drive.google.com/open?id=yjFKcxyVQ2uIcywvraG2" xr:uid="{2DC346CE-7D5C-4203-B867-B317927D9370}"/>
    <hyperlink ref="L328" r:id="rId530" display="https://drive.google.com/open?id=f4gI4WWOQYBTC1MuAOPv" xr:uid="{7A9B0B82-639D-4F97-9EA5-DE113A693DDE}"/>
    <hyperlink ref="K328" r:id="rId531" display="https://drive.google.com/open?id=CJJQJQx1tO0qL2yWSlhj" xr:uid="{D1A706C8-F52E-44F7-A98E-89D9B681FCFD}"/>
    <hyperlink ref="R327" r:id="rId532" display="https://drive.google.com/open?id=cWMVPKwhYu1exHlJBcXa" xr:uid="{46F5A50B-3DE4-4982-BE0F-7408D5A99678}"/>
    <hyperlink ref="L327" r:id="rId533" display="https://drive.google.com/open?id=YYKOiuZOqXA2fjuLIt9m" xr:uid="{5BAF3BC1-5036-4459-8CAF-A3E242D0E3F8}"/>
    <hyperlink ref="K327" r:id="rId534" display="https://drive.google.com/open?id=kcbXKTbpliikDLqgnUvq" xr:uid="{CAB11EC0-8467-4366-97A7-BBCE38DA00D4}"/>
    <hyperlink ref="R326" r:id="rId535" display="https://drive.google.com/open?id=Z8YJsNQH4DVkRnk6stTp" xr:uid="{7427BA07-725D-4BB8-8F61-C072BA66990E}"/>
    <hyperlink ref="O326" r:id="rId536" display="https://drive.google.com/open?id=1TVCI9ZtiAOzDjDMYxT4" xr:uid="{989A2FCF-0560-4834-98E1-FF41E5044189}"/>
    <hyperlink ref="N326" r:id="rId537" display="https://drive.google.com/open?id=P4UAvsz2HFI3xCZiPA4o" xr:uid="{A51743E5-472E-4C81-9A80-10E76315DBC2}"/>
    <hyperlink ref="R325" r:id="rId538" display="https://drive.google.com/open?id=JXh9w1EjnM21SgqYg4y0" xr:uid="{76D9319E-4C05-4A45-B4C4-AA30DEB67E9D}"/>
    <hyperlink ref="L325" r:id="rId539" display="https://drive.google.com/open?id=dhL6CAeuKvOcymvZZJep" xr:uid="{C891C57A-BEFE-4980-BC97-8E5C86FCD2D4}"/>
    <hyperlink ref="K325" r:id="rId540" display="https://drive.google.com/open?id=WYPEKU4xm4HXXKW5bwN4" xr:uid="{0FCD4FAA-ED24-44D8-B3CA-58B68AA707CA}"/>
    <hyperlink ref="R324" r:id="rId541" display="https://drive.google.com/open?id=anX3OmdmMLi9d3B6z0NE" xr:uid="{A015DFBB-5B31-4842-81AA-0273E017ECBE}"/>
    <hyperlink ref="L324" r:id="rId542" display="https://drive.google.com/open?id=hEbVudPAvVt0jWzRemhh" xr:uid="{F561D1AA-7868-47E0-ABBE-9D19481A2251}"/>
    <hyperlink ref="K324" r:id="rId543" display="https://drive.google.com/open?id=lB9sSB0Op0rmDXSQLdi4" xr:uid="{01BCE6D2-9EBC-4443-8C15-AB48998716B2}"/>
    <hyperlink ref="R323" r:id="rId544" display="https://drive.google.com/open?id=ym4WucicdsumjfKyv5hd" xr:uid="{4B28C911-CE74-4CFF-A5D1-F0E445CFA6E7}"/>
    <hyperlink ref="L323" r:id="rId545" display="https://drive.google.com/open?id=DGB2LGT5t6ubbQZwXZDc" xr:uid="{C25B6DAD-CC1F-4AA2-93F7-A49C9A39BCF1}"/>
    <hyperlink ref="K323" r:id="rId546" display="https://drive.google.com/open?id=UairRVQN23ULrxKSocj7" xr:uid="{B45612AE-21AA-4739-AEE7-197C7E48570E}"/>
    <hyperlink ref="R322" r:id="rId547" display="https://drive.google.com/open?id=2UZCZJMumnio29hK3lGI" xr:uid="{4058C46B-0BFC-47DD-B719-9ADBA1F8EDA0}"/>
    <hyperlink ref="O322" r:id="rId548" display="https://drive.google.com/open?id=vQDwi6TukEOGa2T5QdeS" xr:uid="{79EC45B7-BCF3-456B-B7AD-ED5611C39A10}"/>
    <hyperlink ref="N322" r:id="rId549" display="https://drive.google.com/open?id=4gNROchJEANCad6pD3Ul" xr:uid="{FCBA59C2-80C8-4BF5-A47F-18F92DC13538}"/>
    <hyperlink ref="R321" r:id="rId550" display="https://drive.google.com/open?id=NByRJYZD2YMIKb7FJEvs" xr:uid="{DB41283A-27F2-4F69-9246-6CB50E46C3A2}"/>
    <hyperlink ref="L321" r:id="rId551" display="https://drive.google.com/open?id=dhynpGJMCLUrio6QGvpo" xr:uid="{E5389BF1-7C1D-4939-8078-E8E31ABC93D4}"/>
    <hyperlink ref="K321" r:id="rId552" display="https://drive.google.com/open?id=VAv1SoA11lzdMRMueZFf" xr:uid="{188D14FD-F2F4-475F-88F0-BBFE6EDD2502}"/>
    <hyperlink ref="R320" r:id="rId553" display="https://drive.google.com/open?id=YNFdEe9Xq3X9QYkinCn5" xr:uid="{D1116831-FAC7-4C1B-BC70-F821B5387A43}"/>
    <hyperlink ref="L320" r:id="rId554" display="https://drive.google.com/open?id=fRgImtdvR6HOk95fhisX" xr:uid="{86EE2DCD-9D52-47D2-98C6-E6FA4EB767C5}"/>
    <hyperlink ref="K320" r:id="rId555" display="https://drive.google.com/open?id=MVJVMPTr9qTZi5CyUsSe" xr:uid="{6D0AE619-BDAD-40F2-8986-2092CEA45E3B}"/>
    <hyperlink ref="R319" r:id="rId556" display="https://drive.google.com/open?id=bUQUoWy5MRvyQXXI6kwH" xr:uid="{23834823-D641-4CBB-8BB6-0269288D45CC}"/>
    <hyperlink ref="O319" r:id="rId557" display="https://drive.google.com/open?id=k6R2u5zbclmHf6goTJYP" xr:uid="{2105E047-9AEA-49EF-AE8A-393A0E4565CA}"/>
    <hyperlink ref="N319" r:id="rId558" display="https://drive.google.com/open?id=ekeR7MlbQswlfzzmNyAd" xr:uid="{5386391D-B9EA-46F8-B6DC-284809A404F4}"/>
    <hyperlink ref="R318" r:id="rId559" display="https://drive.google.com/open?id=lvLDVGisuPrLKrTDyedf" xr:uid="{298E2841-75C4-4F0A-8AD8-34675ECB8BC9}"/>
    <hyperlink ref="L318" r:id="rId560" display="https://drive.google.com/open?id=zIOa8LpDhiBcJFNCajsS" xr:uid="{CFF506FE-C108-4E8B-8FD3-B75D490F0A97}"/>
    <hyperlink ref="K318" r:id="rId561" display="https://drive.google.com/open?id=GnXUlqk3S1tNVhwCGzTA" xr:uid="{8FFE584E-4B0E-4A62-BC6A-FFEE78ABA1DC}"/>
    <hyperlink ref="R317" r:id="rId562" display="https://drive.google.com/open?id=D4QKETsnZ0AhHewGCVJi" xr:uid="{1392A749-755D-4C9F-B99B-4EC9F577E0E0}"/>
    <hyperlink ref="L317" r:id="rId563" display="https://drive.google.com/open?id=aCwwrwhl97WD1cAUiyeK" xr:uid="{1221340E-0A21-44FC-80CD-9C9150DA411A}"/>
    <hyperlink ref="K317" r:id="rId564" display="https://drive.google.com/open?id=v39PP4zSEwBkGPn6KXoB" xr:uid="{85B1FBC9-E56C-44BD-ADA0-3CE01F2710A1}"/>
    <hyperlink ref="R316" r:id="rId565" display="https://drive.google.com/open?id=PvyTTG3Bs1qzLY6bcmUW" xr:uid="{F54C892A-3A21-4B0D-8992-459458873E49}"/>
    <hyperlink ref="L316" r:id="rId566" display="https://drive.google.com/open?id=ErJW6E0KKmHqEI6xUQGK" xr:uid="{F54E8D88-FB46-4215-AE16-58512402F4B9}"/>
    <hyperlink ref="K316" r:id="rId567" display="https://drive.google.com/open?id=AGg7rTyeY4QI0jJyqDbm" xr:uid="{6C574E53-B092-4B78-AE50-DC79760A1176}"/>
    <hyperlink ref="R315" r:id="rId568" display="https://drive.google.com/open?id=JV3Tg99NyQ6BcR1PXZic" xr:uid="{175E4E42-F856-4660-9595-E9B51D41D780}"/>
    <hyperlink ref="L315" r:id="rId569" display="https://drive.google.com/open?id=7WPS3XMYd9Z1HPJ5JL4l" xr:uid="{C07731BD-4E5A-454A-B284-92693EBE8BA1}"/>
    <hyperlink ref="K315" r:id="rId570" display="https://drive.google.com/open?id=zxWhBVV9pzQoVXP43ZJl" xr:uid="{CD53E6BD-3DD1-4378-800C-A1727A0DFB6D}"/>
    <hyperlink ref="R314" r:id="rId571" display="https://drive.google.com/open?id=drPjbw5SW38pk9szFiXS" xr:uid="{CD4820A7-F09B-4621-AE79-E71A3290F565}"/>
    <hyperlink ref="L314" r:id="rId572" display="https://drive.google.com/open?id=EOPqYKDPNrybuDSxPKmE" xr:uid="{1378D143-5BE1-46D0-BC83-62F17ABFCD08}"/>
    <hyperlink ref="K314" r:id="rId573" display="https://drive.google.com/open?id=eMAV9zfKQO9V8GcYRROT" xr:uid="{B62F84AC-3029-4A94-B050-A786A9ADBC59}"/>
    <hyperlink ref="R313" r:id="rId574" display="https://drive.google.com/open?id=yUp4rMhH0E05Y1H59tPP" xr:uid="{25783CC7-A0AB-41B2-A836-A244D92485C5}"/>
    <hyperlink ref="L313" r:id="rId575" display="https://drive.google.com/open?id=K3HRfxLoegtOuImZ9bWD" xr:uid="{C09AEAD7-A37B-4FAD-93C3-F8AA97DF4AF8}"/>
    <hyperlink ref="K313" r:id="rId576" display="https://drive.google.com/open?id=9eqVMkxSzjvkSk5Kd4Qp" xr:uid="{08FE9FDF-F3DA-4726-9E46-F4C64F2601A9}"/>
    <hyperlink ref="R312" r:id="rId577" display="https://drive.google.com/open?id=w9sfWoDUBnzSNP7JdWud" xr:uid="{48D9DB68-1CBE-425C-830A-96525755ACDB}"/>
    <hyperlink ref="L312" r:id="rId578" display="https://drive.google.com/open?id=H4LDlbNqc7BxRoTKQ8N2" xr:uid="{67F5443A-BE41-4FB8-ABC1-5C386AA48532}"/>
    <hyperlink ref="K312" r:id="rId579" display="https://drive.google.com/open?id=Hb0tFL4rjkGC6hGBYLBg" xr:uid="{FE6B2A7E-558A-4C58-BFD5-528CBFD0EC86}"/>
    <hyperlink ref="R311" r:id="rId580" display="https://drive.google.com/open?id=owxwfEEGZRK5EP6Efi5E" xr:uid="{2712AA7E-43F1-417E-BD01-D5155C032691}"/>
    <hyperlink ref="L311" r:id="rId581" display="https://drive.google.com/open?id=DqiFRj7vsmruFLYS2d7E" xr:uid="{41C6AEA8-5BB6-4F4C-89D5-7B754CE95221}"/>
    <hyperlink ref="K311" r:id="rId582" display="https://drive.google.com/open?id=5x3z8CHOY7N5oBq4yuUT" xr:uid="{DD471D01-636D-4010-9694-7403E65FC56F}"/>
    <hyperlink ref="R310" r:id="rId583" display="https://drive.google.com/open?id=2ZKDHKckPxCENJpcwLTa" xr:uid="{927AA4DB-BDFA-4855-82F7-9F717DD21056}"/>
    <hyperlink ref="L310" r:id="rId584" display="https://drive.google.com/open?id=G9hAIks5DLmHAqzeRSko" xr:uid="{B1DC56F4-613F-4F07-A9D1-D7DF871EB5F1}"/>
    <hyperlink ref="K310" r:id="rId585" display="https://drive.google.com/open?id=n2DQ7ApwX2vqIIhuBifZ" xr:uid="{289E1C1B-3397-4030-A923-21DA738EC3EB}"/>
    <hyperlink ref="R309" r:id="rId586" display="https://drive.google.com/open?id=3z3esbYluvdP0oP8PIfk" xr:uid="{CC118E9D-A783-4D83-9A18-8EEB3E05F170}"/>
    <hyperlink ref="L309" r:id="rId587" display="https://drive.google.com/open?id=a3N0pZcUbXmR9Y7qhom6" xr:uid="{F4C7C4CA-946A-47F2-8697-8E5601B5DE71}"/>
    <hyperlink ref="K309" r:id="rId588" display="https://drive.google.com/open?id=u53XF1e4d1C6TPvfppK7" xr:uid="{3350386E-16C4-416F-8431-3E7FB4FACBE0}"/>
    <hyperlink ref="R308" r:id="rId589" display="https://drive.google.com/open?id=0g47NrcCqtskx04tYtSB" xr:uid="{1BD75DC8-E626-445F-80AE-F738412D71F1}"/>
    <hyperlink ref="O308" r:id="rId590" display="https://drive.google.com/open?id=US9m03f87nNS9H27htN6" xr:uid="{D2D20B62-7838-4DFB-A355-49CF83F5A9B5}"/>
    <hyperlink ref="N308" r:id="rId591" display="https://drive.google.com/open?id=S2ZbjuzPqPZBz4aYtC34" xr:uid="{23AB5C5D-E378-449B-AF12-1F1F7024AD37}"/>
    <hyperlink ref="R307" r:id="rId592" display="https://drive.google.com/open?id=3vGgRBZ9PdyclX0mkTRq" xr:uid="{6FC1820E-3438-431F-9C5C-50EB3B8E258E}"/>
    <hyperlink ref="L307" r:id="rId593" display="https://drive.google.com/open?id=hDPIWJmRNz22V4P6gapn" xr:uid="{4A79DF73-2F70-44CC-A5E8-7CE6AA0A461F}"/>
    <hyperlink ref="K307" r:id="rId594" display="https://drive.google.com/open?id=ZNUYBXL74TfqGZvkxqSa" xr:uid="{41A47757-0F53-4823-B0E4-0C8CA96D33CB}"/>
    <hyperlink ref="R306" r:id="rId595" display="https://drive.google.com/open?id=6EWYuE7E2mEyuuc3C3Lf" xr:uid="{3362F9AE-17F3-45A2-8C31-12DDC55DAC9E}"/>
    <hyperlink ref="O306" r:id="rId596" display="https://drive.google.com/open?id=fx8lM7KPYQDowSwYZHxO" xr:uid="{549B1E46-3DE7-44FA-A8F8-DBBF9426B4BD}"/>
    <hyperlink ref="N306" r:id="rId597" display="https://drive.google.com/open?id=JHXvf2uK7h81PRRzHuUn" xr:uid="{14934FCD-00C0-4355-AA1D-57AB2660B2D3}"/>
    <hyperlink ref="R305" r:id="rId598" display="https://drive.google.com/open?id=WAl99qVMvHwBPzx9iUzu" xr:uid="{FD606DCB-0CC3-4D85-96CD-91687BCE7B85}"/>
    <hyperlink ref="L305" r:id="rId599" display="https://drive.google.com/open?id=7w9VoXwZtELgWYgDaeVX" xr:uid="{E3D76FDD-EEF9-4C0C-BC1B-D9F12E89300D}"/>
    <hyperlink ref="K305" r:id="rId600" display="https://drive.google.com/open?id=VB4cVabu4tP91sVMIXyA" xr:uid="{C37348F3-C9DF-418D-A5B1-CED422E3A6CC}"/>
    <hyperlink ref="R304" r:id="rId601" display="https://drive.google.com/open?id=xNdah5fpuTOIzZeMrqGq" xr:uid="{6146FFA3-32A8-4367-A04E-45BE5CCC0EC2}"/>
    <hyperlink ref="L304" r:id="rId602" display="https://drive.google.com/open?id=Xek0FZS1Ma2tVZhZ30LX" xr:uid="{E2B18C8F-FADF-4B0E-B928-7D1288930BE5}"/>
    <hyperlink ref="K304" r:id="rId603" display="https://drive.google.com/open?id=nNSPgVCM44zjPSfAZRWK" xr:uid="{2B76CE6A-AFE9-41D9-A2B2-A52469488F1D}"/>
    <hyperlink ref="R303" r:id="rId604" display="https://drive.google.com/open?id=HBze87BbDGVJlxIis3Yx" xr:uid="{A8C42BC2-A761-433D-BD97-599BD2BA63F9}"/>
    <hyperlink ref="L303" r:id="rId605" display="https://drive.google.com/open?id=NdJi30de2ISu1EK5lMi0" xr:uid="{14ECD200-20AB-444E-8657-38563BA45EC8}"/>
    <hyperlink ref="K303" r:id="rId606" display="https://drive.google.com/open?id=7Te8R9ZyuPMIojs6gSvi" xr:uid="{6913E0F8-CA8A-443D-BFB0-C3E9EF22BF4A}"/>
    <hyperlink ref="R302" r:id="rId607" display="https://drive.google.com/open?id=9KUr4wbeh716XE4tT6YZ" xr:uid="{BAE6415A-7607-4966-9D9B-C8EE5B917559}"/>
    <hyperlink ref="L302" r:id="rId608" display="https://drive.google.com/open?id=WBmkasV2sDvdet7r9vZ3" xr:uid="{E61601E4-99C5-46D0-8142-15ED3831948E}"/>
    <hyperlink ref="K302" r:id="rId609" display="https://drive.google.com/open?id=GxO2OTkmpulTezArf211" xr:uid="{C6BFCDB4-5E82-4746-BE0C-B9F0497D9479}"/>
    <hyperlink ref="R301" r:id="rId610" display="https://drive.google.com/open?id=jmELbXtXcP2nGy8mgMGB" xr:uid="{F085C2EA-D7B8-4943-9669-E36B67369A4C}"/>
    <hyperlink ref="L301" r:id="rId611" display="https://drive.google.com/open?id=rxLmFpmYXoPZ9XohIW4q" xr:uid="{63D418BB-E544-443B-BCBD-3EE082EBFC12}"/>
    <hyperlink ref="K301" r:id="rId612" display="https://drive.google.com/open?id=m7a4u2WfdKh6R8pkJhAE" xr:uid="{B69E0A74-799D-4CE1-B461-1F5FFB186119}"/>
    <hyperlink ref="R300" r:id="rId613" display="https://drive.google.com/open?id=IAl1Jl9p2ygeCGPictp3" xr:uid="{0DDB8847-2A2A-431A-84EC-700A9E6A141A}"/>
    <hyperlink ref="L300" r:id="rId614" display="https://drive.google.com/open?id=geVZbqPNfgoXZap8miUa" xr:uid="{71CE0416-BE56-4387-8DE4-7BB5D7FED71C}"/>
    <hyperlink ref="K300" r:id="rId615" display="https://drive.google.com/open?id=ntAMiBVN8zegK78ozySz" xr:uid="{60C63720-72DA-4C04-918F-87DB048D53C3}"/>
    <hyperlink ref="R299" r:id="rId616" display="https://drive.google.com/open?id=GL2TWGODCoj6nkJ9M1IJ" xr:uid="{363E63BB-621A-4BE5-B411-7915F9CE973F}"/>
    <hyperlink ref="L299" r:id="rId617" display="https://drive.google.com/open?id=A3OlzL0Vwlf31z7jBaEz" xr:uid="{4FFA88E0-057A-4E87-837B-73F3355644A9}"/>
    <hyperlink ref="K299" r:id="rId618" display="https://drive.google.com/open?id=Af9sBqoVhsLzaZrmfU9w" xr:uid="{18AE9C41-484A-47A3-A94B-46DD96B3F6FB}"/>
    <hyperlink ref="R298" r:id="rId619" display="https://drive.google.com/open?id=uaJPpLfPIQm9UUCQjtvr" xr:uid="{A735DBEB-1C48-42F4-848F-CC93BF7E6FFC}"/>
    <hyperlink ref="L298" r:id="rId620" display="https://drive.google.com/open?id=7pWUFBbrt17rc89dv7II" xr:uid="{C1CC43B2-AA00-4F39-AB26-3E3F21EDA575}"/>
    <hyperlink ref="K298" r:id="rId621" display="https://drive.google.com/open?id=ujks7W7XbtNEo9uVAcVF" xr:uid="{A5A1D054-0BF6-46BD-B730-D887AE621A6F}"/>
    <hyperlink ref="R297" r:id="rId622" display="https://drive.google.com/open?id=r1kcy9BZQOvfoAxuNVuk" xr:uid="{001F317D-ED61-4475-8E51-660DE71184E0}"/>
    <hyperlink ref="L297" r:id="rId623" display="https://drive.google.com/open?id=Jzws7jyJDPuHJsNPF3k3" xr:uid="{C2CAE548-F141-4B5E-B20B-8CAB44E5701A}"/>
    <hyperlink ref="K297" r:id="rId624" display="https://drive.google.com/open?id=8q1ELJ7WO3DhhgYDbDcH" xr:uid="{A31C1D98-4F93-45D2-BF25-88CDF32548E5}"/>
    <hyperlink ref="R296" r:id="rId625" display="https://drive.google.com/open?id=0NqRwxXKy1lP37MYsohd" xr:uid="{3A6C8AAB-0D89-4E78-90B0-73A0144BDF83}"/>
    <hyperlink ref="L296" r:id="rId626" display="https://drive.google.com/open?id=wo4nqU1Yen02dZgrtd5n" xr:uid="{4E46214F-454C-41F2-9068-65DE515F3E06}"/>
    <hyperlink ref="K296" r:id="rId627" display="https://drive.google.com/open?id=Gx7Wp4x7Nsfp6czNK39K" xr:uid="{66A8C12A-8941-4DC3-A8AA-D4439A7EA635}"/>
    <hyperlink ref="R295" r:id="rId628" display="https://drive.google.com/open?id=aoVJEQTBZfO3dnJztOUb" xr:uid="{0FB13860-C865-4572-A6FC-4ABC6BCAED53}"/>
    <hyperlink ref="L295" r:id="rId629" display="https://drive.google.com/open?id=Wf57pF68afP2Tz2PTHwp" xr:uid="{B7793FB7-20DF-427C-B63F-763302B3E549}"/>
    <hyperlink ref="K295" r:id="rId630" display="https://drive.google.com/open?id=Mz7Jpzs2JiGivSWgjVwo" xr:uid="{D72E54BB-374C-4CDB-BED6-D5E128AA4B9B}"/>
    <hyperlink ref="R294" r:id="rId631" display="https://drive.google.com/open?id=Nfj6DlbXtU3OruZys3Fk" xr:uid="{E94F38E3-6698-4535-8C26-ED29D0C26CAF}"/>
    <hyperlink ref="L294" r:id="rId632" display="https://drive.google.com/open?id=5NpMqlvDfhqcs7E5CY7E" xr:uid="{AD38AB8A-D130-44AD-BACB-6A5980585A94}"/>
    <hyperlink ref="K294" r:id="rId633" display="https://drive.google.com/open?id=9FPvHmYGAJs7Un2zVkr4" xr:uid="{94CAB324-FF6E-4AFA-81F1-6EDA9F0DCFD9}"/>
    <hyperlink ref="R293" r:id="rId634" display="https://drive.google.com/open?id=PcwJFjQstsIc9eIuRCh3" xr:uid="{1C0AA4E3-8443-4401-A65B-5E79CED20794}"/>
    <hyperlink ref="L293" r:id="rId635" display="https://drive.google.com/open?id=Bj8nxoQmuf51rto8klMr" xr:uid="{FAB52EA7-0EEB-43A4-9937-8C37F84585F2}"/>
    <hyperlink ref="K293" r:id="rId636" display="https://drive.google.com/open?id=nRqzrAoEjXtuclvg5mK0" xr:uid="{72F6A803-C458-419A-B9D6-80EF5CB93C98}"/>
    <hyperlink ref="R292" r:id="rId637" display="https://drive.google.com/open?id=63g0OKwHHZNhMqrEttD7" xr:uid="{D5097C3D-35C5-4A4C-838E-90759716ADEC}"/>
    <hyperlink ref="L292" r:id="rId638" display="https://drive.google.com/open?id=5vcXGIcJq4nYPefnnHXg" xr:uid="{9A8E8070-DEBF-4817-9B1A-2C22BB2996FB}"/>
    <hyperlink ref="K292" r:id="rId639" display="https://drive.google.com/open?id=IBJXdR4BOgr8GRn2b9Jm" xr:uid="{E74E457B-4D51-4F60-8744-EEA6A2A630EC}"/>
    <hyperlink ref="R291" r:id="rId640" display="https://drive.google.com/open?id=mKkKojF89uxsgErpUjQU" xr:uid="{C677927A-4DE5-48FF-BB3E-A10BBB19B1C2}"/>
    <hyperlink ref="L291" r:id="rId641" display="https://drive.google.com/open?id=f7CygVX3IuThbIh29NAD" xr:uid="{C0F773F8-ACBC-47AD-AA4E-5A6E8E754549}"/>
    <hyperlink ref="K291" r:id="rId642" display="https://drive.google.com/open?id=sEham0jj82j1EauXxSFX" xr:uid="{8A9182CF-1D10-4C8F-9036-015C57B7FDFD}"/>
    <hyperlink ref="R290" r:id="rId643" display="https://drive.google.com/open?id=gxEOVZmtEDxPNed0P1qV" xr:uid="{837EDEE5-6551-47AE-B68D-5B7B93B43D21}"/>
    <hyperlink ref="O290" r:id="rId644" display="https://drive.google.com/open?id=4sWjtHX7iMn1ujuBcL94" xr:uid="{2CB6AAFF-F99F-4EE4-B3C1-A62C287C06C6}"/>
    <hyperlink ref="N290" r:id="rId645" display="https://drive.google.com/open?id=7P8f88d9Ekh5UMGI7heO" xr:uid="{A4F1A996-5B04-4B82-9F5F-136D47DFE2AA}"/>
    <hyperlink ref="R289" r:id="rId646" display="https://drive.google.com/open?id=iYAL8Mat3hDt3pL6flCL" xr:uid="{EB60244A-3324-4035-B8F5-C30A43EAA96D}"/>
    <hyperlink ref="L289" r:id="rId647" display="https://drive.google.com/open?id=BcFXHa2pHcrrwhYwzLXj" xr:uid="{92E020A5-266B-4C54-9F35-5FEAA9C36CE6}"/>
    <hyperlink ref="K289" r:id="rId648" display="https://drive.google.com/open?id=uFR1MGMXtwBBAc1EUAkU" xr:uid="{4BDF236D-67B4-4E85-81A0-D0C0CF882D62}"/>
    <hyperlink ref="R288" r:id="rId649" display="https://drive.google.com/open?id=4UY7FD4HGTNYS1A4AK7n" xr:uid="{C4D45CB6-9FC7-463D-A208-AD1337CB107F}"/>
    <hyperlink ref="L288" r:id="rId650" display="https://drive.google.com/open?id=ZtmJLH8l6hBaNNwDVQXQ" xr:uid="{8E0E3662-449A-469C-97F3-B1E2046D7E78}"/>
    <hyperlink ref="K288" r:id="rId651" display="https://drive.google.com/open?id=VnC0VHdxlHNrYcII5vpS" xr:uid="{C77FDEE8-C8EF-4C1C-BDC9-AA88479BAA45}"/>
    <hyperlink ref="R287" r:id="rId652" display="https://drive.google.com/open?id=4ort1x7jPoGVPCpUZjcm" xr:uid="{EEF4B2FA-4F98-42B6-ADE5-8F209788D49D}"/>
    <hyperlink ref="L287" r:id="rId653" display="https://drive.google.com/open?id=pf6QNVQuYTt9OqeXW47v" xr:uid="{D41CAB4D-BB35-4CC1-B22E-10B7D5F9DBBE}"/>
    <hyperlink ref="K287" r:id="rId654" display="https://drive.google.com/open?id=pigr6yFLNnveLy4yFeAn" xr:uid="{65F39A32-F76A-4061-A13E-57CD4274366A}"/>
    <hyperlink ref="R286" r:id="rId655" display="https://drive.google.com/open?id=dEysnYtIKKhDomqJLAie" xr:uid="{8953137A-098B-4D9D-A382-04D5262E8F25}"/>
    <hyperlink ref="O286" r:id="rId656" display="https://drive.google.com/open?id=sT1WmW8LGJ0sc4nVz5PD" xr:uid="{18DBD7C0-1E02-4C36-9784-E15B411DB375}"/>
    <hyperlink ref="N286" r:id="rId657" display="https://drive.google.com/open?id=m5GVVcrgOqlUHeDts4qN" xr:uid="{8337667D-F40F-410C-9902-1A5965450CA4}"/>
    <hyperlink ref="R285" r:id="rId658" display="https://drive.google.com/open?id=1Wj99CvWW6OAlDUvdUzQ" xr:uid="{AC070FB0-68C1-4639-9CD5-0CC9D95A6B8E}"/>
    <hyperlink ref="L285" r:id="rId659" display="https://drive.google.com/open?id=P7goVumpvFeniYnyP0JX" xr:uid="{9AA32CC9-2A4D-48F7-AEF9-5A0AAE060F72}"/>
    <hyperlink ref="K285" r:id="rId660" display="https://drive.google.com/open?id=9Kp6gbepRmmNfbJ4gi3m" xr:uid="{D86E707D-5232-499D-A36F-9B482CB6AB8B}"/>
    <hyperlink ref="R284" r:id="rId661" display="https://drive.google.com/open?id=2JjpClS4LhfLHZqhwiiw" xr:uid="{03C98C1C-AF24-4573-A26B-997BD7643938}"/>
    <hyperlink ref="O284" r:id="rId662" display="https://drive.google.com/open?id=aYmSiYjAQrCwb5ObPDvd" xr:uid="{381ADA00-3FB4-4622-B94E-881C743C0948}"/>
    <hyperlink ref="N284" r:id="rId663" display="https://drive.google.com/open?id=HhOy1yD2WzsAJjekGQ63" xr:uid="{295D296B-6999-46BC-9169-1367D2DCEEEB}"/>
    <hyperlink ref="R283" r:id="rId664" display="https://drive.google.com/open?id=Wtcynfihd1epYS7Mxz6r" xr:uid="{BA5EBFB6-0CF2-459D-8D6E-147EAC5ED604}"/>
    <hyperlink ref="O283" r:id="rId665" display="https://drive.google.com/open?id=e0waM6zzfWbw8fUNNW74" xr:uid="{F29EA43D-3E47-4637-8677-50E4A26F27C3}"/>
    <hyperlink ref="N283" r:id="rId666" display="https://drive.google.com/open?id=5f68rRtXS2eV2VuhVJI4" xr:uid="{F4A23427-3995-4EAB-8BD3-19300A39554E}"/>
    <hyperlink ref="R282" r:id="rId667" display="https://drive.google.com/open?id=mfuiQhtoxXAs37t4RS0l" xr:uid="{C50C0C63-E6D8-458E-9D25-4EA1C3087471}"/>
    <hyperlink ref="L282" r:id="rId668" display="https://drive.google.com/open?id=XuBEooP1pb824rkir79u" xr:uid="{915BA55D-041D-4A15-A946-D80AB8062DE0}"/>
    <hyperlink ref="K282" r:id="rId669" display="https://drive.google.com/open?id=bMAmzFAzdwoEhN33UIUw" xr:uid="{15E42EF2-ACCC-44E5-BB57-05DB991B46CC}"/>
    <hyperlink ref="R281" r:id="rId670" display="https://drive.google.com/open?id=SdjfencBtLt3Xv5WFX96" xr:uid="{F1684C97-F72B-4DDE-8993-0E0BB64FBD0B}"/>
    <hyperlink ref="L281" r:id="rId671" display="https://drive.google.com/open?id=QTZCFQ4ZUeYVjZQj85Lw" xr:uid="{54995316-24D8-40DD-9EEA-1C205EBAE68E}"/>
    <hyperlink ref="K281" r:id="rId672" display="https://drive.google.com/open?id=Cbehti43lU4C8npzeuOA" xr:uid="{69089766-9FE6-4468-A131-17E52F5D3FCE}"/>
    <hyperlink ref="R280" r:id="rId673" display="https://drive.google.com/open?id=C1qoibgfPrCCPowZLbgc" xr:uid="{0D292423-9DF3-43B3-AE1C-AC1A48F0EEA6}"/>
    <hyperlink ref="L280" r:id="rId674" display="https://drive.google.com/open?id=yYSeUBWQ7Ye2XTAKvy3z" xr:uid="{06C90C7A-8C4D-431C-AC56-06746B6CCA28}"/>
    <hyperlink ref="K280" r:id="rId675" display="https://drive.google.com/open?id=dobkeL7dbXNjCRCHmjnF" xr:uid="{9EDB1D05-F34D-4645-8CFF-279D0ABC80FD}"/>
    <hyperlink ref="R279" r:id="rId676" display="https://drive.google.com/open?id=enElEzmrQ6ltCMNOkzpB" xr:uid="{7D07ABF7-687F-435E-AA52-F7A225A9F382}"/>
    <hyperlink ref="L279" r:id="rId677" display="https://drive.google.com/open?id=tQC6g0tkc2wMxYV0aeNf" xr:uid="{59956409-9FE2-433D-B614-C02488B331C8}"/>
    <hyperlink ref="K279" r:id="rId678" display="https://drive.google.com/open?id=QrITsKCNKBlXeRcNWf0r" xr:uid="{2FF8453C-0A8A-463A-87F5-CB632F3F61E5}"/>
    <hyperlink ref="R278" r:id="rId679" display="https://drive.google.com/open?id=zkPZH2zLdubnQIebi5SO" xr:uid="{31D0766E-5ECE-4FD2-BAC9-68FFBCBF544B}"/>
    <hyperlink ref="L278" r:id="rId680" display="https://drive.google.com/open?id=UGdTWhtyZEwQATiQvoWj" xr:uid="{F1C64C88-490D-48BF-9688-CE8C2C48B4CA}"/>
    <hyperlink ref="K278" r:id="rId681" display="https://drive.google.com/open?id=fvEeNJFerf7K3yx09zqt" xr:uid="{753D70FA-206A-4AC3-9452-37046131B538}"/>
    <hyperlink ref="R277" r:id="rId682" display="https://drive.google.com/open?id=jBOyoqr22Q0pVUgHx1OO" xr:uid="{8C7A7F5A-4844-4249-B432-A5A159880099}"/>
    <hyperlink ref="L277" r:id="rId683" display="https://drive.google.com/open?id=c0kG0gfNbMmHnXCo3S0d" xr:uid="{79649AC8-3EF7-4F30-B631-D6AC03B3F780}"/>
    <hyperlink ref="K277" r:id="rId684" display="https://drive.google.com/open?id=CClMsHtgyUSc4EnZtJP3" xr:uid="{C7136DBC-1649-4BDF-BC3E-3DCF98AE7EB0}"/>
    <hyperlink ref="R276" r:id="rId685" display="https://drive.google.com/open?id=uYwaBXTuSX4UcrcqEOlh" xr:uid="{45B6A785-C3EB-447A-A140-CAB0482ADBED}"/>
    <hyperlink ref="O276" r:id="rId686" display="https://drive.google.com/open?id=62ovaeZJEMpQgh0k2Sub" xr:uid="{2F5BF619-79F8-4FF5-8F11-279CEE6C1BD7}"/>
    <hyperlink ref="N276" r:id="rId687" display="https://drive.google.com/open?id=Mhh7heX36m35idpJH1VZ" xr:uid="{F62B01E6-BAE1-43D9-B515-D05259CE6BA5}"/>
    <hyperlink ref="R275" r:id="rId688" display="https://drive.google.com/open?id=qEN6vt0XtOuwF8BX451X" xr:uid="{F1C437C6-1726-4EA6-AE34-13FD41F663FF}"/>
    <hyperlink ref="L275" r:id="rId689" display="https://drive.google.com/open?id=MGp6Ms76GzRj448I1MVq" xr:uid="{CE75E368-17A5-4BDA-A997-8A8097D68C84}"/>
    <hyperlink ref="K275" r:id="rId690" display="https://drive.google.com/open?id=fUEQYl03HarnyYI96XvU" xr:uid="{6FAB48AB-7505-4234-A81D-EA6C46A0BA79}"/>
    <hyperlink ref="R274" r:id="rId691" display="https://drive.google.com/open?id=aDnm291di0FeYHtkbt5D" xr:uid="{9FA90F9F-471A-4618-8DBB-84B48B298968}"/>
    <hyperlink ref="O274" r:id="rId692" display="https://drive.google.com/open?id=pczV6zY21OiN12lLSNjK" xr:uid="{42DB0825-F8B4-4D72-AD54-E561EC2F3EE9}"/>
    <hyperlink ref="N274" r:id="rId693" display="https://drive.google.com/open?id=WFt28AHp7ttFXXZneT6r" xr:uid="{D8E570FC-709B-4201-9272-44B7D120312F}"/>
    <hyperlink ref="R273" r:id="rId694" display="https://drive.google.com/open?id=HW8xA09PbyYq2pKQdTWe" xr:uid="{AD7FC5A7-1D52-4876-9CBA-5A5A3627ACFB}"/>
    <hyperlink ref="L273" r:id="rId695" display="https://drive.google.com/open?id=0kxTbEQEilU0fNv95fH7" xr:uid="{12F340B4-EEBD-401F-9FEA-8531DE0E8BA5}"/>
    <hyperlink ref="K273" r:id="rId696" display="https://drive.google.com/open?id=Ot13GcYUPDzqalk1P08w" xr:uid="{E0172DED-166A-4C2B-B158-41F05AE074BE}"/>
    <hyperlink ref="R272" r:id="rId697" display="https://drive.google.com/open?id=AV1LOwddk7vaBU0r33P3" xr:uid="{30DDD1AF-2E7B-4054-BFE3-5BB27818D37C}"/>
    <hyperlink ref="L272" r:id="rId698" display="https://drive.google.com/open?id=Zhx7fNX7xNRizBSUa4LF" xr:uid="{9C741FE2-2199-4B82-A2E6-D41149DFFFEA}"/>
    <hyperlink ref="K272" r:id="rId699" display="https://drive.google.com/open?id=4WtJBTIWfVH6gL6ph5Ar" xr:uid="{8A98345D-A27B-4FD0-892E-3A9BDECD73A9}"/>
    <hyperlink ref="R271" r:id="rId700" display="https://drive.google.com/open?id=WZ2AosQm2xxGsZhbgq7E" xr:uid="{14ACDD5C-F2F4-44ED-9D88-DE58A592FAA3}"/>
    <hyperlink ref="L271" r:id="rId701" display="https://drive.google.com/open?id=CoVej0O18VEtd15vo5UF" xr:uid="{1503AE3F-DCE6-434D-8CBC-1FEEF73B1457}"/>
    <hyperlink ref="K271" r:id="rId702" display="https://drive.google.com/open?id=kwGhIjV6QLrzlcGnLaX6" xr:uid="{885F1773-E54A-4C83-BB3D-2534CD1BD1EE}"/>
    <hyperlink ref="R270" r:id="rId703" display="https://drive.google.com/open?id=KinQWFTVTGnd1xggL159" xr:uid="{6AC14468-928D-434E-8C9E-B9683D479E44}"/>
    <hyperlink ref="O270" r:id="rId704" display="https://drive.google.com/open?id=I1cSfmiD8hNa5tuwmFxh" xr:uid="{DC65C464-C8DC-48EA-991A-0790F8937C1D}"/>
    <hyperlink ref="N270" r:id="rId705" display="https://drive.google.com/open?id=XPp5hF9bIGXQcigzN4WA" xr:uid="{395278C9-F786-4ED7-9864-2FFD4492C7A4}"/>
    <hyperlink ref="R269" r:id="rId706" display="https://drive.google.com/open?id=zp1SbdwICbocR4iTJaUa" xr:uid="{3BF8C4C8-249F-4544-92EA-997270268EBD}"/>
    <hyperlink ref="L269" r:id="rId707" display="https://drive.google.com/open?id=4LHR6BCuUMKfBsjnOyS2" xr:uid="{DAAD6CC1-36AA-43DB-BCDD-71A4DA0A3BBC}"/>
    <hyperlink ref="K269" r:id="rId708" display="https://drive.google.com/open?id=jsDCUkWegt72JhfwMw7r" xr:uid="{C18E2642-A6E6-4E52-A481-8096E11E5208}"/>
    <hyperlink ref="R268" r:id="rId709" display="https://drive.google.com/open?id=3Ge9x9muCxtP1p5sMlHg" xr:uid="{233393D3-54FB-490F-9B44-7207F68F5145}"/>
    <hyperlink ref="L268" r:id="rId710" display="https://drive.google.com/open?id=3n4j1hUMN1pjiaeZggYS" xr:uid="{76A9278F-59F3-492D-ACD0-75CA42AE8F08}"/>
    <hyperlink ref="K268" r:id="rId711" display="https://drive.google.com/open?id=shojjk0Hj1RYFufKPMcN" xr:uid="{7E4FA69C-845F-43DC-B68B-7A21C09C12DE}"/>
    <hyperlink ref="R267" r:id="rId712" display="https://drive.google.com/open?id=ILP0ENoz3RotEgZrIIc1" xr:uid="{6397D04C-3708-446C-A4BE-DAF61888C756}"/>
    <hyperlink ref="L267" r:id="rId713" display="https://drive.google.com/open?id=XSvxFPc80Xkz0lS1ElkS" xr:uid="{F6626798-BD38-4C86-80CF-43CD9ECB5E69}"/>
    <hyperlink ref="K267" r:id="rId714" display="https://drive.google.com/open?id=ZjPkxU95qgslQMeonVWK" xr:uid="{1B624275-8296-4C65-8952-07A9000590B5}"/>
    <hyperlink ref="R266" r:id="rId715" display="https://drive.google.com/open?id=Ozk3DncnybTygkVBhYwX" xr:uid="{7FC6CC63-FDCA-41F2-9962-23388355A4A3}"/>
    <hyperlink ref="O266" r:id="rId716" display="https://drive.google.com/open?id=ibnKOmUxmyIBNbgUMl03" xr:uid="{1C1F7E91-9485-456D-BB7D-2DDDA1D6D877}"/>
    <hyperlink ref="N266" r:id="rId717" display="https://drive.google.com/open?id=xQvAxPven1ZGAFzNxAMY" xr:uid="{34725B25-ED00-4BDC-884D-23D633667198}"/>
    <hyperlink ref="R265" r:id="rId718" display="https://drive.google.com/open?id=WVPDs4JhBOgyxVGNHVEx" xr:uid="{4C6FC9BC-44DF-44A5-AE32-5E6ECF74A1AC}"/>
    <hyperlink ref="L265" r:id="rId719" display="https://drive.google.com/open?id=IoU6pLYp1xaGGP76ouFw" xr:uid="{FB037697-0D14-47FA-B384-4D1F3F981F58}"/>
    <hyperlink ref="K265" r:id="rId720" display="https://drive.google.com/open?id=fr1ZbG0sAJz22lvlnN5D" xr:uid="{547AA180-3641-44E6-9315-22087C620A67}"/>
    <hyperlink ref="R264" r:id="rId721" display="https://drive.google.com/open?id=NVZMd9eC9J5DdZsX9mMd" xr:uid="{CAE96DFC-E9EF-4E6C-B877-AE405F5D0797}"/>
    <hyperlink ref="L264" r:id="rId722" display="https://drive.google.com/open?id=0zwZWKfD9aPUhIeaNmoC" xr:uid="{D6BD2908-C5F2-4BEC-822C-F251993496EA}"/>
    <hyperlink ref="K264" r:id="rId723" display="https://drive.google.com/open?id=uzxGUhYZ4bA4tQLGtpJk" xr:uid="{296D5D0A-4EC9-41C2-B663-3D55A4C311EF}"/>
    <hyperlink ref="R263" r:id="rId724" display="https://drive.google.com/open?id=PmOwIUhZ0PAWsSzwv9vS" xr:uid="{4ED6E85E-B849-4025-9608-5DBC596238EB}"/>
    <hyperlink ref="L263" r:id="rId725" display="https://drive.google.com/open?id=OEDZqgdbItYHN1XybwEY" xr:uid="{9E7AD24D-23DC-442C-AB7A-26788646C2E4}"/>
    <hyperlink ref="K263" r:id="rId726" display="https://drive.google.com/open?id=N8MPgvWJdQfhkCrtJNa9" xr:uid="{80855825-EBE3-44A1-A58D-9877FB988E4B}"/>
    <hyperlink ref="R262" r:id="rId727" display="https://drive.google.com/open?id=KJxU3Jk4PmC69BuLHlzy" xr:uid="{397D406D-0C8A-4877-8EC2-7C0C5B8EC169}"/>
    <hyperlink ref="L262" r:id="rId728" display="https://drive.google.com/open?id=OGrAXaauPjO78laZi8Ey" xr:uid="{EBD6ABBA-498A-4DB6-878F-5DC1641E5AD8}"/>
    <hyperlink ref="K262" r:id="rId729" display="https://drive.google.com/open?id=DmEKaGFyRxvcs4xSrZrv" xr:uid="{345D8CA2-5C84-48AF-BF6D-4FEB415D5188}"/>
    <hyperlink ref="R261" r:id="rId730" display="https://drive.google.com/open?id=taVWy3m8BoiZYgluBlMi" xr:uid="{503AE308-C1E8-4560-9C85-600309576C1B}"/>
    <hyperlink ref="L261" r:id="rId731" display="https://drive.google.com/open?id=f3AqCqxgflgAn1lYscss" xr:uid="{D3CEA89C-EB9A-4052-A204-E400097A7E67}"/>
    <hyperlink ref="K261" r:id="rId732" display="https://drive.google.com/open?id=2CYpWSsR3eow2wKk9Se8" xr:uid="{7BF47671-B135-49B0-BD4E-75A4219AA3B9}"/>
    <hyperlink ref="R260" r:id="rId733" display="https://drive.google.com/open?id=Uy7UzAFQfJBAeoqpL1Hn" xr:uid="{5F5A8C3E-45D3-4D8B-BE18-1E9AC2F2662D}"/>
    <hyperlink ref="L260" r:id="rId734" display="https://drive.google.com/open?id=wNTMi4Q3Gc43D8zFfRpn" xr:uid="{E25B4B71-E291-48D5-BF9E-87E259861C87}"/>
    <hyperlink ref="K260" r:id="rId735" display="https://drive.google.com/open?id=qZOWgai9l0I5xvmbKADo" xr:uid="{420604F5-DDDD-4FA0-BC91-DCE8005F95DB}"/>
    <hyperlink ref="R259" r:id="rId736" display="https://drive.google.com/open?id=X2CaRGLU00IoY7WdssCb" xr:uid="{1EE28CA3-B3D3-41C1-9D2E-17679561004F}"/>
    <hyperlink ref="L259" r:id="rId737" display="https://drive.google.com/open?id=3T9qKh9K5M50gyRGqdNz" xr:uid="{CFBACB88-F0B2-4D8C-BAD4-BA2C5B16DD00}"/>
    <hyperlink ref="K259" r:id="rId738" display="https://drive.google.com/open?id=BUpvdIjqmVZqj270J7sG" xr:uid="{8EBB1EEB-EC9F-4578-8C3C-3B5F4BF45D34}"/>
    <hyperlink ref="R258" r:id="rId739" display="https://drive.google.com/open?id=YHxAexax3CU2hK7GZJQL" xr:uid="{A278DCB8-3B32-4820-91C7-72C3224B59BD}"/>
    <hyperlink ref="L258" r:id="rId740" display="https://drive.google.com/open?id=hb5Rdq0Q49tLceYH4o6k" xr:uid="{7E25DC5A-51C2-4C55-9FEB-F4DDE1ED3B23}"/>
    <hyperlink ref="K258" r:id="rId741" display="https://drive.google.com/open?id=AGFBAMzEjI5oKQWpA0Cz" xr:uid="{3ED19A3B-25A7-40EF-AF63-6E5168FED4F7}"/>
    <hyperlink ref="R257" r:id="rId742" display="https://drive.google.com/open?id=qogLYPAHj87vD9brQw7k" xr:uid="{52AB7B4E-5C48-4A01-8BAC-8CE26CFD6D4E}"/>
    <hyperlink ref="L257" r:id="rId743" display="https://drive.google.com/open?id=65jdYipuNHKT9Wmrwcrb" xr:uid="{3D69F57F-38CC-4F95-BD94-82C337ECDDA9}"/>
    <hyperlink ref="K257" r:id="rId744" display="https://drive.google.com/open?id=5ooS6xpE4EfhX5QWs3WN" xr:uid="{525C08CC-B785-4BD6-B760-DBFF6BB1A650}"/>
    <hyperlink ref="R256" r:id="rId745" display="https://drive.google.com/open?id=1yXpttTLpKe0nKHcpGbZ" xr:uid="{5017B7ED-77A9-4AC5-9FF3-BB38E6B5008E}"/>
    <hyperlink ref="L256" r:id="rId746" display="https://drive.google.com/open?id=p6IfsKbsu9G24LFcRGna" xr:uid="{0342AFC9-2FC2-4FCC-A338-8548F1A77461}"/>
    <hyperlink ref="K256" r:id="rId747" display="https://drive.google.com/open?id=jk98npoJR4RXx3TKpDDT" xr:uid="{07589762-DFD1-4355-8A5B-D669D4E481DC}"/>
    <hyperlink ref="R255" r:id="rId748" display="https://drive.google.com/open?id=fmbVlQmICZIp8fpuKesF" xr:uid="{79860154-FE10-4F15-85D0-9C8C4EF35B47}"/>
    <hyperlink ref="L255" r:id="rId749" display="https://drive.google.com/open?id=zu37xmbOfCvJJd5AeCES" xr:uid="{EBF8C59B-E090-4E17-A0F3-1A99CC36721A}"/>
    <hyperlink ref="K255" r:id="rId750" display="https://drive.google.com/open?id=n4QWJEVEdZZBnoBSH5He" xr:uid="{A3C1D284-B9B8-4ACB-9880-E960E18A1534}"/>
    <hyperlink ref="R254" r:id="rId751" display="https://drive.google.com/open?id=FM0TiBUOGpbg5MrONf4K" xr:uid="{D1CC1E82-D446-4536-9ECA-FA0BF58290A6}"/>
    <hyperlink ref="L254" r:id="rId752" display="https://drive.google.com/open?id=SRP85mvTVvhjaLTFp9Xq" xr:uid="{2EE6D2CF-AD3A-43E0-A2F5-CF168AF96F57}"/>
    <hyperlink ref="K254" r:id="rId753" display="https://drive.google.com/open?id=zhGO6hk9sTkEF03syiAV" xr:uid="{FDC44B45-EAF1-4898-AA38-286F5BACDE74}"/>
    <hyperlink ref="R253" r:id="rId754" display="https://drive.google.com/open?id=srmhQbMH55WL3LEC19Jz" xr:uid="{2C21E80D-B94B-46CB-AF2C-DEECCAAD6A3D}"/>
    <hyperlink ref="L253" r:id="rId755" display="https://drive.google.com/open?id=ZAqWOeYcRCbfp5uvDqlt" xr:uid="{4304588E-5AB2-40A3-B5E3-DB568A15FEA9}"/>
    <hyperlink ref="K253" r:id="rId756" display="https://drive.google.com/open?id=B2oYWgO9JlQH8JtTUUCs" xr:uid="{F3FD309A-A50C-48DF-8BCD-176E8D86B960}"/>
    <hyperlink ref="R252" r:id="rId757" display="https://drive.google.com/open?id=G2frW46SS7ZyBrmpqAoL" xr:uid="{7B7AD31D-4E51-4F00-9965-6AA1DD8180CA}"/>
    <hyperlink ref="L252" r:id="rId758" display="https://drive.google.com/open?id=yKO6Mds2oiGEgRuYFpSK" xr:uid="{151432A3-787C-4A8F-A14B-4D347B874BA1}"/>
    <hyperlink ref="K252" r:id="rId759" display="https://drive.google.com/open?id=6T62DzbKv6pLwmKur1xI" xr:uid="{26218D04-BF40-4472-B548-765F151FAB3D}"/>
    <hyperlink ref="R251" r:id="rId760" display="https://drive.google.com/open?id=90IXpCSBAg9NYmsLVd7E" xr:uid="{EC46BF6B-09ED-4470-A717-18FDB698DF90}"/>
    <hyperlink ref="L251" r:id="rId761" display="https://drive.google.com/open?id=LTjN3iXVDCO7MokFz4HX" xr:uid="{CB32A5D6-5E57-4C46-8851-17A9DAA3DBA3}"/>
    <hyperlink ref="K251" r:id="rId762" display="https://drive.google.com/open?id=5I3RtXJJhEIFzLZLAdJ3" xr:uid="{F65202B5-7DC8-4CAF-8E28-B1A302EA0840}"/>
    <hyperlink ref="R250" r:id="rId763" display="https://drive.google.com/open?id=12hVdm8ywe92LUTqAyqc" xr:uid="{C1ADC144-2444-413B-B99D-57813BCAE79D}"/>
    <hyperlink ref="L250" r:id="rId764" display="https://drive.google.com/open?id=TtTiyFu0d1wFNyiiakW0" xr:uid="{AD9495FA-9E2E-401D-B1B0-BDED8ED50DD2}"/>
    <hyperlink ref="K250" r:id="rId765" display="https://drive.google.com/open?id=GX7VgHePWUFBYBvUg4aW" xr:uid="{00AD0B5A-0D5B-4F3C-B052-0764E6865F92}"/>
    <hyperlink ref="R249" r:id="rId766" display="https://drive.google.com/open?id=1MvX4H6zaAqnQchXRlXs" xr:uid="{261DD4BE-E764-4C75-A25E-908A0E563693}"/>
    <hyperlink ref="L249" r:id="rId767" display="https://drive.google.com/open?id=5HWmVyXt5cS2XPJDU8H8" xr:uid="{4DF002C4-09AF-4E84-BE41-C7298AAD5885}"/>
    <hyperlink ref="K249" r:id="rId768" display="https://drive.google.com/open?id=7lyhOBao8t0wM5mewdCF" xr:uid="{6906E687-08B0-442C-8E60-7E37FB4ADAC0}"/>
    <hyperlink ref="R248" r:id="rId769" display="https://drive.google.com/open?id=t9MbXWqwBCI2pbRGdjJe" xr:uid="{9D387EB9-FED3-47C4-9FE4-66644662394B}"/>
    <hyperlink ref="L248" r:id="rId770" display="https://drive.google.com/open?id=rX07SECUJJuWNww50Zy0" xr:uid="{AACBA7E4-325A-46E7-B8A4-BA26DCCA561C}"/>
    <hyperlink ref="K248" r:id="rId771" display="https://drive.google.com/open?id=Ubsl6pAusII8joD0I8kJ" xr:uid="{634C2510-ACBF-4CA0-8A30-FC6D8730D504}"/>
    <hyperlink ref="R247" r:id="rId772" display="https://drive.google.com/open?id=rtkZNQUPkMxMK8YaLWhE" xr:uid="{B3EA6BDB-A525-4CE8-B199-F382D28C24AD}"/>
    <hyperlink ref="L247" r:id="rId773" display="https://drive.google.com/open?id=TiQK8BEL3ZEvOzMOxI4H" xr:uid="{0ED4D75D-D531-47B3-8491-771B23528DBC}"/>
    <hyperlink ref="K247" r:id="rId774" display="https://drive.google.com/open?id=BGIr5aCINc2hTAoNYgzr" xr:uid="{E49E9A8D-F2ED-44A0-B01D-651D715CB715}"/>
    <hyperlink ref="R246" r:id="rId775" display="https://drive.google.com/open?id=6BmR5NGb6L0A5K80feUX" xr:uid="{0FE0CF1F-2990-4A29-A4FC-0B72922E167A}"/>
    <hyperlink ref="L246" r:id="rId776" display="https://drive.google.com/open?id=vw08KQFfiZT7rBPVsUMi" xr:uid="{8549D8FA-43AD-450A-978E-B4008CE5D8D6}"/>
    <hyperlink ref="K246" r:id="rId777" display="https://drive.google.com/open?id=dSjkms1EyK966e0pRWqN" xr:uid="{01537D0D-D585-4329-B73C-7582A950A9AC}"/>
    <hyperlink ref="R245" r:id="rId778" display="https://drive.google.com/open?id=jOJ9ePuNHjkiFbyEKcpC" xr:uid="{1080AE98-4A7B-4CAE-9B8E-7D958891B0E8}"/>
    <hyperlink ref="L245" r:id="rId779" display="https://drive.google.com/open?id=p2oLbhW1bDiOYCqthb8g" xr:uid="{B56A5DA6-193C-4874-8B26-E7CB542DF9C7}"/>
    <hyperlink ref="K245" r:id="rId780" display="https://drive.google.com/open?id=CvqStLYts7bVZA4X8bGu" xr:uid="{2D446EBB-12D6-40E5-A5CE-FED1C9D7A236}"/>
    <hyperlink ref="R244" r:id="rId781" display="https://drive.google.com/open?id=RRN0E8HatI9MECqCLZm6" xr:uid="{96191D60-423E-489D-9A57-1FE354F361D5}"/>
    <hyperlink ref="L244" r:id="rId782" display="https://drive.google.com/open?id=kFYlWBZTYI99jyaH3jMd" xr:uid="{4F958235-FB60-4A34-8FA0-5EAD3C543E47}"/>
    <hyperlink ref="K244" r:id="rId783" display="https://drive.google.com/open?id=D4jwHTWJjeFhlJcT8peB" xr:uid="{3538E695-58ED-4B1D-BC30-961430D3BCE9}"/>
    <hyperlink ref="R243" r:id="rId784" display="https://drive.google.com/open?id=iQL8scsjX8V4q4G1n74h" xr:uid="{4E499B24-C3C8-4751-A5BC-1E3DA5822DBF}"/>
    <hyperlink ref="O243" r:id="rId785" display="https://drive.google.com/open?id=4DowSL2fJvuaFT1owxG5" xr:uid="{4EC53C46-E2F9-4C3D-9893-824D0375C6B8}"/>
    <hyperlink ref="N243" r:id="rId786" display="https://drive.google.com/open?id=6T6PIPKNzgo8seAWgtnv" xr:uid="{D5C9766B-3CC3-4314-8FD1-2AFB3D0332FE}"/>
    <hyperlink ref="R242" r:id="rId787" display="https://drive.google.com/open?id=ANEpAXCdu302KEGBfDYd" xr:uid="{8D23FD4E-9207-41E5-AC6A-E8CB23F553EA}"/>
    <hyperlink ref="O242" r:id="rId788" display="https://drive.google.com/open?id=sIuNOh8RpmqM6ji7ViZF" xr:uid="{52D1C451-D2A3-4E7C-AEF7-AF1C8360906E}"/>
    <hyperlink ref="N242" r:id="rId789" display="https://drive.google.com/open?id=0dNQSSiTGfAM8FF4RKAD" xr:uid="{6D2DE36A-CD7F-4244-9D8B-480120090D88}"/>
    <hyperlink ref="R241" r:id="rId790" display="https://drive.google.com/open?id=CyO3zSWr4R5SxiM7qmwV" xr:uid="{7B52FEA9-C783-4D36-9B37-D7CBCE166004}"/>
    <hyperlink ref="L241" r:id="rId791" display="https://drive.google.com/open?id=QMnezz8jiHlcgmcC3jKj" xr:uid="{BB691AE5-A8B9-451A-8F56-426C485CC707}"/>
    <hyperlink ref="K241" r:id="rId792" display="https://drive.google.com/open?id=nK2iokKrimdDMBOulE5m" xr:uid="{B96DE765-3049-4921-85B9-989C3BB51403}"/>
    <hyperlink ref="R240" r:id="rId793" display="https://drive.google.com/open?id=tgzfHgHE4vTxFVzcvEzj" xr:uid="{9E80C532-BFC4-4733-B362-D049452F214D}"/>
    <hyperlink ref="L240" r:id="rId794" display="https://drive.google.com/open?id=yHRkkGgXMkpbGbQBfnMU" xr:uid="{5626C266-4508-450B-9376-BE13BC794BBA}"/>
    <hyperlink ref="K240" r:id="rId795" display="https://drive.google.com/open?id=6IQK67mc04GN7wTyYx59" xr:uid="{9285276E-1474-4EE2-8939-207AF28DF026}"/>
    <hyperlink ref="R239" r:id="rId796" display="https://drive.google.com/open?id=Am7dgFXBWhAkc4frS7Xg" xr:uid="{1BB8F6ED-4A3D-4523-B596-84B6157B200E}"/>
    <hyperlink ref="L239" r:id="rId797" display="https://drive.google.com/open?id=KrORd0RvLpt5m3N4hrE3" xr:uid="{B4136A4E-BC18-4B83-8829-1B84E5EDDCFF}"/>
    <hyperlink ref="K239" r:id="rId798" display="https://drive.google.com/open?id=IPS72iGiFkJxw591jeB9" xr:uid="{337522B4-61BA-4953-9445-38A0CF824234}"/>
    <hyperlink ref="R238" r:id="rId799" display="https://drive.google.com/open?id=qpUzRsqm5KpQwYueWLau" xr:uid="{7412866E-F17B-4FEA-9732-11DC9113387F}"/>
    <hyperlink ref="O238" r:id="rId800" display="https://drive.google.com/open?id=ib02lSdG6V4bljFBmNnZ" xr:uid="{1048A4D7-3658-48D3-9F07-F2297D352BB4}"/>
    <hyperlink ref="N238" r:id="rId801" display="https://drive.google.com/open?id=4w6gQxEkn9QBzJPDOlRT" xr:uid="{6326E3B3-02A5-4E07-84F5-BAF0ED234C97}"/>
    <hyperlink ref="R237" r:id="rId802" display="https://drive.google.com/open?id=eY01PTfpT6OHGXnm29RG" xr:uid="{123CFBE8-56DA-4112-B975-627DF43E9289}"/>
    <hyperlink ref="L237" r:id="rId803" display="https://drive.google.com/open?id=O8O7CC2xqQRIZr8aSow0" xr:uid="{6BB3C8A8-3E92-4D86-9BAE-3667D35A8F07}"/>
    <hyperlink ref="K237" r:id="rId804" display="https://drive.google.com/open?id=gAWvDXMuV3ffUjfcH6hA" xr:uid="{EB01208E-70BB-44E6-ABD8-4AE72D1E7431}"/>
    <hyperlink ref="R236" r:id="rId805" display="https://drive.google.com/open?id=z3XtZuT8OsxlZzFlxZ9m" xr:uid="{ECFB39C5-E065-48DC-A41D-11D4CC7101EB}"/>
    <hyperlink ref="L236" r:id="rId806" display="https://drive.google.com/open?id=Rr9U6TrQ3JH3LjBew6lZ" xr:uid="{C1F56EB3-0C59-4122-A40F-ECE16D496C8D}"/>
    <hyperlink ref="K236" r:id="rId807" display="https://drive.google.com/open?id=ePNbEP3ZuL4LN9Cb0deB" xr:uid="{3A6BF07A-9795-4BF7-9EDF-2900818EB271}"/>
    <hyperlink ref="R235" r:id="rId808" display="https://drive.google.com/open?id=Ei6LCXcdUXSzWBeiaxJV" xr:uid="{6E147891-EC22-4883-A292-A45ACAD6C842}"/>
    <hyperlink ref="O235" r:id="rId809" display="https://drive.google.com/open?id=C9B8oo0dsKuJ4rNnuAM9" xr:uid="{4A514F99-0B7C-4D87-9ED9-426297D6B307}"/>
    <hyperlink ref="N235" r:id="rId810" display="https://drive.google.com/open?id=H9h9M4b9V9JYP1eHdH1G" xr:uid="{506203BE-6F8E-4E35-944E-51C20254AD1A}"/>
    <hyperlink ref="R234" r:id="rId811" display="https://drive.google.com/open?id=LByuG3BnvEYOoo8TLoG7" xr:uid="{F9D09CB0-1BCB-4613-A527-02E80C97C743}"/>
    <hyperlink ref="L234" r:id="rId812" display="https://drive.google.com/open?id=mGcRh4ZYmGeZMytSL3cN" xr:uid="{11761CF8-418A-4359-987E-4D3B3D2DDC8E}"/>
    <hyperlink ref="K234" r:id="rId813" display="https://drive.google.com/open?id=yrMmOrJRPbcJHtNPiAUw" xr:uid="{ECD560D0-12EB-49AD-9025-0D0BFCF18AFE}"/>
    <hyperlink ref="R233" r:id="rId814" display="https://drive.google.com/open?id=MUvFjhHBTQiG9Z23kMWp" xr:uid="{F983D6A3-8C6D-45DC-B2E6-FC34CD6B9B40}"/>
    <hyperlink ref="L233" r:id="rId815" display="https://drive.google.com/open?id=vqU83gnD7HJWSgnJGHPN" xr:uid="{E244CFC3-1690-41C8-9AB1-0761FD3C08E3}"/>
    <hyperlink ref="K233" r:id="rId816" display="https://drive.google.com/open?id=m9OPjv2Ppy78fhPZUm2r" xr:uid="{D4297F0F-9C09-47B2-B026-CA39A7628B28}"/>
    <hyperlink ref="R232" r:id="rId817" display="https://drive.google.com/open?id=QSTM85cPltgQQvYaefsX" xr:uid="{B68F16D9-2FEB-4AFA-BCCB-4996E026D2FF}"/>
    <hyperlink ref="L232" r:id="rId818" display="https://drive.google.com/open?id=cKzUtSYeQezbV2BelOh4" xr:uid="{84A7424A-6F05-409A-B570-46E3E5669FED}"/>
    <hyperlink ref="K232" r:id="rId819" display="https://drive.google.com/open?id=xw9ZyPtMPYj2KD3UJFCr" xr:uid="{EFC88DC5-492D-418C-886F-79320249EF8F}"/>
    <hyperlink ref="R231" r:id="rId820" display="https://drive.google.com/open?id=Sylrmt91D5tLKpf11h0X" xr:uid="{37691BD2-DC78-4AC6-BFE2-EA20EF4E88B4}"/>
    <hyperlink ref="L231" r:id="rId821" display="https://drive.google.com/open?id=pl14ivK8I78T2j6qHUo5" xr:uid="{D4CB02A3-084E-439C-A732-AADEFAFD208D}"/>
    <hyperlink ref="K231" r:id="rId822" display="https://drive.google.com/open?id=eIyPCWatjX3vA18DiEAz" xr:uid="{8E8365BC-412C-49D6-A05E-B691C80C52AC}"/>
    <hyperlink ref="R230" r:id="rId823" display="https://drive.google.com/open?id=wcckV7AO4HYY2fpbl5SN" xr:uid="{964A74CD-8363-449D-B3FC-93F4C0FA8590}"/>
    <hyperlink ref="L230" r:id="rId824" display="https://drive.google.com/open?id=gqviTdHLxoLpiSfix7nO" xr:uid="{35074E1E-1137-41F9-B3FD-4BC0A2ED3264}"/>
    <hyperlink ref="K230" r:id="rId825" display="https://drive.google.com/open?id=Yibt0dhbJRjPsnMAiK0n" xr:uid="{C4AD317A-1AA0-46E2-8458-658D91E17DA9}"/>
    <hyperlink ref="R229" r:id="rId826" display="https://drive.google.com/open?id=COYiPYA7eX1DSfbFC3wT" xr:uid="{9A3D2D33-39CE-4795-967F-62B5C0B023A2}"/>
    <hyperlink ref="L229" r:id="rId827" display="https://drive.google.com/open?id=a10qPp0guZrljqiri3x2" xr:uid="{BDD8ECD8-AE5E-4E0D-8A5C-0ABBC97763AD}"/>
    <hyperlink ref="K229" r:id="rId828" display="https://drive.google.com/open?id=CC3FuG5ra9BiRtbeH4Te" xr:uid="{BEB41350-C801-4409-BCA1-8DF98D8A6B2B}"/>
    <hyperlink ref="R228" r:id="rId829" display="https://drive.google.com/open?id=m8PL3HFAAsczs4QnZydq" xr:uid="{7F195135-244B-4553-ABBB-A5A6058D5CE7}"/>
    <hyperlink ref="O228" r:id="rId830" display="https://drive.google.com/open?id=p4BKpfX4fGq4LTRqT7c7" xr:uid="{81176B57-A5DE-4459-AD6B-7F1A6965686C}"/>
    <hyperlink ref="N228" r:id="rId831" display="https://drive.google.com/open?id=JpL7bBHS9GSSBABr86JR" xr:uid="{FE916313-9460-4AC2-8BD9-1E50536A3810}"/>
    <hyperlink ref="R227" r:id="rId832" display="https://drive.google.com/open?id=javtmzOGhxf1BBScXpf5" xr:uid="{6A75C065-30B4-4C1E-85EB-F66AE3F47FA6}"/>
    <hyperlink ref="L227" r:id="rId833" display="https://drive.google.com/open?id=9OyXwBtega1we1ESwBOD" xr:uid="{41B061C1-70EC-438E-A61A-04F673BF5220}"/>
    <hyperlink ref="K227" r:id="rId834" display="https://drive.google.com/open?id=LQJ4lkbKGWFmm1m5UKc3" xr:uid="{B5D9090B-708D-4B01-818A-07E01FA6A69C}"/>
    <hyperlink ref="R226" r:id="rId835" display="https://drive.google.com/open?id=qzopqW4FIKunwtzuUic5" xr:uid="{CD74A3F5-BC59-4115-8951-F4550061A99C}"/>
    <hyperlink ref="L226" r:id="rId836" display="https://drive.google.com/open?id=Pdb2lvRn0mFnkIE9KxrJ" xr:uid="{B1C71788-7830-4773-A7C9-23CE586CF23F}"/>
    <hyperlink ref="K226" r:id="rId837" display="https://drive.google.com/open?id=jmRwzu0iMlG9mHipVHRq" xr:uid="{36ECC09E-901C-437C-8B93-2C9374FD5B4D}"/>
    <hyperlink ref="R225" r:id="rId838" display="https://drive.google.com/open?id=OJfZvV7bViAdM2N925kg" xr:uid="{B5849696-B491-4465-B75F-45A9C945CAEA}"/>
    <hyperlink ref="L225" r:id="rId839" display="https://drive.google.com/open?id=OOggrdusOwEcMi3ti8xe" xr:uid="{CD3D37DF-876E-4F9D-A43D-6184D2E4CB22}"/>
    <hyperlink ref="K225" r:id="rId840" display="https://drive.google.com/open?id=a3IJ4zUxdv38tou3K0Gu" xr:uid="{4D9FA421-FE0C-4DF0-B9A2-E246127EFABF}"/>
    <hyperlink ref="R224" r:id="rId841" display="https://drive.google.com/open?id=mr5z2VrCGIA9qsQbYH09" xr:uid="{EC749C16-4529-46AC-9A6D-D3A832C0E086}"/>
    <hyperlink ref="L224" r:id="rId842" display="https://drive.google.com/open?id=YoIqtJqEILo1zUeF0VgK" xr:uid="{841F6E3E-C73C-46BE-8E41-28363AB25906}"/>
    <hyperlink ref="K224" r:id="rId843" display="https://drive.google.com/open?id=myTdK8elZ5UNi7biFWSG" xr:uid="{E4DC63A4-27E7-414C-9EB7-1CD2336084E4}"/>
    <hyperlink ref="R223" r:id="rId844" display="https://drive.google.com/open?id=nDKQSZxPifx073AaQDBz" xr:uid="{68B6091F-227F-48E0-8B2F-4AF6A9C661E1}"/>
    <hyperlink ref="L223" r:id="rId845" display="https://drive.google.com/open?id=I4hoQWymkK0deGKBIava" xr:uid="{D936C858-1923-4CA3-BF53-23C446C02A88}"/>
    <hyperlink ref="K223" r:id="rId846" display="https://drive.google.com/open?id=3j5sh4OClkEo6CNOKNSs" xr:uid="{A21FB93A-6FFA-4754-94CC-CE2D28899BCA}"/>
    <hyperlink ref="R222" r:id="rId847" display="https://drive.google.com/open?id=H9iNEXSH4L36vorhCXkd" xr:uid="{39E8A4A4-3AA3-4C7B-8CB7-0CF9DF32232B}"/>
    <hyperlink ref="O222" r:id="rId848" display="https://drive.google.com/open?id=oRce2we1izhzDMyi6OTH" xr:uid="{4C309631-7E54-4848-895F-DACC497F938A}"/>
    <hyperlink ref="N222" r:id="rId849" display="https://drive.google.com/open?id=ynNOOnkbcc1A651gAymY" xr:uid="{BC1A9177-4B3F-4FA0-843D-BF8E7F7C7FA2}"/>
    <hyperlink ref="R221" r:id="rId850" display="https://drive.google.com/open?id=nhhr4144feXx3nsdyTSN" xr:uid="{840E4360-5226-4BA2-9738-C63356EC020D}"/>
    <hyperlink ref="O221" r:id="rId851" display="https://drive.google.com/open?id=eYGJsYYgxorrhgOxkTkO" xr:uid="{0632D082-41D1-4115-8BD9-84AC2353A740}"/>
    <hyperlink ref="N221" r:id="rId852" display="https://drive.google.com/open?id=ujB3U1qAjRzSTZLhZc98" xr:uid="{8F143F05-C36F-42DA-A236-30D1ACB1B010}"/>
    <hyperlink ref="R220" r:id="rId853" display="https://drive.google.com/open?id=CdRAPFEnDOJCP8Viwm3Q" xr:uid="{747D82D8-185C-4307-A639-B4D7E17D028C}"/>
    <hyperlink ref="L220" r:id="rId854" display="https://drive.google.com/open?id=11h6BXnmS284UMqDSCIe" xr:uid="{3797FD64-B491-4F1A-9C3A-50AB64877CF2}"/>
    <hyperlink ref="K220" r:id="rId855" display="https://drive.google.com/open?id=m6tJBbqlzkHT2DK4cUPb" xr:uid="{26BE6A6E-5ABD-480D-A4F3-C081DA25DAB9}"/>
    <hyperlink ref="R219" r:id="rId856" display="https://drive.google.com/open?id=7TxPEDwrugSsGdmIm8RI" xr:uid="{A00EA25C-C31A-4B32-BD7D-B478B2C4B06D}"/>
    <hyperlink ref="L219" r:id="rId857" display="https://drive.google.com/open?id=cwq8ci0xIie9IVxGQk5n" xr:uid="{A4BD1122-0158-49D5-989F-AB5ADEA9ECE5}"/>
    <hyperlink ref="K219" r:id="rId858" display="https://drive.google.com/open?id=TsDpJChVRTQwrFZ88Unx" xr:uid="{749083FD-ABEB-48FF-815B-0E905DD426E8}"/>
    <hyperlink ref="R218" r:id="rId859" display="https://drive.google.com/open?id=eOBeGVig9AMDNA22xgiF" xr:uid="{1D411A71-71B0-40D3-BA96-8CB6B9A68823}"/>
    <hyperlink ref="L218" r:id="rId860" display="https://drive.google.com/open?id=AYYwTbeBIllmzdj97ONB" xr:uid="{9072EF45-FB74-4A83-8C35-F44EA11BAE5D}"/>
    <hyperlink ref="K218" r:id="rId861" display="https://drive.google.com/open?id=H42hDNidGXJYLU8mvC1o" xr:uid="{E108D49E-3F65-4200-A711-2E2E8F6D893E}"/>
    <hyperlink ref="R217" r:id="rId862" display="https://drive.google.com/open?id=2wooCXPiK52knVh5ADwE" xr:uid="{9504A2B4-AC20-44E4-896E-AB333131D58E}"/>
    <hyperlink ref="L217" r:id="rId863" display="https://drive.google.com/open?id=LxtZyakBlD1mVmRY2Gfy" xr:uid="{75C1DF6B-249E-4582-B8E4-D6831D4E183C}"/>
    <hyperlink ref="K217" r:id="rId864" display="https://drive.google.com/open?id=wCy4zCYWw5sRJ9v5SVxM" xr:uid="{949BA4C2-6127-4662-B5F3-E5A4A4CB73BF}"/>
    <hyperlink ref="R216" r:id="rId865" display="https://drive.google.com/open?id=8emxDnDMznYc3xIQasI8" xr:uid="{04514510-7FCE-47CD-9865-5739C8135B07}"/>
    <hyperlink ref="O216" r:id="rId866" display="https://drive.google.com/open?id=Wm2i2GH2emKzCI8egtuP" xr:uid="{BA47A8E4-A04C-4F41-B125-FEE11A6045C2}"/>
    <hyperlink ref="N216" r:id="rId867" display="https://drive.google.com/open?id=JBfn1EMpr3eGHWKsltmr" xr:uid="{E2B3616B-CD99-4FAB-87E0-5FF956036249}"/>
    <hyperlink ref="R215" r:id="rId868" display="https://drive.google.com/open?id=Qh4iHiONbuffgGP6LoPr" xr:uid="{D122FD16-C19F-4532-AA95-A6E4B7929965}"/>
    <hyperlink ref="L215" r:id="rId869" display="https://drive.google.com/open?id=xbR7kSmtD7bHjx9AcDuY" xr:uid="{CBC18179-8D90-4A74-ADE1-DC57DF39FF0E}"/>
    <hyperlink ref="K215" r:id="rId870" display="https://drive.google.com/open?id=RmBIWuBbgziuXdeboRCR" xr:uid="{38EF0055-7ACA-470B-BA04-D483B5710E5D}"/>
    <hyperlink ref="R214" r:id="rId871" display="https://drive.google.com/open?id=dRGmfZyrEp9WCQLC4pDA" xr:uid="{5C788C6B-7FA6-4949-A5C3-74515721B696}"/>
    <hyperlink ref="O214" r:id="rId872" display="https://drive.google.com/open?id=Np5owYp8tQIErq06hFme" xr:uid="{D01BC390-8CAA-4570-A3BD-B282CB8A386E}"/>
    <hyperlink ref="N214" r:id="rId873" display="https://drive.google.com/open?id=SxRkG0KXxlgzY5axV6OJ" xr:uid="{5A8CB262-3C85-4B0E-A739-592058024A30}"/>
    <hyperlink ref="R213" r:id="rId874" display="https://drive.google.com/open?id=i3DARLqmfoxPlSsnYYvt" xr:uid="{70FD79DC-C4BD-4A89-A946-FF2D2CDA9097}"/>
    <hyperlink ref="L213" r:id="rId875" display="https://drive.google.com/open?id=FYm3rwPQ823Stw6DmYd0" xr:uid="{F0E48C30-46D8-4093-A996-6F7C940A027E}"/>
    <hyperlink ref="K213" r:id="rId876" display="https://drive.google.com/open?id=dG4XxswFXA22yCzTzBVD" xr:uid="{653685B1-02C3-4D57-BA34-AC9E52CD48A3}"/>
    <hyperlink ref="R212" r:id="rId877" display="https://drive.google.com/open?id=Ib4xEouUzECxK10IV1tc" xr:uid="{9537BB2C-487E-4395-AED1-13CDF89BFC60}"/>
    <hyperlink ref="L212" r:id="rId878" display="https://drive.google.com/open?id=4e26KaTPEveW6lfyPwvO" xr:uid="{3A31825E-5AB8-42E7-A583-C1650E5CF232}"/>
    <hyperlink ref="K212" r:id="rId879" display="https://drive.google.com/open?id=8Y5B2UkRDibiBnIiIMIH" xr:uid="{626A8CBD-BDD5-4231-A027-03D9DDB47019}"/>
    <hyperlink ref="R211" r:id="rId880" display="https://drive.google.com/open?id=e9dQeHI7fRbv1cuzrCMf" xr:uid="{31C75226-65EB-4F25-8299-CD024BFC4BAD}"/>
    <hyperlink ref="L211" r:id="rId881" display="https://drive.google.com/open?id=c1gyrXv8YAwMTlF7e3LZ" xr:uid="{D2BA7BB2-5818-4EBC-B8D9-D113B8590034}"/>
    <hyperlink ref="K211" r:id="rId882" display="https://drive.google.com/open?id=p8Ua7mGRqwTSJK6z83bF" xr:uid="{B60B2C24-4A5D-4EF3-B4B3-9FDED8F56568}"/>
    <hyperlink ref="R210" r:id="rId883" display="https://drive.google.com/open?id=h7KpQkONgOz9fTpjk2nM" xr:uid="{D7B838E8-7E44-4246-BBF7-1C02B2F730D3}"/>
    <hyperlink ref="L210" r:id="rId884" display="https://drive.google.com/open?id=MXkVVvxr0oN31oYqlHrq" xr:uid="{3CD62B95-A124-40DF-9EDD-E0EC4D17690A}"/>
    <hyperlink ref="K210" r:id="rId885" display="https://drive.google.com/open?id=4mgL8C7h8miCt7jG9INJ" xr:uid="{C31475D0-52DC-4775-B006-FD4254E7A979}"/>
    <hyperlink ref="R209" r:id="rId886" display="https://drive.google.com/open?id=k3e9tHbdtdJmHe3Haagk" xr:uid="{F706176C-5986-4C92-9A74-3014FAFCF8D8}"/>
    <hyperlink ref="L209" r:id="rId887" display="https://drive.google.com/open?id=osUfEigWkd0YRZxDGJhY" xr:uid="{522D679E-DB51-4116-B382-0CD58B2661D7}"/>
    <hyperlink ref="K209" r:id="rId888" display="https://drive.google.com/open?id=FaqmDSBSsAnU9hWwW7Au" xr:uid="{E3F11AA8-922E-4E4A-80FF-0F1C9C58E97C}"/>
    <hyperlink ref="R208" r:id="rId889" display="https://drive.google.com/open?id=wz5Ymlm8BTjRFpbICeuN" xr:uid="{26F0B1F6-41D9-4462-BE59-A5E4A5A436BB}"/>
    <hyperlink ref="L208" r:id="rId890" display="https://drive.google.com/open?id=ygdaL7M1BpiV9P1nYRz2" xr:uid="{91474946-C8EE-4D30-A96B-74F4FAF96911}"/>
    <hyperlink ref="K208" r:id="rId891" display="https://drive.google.com/open?id=bmJYQhLVCBAyXw41owrw" xr:uid="{D6CE9CCC-5518-49A4-82BE-DAF8AC80732C}"/>
    <hyperlink ref="R207" r:id="rId892" display="https://drive.google.com/open?id=V3Lu8biDio2tZbpLfPtW" xr:uid="{5A1709B4-0494-4113-9066-439547B402CB}"/>
    <hyperlink ref="L207" r:id="rId893" display="https://drive.google.com/open?id=BmgNUaA7gkODZ5GcoWux" xr:uid="{35C515FE-3748-46F5-B4B5-D7BF90B47B27}"/>
    <hyperlink ref="K207" r:id="rId894" display="https://drive.google.com/open?id=v3h0dPfARXUjQUTib0XV" xr:uid="{638D3D96-2834-4475-9954-D5F8A8991FCD}"/>
    <hyperlink ref="R206" r:id="rId895" display="https://drive.google.com/open?id=wIbji6dkGTgNYlUd8D5t" xr:uid="{2332315F-F0D5-446E-AF5A-7E0B73203F7F}"/>
    <hyperlink ref="L206" r:id="rId896" display="https://drive.google.com/open?id=i0BeJsvYNDYxw7hU2QgJ" xr:uid="{FB28C532-5DDE-4254-925D-985B965DAD22}"/>
    <hyperlink ref="K206" r:id="rId897" display="https://drive.google.com/open?id=M6j9veieM5BSf4W0LPkv" xr:uid="{09FAA78E-820B-423A-BE34-AA259200081E}"/>
    <hyperlink ref="R205" r:id="rId898" display="https://drive.google.com/open?id=U8FTxGROQJVboI1vrVfT" xr:uid="{914C7FF1-05E6-4F4D-B763-D2BB0DE6B1E4}"/>
    <hyperlink ref="L205" r:id="rId899" display="https://drive.google.com/open?id=ODPVzMjjYQ9dSWsQy3JB" xr:uid="{264ABC7F-2EE7-47BB-B96F-EC69BF752780}"/>
    <hyperlink ref="K205" r:id="rId900" display="https://drive.google.com/open?id=TKII9tiDnl9xVfB1gZ8a" xr:uid="{8566D38C-EC8D-40C5-A35B-BC7788F0B1DE}"/>
    <hyperlink ref="R204" r:id="rId901" display="https://drive.google.com/open?id=XAQbfVutF9k7hKbkUxh0" xr:uid="{4C9EA1E9-4E6E-4474-9241-85D8F6C7D5F7}"/>
    <hyperlink ref="L204" r:id="rId902" display="https://drive.google.com/open?id=UdpNJy6smsF12uHE7xJb" xr:uid="{10D2E23C-EAFF-4A34-B3C7-5743035341BD}"/>
    <hyperlink ref="K204" r:id="rId903" display="https://drive.google.com/open?id=NQynupCFzOYOy9A75UHq" xr:uid="{C365476E-C164-4156-A0C5-F2052EE66686}"/>
    <hyperlink ref="R203" r:id="rId904" display="https://drive.google.com/open?id=bGH8zhBvDrp6QpDtMS17" xr:uid="{FD5E7D90-46AF-48C6-8A67-27DB82E0532B}"/>
    <hyperlink ref="L203" r:id="rId905" display="https://drive.google.com/open?id=Nsqh2gbF7NsUrgScM9Dy" xr:uid="{3C3F73FE-4DB0-4054-A910-33619B5CBBD9}"/>
    <hyperlink ref="K203" r:id="rId906" display="https://drive.google.com/open?id=TZDFfAXplNZNc2BWlNrv" xr:uid="{4B9019A6-8A21-4392-8D2E-F5A2385202FB}"/>
    <hyperlink ref="R202" r:id="rId907" display="https://drive.google.com/open?id=CqLErZzcwsAqX8bNJumR" xr:uid="{826B278E-CD57-47B1-9C3F-4BF378DA8330}"/>
    <hyperlink ref="L202" r:id="rId908" display="https://drive.google.com/open?id=IhDcJW3KzHpXwDQziybk" xr:uid="{7AB542CE-ADC9-4449-B974-80C73CFDEC1E}"/>
    <hyperlink ref="K202" r:id="rId909" display="https://drive.google.com/open?id=CPIDQzyC7ktG342gwxYc" xr:uid="{9CDE3FB2-C8D1-4659-9205-26127AF66AF8}"/>
    <hyperlink ref="R201" r:id="rId910" display="https://drive.google.com/open?id=hLCzjKRGVxFvxXPh8q8x" xr:uid="{515EBB92-AAC4-4BB5-A88D-893F8B7830A0}"/>
    <hyperlink ref="L201" r:id="rId911" display="https://drive.google.com/open?id=By0H9QwxW5LS8KPHVMeI" xr:uid="{2C91AD18-3230-4A30-B8E7-EC583A0B3C66}"/>
    <hyperlink ref="K201" r:id="rId912" display="https://drive.google.com/open?id=6d7xcpfHvR5jEg4jAnZa" xr:uid="{2ABD6BFB-86B5-48D9-B58A-DDB4DDEB1485}"/>
    <hyperlink ref="R200" r:id="rId913" display="https://drive.google.com/open?id=DaKaiXlPGL8brBJUOov7" xr:uid="{5461BE38-BD84-49FA-A364-29C9C9A1123E}"/>
    <hyperlink ref="O200" r:id="rId914" display="https://drive.google.com/open?id=Yf4NCn7bCEr79TcAbTac" xr:uid="{3BC08D9F-FFF5-44AD-AE18-8D314E86BE04}"/>
    <hyperlink ref="N200" r:id="rId915" display="https://drive.google.com/open?id=73gwnJGUyyTvMr8iCm8y" xr:uid="{794EAD32-AB88-4CD9-815C-C251E4AF54A2}"/>
    <hyperlink ref="R199" r:id="rId916" display="https://drive.google.com/open?id=B5SZ841lWwJdTEeXHkqr" xr:uid="{B0554440-8F4A-4F8C-8558-8AEF165C88BC}"/>
    <hyperlink ref="L199" r:id="rId917" display="https://drive.google.com/open?id=GyCseV8HlCXhhXPQRGgp" xr:uid="{5A3CA273-1698-4BA0-A265-E267A9980B19}"/>
    <hyperlink ref="K199" r:id="rId918" display="https://drive.google.com/open?id=EMPgJ1h1jrWFlXMCyA64" xr:uid="{48EBA168-5502-48DB-A603-1674DD8A0C41}"/>
    <hyperlink ref="R198" r:id="rId919" display="https://drive.google.com/open?id=C2EzLr0eGP8T1fdFbyvE" xr:uid="{71F7F353-D17B-4D6C-8F52-A0B81E2C0439}"/>
    <hyperlink ref="L198" r:id="rId920" display="https://drive.google.com/open?id=FlDQAxRkRL4OGQg1rYju" xr:uid="{6B326C18-18FA-402F-8846-6AEF999802D4}"/>
    <hyperlink ref="K198" r:id="rId921" display="https://drive.google.com/open?id=bPFxYos5gpz9tBFEPuyC" xr:uid="{1D59134A-76C9-4F78-86F0-CC4E0C8B46B2}"/>
    <hyperlink ref="R197" r:id="rId922" display="https://drive.google.com/open?id=mOM7Gv6IBpGYFYEKKKWe" xr:uid="{453C6FF7-E44F-4D27-B481-0740032A81FE}"/>
    <hyperlink ref="L197" r:id="rId923" display="https://drive.google.com/open?id=9CeAkFAkKf36fYDvN1gG" xr:uid="{471CE6F8-F81D-4C19-8611-68DB48E0820D}"/>
    <hyperlink ref="K197" r:id="rId924" display="https://drive.google.com/open?id=0gZzFSQmNPRRzV7pn34k" xr:uid="{71D5FD0E-0838-4DE3-AF47-1043D1EA1F86}"/>
    <hyperlink ref="R196" r:id="rId925" display="https://drive.google.com/open?id=sSsSr8mtdtbC4BHRSwsM" xr:uid="{08A36865-5931-48EE-AD92-8969DD4126F3}"/>
    <hyperlink ref="L196" r:id="rId926" display="https://drive.google.com/open?id=6wnJtba9cQat6ZoeRUKD" xr:uid="{5A8B1E1F-A33A-4C75-B322-2BB87E8DDA01}"/>
    <hyperlink ref="K196" r:id="rId927" display="https://drive.google.com/open?id=ApEEbDDkvNldxy7FrMyL" xr:uid="{92BE7C3E-6097-4783-ADFE-1D9AAF24BE0A}"/>
    <hyperlink ref="R195" r:id="rId928" display="https://drive.google.com/open?id=C0A5xYUXaHkUwruAdLGp" xr:uid="{9AFB2307-D9D1-48F5-B4E8-85E2269C10AF}"/>
    <hyperlink ref="O195" r:id="rId929" display="https://drive.google.com/open?id=cg1avoC80CO3KEDNZ4iE" xr:uid="{6D3C8737-2900-43D8-B641-3CEC3EF6E2E2}"/>
    <hyperlink ref="N195" r:id="rId930" display="https://drive.google.com/open?id=K6IS0g9XpGgkEJARJ6sb" xr:uid="{EC4A0405-4409-4934-8E9F-B0AE39BB8C9C}"/>
    <hyperlink ref="R194" r:id="rId931" display="https://drive.google.com/open?id=yqSOHKmSB5y6UkBB13dC" xr:uid="{42E0362C-CF36-4B9F-B2B2-A0F6E127C84D}"/>
    <hyperlink ref="L194" r:id="rId932" display="https://drive.google.com/open?id=qhbpTfuWRA273YDjvlyF" xr:uid="{1D4D58E0-2413-4072-895D-403B82EBABD6}"/>
    <hyperlink ref="K194" r:id="rId933" display="https://drive.google.com/open?id=hOpezrYFN8xqxOhMm0ho" xr:uid="{CF539607-B308-4947-A80C-3842216404D2}"/>
    <hyperlink ref="R193" r:id="rId934" display="https://drive.google.com/open?id=OBreRfkF2IRoIUR2OMeB" xr:uid="{A208580B-1FD3-45D1-B1BC-33BE357CBFB3}"/>
    <hyperlink ref="L193" r:id="rId935" display="https://drive.google.com/open?id=4tv0grQhvxADAl07RUTj" xr:uid="{21D9FB01-53BC-43B1-BC3C-99CFB5EFEFAA}"/>
    <hyperlink ref="K193" r:id="rId936" display="https://drive.google.com/open?id=sVhwcaBJcvvQuEEJK79P" xr:uid="{5FA39E23-F01C-4F80-BAEC-AC31A19E721E}"/>
    <hyperlink ref="R192" r:id="rId937" display="https://drive.google.com/open?id=XTcHBX5vdjTZHIDPVIQi" xr:uid="{4CA71602-3D16-4792-8185-98A94A562644}"/>
    <hyperlink ref="O192" r:id="rId938" display="https://drive.google.com/open?id=g2TBVliLs12GdGGsdtu3" xr:uid="{C5CCB6EA-147B-45E1-9AB2-E640E310858F}"/>
    <hyperlink ref="N192" r:id="rId939" display="https://drive.google.com/open?id=pGCWvPrCnxs8ah6nv2Kz" xr:uid="{72021C5F-3E59-4E19-97D5-FA3271A7CEBB}"/>
    <hyperlink ref="R191" r:id="rId940" display="https://drive.google.com/open?id=klVCqGgT9Lipx1w7m2Xz" xr:uid="{2C5DCA54-51C6-44DC-8343-EE45AF0730D4}"/>
    <hyperlink ref="L191" r:id="rId941" display="https://drive.google.com/open?id=HoECvDt0xVPAEjYKMoCL" xr:uid="{849C8708-CB89-45C7-B490-F11E351F3F41}"/>
    <hyperlink ref="K191" r:id="rId942" display="https://drive.google.com/open?id=m9iLBWzpmOR12BybqjhP" xr:uid="{7D8B6A61-D3FE-49E4-B038-BBFE8ACA0B53}"/>
    <hyperlink ref="R190" r:id="rId943" display="https://drive.google.com/open?id=eKPsc3IqVdvg6bEDvH6j" xr:uid="{3F86B65A-B4B6-437F-BB27-CCD9708141EF}"/>
    <hyperlink ref="L190" r:id="rId944" display="https://drive.google.com/open?id=0ObqI1DSYgtFolVBCxFK" xr:uid="{02CD8DC2-E2D6-423A-BB33-C23861FEB6F6}"/>
    <hyperlink ref="K190" r:id="rId945" display="https://drive.google.com/open?id=L1VHan50HrjxvRjUMI2a" xr:uid="{C0DBAA02-1D9A-4D3B-963A-E825672D2AD1}"/>
    <hyperlink ref="R189" r:id="rId946" display="https://drive.google.com/open?id=e6EBdNSakyOI2onojn4A" xr:uid="{0F63D823-7651-4D99-9971-5784EC90E76F}"/>
    <hyperlink ref="L189" r:id="rId947" display="https://drive.google.com/open?id=MjgXLyVWpKhLZdgxcMFv" xr:uid="{1D849E09-8039-4585-86AB-EFD195E19075}"/>
    <hyperlink ref="K189" r:id="rId948" display="https://drive.google.com/open?id=NJzfwKxmk8CCvka7yopL" xr:uid="{FF4B3140-B793-4F01-A51E-72EEF58CB542}"/>
    <hyperlink ref="R188" r:id="rId949" display="https://drive.google.com/open?id=ImYkUM8lYYk62gX4Zd2B" xr:uid="{8A6CA21D-4B51-47A1-BDD8-A3AC60787139}"/>
    <hyperlink ref="L188" r:id="rId950" display="https://drive.google.com/open?id=7nVd4aN6LLefDsWAhUzO" xr:uid="{D73FE440-D279-4EDD-919D-A32BFCAC7EB8}"/>
    <hyperlink ref="K188" r:id="rId951" display="https://drive.google.com/open?id=ScpdWRHVKvvdn649QXaJ" xr:uid="{8AF5E59C-FE25-47EC-8A17-237DB6308B54}"/>
    <hyperlink ref="R187" r:id="rId952" display="https://drive.google.com/open?id=ZzVvqPYrzVcF8eLtw4wF" xr:uid="{1C2459AD-D497-42CB-9F33-B54662FDBF7D}"/>
    <hyperlink ref="L187" r:id="rId953" display="https://drive.google.com/open?id=jrHqQz4ebpR8lFOWZHwS" xr:uid="{D1780AF0-270B-4507-B1BF-030A43D3BFE7}"/>
    <hyperlink ref="K187" r:id="rId954" display="https://drive.google.com/open?id=q7gdrjFr71sau5ZOY49S" xr:uid="{FE495CF9-0ABD-4B9D-B1BB-FBDBFC8106C5}"/>
    <hyperlink ref="R186" r:id="rId955" display="https://drive.google.com/open?id=rhge1ZJW7bmMwz4CaJ18" xr:uid="{89A3093D-C071-443D-AEFA-302469EDB930}"/>
    <hyperlink ref="O186" r:id="rId956" display="https://drive.google.com/open?id=VcWyRQqXiwVT3k1pqIj5" xr:uid="{1A887D89-5E4D-4B73-8EA0-D8BD99821100}"/>
    <hyperlink ref="N186" r:id="rId957" display="https://drive.google.com/open?id=ygM2OqVH5lniH61oTD69" xr:uid="{A1914C9E-7276-4823-A9ED-DF9235B6823D}"/>
    <hyperlink ref="R185" r:id="rId958" display="https://drive.google.com/open?id=CGB265fGSEYrAlm20FbF" xr:uid="{95632DF2-1132-4D19-B683-C7031798F333}"/>
    <hyperlink ref="L185" r:id="rId959" display="https://drive.google.com/open?id=hN64n5wNBvw8EvDlWmk6" xr:uid="{51C373BD-7C7A-4A68-ABAD-03FFC3BFCD4D}"/>
    <hyperlink ref="K185" r:id="rId960" display="https://drive.google.com/open?id=T8RdIWkrA0bhKdLUCmXo" xr:uid="{0706AC1C-9D6C-477E-B21F-9E2FEFEC6AE0}"/>
    <hyperlink ref="R184" r:id="rId961" display="https://drive.google.com/open?id=lhI6tt3kdRTIrnw6Q7Pz" xr:uid="{056E719E-3BDA-4F20-8C14-309B120BFFC8}"/>
    <hyperlink ref="O184" r:id="rId962" display="https://drive.google.com/open?id=Kq6wml7ZFEqbBjyh04Tn" xr:uid="{BE5D88E1-A109-4E36-BD1F-405CCE71EC3B}"/>
    <hyperlink ref="N184" r:id="rId963" display="https://drive.google.com/open?id=UHHJpGLkBDgc9VeGNqCT" xr:uid="{1631F599-0E4F-4671-AAA1-320982A5C88B}"/>
    <hyperlink ref="R183" r:id="rId964" display="https://drive.google.com/open?id=pAU5Ijccx2gpOvGhu7s8" xr:uid="{BA28C2A5-571A-4120-ACED-0C2937708195}"/>
    <hyperlink ref="L183" r:id="rId965" display="https://drive.google.com/open?id=WQlTCAdsrZcpvCVt5DQx" xr:uid="{6BF8A96B-D46B-4E63-BD4A-F80F10E3FA8C}"/>
    <hyperlink ref="K183" r:id="rId966" display="https://drive.google.com/open?id=lxTKLBMiiZzgkNUPlTbm" xr:uid="{F0FF78C3-A13B-4E4E-A6D3-59BE2E732838}"/>
    <hyperlink ref="R182" r:id="rId967" display="https://drive.google.com/open?id=0rxKbx9i71Jx5C4k9KAf" xr:uid="{D8D7E586-042D-4F37-95B0-8B16456A1512}"/>
    <hyperlink ref="L182" r:id="rId968" display="https://drive.google.com/open?id=7t4JNYRNmfYzLvv6bY9c" xr:uid="{0813C031-9569-46F2-AC81-707B90BAAB59}"/>
    <hyperlink ref="K182" r:id="rId969" display="https://drive.google.com/open?id=qXKam9EVcDgfzjIPqcaH" xr:uid="{B042AEDC-FA83-40FB-9F9C-3ABC1E2924AC}"/>
    <hyperlink ref="R181" r:id="rId970" display="https://drive.google.com/open?id=ioIAsyHm6v4wWFkHpDWH" xr:uid="{32F0E12A-D601-46A9-A848-FC15A5AE00F2}"/>
    <hyperlink ref="L181" r:id="rId971" display="https://drive.google.com/open?id=BKACCV4LORrgOFksXEeA" xr:uid="{1A5CAD56-C44E-4861-B42B-7DBC54868C5D}"/>
    <hyperlink ref="K181" r:id="rId972" display="https://drive.google.com/open?id=Ul9sWWPPTXf4hOSuZHVu" xr:uid="{C394BEC2-BCFE-4ACB-B675-F10CC9DEDC51}"/>
    <hyperlink ref="R180" r:id="rId973" display="https://drive.google.com/open?id=vFUEyBqv12NpFapeipR7" xr:uid="{A81CAF7A-1D46-4DD3-978A-4CE3876B236B}"/>
    <hyperlink ref="L180" r:id="rId974" display="https://drive.google.com/open?id=uv8CNWWmSLauGEJTNpzg" xr:uid="{B3F7E20E-F763-4577-8BCC-FEF56F18B54D}"/>
    <hyperlink ref="K180" r:id="rId975" display="https://drive.google.com/open?id=Jyvh8g685ijXmbpH6Dr1" xr:uid="{D5864ACA-F615-4A54-B904-6163D1B27B1C}"/>
    <hyperlink ref="R179" r:id="rId976" display="https://drive.google.com/open?id=GnVXMeR0y0CTt52p28St" xr:uid="{755B2835-8763-4474-81F6-DF101DF5D403}"/>
    <hyperlink ref="L179" r:id="rId977" display="https://drive.google.com/open?id=1gyxKoBsUwjR67Px4RiD" xr:uid="{DCE7061D-64BB-4CCE-BFAA-0E316420AEAD}"/>
    <hyperlink ref="K179" r:id="rId978" display="https://drive.google.com/open?id=iQeVcNZ4GPuLUACl59et" xr:uid="{C13677A7-7CA2-4BA5-8BD9-6C22B16C9A46}"/>
    <hyperlink ref="R178" r:id="rId979" display="https://drive.google.com/open?id=THr0TVaxD1Jc38PO59y7" xr:uid="{B5C99D87-02C8-436B-A320-5A25B4E8F492}"/>
    <hyperlink ref="L178" r:id="rId980" display="https://drive.google.com/open?id=n7wuDnSwfK0rkKz0RtHE" xr:uid="{AB3397FB-C6B2-4DC8-8C09-3E7D825AE01A}"/>
    <hyperlink ref="K178" r:id="rId981" display="https://drive.google.com/open?id=0KBU3dKq1BjgulzyyXg3" xr:uid="{9335FB26-9DB0-45C9-A196-F6E4A3B00CC9}"/>
    <hyperlink ref="R177" r:id="rId982" display="https://drive.google.com/open?id=lagM3Kvgejiuec999t9T" xr:uid="{997FF770-207C-4DB5-9FF0-51527D6730C5}"/>
    <hyperlink ref="L177" r:id="rId983" display="https://drive.google.com/open?id=oPErvCMU5aJk1dPUrxnE" xr:uid="{91470DB7-49A2-4FD3-B495-1E28D8B82C85}"/>
    <hyperlink ref="K177" r:id="rId984" display="https://drive.google.com/open?id=gD49mbTROqCxSnt4exJM" xr:uid="{F6499820-74E6-435F-9F36-20BE29AEAC95}"/>
    <hyperlink ref="R176" r:id="rId985" display="https://drive.google.com/open?id=Pr8QsOwRAvHIC9Xbw92X" xr:uid="{0DB6F372-835D-4977-A094-694634F1C82F}"/>
    <hyperlink ref="L176" r:id="rId986" display="https://drive.google.com/open?id=ns1ZB6cdFIaqHyv98q3L" xr:uid="{D2F4EC95-1398-4E6D-9D0E-0116FCD00640}"/>
    <hyperlink ref="K176" r:id="rId987" display="https://drive.google.com/open?id=CYNRZZWMQjVkcEA1Ia0T" xr:uid="{EB5ADC15-9840-4ABC-9D5C-DD11B8FEE278}"/>
    <hyperlink ref="R175" r:id="rId988" display="https://drive.google.com/open?id=vPPezOhAk5vi4XkMcmC2" xr:uid="{D962D665-2D02-4690-9B08-78EE68B777B7}"/>
    <hyperlink ref="L175" r:id="rId989" display="https://drive.google.com/open?id=b8Gh4AD5CyTyRZealnuD" xr:uid="{6A4541D0-D179-4A48-88B5-F6415B065650}"/>
    <hyperlink ref="K175" r:id="rId990" display="https://drive.google.com/open?id=aPohLgTuCgwSEd7gkyYH" xr:uid="{95858E81-C654-43DF-B0F0-D62F195448A7}"/>
    <hyperlink ref="R174" r:id="rId991" display="https://drive.google.com/open?id=WiuuecSlLwKArGi8lGpt" xr:uid="{EECCC151-AF2D-41F3-B803-C4BC852ACE02}"/>
    <hyperlink ref="L174" r:id="rId992" display="https://drive.google.com/open?id=PlqCZixQqyRlEQeOHwIj" xr:uid="{E8DB7B9D-4B75-4559-886D-C98AF44EF8FB}"/>
    <hyperlink ref="K174" r:id="rId993" display="https://drive.google.com/open?id=MtFn7qCeM7DPdPtYmyWg" xr:uid="{8448EBB5-1BB2-4C70-90B2-98D2E7C99F1A}"/>
    <hyperlink ref="R173" r:id="rId994" display="https://drive.google.com/open?id=ZA2W0e7k4qlAPlYAM4nU" xr:uid="{D9580B59-93BE-4447-A765-10D55F7EB1DF}"/>
    <hyperlink ref="L173" r:id="rId995" display="https://drive.google.com/open?id=ZXpK3TjxMEDXL6gxROG7" xr:uid="{34D4DCC6-9EF2-4EBD-8316-829C7E499B8A}"/>
    <hyperlink ref="K173" r:id="rId996" display="https://drive.google.com/open?id=ipdAWN4ZZgmvDmxmaSD0" xr:uid="{45EFAC3F-B5A7-41B5-B484-6A7042A0FE0B}"/>
    <hyperlink ref="R172" r:id="rId997" display="https://drive.google.com/open?id=eAwac5fFDDF2DEHpnJgW" xr:uid="{74CA221E-DAF9-4E7D-8E93-4BFD63267487}"/>
    <hyperlink ref="L172" r:id="rId998" display="https://drive.google.com/open?id=EQR4LhBmwcyKW8SsITj1" xr:uid="{E4E45734-FC04-4668-B334-0EBA18FBB85B}"/>
    <hyperlink ref="K172" r:id="rId999" display="https://drive.google.com/open?id=JpdCdIXKWbRBkSWfPeOy" xr:uid="{E672AAFC-0C42-4C79-99D9-EFAA877C0DD3}"/>
    <hyperlink ref="R171" r:id="rId1000" display="https://drive.google.com/open?id=yDGA6R08V1SapgbGoQNx" xr:uid="{0A172C3A-C6FA-44A8-8199-586A64A20941}"/>
    <hyperlink ref="L171" r:id="rId1001" display="https://drive.google.com/open?id=EOCpE8oC2v2pZ4KBwM2c" xr:uid="{6CE883B2-589E-4712-8CAC-4172A8C5CD64}"/>
    <hyperlink ref="K171" r:id="rId1002" display="https://drive.google.com/open?id=fWabDWoKr9KnF6tMqMD4" xr:uid="{5127A37D-4D83-4A42-847B-0C8E4218C13A}"/>
    <hyperlink ref="R170" r:id="rId1003" display="https://drive.google.com/open?id=hZtvOHuiZAQ6vBq2HPDh" xr:uid="{D8310948-3939-479F-AF95-94EF351637A4}"/>
    <hyperlink ref="O170" r:id="rId1004" display="https://drive.google.com/open?id=snxDCDhx0zeIZqLBHaOY" xr:uid="{309F56F1-FA6F-4E2D-84B5-F1A7DA85AF86}"/>
    <hyperlink ref="N170" r:id="rId1005" display="https://drive.google.com/open?id=E4BJXsflxXDVK1ZcoHhq" xr:uid="{26A88E06-8141-4CDC-BD0F-C937921E17BF}"/>
    <hyperlink ref="R169" r:id="rId1006" display="https://drive.google.com/open?id=1tHauFOUycdWOVYFNbMC" xr:uid="{FB01AE6A-4161-469A-B4F3-EBBD143B64DF}"/>
    <hyperlink ref="L169" r:id="rId1007" display="https://drive.google.com/open?id=ulUzSJiEEWsn9ouYmPKb" xr:uid="{06ED760D-2C1B-44BA-876A-0A9934F2A059}"/>
    <hyperlink ref="K169" r:id="rId1008" display="https://drive.google.com/open?id=qY0lTu7nbYUadNrOFZJh" xr:uid="{050E6F9D-F9E3-495D-8BE6-9CE2EAFFECBF}"/>
    <hyperlink ref="R168" r:id="rId1009" display="https://drive.google.com/open?id=FJ26GZRd8ZHKFhxY7RLO" xr:uid="{FCA769E4-BCC0-4936-B2FD-6E70D212BF6C}"/>
    <hyperlink ref="O168" r:id="rId1010" display="https://drive.google.com/open?id=hu81pEfkDCu1NntTGxcG" xr:uid="{BCFE8B90-BBDA-40B8-98BF-859FEB269127}"/>
    <hyperlink ref="N168" r:id="rId1011" display="https://drive.google.com/open?id=3hsxOqJ7HXOIrEFfuwJ2" xr:uid="{B776F56C-AA13-40C5-8DBD-B757850DECD5}"/>
    <hyperlink ref="R167" r:id="rId1012" display="https://drive.google.com/open?id=OA8hMKUx6b1TkRQXMKH2" xr:uid="{41E8F9C4-5DDF-4A93-AF59-402C9AF711D0}"/>
    <hyperlink ref="L167" r:id="rId1013" display="https://drive.google.com/open?id=mJ1Y7dn9apRLZMvpFMUY" xr:uid="{F863F37B-DB9F-4EFE-8BCA-EE57F4603DB3}"/>
    <hyperlink ref="K167" r:id="rId1014" display="https://drive.google.com/open?id=MVz3Jou8tY7YhaxOKTHj" xr:uid="{66B78352-2F64-4D29-BA4A-59AF75D2FBE2}"/>
    <hyperlink ref="R166" r:id="rId1015" display="https://drive.google.com/open?id=tOWZhIR7TOlHo2ByfcUx" xr:uid="{79F304F7-002A-4AF6-BF20-6BB0428B2927}"/>
    <hyperlink ref="L166" r:id="rId1016" display="https://drive.google.com/open?id=9nZOFzX0ciaxMEMSrDis" xr:uid="{ED6D3279-9ED4-4FAF-8622-8A90B46A5E09}"/>
    <hyperlink ref="K166" r:id="rId1017" display="https://drive.google.com/open?id=kK9gvbVAgEQIbEFJ73YP" xr:uid="{AFFE71A5-E742-4172-A145-66F664590D70}"/>
    <hyperlink ref="R165" r:id="rId1018" display="https://drive.google.com/open?id=gxPgXpmKeEfJb6E6zvSP" xr:uid="{11B7FE9A-3D83-4200-9AF9-F5872C6132D0}"/>
    <hyperlink ref="L165" r:id="rId1019" display="https://drive.google.com/open?id=Tuh1eonUe5gcpwL6QXO0" xr:uid="{166AEA84-840E-47E8-BF4E-A29DAD195B93}"/>
    <hyperlink ref="K165" r:id="rId1020" display="https://drive.google.com/open?id=ohVjHQscxWdOBOQPRdRY" xr:uid="{AB443C98-2F1F-4457-BAC2-1B058124D94F}"/>
    <hyperlink ref="R164" r:id="rId1021" display="https://drive.google.com/open?id=0Xps2LtR09w9v6xv8KE9" xr:uid="{E91C2476-08EF-45F2-8778-6CC33C6E09CA}"/>
    <hyperlink ref="L164" r:id="rId1022" display="https://drive.google.com/open?id=0dYGJlzoxdtTI208tBw6" xr:uid="{EBF142FF-FB9B-4BB8-9729-367775BBAA66}"/>
    <hyperlink ref="K164" r:id="rId1023" display="https://drive.google.com/open?id=zDk5f7Neo1KncGGBtgxy" xr:uid="{0A777E8C-C09F-4D45-8EC4-997B9FCD52ED}"/>
    <hyperlink ref="R163" r:id="rId1024" display="https://drive.google.com/open?id=hcQZ0pF2loz7zAc6DhHa" xr:uid="{14DA7DF8-3D0F-441B-B291-76C52908871C}"/>
    <hyperlink ref="L163" r:id="rId1025" display="https://drive.google.com/open?id=eCEIxZThJWOsAtHYeveT" xr:uid="{8E9F851B-C43A-4ABC-826C-EF4CBE21F1AD}"/>
    <hyperlink ref="K163" r:id="rId1026" display="https://drive.google.com/open?id=jxf3Fmr9wwzUdEWTwauJ" xr:uid="{EE21EE06-CFE7-40C5-A9DF-AB06BD4BF349}"/>
    <hyperlink ref="R162" r:id="rId1027" display="https://drive.google.com/open?id=q9NGEzcqNYSHGHg4WO8q" xr:uid="{076174B9-B38B-4B51-A857-728AC41A9F0F}"/>
    <hyperlink ref="L162" r:id="rId1028" display="https://drive.google.com/open?id=NP7gk62W4gKX2FXibA34" xr:uid="{D3630BEE-7978-4D9B-A9BE-4C7D1E72E470}"/>
    <hyperlink ref="K162" r:id="rId1029" display="https://drive.google.com/open?id=kdhyhQOue3CEw8evRa8s" xr:uid="{4901AC7E-10B4-4BCA-8EB6-F29AFD893E93}"/>
    <hyperlink ref="R161" r:id="rId1030" display="https://drive.google.com/open?id=2Ue99QKIl5ltUAQkywiI" xr:uid="{A38DD19B-9922-4B08-9AA3-A951FB796C7A}"/>
    <hyperlink ref="L161" r:id="rId1031" display="https://drive.google.com/open?id=hTBHHhN8KiyLInrPGsXw" xr:uid="{090C096C-981C-42EC-91E4-2CB76EB09A57}"/>
    <hyperlink ref="K161" r:id="rId1032" display="https://drive.google.com/open?id=2XOEen7RzTyHqFuLlcui" xr:uid="{F91DDFC7-9948-47C5-B879-5E4568355738}"/>
    <hyperlink ref="R160" r:id="rId1033" display="https://drive.google.com/open?id=uCs39aZSbUtiSAKtYhSu" xr:uid="{62998EC3-B539-4C87-BEC8-7705CDD2D475}"/>
    <hyperlink ref="L160" r:id="rId1034" display="https://drive.google.com/open?id=8wJSCkuOPL6Av4sRaVS3" xr:uid="{92BFE230-82CF-4413-8927-BD14C7218CDA}"/>
    <hyperlink ref="K160" r:id="rId1035" display="https://drive.google.com/open?id=gEsXcBv3TZPXQX2UNcT6" xr:uid="{37B6EB81-803F-4443-B6F7-114937EC30FC}"/>
    <hyperlink ref="R159" r:id="rId1036" display="https://drive.google.com/open?id=uno3lPsksK07Y8dC4fHe" xr:uid="{2F9FB22C-C8BB-446A-B27F-B73AC369206B}"/>
    <hyperlink ref="L159" r:id="rId1037" display="https://drive.google.com/open?id=hC4bdHGB7w4SFAjzPDge" xr:uid="{7DD23976-CC32-49B5-BC97-12F22748E7D0}"/>
    <hyperlink ref="K159" r:id="rId1038" display="https://drive.google.com/open?id=TdGNq4pP0cGBjbavnxw5" xr:uid="{B198680C-B319-4EF5-8A91-C76F9817619A}"/>
    <hyperlink ref="R158" r:id="rId1039" display="https://drive.google.com/open?id=5eJgEAKlR0EMEhqsKXps" xr:uid="{F8E23141-4E10-4FA0-BB30-891567504624}"/>
    <hyperlink ref="L158" r:id="rId1040" display="https://drive.google.com/open?id=hhRVnszoXxwq0EKUzfbM" xr:uid="{1EA029A8-2D9C-4C7E-9691-9A565B0B3626}"/>
    <hyperlink ref="K158" r:id="rId1041" display="https://drive.google.com/open?id=M3vwAssxcyGKaDIhoQUB" xr:uid="{39D2A882-4C9B-4259-BA16-CB0A2C74B519}"/>
    <hyperlink ref="R157" r:id="rId1042" display="https://drive.google.com/open?id=bGOq5BKUx3sk6CltLEF9" xr:uid="{877CF21A-2549-4C45-8F3E-8DA4B9F59BCB}"/>
    <hyperlink ref="L157" r:id="rId1043" display="https://drive.google.com/open?id=vDd7T5VZvjdTm9zAmlpt" xr:uid="{87B6217D-EF70-495E-A0EC-1E26ADF4E91C}"/>
    <hyperlink ref="K157" r:id="rId1044" display="https://drive.google.com/open?id=BLBXvgJUJpK5GTqNjAS4" xr:uid="{B332EA9E-7B1C-4A93-855C-E4E78687C959}"/>
    <hyperlink ref="R156" r:id="rId1045" display="https://drive.google.com/open?id=uTcmU3uK4F1zZhnxCH4o" xr:uid="{A3F0DF13-CD03-4ADA-A2B1-FFE6971C5653}"/>
    <hyperlink ref="L156" r:id="rId1046" display="https://drive.google.com/open?id=kQQUHf3mF53ydyN7WwNM" xr:uid="{CF961824-C898-47E5-B7EE-836C834BC4A0}"/>
    <hyperlink ref="K156" r:id="rId1047" display="https://drive.google.com/open?id=A5KQktHVL5Pihccio0wu" xr:uid="{C7A99A5B-1D7C-47F3-B142-AAE7248C8CB6}"/>
    <hyperlink ref="R155" r:id="rId1048" display="https://drive.google.com/open?id=92EKazwVBroHpbgf8Pto" xr:uid="{6E9C8DD7-221D-4328-8177-EB7BF872BB8A}"/>
    <hyperlink ref="L155" r:id="rId1049" display="https://drive.google.com/open?id=SeB49Ep1Zh2VzKmEFuWU" xr:uid="{738BE91F-B350-458E-BC96-F2F5A3714451}"/>
    <hyperlink ref="K155" r:id="rId1050" display="https://drive.google.com/open?id=iKmuVlGPE76JR1yjiziv" xr:uid="{2C135A0C-FAAF-400D-8B49-C4837CBCF9A0}"/>
    <hyperlink ref="R154" r:id="rId1051" display="https://drive.google.com/open?id=1Ydhzdd6WNgcEAesmgjY" xr:uid="{78752879-A3E4-47A4-85A1-B43037E5906B}"/>
    <hyperlink ref="L154" r:id="rId1052" display="https://drive.google.com/open?id=zeMrI8cxz1E8iUi0UcVm" xr:uid="{5E50C507-A221-4654-B0F1-EA1D60FC1281}"/>
    <hyperlink ref="K154" r:id="rId1053" display="https://drive.google.com/open?id=UW3J6DYzNdmpv4apJpFY" xr:uid="{8598EF38-B1AD-4234-8D33-985723DFDF21}"/>
    <hyperlink ref="R153" r:id="rId1054" display="https://drive.google.com/open?id=qsN9OWoaMajcdw5iOTrO" xr:uid="{62EA22AE-1554-452C-9A0B-04F576B62B3C}"/>
    <hyperlink ref="L153" r:id="rId1055" display="https://drive.google.com/open?id=geXMSI2wR1Wex1KJv8Wx" xr:uid="{5689E3A6-E6A4-4F27-9312-C8882756636D}"/>
    <hyperlink ref="K153" r:id="rId1056" display="https://drive.google.com/open?id=oez8En3DEvpEmR7ru0aH" xr:uid="{1F59F3D5-0F0E-4530-8AF8-1F019E500122}"/>
    <hyperlink ref="R152" r:id="rId1057" display="https://drive.google.com/open?id=3SVKLke1ORy9Tt0sCK7w" xr:uid="{434F9B9D-B2A7-4465-9FA6-6BDB01B286B3}"/>
    <hyperlink ref="L152" r:id="rId1058" display="https://drive.google.com/open?id=jyTklnvwMIp79LgJ3054" xr:uid="{18504EE7-5109-4B8B-8D0E-EE793059F653}"/>
    <hyperlink ref="K152" r:id="rId1059" display="https://drive.google.com/open?id=Fe6OkXCdHRqE2C2riNY2" xr:uid="{DCFBDDF8-6A8B-4084-B1BF-E9DF19C933E3}"/>
    <hyperlink ref="R151" r:id="rId1060" display="https://drive.google.com/open?id=YQJnvm2h5cloGPhmKifo" xr:uid="{E83E43CF-4E87-4EC3-8D15-C3D555D11F43}"/>
    <hyperlink ref="L151" r:id="rId1061" display="https://drive.google.com/open?id=ZCLHWl804obbmDsKaNRf" xr:uid="{D8A01F62-A8B9-49B4-8D8C-0C5AE9EABEDF}"/>
    <hyperlink ref="K151" r:id="rId1062" display="https://drive.google.com/open?id=3pWZY0cBg5DTpOKXhAFk" xr:uid="{10AA2BE3-26C7-4271-B085-0E5CBE582FF7}"/>
    <hyperlink ref="R150" r:id="rId1063" display="https://drive.google.com/open?id=UYOwBlo2mQmUluZfbKOQ" xr:uid="{CD22A580-0ED3-400F-BA1A-1CF8C327CC36}"/>
    <hyperlink ref="L150" r:id="rId1064" display="https://drive.google.com/open?id=aU6f3mt2o5SNd8aJFF4O" xr:uid="{E2DDCDC8-EDB4-4C2C-B248-0CA2DB27252A}"/>
    <hyperlink ref="K150" r:id="rId1065" display="https://drive.google.com/open?id=8y8NMSXlx1jlbJWxPPCE" xr:uid="{8E3A02EC-0E1C-413E-85D0-5867B915C858}"/>
    <hyperlink ref="R149" r:id="rId1066" display="https://drive.google.com/open?id=zBINfSXlGSXpS5Cg57Br" xr:uid="{1B2D627C-FD74-4D3D-B418-0FEB3EDC9D0C}"/>
    <hyperlink ref="L149" r:id="rId1067" display="https://drive.google.com/open?id=14mXmeulcVMpRj7LQ58A" xr:uid="{A7DCA1FE-D879-4BB4-8678-DD2F870DA72F}"/>
    <hyperlink ref="K149" r:id="rId1068" display="https://drive.google.com/open?id=ga2o89vR322MvfcB6ZIz" xr:uid="{A8122E1B-D0AD-4A6A-8A72-B6BA7731F2E4}"/>
    <hyperlink ref="R148" r:id="rId1069" display="https://drive.google.com/open?id=tXhRRaLdJVmEQyU88sW2" xr:uid="{0E604C1B-D8BF-40B2-8A06-B14D52DE357E}"/>
    <hyperlink ref="L148" r:id="rId1070" display="https://drive.google.com/open?id=ny99xDXk1JH6rPPtbIgz" xr:uid="{4B206E2D-3875-4806-A778-8FADDF75AD04}"/>
    <hyperlink ref="K148" r:id="rId1071" display="https://drive.google.com/open?id=zQcK2Wh6SLiBdwV8kHx5" xr:uid="{BEC40F2C-716D-485B-9BA6-FAC40DEC6AB3}"/>
    <hyperlink ref="R147" r:id="rId1072" display="https://drive.google.com/open?id=gxYb25ZpcmIIagR5Ukvo" xr:uid="{9B4741D0-0994-4734-A417-B7F20D83A3E5}"/>
    <hyperlink ref="L147" r:id="rId1073" display="https://drive.google.com/open?id=031hwyNBENwBAvM0NIk1" xr:uid="{DA86CBCF-062C-496A-A2BB-F1DE3EA3A23A}"/>
    <hyperlink ref="K147" r:id="rId1074" display="https://drive.google.com/open?id=Z3JCQQaFS06NgehZWQ28" xr:uid="{D83A616D-5047-49E4-AC32-0ED3595EBDFB}"/>
    <hyperlink ref="R146" r:id="rId1075" display="https://drive.google.com/open?id=OXNkSswTtNVKBDLTFxAp" xr:uid="{8A8E0F48-CA83-4184-BCA9-81959B284EA7}"/>
    <hyperlink ref="O146" r:id="rId1076" display="https://drive.google.com/open?id=8KDeCltVUOZqPjtwn0ci" xr:uid="{265EC484-BFCB-4AC1-A6E6-EB38721C2CD5}"/>
    <hyperlink ref="N146" r:id="rId1077" display="https://drive.google.com/open?id=yYzXlOdlbQcYAbQyYsw2" xr:uid="{C00130F0-0DB0-4787-B9DD-B146C5BCF92A}"/>
    <hyperlink ref="R145" r:id="rId1078" display="https://drive.google.com/open?id=7GZBtiWJBjJ9WVlRplXD" xr:uid="{77EAB0F1-7EE4-44D9-B1C2-AA3884944555}"/>
    <hyperlink ref="L145" r:id="rId1079" display="https://drive.google.com/open?id=HAov8cHGV76X779ixmTg" xr:uid="{A9F50954-70D2-4765-8C04-11CA63A1F3E5}"/>
    <hyperlink ref="K145" r:id="rId1080" display="https://drive.google.com/open?id=baAmKUJM7qDYEcvQc1O1" xr:uid="{40720E1F-DD5A-4C8C-A0A2-A34F637B3D4D}"/>
    <hyperlink ref="R144" r:id="rId1081" display="https://drive.google.com/open?id=H2115nJSi9xc1mWT7jCw" xr:uid="{D3814A18-558D-46ED-BEEC-7B03F2F80647}"/>
    <hyperlink ref="L144" r:id="rId1082" display="https://drive.google.com/open?id=tVuToTSr2NBz1n5Micef" xr:uid="{5D67E064-4B4C-4F7D-8E2E-1F4C65307A3F}"/>
    <hyperlink ref="K144" r:id="rId1083" display="https://drive.google.com/open?id=rnsKTYaUhC3Gvhn4yg6m" xr:uid="{636C3FD8-429B-4C17-A478-17D15CF28C9C}"/>
    <hyperlink ref="R143" r:id="rId1084" display="https://drive.google.com/open?id=F1SzBAfWZQeLpg8C8NeG" xr:uid="{F0EF6F00-3F3B-42F9-ADB3-ED947D2C73EC}"/>
    <hyperlink ref="L143" r:id="rId1085" display="https://drive.google.com/open?id=z81OIpoCySrov8NNUZnu" xr:uid="{8B8FE0B9-7EAD-4DB6-A614-9C009267C74F}"/>
    <hyperlink ref="K143" r:id="rId1086" display="https://drive.google.com/open?id=6TrlXa8JJirfLYqU5OP3" xr:uid="{9CE0FC97-7169-47C0-9DA8-CB9FBBE46BEF}"/>
    <hyperlink ref="R142" r:id="rId1087" display="https://drive.google.com/open?id=tRHwooXjZuBrGubGQe51" xr:uid="{27AC771F-055A-4A66-AAB4-AF5E1A663488}"/>
    <hyperlink ref="L142" r:id="rId1088" display="https://drive.google.com/open?id=fgsCyfaXUmuk7zUhVxiW" xr:uid="{A187513A-92ED-4831-B438-9A4B1A8874B9}"/>
    <hyperlink ref="K142" r:id="rId1089" display="https://drive.google.com/open?id=buq3HdtdcvsFTprTUbfc" xr:uid="{02EA5C99-DD79-4384-BD81-CD5FECDE3030}"/>
    <hyperlink ref="R141" r:id="rId1090" display="https://drive.google.com/open?id=rHhU5Elco4kKBowQT9Q3" xr:uid="{EC66C513-033A-4B91-ADD1-D904C742CC9C}"/>
    <hyperlink ref="L141" r:id="rId1091" display="https://drive.google.com/open?id=SIIk7Ulo4JTVsozYvHco" xr:uid="{4462AB7D-A8F1-40B3-9750-E85B31D7A5BF}"/>
    <hyperlink ref="K141" r:id="rId1092" display="https://drive.google.com/open?id=hgat4R2WyvZPGvx4YXRP" xr:uid="{A2132AE4-9A08-4874-9BB1-84B445EE37BA}"/>
    <hyperlink ref="R140" r:id="rId1093" display="https://drive.google.com/open?id=LzvZmRDpEwGyz2FK0yOt" xr:uid="{95C3B609-ADDD-417F-8D98-E07F1510F29E}"/>
    <hyperlink ref="L140" r:id="rId1094" display="https://drive.google.com/open?id=XTfij5wxrb0uPdQc4Vv6" xr:uid="{6E857604-0E91-4E65-BAF2-ECA7A2DE0E29}"/>
    <hyperlink ref="K140" r:id="rId1095" display="https://drive.google.com/open?id=YrmNKPKSmQza0abLYAXm" xr:uid="{A69841AF-35E0-49A2-B6CE-E94947894742}"/>
    <hyperlink ref="R139" r:id="rId1096" display="https://drive.google.com/open?id=NHO2X4d0g707t15gvxFb" xr:uid="{27CFCCBA-2FAB-455A-9765-FEEA5741D72F}"/>
    <hyperlink ref="L139" r:id="rId1097" display="https://drive.google.com/open?id=jyTqqjoZ4q7SYOFxp2pa" xr:uid="{5BE1D804-5CB2-4084-BBCA-86FBE2539953}"/>
    <hyperlink ref="K139" r:id="rId1098" display="https://drive.google.com/open?id=r9lF1bFvjdb8MQWdIHTC" xr:uid="{CD63D2BD-16B4-44FC-BFA7-9353516C9E5C}"/>
    <hyperlink ref="R138" r:id="rId1099" display="https://drive.google.com/open?id=xXYnlhrHmeu88gcpKPhM" xr:uid="{505D4B97-61C9-44DB-B704-19E39ED3914F}"/>
    <hyperlink ref="L138" r:id="rId1100" display="https://drive.google.com/open?id=18rTAt6xTLaYsEiT3Ey3" xr:uid="{EE9714F4-D1E3-4326-B4EB-C0A639D7E2DF}"/>
    <hyperlink ref="K138" r:id="rId1101" display="https://drive.google.com/open?id=0kjTp7tGLz331ohEaRom" xr:uid="{A4740A66-2B0B-44D4-B556-9B15924F5808}"/>
    <hyperlink ref="R137" r:id="rId1102" display="https://drive.google.com/open?id=0Ezur2SVvT59i5jRhieq" xr:uid="{10E7E978-A469-4A67-9910-F6DC3CBE121C}"/>
    <hyperlink ref="O137" r:id="rId1103" display="https://drive.google.com/open?id=ezdSLvLdlNJzEnujgxfS" xr:uid="{023668D5-C270-4857-B9AF-C2432C3C2B6A}"/>
    <hyperlink ref="N137" r:id="rId1104" display="https://drive.google.com/open?id=KF9uUVeCCbJX2iZc6pA2" xr:uid="{29CDFBDF-6C3D-4B9C-AC4E-7BC15957545D}"/>
    <hyperlink ref="R136" r:id="rId1105" display="https://drive.google.com/open?id=TZenB8Iq1a7Qu88H5zeF" xr:uid="{2924B95C-884D-447A-958F-F1416EFA7A90}"/>
    <hyperlink ref="L136" r:id="rId1106" display="https://drive.google.com/open?id=QlizSKoV4tniOjOE2Xe2" xr:uid="{274B2B7F-C4E5-4474-9B45-347B09D2613A}"/>
    <hyperlink ref="K136" r:id="rId1107" display="https://drive.google.com/open?id=XhuNkF03p4r4p8mdkwMS" xr:uid="{9EC92CBD-3376-40B9-A05F-DEFC077E6D04}"/>
    <hyperlink ref="R135" r:id="rId1108" display="https://drive.google.com/open?id=6bcCJAR1lMBBhcMgZqXw" xr:uid="{F8F90073-C122-4571-A308-06B11FA06209}"/>
    <hyperlink ref="O135" r:id="rId1109" display="https://drive.google.com/open?id=vy29aKH5a0OC720xWpWB" xr:uid="{52411B02-3226-4EC6-B6D9-084814642524}"/>
    <hyperlink ref="N135" r:id="rId1110" display="https://drive.google.com/open?id=p4Gbrz6klhXiWS8FztFi" xr:uid="{853AD1C1-E2AC-4D59-B56E-444C03039F2C}"/>
    <hyperlink ref="R134" r:id="rId1111" display="https://drive.google.com/open?id=LHwRhEgntETw07bEpz5B" xr:uid="{9134174D-29F4-43BF-9A7E-1EB04146A9F7}"/>
    <hyperlink ref="L134" r:id="rId1112" display="https://drive.google.com/open?id=xpQqRZyQrXOsPrMPSKob" xr:uid="{4E84D7A8-A522-41EB-9DC6-BFF93355FAC5}"/>
    <hyperlink ref="K134" r:id="rId1113" display="https://drive.google.com/open?id=hnCNOW8R2QxQ2UpXBZ3M" xr:uid="{FF594714-9172-4CA2-97E6-6ABA903DE048}"/>
    <hyperlink ref="R133" r:id="rId1114" display="https://drive.google.com/open?id=ONwtbalGtbWRVnD1wRP7" xr:uid="{6E264ACC-D3A2-4110-9DB4-99962ED95A0B}"/>
    <hyperlink ref="L133" r:id="rId1115" display="https://drive.google.com/open?id=sshexuJzlEjsuC7JsdgP" xr:uid="{2A2C4B35-2E24-4987-B780-7BEEC3904FEF}"/>
    <hyperlink ref="K133" r:id="rId1116" display="https://drive.google.com/open?id=3ffmpxh3fqPHWeHsPwTd" xr:uid="{1E36929A-3C43-47EF-978F-E27243EDD39D}"/>
    <hyperlink ref="R132" r:id="rId1117" display="https://drive.google.com/open?id=voJyVBO4t6qJPgzlW7dm" xr:uid="{B0C684A5-9A4C-40C2-BB31-E56BE1FC3645}"/>
    <hyperlink ref="L132" r:id="rId1118" display="https://drive.google.com/open?id=AcCSU4TdF2bzBCrZtXYb" xr:uid="{9DA1AB47-8D3C-4243-B535-4B9021335902}"/>
    <hyperlink ref="K132" r:id="rId1119" display="https://drive.google.com/open?id=kHgf6BC5hm3gzdpzwJ0P" xr:uid="{335BF669-0639-41BE-85A4-039CCD8C89F1}"/>
    <hyperlink ref="R131" r:id="rId1120" display="https://drive.google.com/open?id=shaJ38RtpuvsNBJ1JTyo" xr:uid="{80DFA5E1-A32A-4561-A4B0-7010D8B7D564}"/>
    <hyperlink ref="L131" r:id="rId1121" display="https://drive.google.com/open?id=pJD7Vh7kOwSUWDy7cv00" xr:uid="{439105E3-10EE-462B-B7B2-046BE9315F7E}"/>
    <hyperlink ref="K131" r:id="rId1122" display="https://drive.google.com/open?id=t6UwZX5pkCYxdZZKbLes" xr:uid="{F2950F57-65BB-4812-BFAA-89474FB6EDB4}"/>
    <hyperlink ref="R130" r:id="rId1123" display="https://drive.google.com/open?id=vpJMa7HvWmMeO5f5kcTF" xr:uid="{05208389-01B4-4C9D-A522-F27261FFC9BB}"/>
    <hyperlink ref="O130" r:id="rId1124" display="https://drive.google.com/open?id=XYT8TyhY4BxmdnrTXDSK" xr:uid="{425FA169-E67C-4EE2-8B1C-BE9E01EEE041}"/>
    <hyperlink ref="N130" r:id="rId1125" display="https://drive.google.com/open?id=5VSCgtboqktrOxx8WwMc" xr:uid="{05FB8055-4E6B-4BC6-86F9-C537CF075485}"/>
    <hyperlink ref="R129" r:id="rId1126" display="https://drive.google.com/open?id=cdWRsNosPW7n81tw9j62" xr:uid="{6FCA3801-D1E8-4171-98AD-AC46C0C034A9}"/>
    <hyperlink ref="L129" r:id="rId1127" display="https://drive.google.com/open?id=Q1opNkNBNnGnqNsUgWrf" xr:uid="{82F59E5D-AE38-4DAA-9563-A8F870A83E71}"/>
    <hyperlink ref="K129" r:id="rId1128" display="https://drive.google.com/open?id=3g3b8xjvX8myyw78h4nz" xr:uid="{4E059B03-BA31-40F4-8A05-50681C67DB7F}"/>
    <hyperlink ref="R128" r:id="rId1129" display="https://drive.google.com/open?id=jlfj5q7SV8p68qrgeKLx" xr:uid="{AE567CB1-5B27-4D5C-BC88-E9B0A1E22737}"/>
    <hyperlink ref="O128" r:id="rId1130" display="https://drive.google.com/open?id=UvcJJU1mhftxsjy576Ou" xr:uid="{ED024D5D-23E2-4529-A0F6-082AF1FFB75D}"/>
    <hyperlink ref="N128" r:id="rId1131" display="https://drive.google.com/open?id=7Gc4DudmUiYdEJh87VbJ" xr:uid="{000DD16A-2F22-423F-98DC-B7FB1B671A18}"/>
    <hyperlink ref="R127" r:id="rId1132" display="https://drive.google.com/open?id=HyClDIEOMMYo3xxYvm0d" xr:uid="{125B9A91-B68F-42A6-A453-80C7AD111EFC}"/>
    <hyperlink ref="L127" r:id="rId1133" display="https://drive.google.com/open?id=AcTcrZ9f014nlrM03KQD" xr:uid="{D10A3C81-73C9-45AD-A331-8F2D9559316C}"/>
    <hyperlink ref="K127" r:id="rId1134" display="https://drive.google.com/open?id=4nnVGDOeX2OMwjsRIcSA" xr:uid="{14AE2293-B3EB-4BCE-B082-A8B261FCC7CE}"/>
    <hyperlink ref="R126" r:id="rId1135" display="https://drive.google.com/open?id=Qs3WDBArLy1HJbfWGcva" xr:uid="{BD67CE1E-09F4-4EA9-8334-07C51A4CDB59}"/>
    <hyperlink ref="L126" r:id="rId1136" display="https://drive.google.com/open?id=aYrzEFZX6Zg4myBOBzel" xr:uid="{217DF98C-8D5D-41D3-89DA-B969D3028D1B}"/>
    <hyperlink ref="K126" r:id="rId1137" display="https://drive.google.com/open?id=w1YtWkErodhuHkKbrjdS" xr:uid="{C7437BCD-917C-4A59-8DC2-4CCECD50DF48}"/>
    <hyperlink ref="R125" r:id="rId1138" display="https://drive.google.com/open?id=PnmqPAYZK64j9nucfyDq" xr:uid="{DABBCFDA-2AC7-4FF0-8B6E-6E835572F092}"/>
    <hyperlink ref="L125" r:id="rId1139" display="https://drive.google.com/open?id=1Yo10NKNQLrFFl0VWGXD" xr:uid="{54347216-DE4F-4710-868D-89AEF50910FD}"/>
    <hyperlink ref="K125" r:id="rId1140" display="https://drive.google.com/open?id=9eydbfaOj3cl39rQcpeR" xr:uid="{DA5C5925-6B09-451B-A99E-0A015BDC2591}"/>
    <hyperlink ref="R124" r:id="rId1141" display="https://drive.google.com/open?id=BpwwNFFzEOOmpgngXO8v" xr:uid="{0303F1FC-DCCE-4E28-8690-455FB117D9D0}"/>
    <hyperlink ref="O124" r:id="rId1142" display="https://drive.google.com/open?id=t15YvOzivd3nMyanxGru" xr:uid="{23F302EA-164B-4285-9B21-07AE1E39145D}"/>
    <hyperlink ref="N124" r:id="rId1143" display="https://drive.google.com/open?id=wipgKeIhWSrzR2dk6cs6" xr:uid="{F8381FCA-C74A-4297-95D4-408488803406}"/>
    <hyperlink ref="R123" r:id="rId1144" display="https://drive.google.com/open?id=pSzVtgeaBdIDwm8aA1Hh" xr:uid="{F2A0C097-E69F-4F14-842C-95FC87B76524}"/>
    <hyperlink ref="L123" r:id="rId1145" display="https://drive.google.com/open?id=QEZMqAy4SJPt3xgZCe1g" xr:uid="{7D6680B0-57BB-4628-AC9A-E57DEDBB49C0}"/>
    <hyperlink ref="K123" r:id="rId1146" display="https://drive.google.com/open?id=HHRCBf2EhjtqpRH1Yd6L" xr:uid="{DC78A572-263C-43FF-9CDC-FC782D7E28BD}"/>
    <hyperlink ref="R122" r:id="rId1147" display="https://drive.google.com/open?id=LbtD1unF7XpsGTHjJonA" xr:uid="{299BADEF-5985-4115-B7E1-6D83F65FDAB3}"/>
    <hyperlink ref="L122" r:id="rId1148" display="https://drive.google.com/open?id=CKreShbtCc7lPwzQWKKF" xr:uid="{89BBF04D-E330-4446-805C-A6038DF90A2A}"/>
    <hyperlink ref="K122" r:id="rId1149" display="https://drive.google.com/open?id=kejhP1zZdhHts4mEClnT" xr:uid="{6E7D22DB-D652-4243-865B-2B6AFE39DBFA}"/>
    <hyperlink ref="R121" r:id="rId1150" display="https://drive.google.com/open?id=dgSzACHmwBlXqbb2616m" xr:uid="{611925C1-FC7C-4CCE-8362-FFEA3EDC49A6}"/>
    <hyperlink ref="L121" r:id="rId1151" display="https://drive.google.com/open?id=Mt1P5cgLxrzZrCnJd65W" xr:uid="{850424D1-E8FE-4E03-B630-4F41589EFBF4}"/>
    <hyperlink ref="K121" r:id="rId1152" display="https://drive.google.com/open?id=kBlz3mXYMdlg0GtSE5WB" xr:uid="{BB963954-83CC-4A75-B0CD-8F14BC259F57}"/>
    <hyperlink ref="R120" r:id="rId1153" display="https://drive.google.com/open?id=G9mmcrMZSijj2WwXIcBV" xr:uid="{E590B5EE-1CB1-4500-8917-76EB4D349A46}"/>
    <hyperlink ref="L120" r:id="rId1154" display="https://drive.google.com/open?id=ptIj3QIFUABoR8Y09S9I" xr:uid="{8F074395-9FDE-42FB-9C5E-965F444A08FB}"/>
    <hyperlink ref="K120" r:id="rId1155" display="https://drive.google.com/open?id=kyCdi6uKVVjUylMBiglT" xr:uid="{48A14C2C-4F46-46ED-A60F-F7DC6564FFDD}"/>
    <hyperlink ref="R119" r:id="rId1156" display="https://drive.google.com/open?id=PIXJm5dsySPJFDlaY3or" xr:uid="{9B708DC5-F5A2-4D28-8752-09EC231366B3}"/>
    <hyperlink ref="L119" r:id="rId1157" display="https://drive.google.com/open?id=ZZgHBIJ4By24GK8ju7wy" xr:uid="{8FC1580E-ED36-4647-8154-79862816CE84}"/>
    <hyperlink ref="K119" r:id="rId1158" display="https://drive.google.com/open?id=3ZiNzCd1tmQDIo5ZDW5G" xr:uid="{96BB72D7-0C75-412C-B490-31D18445FC71}"/>
    <hyperlink ref="R118" r:id="rId1159" display="https://drive.google.com/open?id=TeRkblaoiMIfEQ3JK483" xr:uid="{82437851-8037-494E-91D0-BCFEC0FC3F3D}"/>
    <hyperlink ref="L118" r:id="rId1160" display="https://drive.google.com/open?id=06I2WMPDdUtPcoktlHPS" xr:uid="{FE6DD6AB-417E-488D-A1E2-5475D6C47EDA}"/>
    <hyperlink ref="K118" r:id="rId1161" display="https://drive.google.com/open?id=tuNR9F0WZNlThUSwrayv" xr:uid="{E91590C7-8407-4FA9-B612-E92727FA43C3}"/>
    <hyperlink ref="R117" r:id="rId1162" display="https://drive.google.com/open?id=sEvvAuyMEFJ3kO7fC5Qp" xr:uid="{510F3B9C-D8F9-4E59-A298-0226F0B8F57F}"/>
    <hyperlink ref="L117" r:id="rId1163" display="https://drive.google.com/open?id=UF7PzcKCPdnPKx4kRM91" xr:uid="{92218492-A721-4DBD-B2CC-AB0133231C62}"/>
    <hyperlink ref="K117" r:id="rId1164" display="https://drive.google.com/open?id=11n8iJDAe0iyyKVxSsiz" xr:uid="{C81EB791-482F-4041-A8CF-649BCDD128C6}"/>
    <hyperlink ref="R116" r:id="rId1165" display="https://drive.google.com/open?id=uYAJC0zPKyPVDIZdk49I" xr:uid="{5C8B9AB5-5E5B-4DA6-BC8F-443B90F41240}"/>
    <hyperlink ref="O116" r:id="rId1166" display="https://drive.google.com/open?id=B2XebqXMeYuQ1cJFBpim" xr:uid="{7E7CB596-6EED-4443-A3A0-DCE6EBA04B2A}"/>
    <hyperlink ref="N116" r:id="rId1167" display="https://drive.google.com/open?id=betPZynWxJOQH6zNYOef" xr:uid="{6E4A8ACE-E7D5-455E-B26B-3EB165194ED9}"/>
    <hyperlink ref="R115" r:id="rId1168" display="https://drive.google.com/open?id=vkkhntrl4cYLpuTstfMW" xr:uid="{1CCBCE64-029C-4714-9F86-0D885B934513}"/>
    <hyperlink ref="L115" r:id="rId1169" display="https://drive.google.com/open?id=yR0p3uE88oEcfL9MNqgq" xr:uid="{2A17EAC0-7D22-4C81-A3D7-83364681923F}"/>
    <hyperlink ref="K115" r:id="rId1170" display="https://drive.google.com/open?id=kMOJslHhYZXkf4NfgBLt" xr:uid="{DE3B53C9-DF59-4165-9B42-A38DC48876B3}"/>
    <hyperlink ref="R114" r:id="rId1171" display="https://drive.google.com/open?id=K7rDpUV3mk9asGW6oggp" xr:uid="{3274571D-7D21-410F-974C-B8412D105B62}"/>
    <hyperlink ref="L114" r:id="rId1172" display="https://drive.google.com/open?id=wQ7UI4zXDmsWOGEM76t7" xr:uid="{A3305EB6-0199-45DB-8043-9E8ED029E9E1}"/>
    <hyperlink ref="K114" r:id="rId1173" display="https://drive.google.com/open?id=sUqrUhUmrviTKKFq4AvJ" xr:uid="{1129BF0F-EB61-44BB-AB01-FDA94FBAD454}"/>
    <hyperlink ref="R113" r:id="rId1174" display="https://drive.google.com/open?id=uw3zOz7ol1vgKAlA9TjY" xr:uid="{C943301C-BDD7-482D-8FFA-D99B7BB9FB6C}"/>
    <hyperlink ref="L113" r:id="rId1175" display="https://drive.google.com/open?id=jDQ5muR3cl13M4ij40iH" xr:uid="{C6559A7A-E7A9-4EE2-8423-53C2945527E2}"/>
    <hyperlink ref="K113" r:id="rId1176" display="https://drive.google.com/open?id=rspjRWaTnGPvuH5nT8OV" xr:uid="{4B67337F-420B-4103-9F5E-FBBB2FDF87E9}"/>
    <hyperlink ref="R112" r:id="rId1177" display="https://drive.google.com/open?id=H4xuh8FgRnOGmWqykB0Z" xr:uid="{A484557D-14BA-4BF1-A7D9-9ED62827CE02}"/>
    <hyperlink ref="L112" r:id="rId1178" display="https://drive.google.com/open?id=uD5x4sybw24ZCMXSiPS5" xr:uid="{C99C16DA-7F86-483D-9817-E87A4B8C1065}"/>
    <hyperlink ref="K112" r:id="rId1179" display="https://drive.google.com/open?id=WbtwVk80Zrvns8SQuMhl" xr:uid="{FD68607D-8518-4415-9013-F94BBEA1B280}"/>
    <hyperlink ref="R111" r:id="rId1180" display="https://drive.google.com/open?id=7gmsjV86Pk7zXeAQMlWw" xr:uid="{2933ED4C-5356-4F6D-AD1A-9903FBF63B86}"/>
    <hyperlink ref="L111" r:id="rId1181" display="https://drive.google.com/open?id=3HPN3vimVRUbrgMcmloQ" xr:uid="{026C7433-8CC5-4248-8958-341613C5645C}"/>
    <hyperlink ref="K111" r:id="rId1182" display="https://drive.google.com/open?id=N23tUmoohpvNMyK0iBZq" xr:uid="{6C063154-DF82-4647-ADE1-C34F9D32F7B0}"/>
    <hyperlink ref="R110" r:id="rId1183" display="https://drive.google.com/open?id=2XwKJh8BFZABWjAxfRTk" xr:uid="{7FE20DE4-0D4E-4DBF-B045-3A43C5A86ED9}"/>
    <hyperlink ref="L110" r:id="rId1184" display="https://drive.google.com/open?id=mXvRyiG5f4jhOfrfnjze" xr:uid="{535C099E-3D64-4F65-9EEC-D7BD63071AA9}"/>
    <hyperlink ref="K110" r:id="rId1185" display="https://drive.google.com/open?id=5GmFGvxLyHNMRwpF6fwY" xr:uid="{1B92D846-BF13-4280-A920-9AE95121D5FC}"/>
    <hyperlink ref="R109" r:id="rId1186" display="https://drive.google.com/open?id=oX96pSww9qoY5K9iUlO5" xr:uid="{0CDB97C2-4A9E-4CD8-B5C0-D35B5A479655}"/>
    <hyperlink ref="L109" r:id="rId1187" display="https://drive.google.com/open?id=iSQ3uX2J6EnCN5kzLZed" xr:uid="{D3417277-E6C0-4EEE-B673-1CFE49FF5F17}"/>
    <hyperlink ref="K109" r:id="rId1188" display="https://drive.google.com/open?id=ix2hdLU12vzEmMwcDEdg" xr:uid="{2B3555C5-0311-48BE-BB0E-BF2F50059CA9}"/>
    <hyperlink ref="R108" r:id="rId1189" display="https://drive.google.com/open?id=NwsaIDzTCDiwR8FyMJo2" xr:uid="{AA64E094-AE82-444C-BEB4-CAB9CBB1B49D}"/>
    <hyperlink ref="O108" r:id="rId1190" display="https://drive.google.com/open?id=WYRQCizLVx4xryeIxg0i" xr:uid="{3F5A2264-9E19-4EC5-9B2E-96EF56369539}"/>
    <hyperlink ref="N108" r:id="rId1191" display="https://drive.google.com/open?id=cGWlvTgptIsIshV10yLg" xr:uid="{D1AC6106-871D-42B7-B5CE-06A96336AC86}"/>
    <hyperlink ref="R107" r:id="rId1192" display="https://drive.google.com/open?id=ADZ9SFVueL0MvunVsAlY" xr:uid="{83396F53-3CF3-466B-A4C1-2FE75DBAC45B}"/>
    <hyperlink ref="L107" r:id="rId1193" display="https://drive.google.com/open?id=jcnabFsmKlgxZX3Em3YV" xr:uid="{946B59F8-5939-472C-BACD-155FF98F400D}"/>
    <hyperlink ref="K107" r:id="rId1194" display="https://drive.google.com/open?id=V7OxMd2BkZ7efg3qWT7I" xr:uid="{D4D196ED-21BD-44EC-B372-FE0F36CF7985}"/>
    <hyperlink ref="R106" r:id="rId1195" display="https://drive.google.com/open?id=FNK1HGs0nIYdhvuCwHli" xr:uid="{72C3226B-0E50-422E-9B9B-C58F13321B33}"/>
    <hyperlink ref="L106" r:id="rId1196" display="https://drive.google.com/open?id=M375pEXxGLCR9XkZxS9A" xr:uid="{15528FD7-9FA1-42CA-9524-55D0A6D83847}"/>
    <hyperlink ref="K106" r:id="rId1197" display="https://drive.google.com/open?id=Hysfpxt0oUuEyczWFVwe" xr:uid="{1082B010-D286-45F3-91AD-C74F067D582C}"/>
    <hyperlink ref="R105" r:id="rId1198" display="https://drive.google.com/open?id=t1FOtiIcF2qKJ3TlyF9r" xr:uid="{9EDAD96A-EC6C-41D4-B371-37A1AFB345D4}"/>
    <hyperlink ref="O105" r:id="rId1199" display="https://drive.google.com/open?id=aCK4TBS6o7Vcfr8G4Pae" xr:uid="{1A58CB9E-1ACF-43B5-9A2E-5BBAB4E88296}"/>
    <hyperlink ref="N105" r:id="rId1200" display="https://drive.google.com/open?id=WPekDL92AEDAdvKpyak0" xr:uid="{3DDA9DE8-5177-4B68-8BDE-53F759F149BA}"/>
    <hyperlink ref="R104" r:id="rId1201" display="https://drive.google.com/open?id=XZPkl2s0PEtCPxrcffCe" xr:uid="{9C8D6C6A-789A-4D92-9402-A1280F524783}"/>
    <hyperlink ref="L104" r:id="rId1202" display="https://drive.google.com/open?id=QiJzIKeN5nRnx714llV9" xr:uid="{2070BBA5-0DF9-4FFC-B223-8716028048D7}"/>
    <hyperlink ref="K104" r:id="rId1203" display="https://drive.google.com/open?id=Uiq6zotIqpIYlwOYaG0z" xr:uid="{EA07A94B-0A9C-41F1-95B1-F1A01D10F37F}"/>
    <hyperlink ref="R103" r:id="rId1204" display="https://drive.google.com/open?id=3B1R0K42PT0NTSlLPCFZ" xr:uid="{9752E99C-E122-4326-99C6-2ADD27BA700E}"/>
    <hyperlink ref="L103" r:id="rId1205" display="https://drive.google.com/open?id=BSkNFEV7OzSzKEUXP1D5" xr:uid="{9DDEFF08-3BDB-4AB9-A2E4-704677B7C9DC}"/>
    <hyperlink ref="K103" r:id="rId1206" display="https://drive.google.com/open?id=oV9IRk70NEFx4gW0VmNg" xr:uid="{93711271-378F-4590-9821-E8BCF5AAF196}"/>
    <hyperlink ref="R102" r:id="rId1207" display="https://drive.google.com/open?id=FL7KXfhPsmFUOxIt7JmA" xr:uid="{1EB338AC-0E31-4D46-B1A8-092D77B2E56C}"/>
    <hyperlink ref="L102" r:id="rId1208" display="https://drive.google.com/open?id=3e0oCPpsgiZA412H3ED9" xr:uid="{8BB49580-2082-46B0-8BE5-E83BD6EA426A}"/>
    <hyperlink ref="K102" r:id="rId1209" display="https://drive.google.com/open?id=Bd2O2d99yOItUj8ZnfxT" xr:uid="{073C69FE-67CA-45E8-BEF1-07E60031ED32}"/>
    <hyperlink ref="R101" r:id="rId1210" display="https://drive.google.com/open?id=KeiSDTQihhSyEPzX8wU6" xr:uid="{D5EABC45-0BCD-4F58-96A3-25C3788BF4AC}"/>
    <hyperlink ref="L101" r:id="rId1211" display="https://drive.google.com/open?id=LTTySYiX1B2hTBTkLRoy" xr:uid="{6AE685DE-A0C5-4F20-8676-59C73CFC6C4E}"/>
    <hyperlink ref="K101" r:id="rId1212" display="https://drive.google.com/open?id=4v4UxAaByObYVgXWuzkY" xr:uid="{78FC54B1-91E4-43EB-AFC9-FE2B480D848C}"/>
    <hyperlink ref="R100" r:id="rId1213" display="https://drive.google.com/open?id=QXtd9jvGUCNYk3l5Ekft" xr:uid="{F97294DA-494D-43E6-941B-68351BA0EA46}"/>
    <hyperlink ref="L100" r:id="rId1214" display="https://drive.google.com/open?id=U8geOkK5GNlTp9fuJbka" xr:uid="{D968AF1D-FBE5-4174-8C01-DA09CF0829E2}"/>
    <hyperlink ref="K100" r:id="rId1215" display="https://drive.google.com/open?id=lw3wuo7LDJnEzkppjnLP" xr:uid="{4BC22955-9071-4BAA-BECE-B3AE219C24B1}"/>
    <hyperlink ref="R99" r:id="rId1216" display="https://drive.google.com/open?id=nf9dS7NtyTEDcqHNVnzG" xr:uid="{A3E5DD8E-2376-4AA9-BF2E-B2774804B2B7}"/>
    <hyperlink ref="L99" r:id="rId1217" display="https://drive.google.com/open?id=YPGEPEeSyimXKIdQ1a8H" xr:uid="{AF01432C-93B7-43AA-B46A-FD3D76CE06DF}"/>
    <hyperlink ref="K99" r:id="rId1218" display="https://drive.google.com/open?id=V6tjjk8jHFGwAOSy9X8I" xr:uid="{D67224E4-3CBA-4BFB-86BD-8391519BFAB4}"/>
    <hyperlink ref="R98" r:id="rId1219" display="https://drive.google.com/open?id=wN8nB6HjRQp3Q9EgH6yZ" xr:uid="{6C4970FF-EBC0-4391-A9C7-7787E3426D36}"/>
    <hyperlink ref="L98" r:id="rId1220" display="https://drive.google.com/open?id=SrDetkijjSMpfp18eZE2" xr:uid="{4BE5F36A-EF8F-4297-9B5E-93B7906B4459}"/>
    <hyperlink ref="K98" r:id="rId1221" display="https://drive.google.com/open?id=CPxePAGNhEn7AvxsRN6v" xr:uid="{CFBF93F2-A546-45EF-9257-BA35ED6264BB}"/>
    <hyperlink ref="R97" r:id="rId1222" display="https://drive.google.com/open?id=72YTE0ykxNixtpUvEmd5" xr:uid="{9A16B942-305D-4C15-8145-290A23A802BE}"/>
    <hyperlink ref="L97" r:id="rId1223" display="https://drive.google.com/open?id=KBS08BeK9PWetdVMd5mm" xr:uid="{84D6C5A4-A09D-42CC-951B-3D959CC48F2C}"/>
    <hyperlink ref="K97" r:id="rId1224" display="https://drive.google.com/open?id=OkFQUEJ5Yg00X01fa3i9" xr:uid="{089B228E-56BD-4489-A985-F91FE7822145}"/>
    <hyperlink ref="R96" r:id="rId1225" display="https://drive.google.com/open?id=JvEBJjS91VsMtSFc9Pfc" xr:uid="{82981969-1080-415F-9FC3-491FA87836E8}"/>
    <hyperlink ref="L96" r:id="rId1226" display="https://drive.google.com/open?id=OUJbcgTeXdmAKaKbvXO7" xr:uid="{600829D4-A060-4A67-823A-094A5C299393}"/>
    <hyperlink ref="K96" r:id="rId1227" display="https://drive.google.com/open?id=sYAwUCQxi7g4EgXUJyDV" xr:uid="{9FD0B7D5-A9B9-42ED-92AA-D08C70A371B7}"/>
    <hyperlink ref="R95" r:id="rId1228" display="https://drive.google.com/open?id=rLdRCtVPFviljNAwZUPi" xr:uid="{D49C25FA-D681-476F-9870-E9F56D46869F}"/>
    <hyperlink ref="L95" r:id="rId1229" display="https://drive.google.com/open?id=oqE98zNuyCUDcoprv2uX" xr:uid="{E9BABE0C-0FD6-4815-B456-585A980D2F14}"/>
    <hyperlink ref="K95" r:id="rId1230" display="https://drive.google.com/open?id=xr7K1EFChRDnC2B6ceLq" xr:uid="{9437E2D0-F2A3-466D-904A-E522586EC168}"/>
    <hyperlink ref="R94" r:id="rId1231" display="https://drive.google.com/open?id=KFSeXaEgvS3uVFoGm6hL" xr:uid="{A7208FD5-5F95-4068-A8F9-FC0F0FB7AAFD}"/>
    <hyperlink ref="O94" r:id="rId1232" display="https://drive.google.com/open?id=b8EiKCNLLADeJYgTeeew" xr:uid="{83743B73-5491-4875-9E6E-2D6B4321EF66}"/>
    <hyperlink ref="N94" r:id="rId1233" display="https://drive.google.com/open?id=JCKPu26I9VmNxF8C6ZsP" xr:uid="{B90EBC53-DCC5-418E-9B97-FB7626FB0721}"/>
    <hyperlink ref="R93" r:id="rId1234" display="https://drive.google.com/open?id=UXUdkztu19DtWsiDbzHB" xr:uid="{F2B06A13-2B85-455B-838B-9AE40F74416A}"/>
    <hyperlink ref="L93" r:id="rId1235" display="https://drive.google.com/open?id=VXdOttzPUiBD7RaEf7uN" xr:uid="{4FD790D8-B5CA-4E59-AB2B-86971970E283}"/>
    <hyperlink ref="K93" r:id="rId1236" display="https://drive.google.com/open?id=eQKWtIgsaUm9jaMXyLaE" xr:uid="{E26076F7-90D6-4FC2-BCFC-B7137A16091E}"/>
    <hyperlink ref="R92" r:id="rId1237" display="https://drive.google.com/open?id=VHz2TgYGnZRdLFAebI0y" xr:uid="{A9494E94-9D1A-4E2B-964B-A0A5424E9214}"/>
    <hyperlink ref="L92" r:id="rId1238" display="https://drive.google.com/open?id=D6ajb3CDsII0wCcDZHTu" xr:uid="{523319BF-C0A2-43C5-B152-5234C5B3E336}"/>
    <hyperlink ref="K92" r:id="rId1239" display="https://drive.google.com/open?id=uN1mW9Q9yUShYkGfCT9Y" xr:uid="{599987A5-B3F5-4530-8090-78A059B6CE0E}"/>
    <hyperlink ref="R91" r:id="rId1240" display="https://drive.google.com/open?id=qhcsFuSz1jGgUyfKDMpO" xr:uid="{1089FA92-9015-437B-8F57-58E0D3F2605E}"/>
    <hyperlink ref="L91" r:id="rId1241" display="https://drive.google.com/open?id=ahzoZISM9xPVhJYclyBH" xr:uid="{7D0254D1-5432-49D1-97F6-F274675555E3}"/>
    <hyperlink ref="K91" r:id="rId1242" display="https://drive.google.com/open?id=Ewi6g228j17rllNXbLtg" xr:uid="{D5DE550A-1ECE-4A09-9FF8-D11E67E1B3E4}"/>
    <hyperlink ref="R90" r:id="rId1243" display="https://drive.google.com/open?id=adHDE3NKCcaF48W5mbjg" xr:uid="{CCD1B56C-73E3-496C-867E-2A312BA13C0A}"/>
    <hyperlink ref="L90" r:id="rId1244" display="https://drive.google.com/open?id=sxhzOSw4j516NMzZtiDx" xr:uid="{807352B7-5161-4178-A56A-AC2AF895F8DA}"/>
    <hyperlink ref="K90" r:id="rId1245" display="https://drive.google.com/open?id=rhBLq9VQE6fWtumwJ6Uc" xr:uid="{29B56F44-429F-4020-B026-8793C31CE845}"/>
    <hyperlink ref="R89" r:id="rId1246" display="https://drive.google.com/open?id=o36XBDB8TEeHKK4Clnja" xr:uid="{26138ABB-94DE-49F3-B308-13FF34A1D9EC}"/>
    <hyperlink ref="O89" r:id="rId1247" display="https://drive.google.com/open?id=c5cunlcx4G394DamHFeh" xr:uid="{BFF0FD61-FA7F-4340-B13F-43F9105957A2}"/>
    <hyperlink ref="N89" r:id="rId1248" display="https://drive.google.com/open?id=Qk9Iwz5srfQwyswgXpr6" xr:uid="{5847FF9A-9858-4939-A43E-46579168C6BB}"/>
    <hyperlink ref="R88" r:id="rId1249" display="https://drive.google.com/open?id=2Hx1h3MSSrqYjrpsbwMa" xr:uid="{DC5B8DA6-81A9-4C21-AEC9-A30E441A0EEE}"/>
    <hyperlink ref="L88" r:id="rId1250" display="https://drive.google.com/open?id=Ve0ASGbxT8kREVzteb9A" xr:uid="{BAE5BAFA-7FE8-4E6A-B46B-3AF081596609}"/>
    <hyperlink ref="K88" r:id="rId1251" display="https://drive.google.com/open?id=s1rkitE2davSnfDiEbiI" xr:uid="{D93AC912-FCCE-4A21-B519-1872052A1B0C}"/>
    <hyperlink ref="R87" r:id="rId1252" display="https://drive.google.com/open?id=h9TX13KNPYIr4BtRW4EE" xr:uid="{16D8CC5A-4FBD-4D08-A457-E949D35E422A}"/>
    <hyperlink ref="L87" r:id="rId1253" display="https://drive.google.com/open?id=hQRDx4LlyA3LQl5cp9YP" xr:uid="{4835FA53-DFF5-47D7-95FF-CFB96D531EB2}"/>
    <hyperlink ref="K87" r:id="rId1254" display="https://drive.google.com/open?id=COQMtFK6izaY7V7TUjrw" xr:uid="{91EBF538-0790-440E-A9FB-51571101E1E2}"/>
    <hyperlink ref="R86" r:id="rId1255" display="https://drive.google.com/open?id=uLpKGU1ucjkjzTCmHfs8" xr:uid="{4D08E384-CDEC-43DB-818D-2BB1E934BBEE}"/>
    <hyperlink ref="O86" r:id="rId1256" display="https://drive.google.com/open?id=tWfO8XBOzI3RzymABDhE" xr:uid="{12FA1215-CF56-414E-A487-5EA311A6D0E1}"/>
    <hyperlink ref="N86" r:id="rId1257" display="https://drive.google.com/open?id=vsGEwBI7DKz4h4hhEMj9" xr:uid="{4C8111AB-5389-433D-BE47-6A94D1590C92}"/>
    <hyperlink ref="R85" r:id="rId1258" display="https://drive.google.com/open?id=DR7ggVeazLXlgcGfV2Ev" xr:uid="{512A13C9-8530-4AB6-9D8E-BF65BE05365C}"/>
    <hyperlink ref="L85" r:id="rId1259" display="https://drive.google.com/open?id=K8AyMQiNVGu3Jl0oUzEI" xr:uid="{29AF60E5-292B-41FB-BF02-C6C5CF094EB9}"/>
    <hyperlink ref="K85" r:id="rId1260" display="https://drive.google.com/open?id=mrU9kfFeOEa57n9rZ6aZ" xr:uid="{C07547EC-5124-416D-8E90-F798116E5F45}"/>
    <hyperlink ref="R84" r:id="rId1261" display="https://drive.google.com/open?id=sszpEhh5eyWdbDEayoiK" xr:uid="{8997DD7B-94DA-4262-A1E2-581E15C56D1C}"/>
    <hyperlink ref="L84" r:id="rId1262" display="https://drive.google.com/open?id=AAsq9awKfbRSgSYRBM9Y" xr:uid="{79B62C29-8DE6-4BD1-8368-0F8738DA9C0E}"/>
    <hyperlink ref="K84" r:id="rId1263" display="https://drive.google.com/open?id=Ne5mArUKUMN2yY7XtfU5" xr:uid="{34A5E5D9-5AF5-436C-B201-052D4B07AAB6}"/>
    <hyperlink ref="R83" r:id="rId1264" display="https://drive.google.com/open?id=OeWo3BMkmji8ubtuARls" xr:uid="{91350145-BECC-4A42-A122-28F4B32074C8}"/>
    <hyperlink ref="L83" r:id="rId1265" display="https://drive.google.com/open?id=9Q9pSCr8cXCZrtnhsp83" xr:uid="{024C38E1-B0CF-4C2E-8B64-A99781843938}"/>
    <hyperlink ref="K83" r:id="rId1266" display="https://drive.google.com/open?id=jljzPxvouAGjKK0J9BLO" xr:uid="{B2F4D9D4-F62A-438D-88E3-2FBB3E2A4CFF}"/>
    <hyperlink ref="R82" r:id="rId1267" display="https://drive.google.com/open?id=OZqxvMGYJhIDOAS2ctYG" xr:uid="{77B33303-B5C7-46C3-B202-4E7A8DF9BA0B}"/>
    <hyperlink ref="O82" r:id="rId1268" display="https://drive.google.com/open?id=c7CT4L4HMdPpiNmuGDIv" xr:uid="{5EB186EC-0D5A-4F1E-852E-B3B49C2B9CEE}"/>
    <hyperlink ref="N82" r:id="rId1269" display="https://drive.google.com/open?id=kp6seSepNX3v62guKLGG" xr:uid="{658216D3-865B-4929-A6A6-4743093B73C1}"/>
    <hyperlink ref="R81" r:id="rId1270" display="https://drive.google.com/open?id=yIydC47ovANeNy4Nz0xc" xr:uid="{4F15C53E-1FBB-411F-AFC6-FDD88230ED10}"/>
    <hyperlink ref="O81" r:id="rId1271" display="https://drive.google.com/open?id=QGnspZNiQNnrcBF0KkR0" xr:uid="{639048BC-631E-4463-BD73-42B0A4DA8DCD}"/>
    <hyperlink ref="N81" r:id="rId1272" display="https://drive.google.com/open?id=2Yo3T8MJgbH0XT4UUcmF" xr:uid="{4D4A2959-408F-4D84-93BA-F4885211C295}"/>
    <hyperlink ref="R80" r:id="rId1273" display="https://drive.google.com/open?id=gPOmmydZjT41WaSUwNJw" xr:uid="{BC13AA57-EBF3-45C1-A5D5-075C782F2481}"/>
    <hyperlink ref="L80" r:id="rId1274" display="https://drive.google.com/open?id=bpvXY7BuoQxtpenLQxTg" xr:uid="{01338484-E52B-43BF-A269-02102B571C37}"/>
    <hyperlink ref="K80" r:id="rId1275" display="https://drive.google.com/open?id=BrJBtBr7FhOxgDsPOnbz" xr:uid="{9E4D05F5-974C-4D61-AAEE-54B65EED4F0B}"/>
    <hyperlink ref="R79" r:id="rId1276" display="https://drive.google.com/open?id=ob0jCukWsRLuB2iReZVj" xr:uid="{2247BAFE-A1CC-4292-9ACB-C384B6690992}"/>
    <hyperlink ref="O79" r:id="rId1277" display="https://drive.google.com/open?id=Ji1gT1WrevRNmj7h1KUT" xr:uid="{F96AA1A1-A934-4556-947B-B5152146C54A}"/>
    <hyperlink ref="N79" r:id="rId1278" display="https://drive.google.com/open?id=QtzIWEfIMZPzfNoA7B00" xr:uid="{47849349-91FF-4AFF-A005-5BB92CB57002}"/>
    <hyperlink ref="R78" r:id="rId1279" display="https://drive.google.com/open?id=jxDI7yJnFR19E5B5oxB0" xr:uid="{49C45217-7928-4B7D-9E95-855318638D6A}"/>
    <hyperlink ref="O78" r:id="rId1280" display="https://drive.google.com/open?id=YeUTB9VatxRSFotu0kGy" xr:uid="{09A889F7-C764-43A4-9DE7-69B540E9EF7D}"/>
    <hyperlink ref="N78" r:id="rId1281" display="https://drive.google.com/open?id=QNG7h9VfcfVi7BzRcHOP" xr:uid="{06BE931D-E8D2-417A-A105-7B0503F985D9}"/>
    <hyperlink ref="R77" r:id="rId1282" display="https://drive.google.com/open?id=Jvsh9XFmTK9lAD82P4oU" xr:uid="{545BDEF9-25E1-4979-BD5E-FC38EECC6807}"/>
    <hyperlink ref="L77" r:id="rId1283" display="https://drive.google.com/open?id=S3euvsJL9qWTMqx6kFCg" xr:uid="{B48D11EE-DB09-4E54-A4FD-027712C0A3A2}"/>
    <hyperlink ref="K77" r:id="rId1284" display="https://drive.google.com/open?id=eQsi9wpQyzhGdCHIptEl" xr:uid="{A5F47663-65DC-4E16-8A61-CB1BAA6D8DFD}"/>
    <hyperlink ref="R76" r:id="rId1285" display="https://drive.google.com/open?id=mwGou36a4m1fMoY0yUaE" xr:uid="{B84F3D04-0C86-4098-BF60-9DB48DD6B08A}"/>
    <hyperlink ref="L76" r:id="rId1286" display="https://drive.google.com/open?id=QUw1Rg4MCfIGnx4d7lcX" xr:uid="{AF3EAA29-E9F5-42CF-A56E-C6514E83B2E1}"/>
    <hyperlink ref="K76" r:id="rId1287" display="https://drive.google.com/open?id=0bNQXKd63C8jFhLsfdoh" xr:uid="{8A965C99-748B-4293-A378-407CE858D75E}"/>
    <hyperlink ref="R75" r:id="rId1288" display="https://drive.google.com/open?id=QqFLeN2Nb6mvfeuA8oE1" xr:uid="{75BD1630-E5D7-4E66-B37A-88C58E3E7187}"/>
    <hyperlink ref="L75" r:id="rId1289" display="https://drive.google.com/open?id=MiLsZFi8U6ZWRsCXn3gU" xr:uid="{F90D0D78-C802-4E79-A44F-99A89090B1D3}"/>
    <hyperlink ref="K75" r:id="rId1290" display="https://drive.google.com/open?id=xJxP3qPLVbEY91gZFJmD" xr:uid="{B12CBDBA-FD0F-4D38-B203-302A96CA6130}"/>
    <hyperlink ref="R74" r:id="rId1291" display="https://drive.google.com/open?id=u5ft2dZisSsjIy0eIf1t" xr:uid="{74CDB3B7-E123-406F-A215-6F1265239FD6}"/>
    <hyperlink ref="L74" r:id="rId1292" display="https://drive.google.com/open?id=8HbWUa4ZodIVer16OVpb" xr:uid="{02EC07AE-42DC-4F65-B28A-6D2EC25E1140}"/>
    <hyperlink ref="K74" r:id="rId1293" display="https://drive.google.com/open?id=wFnY3ehjwPKAnIHWd7rw" xr:uid="{1A8FE849-A9C9-4F42-A988-FDA3749EF9DB}"/>
    <hyperlink ref="R73" r:id="rId1294" display="https://drive.google.com/open?id=aZn9V70FHYm5I3HGOQLF" xr:uid="{F000CF14-8BFD-4140-A1E7-5C1D5F80192C}"/>
    <hyperlink ref="L73" r:id="rId1295" display="https://drive.google.com/open?id=TcZWUqsOc2Gv38Sqrytn" xr:uid="{1888A9F2-EF42-43A7-B9E4-0CC6D61DF556}"/>
    <hyperlink ref="K73" r:id="rId1296" display="https://drive.google.com/open?id=KtjUoUsg95rAEes62bmZ" xr:uid="{602B1507-262A-4783-8D19-D551D8EE8D01}"/>
    <hyperlink ref="R72" r:id="rId1297" display="https://drive.google.com/open?id=eT278gPqoxRX2wDwHT7z" xr:uid="{9C271783-2A55-466E-A1DF-98376958C7AF}"/>
    <hyperlink ref="L72" r:id="rId1298" display="https://drive.google.com/open?id=O1rAwaOfqr1lOBGcp5Dn" xr:uid="{A926A0A4-BBDC-480A-B7AB-6F930887EA91}"/>
    <hyperlink ref="K72" r:id="rId1299" display="https://drive.google.com/open?id=s7RhWKhd7GQOVVTrLpwv" xr:uid="{6DFCBF43-F5B4-45FB-B3B4-5CCACB208A5F}"/>
    <hyperlink ref="R71" r:id="rId1300" display="https://drive.google.com/open?id=AyqCTTdLQ7QVGPNH33mJ" xr:uid="{EAA39BC4-C4E2-45AD-8A16-2B97A8C85CC3}"/>
    <hyperlink ref="L71" r:id="rId1301" display="https://drive.google.com/open?id=MJQ2547urb1Sapq8Lnei" xr:uid="{E22E37DA-A9FB-49AB-AAFB-3D03BCD37B89}"/>
    <hyperlink ref="K71" r:id="rId1302" display="https://drive.google.com/open?id=0w1G0XMj3vJUmbl74qs1" xr:uid="{B6230BE0-BFB9-4C50-8727-CB8077299BAF}"/>
    <hyperlink ref="R70" r:id="rId1303" display="https://drive.google.com/open?id=O1hqsmczdLIWuVu6zVZ5" xr:uid="{D049ECDD-4764-424F-889D-680EBBEB961D}"/>
    <hyperlink ref="L70" r:id="rId1304" display="https://drive.google.com/open?id=vvGpvQaIHRKqhpb5Te8w" xr:uid="{10D671A7-5EAC-461D-AC51-91AAE21CA167}"/>
    <hyperlink ref="K70" r:id="rId1305" display="https://drive.google.com/open?id=ajNo350wl7rRYlz3i7bn" xr:uid="{1C52DE15-B613-4B10-A6E8-2A4CC8701B80}"/>
    <hyperlink ref="R69" r:id="rId1306" display="https://drive.google.com/open?id=GqoYiMSMG37P2zTQiGsK" xr:uid="{466832C8-3A50-43BD-90F5-B9BE665CE4B3}"/>
    <hyperlink ref="L69" r:id="rId1307" display="https://drive.google.com/open?id=xyfrn6bN0LzETY00TJUf" xr:uid="{32F0A0A4-3045-42D0-B7A5-E7C85B535D35}"/>
    <hyperlink ref="K69" r:id="rId1308" display="https://drive.google.com/open?id=tXR73Bxc35swwttLivfi" xr:uid="{345EB75E-9DC6-42E6-B74E-53517237533A}"/>
    <hyperlink ref="R68" r:id="rId1309" display="https://drive.google.com/open?id=ajleYMCiix55pHNka4Pt" xr:uid="{4DA8966E-F9CA-4EED-8065-E0A3F6FA41E5}"/>
    <hyperlink ref="L68" r:id="rId1310" display="https://drive.google.com/open?id=nTzhSnfEmusgGyPZYcvq" xr:uid="{06F24B1B-EDFA-4083-9858-080120FAFE68}"/>
    <hyperlink ref="K68" r:id="rId1311" display="https://drive.google.com/open?id=piBFgZTlXrCT7sdu4xax" xr:uid="{51BE749A-96B1-47E3-8F6E-A49F9EFFDEF8}"/>
    <hyperlink ref="R67" r:id="rId1312" display="https://drive.google.com/open?id=defZ0UBHRxqr1tWbCsWX" xr:uid="{51E40184-E029-44D3-9238-52104CB9D162}"/>
    <hyperlink ref="L67" r:id="rId1313" display="https://drive.google.com/open?id=S4bfQWgTNDzZmHbEinhh" xr:uid="{0CB4B8F5-B29C-411C-9A1E-FE4E0D6927F9}"/>
    <hyperlink ref="K67" r:id="rId1314" display="https://drive.google.com/open?id=J8sYLx6DqsPHyROugaAf" xr:uid="{A97BE9DE-C937-482F-A37E-21EB9FE59A20}"/>
    <hyperlink ref="R66" r:id="rId1315" display="https://drive.google.com/open?id=I56sjpZgM1glD1kCgRhu" xr:uid="{3024AE79-E059-4E8C-AB4C-B150D2982615}"/>
    <hyperlink ref="L66" r:id="rId1316" display="https://drive.google.com/open?id=LMapIna2h5jLS0jhweFF" xr:uid="{A85C5B2B-F822-4E97-922C-305186328D67}"/>
    <hyperlink ref="K66" r:id="rId1317" display="https://drive.google.com/open?id=OLDQXAtFkQvEFv6JaJyx" xr:uid="{0FBC8980-513E-4189-8B6F-A01ACE149714}"/>
    <hyperlink ref="R65" r:id="rId1318" display="https://drive.google.com/open?id=CKv4K7dDUA2yTiu0y1Wv" xr:uid="{4C02C5D9-DC83-4186-8F6D-5F051AFF4A45}"/>
    <hyperlink ref="L65" r:id="rId1319" display="https://drive.google.com/open?id=sulk4H8AbPgW5NdfAot6" xr:uid="{37A01EAC-8FE1-4154-B7E5-100DBFD92D20}"/>
    <hyperlink ref="K65" r:id="rId1320" display="https://drive.google.com/open?id=4bxttyYBk4buJcP75pi3" xr:uid="{B27056BA-8D7A-49E2-A404-0001838D8594}"/>
    <hyperlink ref="R64" r:id="rId1321" display="https://drive.google.com/open?id=YJDg62StRujwOUuFaqwn" xr:uid="{7261E97B-E42A-4887-8CD4-61D4A85A14A5}"/>
    <hyperlink ref="L64" r:id="rId1322" display="https://drive.google.com/open?id=BrjvhHoz6VKcq4bTRPGs" xr:uid="{843BF4F4-6713-4BD4-AB54-9AF85148EF28}"/>
    <hyperlink ref="K64" r:id="rId1323" display="https://drive.google.com/open?id=hSFId7yBRqlEaxlLXNHg" xr:uid="{B603F7E1-6FCF-40D4-B599-4CF645D94519}"/>
    <hyperlink ref="R63" r:id="rId1324" display="https://drive.google.com/open?id=ZCXrSv0vKtPSFIzcaNle" xr:uid="{C69E0716-05F0-4563-B514-0A7757CE1896}"/>
    <hyperlink ref="L63" r:id="rId1325" display="https://drive.google.com/open?id=WsQiJOQUPLVCZZBVKYq5" xr:uid="{17B6BA1F-8800-4A06-8781-A27CCC0871AD}"/>
    <hyperlink ref="K63" r:id="rId1326" display="https://drive.google.com/open?id=0JILFRveq6pigtAX78S2" xr:uid="{03E0F748-BF65-4143-BA61-A3BDDF011FF9}"/>
    <hyperlink ref="R62" r:id="rId1327" display="https://drive.google.com/open?id=iu0YC8kRnIZ2LGRiQNI2" xr:uid="{E20C9A0C-CFB6-402C-A2B2-0BF3644F8F11}"/>
    <hyperlink ref="L62" r:id="rId1328" display="https://drive.google.com/open?id=RmDp4bvKj1ndaB5wUn7Y" xr:uid="{9EAF8771-71F4-4EB6-BC6F-C80C268AA0AB}"/>
    <hyperlink ref="K62" r:id="rId1329" display="https://drive.google.com/open?id=fzeekNxExOEAs74LCIGg" xr:uid="{EC95362B-FC7B-41A5-B5FD-59531C538489}"/>
    <hyperlink ref="R61" r:id="rId1330" display="https://drive.google.com/open?id=bT4rqgXZ29N7pWEBH38b" xr:uid="{B0EDB9BE-F37B-47E4-B5BB-0BAD11BF3352}"/>
    <hyperlink ref="L61" r:id="rId1331" display="https://drive.google.com/open?id=wr2POiyxVMtGNmt2L6TH" xr:uid="{DA4587FD-DA5A-4EEA-B915-CCA8A23621F1}"/>
    <hyperlink ref="K61" r:id="rId1332" display="https://drive.google.com/open?id=VnuqFQH5eUgwbchO6Plq" xr:uid="{A682BD5A-FFB8-4E9A-B45F-D35F0B1E7F1D}"/>
    <hyperlink ref="R60" r:id="rId1333" display="https://drive.google.com/open?id=4pabJhSLkd7oA6FeYYGL" xr:uid="{48AC0CB2-4010-422E-A3FD-E31855536E0F}"/>
    <hyperlink ref="L60" r:id="rId1334" display="https://drive.google.com/open?id=HBtCRb43PXnD6hACbXZn" xr:uid="{24C1DDEA-9A95-44D5-BC8D-523416CEA036}"/>
    <hyperlink ref="K60" r:id="rId1335" display="https://drive.google.com/open?id=L9J6dSWsNE2XZ01jZNoL" xr:uid="{2853F309-7E52-4A21-AD22-5F7EF0609B27}"/>
    <hyperlink ref="R59" r:id="rId1336" display="https://drive.google.com/open?id=mGMW63ZrMopRKDHWXb2R" xr:uid="{2B30AAC2-4A15-4B2C-BAD5-C471DE7B08E6}"/>
    <hyperlink ref="L59" r:id="rId1337" display="https://drive.google.com/open?id=WMWKYuBPS3X0211VIC5z" xr:uid="{336BF510-816E-4ACF-945A-2C080C1D33B7}"/>
    <hyperlink ref="K59" r:id="rId1338" display="https://drive.google.com/open?id=5PcQIkcZiZd07OKiY2mn" xr:uid="{CB9B8E6F-D2F6-412F-B1EB-5E487776E3C2}"/>
    <hyperlink ref="R58" r:id="rId1339" display="https://drive.google.com/open?id=KPIyDhS0TNuH9ysFEtfS" xr:uid="{1EE36630-7C98-47E7-ACBF-DCAF12CBE0D4}"/>
    <hyperlink ref="L58" r:id="rId1340" display="https://drive.google.com/open?id=R3or9CbaTjhlatv2e4WI" xr:uid="{698F0795-995F-4E3E-B603-4C707D224043}"/>
    <hyperlink ref="K58" r:id="rId1341" display="https://drive.google.com/open?id=OnNHPHcUue2VHdhzNFt2" xr:uid="{EEB43044-BBC5-4042-A971-8A7BB65155F6}"/>
    <hyperlink ref="R57" r:id="rId1342" display="https://drive.google.com/open?id=MJuiplDzu81IaGeRuenW" xr:uid="{FDF53D1D-81A1-4B71-AC01-6748C4C9D507}"/>
    <hyperlink ref="L57" r:id="rId1343" display="https://drive.google.com/open?id=mS0d49rAHeDQjL5A3qeB" xr:uid="{E45F4623-848F-44AC-8971-419EAE7105B4}"/>
    <hyperlink ref="K57" r:id="rId1344" display="https://drive.google.com/open?id=UgzRJHjfbZM9dMrtqYi5" xr:uid="{4B9CADF7-73FF-469A-AA52-33E4B8BF6B85}"/>
    <hyperlink ref="R56" r:id="rId1345" display="https://drive.google.com/open?id=iajJTaagNKyX1nJG0Ixn" xr:uid="{24AAFBCF-D098-406D-9ABB-92EBC2C6B88B}"/>
    <hyperlink ref="O56" r:id="rId1346" display="https://drive.google.com/open?id=L8eE0EzbrM1WuFOaKEek" xr:uid="{9AA4E402-DF7B-47E2-8B82-ED04F8AC1841}"/>
    <hyperlink ref="N56" r:id="rId1347" display="https://drive.google.com/open?id=3B5PQ2XRu2TsXqwSz9aZ" xr:uid="{133235A6-EB8E-463B-9D89-C556C0481C94}"/>
    <hyperlink ref="R55" r:id="rId1348" display="https://drive.google.com/open?id=FPwI5EQPde78lF7tpkUM" xr:uid="{3D382D72-62AC-4914-9FD8-3477350D6E32}"/>
    <hyperlink ref="L55" r:id="rId1349" display="https://drive.google.com/open?id=d56ZsuHxQmnPgwPopyu4" xr:uid="{734631CB-FD52-4729-85D3-5A313C80AA6A}"/>
    <hyperlink ref="K55" r:id="rId1350" display="https://drive.google.com/open?id=bctodUEOqGNqgDPrfXgi" xr:uid="{2EBB7F07-7D4B-457E-9BED-E969A007BC3E}"/>
    <hyperlink ref="R54" r:id="rId1351" display="https://drive.google.com/open?id=XvifjVWSKhumMvLMpsuA" xr:uid="{AE1DFF7B-69D4-4DCC-BC43-7BA9E545CF4F}"/>
    <hyperlink ref="L54" r:id="rId1352" display="https://drive.google.com/open?id=E7cA3H9qXNJvfyjNZHDf" xr:uid="{27315335-B09D-4545-9973-66FFFA7E0C60}"/>
    <hyperlink ref="K54" r:id="rId1353" display="https://drive.google.com/open?id=ZoIjxBQEDgoCYKIvW2tj" xr:uid="{00AB9D43-9692-436A-B976-AFB469B9B9AF}"/>
    <hyperlink ref="R53" r:id="rId1354" display="https://drive.google.com/open?id=9kDC3QOc8NYMpLb5ppMp" xr:uid="{7FCAF73A-12E4-451E-B815-3BD808FD4A67}"/>
    <hyperlink ref="L53" r:id="rId1355" display="https://drive.google.com/open?id=JboEP4xB5RohHM7bKsQW" xr:uid="{BFD2EE20-E234-44D1-906C-6FEF43F918A4}"/>
    <hyperlink ref="K53" r:id="rId1356" display="https://drive.google.com/open?id=puN3Ole43Z4sNmNw7j7r" xr:uid="{03F3669C-5570-4819-A235-206D63198237}"/>
    <hyperlink ref="R52" r:id="rId1357" display="https://drive.google.com/open?id=TXxc2RO10jrbGRgTK8JZ" xr:uid="{A048F10B-EA83-47C9-B350-1B66D4473A1F}"/>
    <hyperlink ref="L52" r:id="rId1358" display="https://drive.google.com/open?id=22pKJLeDTcLkCTsK7Pn7" xr:uid="{8FD13BAF-F4F5-45E1-A831-D7BB5216B856}"/>
    <hyperlink ref="K52" r:id="rId1359" display="https://drive.google.com/open?id=xciws1QfhMyhdmzwQoGe" xr:uid="{3836A860-4106-42D9-837F-A2AB5D2788B5}"/>
    <hyperlink ref="R51" r:id="rId1360" display="https://drive.google.com/open?id=G2r9jvKiuW9hGpmBniyS" xr:uid="{45DC8781-DE59-4FF1-9E53-50E27DA001C5}"/>
    <hyperlink ref="L51" r:id="rId1361" display="https://drive.google.com/open?id=xdrZQvz6BZZlDGYdoBiJ" xr:uid="{6AD47116-4B9A-4188-9F0F-2181CDCF834D}"/>
    <hyperlink ref="K51" r:id="rId1362" display="https://drive.google.com/open?id=xGjKmpxfHr7KbujbklHl" xr:uid="{6C7985EF-8FDA-4156-8562-4E9559C2D1F3}"/>
    <hyperlink ref="R50" r:id="rId1363" display="https://drive.google.com/open?id=5gSuR14HC4B5FojDP8Lh" xr:uid="{AC06593A-E710-4E56-AC2E-1AF7EFE65AF9}"/>
    <hyperlink ref="L50" r:id="rId1364" display="https://drive.google.com/open?id=Wglc7Mh6oTsL1CuWqbjs" xr:uid="{6BA68C87-5197-4ECF-832B-DB63F5E83CD8}"/>
    <hyperlink ref="K50" r:id="rId1365" display="https://drive.google.com/open?id=OkDkNnuiO0s72sy9wuAV" xr:uid="{0C44784E-4F8D-48CF-AACE-BE1A3DF3A48B}"/>
    <hyperlink ref="R49" r:id="rId1366" display="https://drive.google.com/open?id=TaWSb2I4qx6Rsmj3jzXo" xr:uid="{F330A40B-4224-48DF-A53F-1F297BF1940F}"/>
    <hyperlink ref="L49" r:id="rId1367" display="https://drive.google.com/open?id=f4EcGbkxgTC4lCNmIed3" xr:uid="{B7AD91A9-252D-49DB-8438-C50A2719C4BF}"/>
    <hyperlink ref="K49" r:id="rId1368" display="https://drive.google.com/open?id=efNurDq5D9YrJjSxkoJ6" xr:uid="{46DDD1DA-18EE-4A4B-A776-EBF115FF29FE}"/>
    <hyperlink ref="R48" r:id="rId1369" display="https://drive.google.com/open?id=QKZi1A510PcQopQN2Xg1" xr:uid="{B2BE4C9F-77AB-4820-A762-A792AA0F81F7}"/>
    <hyperlink ref="L48" r:id="rId1370" display="https://drive.google.com/open?id=5ogGz54Tqwky3c57fwk4" xr:uid="{802DC819-F981-42B1-A255-297C8B60B225}"/>
    <hyperlink ref="K48" r:id="rId1371" display="https://drive.google.com/open?id=8PTZ6Y6aRg2dnqzmFfEY" xr:uid="{6F437C43-2CBF-4E5E-95D1-6203A22E9DA1}"/>
    <hyperlink ref="R47" r:id="rId1372" display="https://drive.google.com/open?id=rU56X2dQv99bjk9T6u7O" xr:uid="{F3D01A05-CB54-4BD7-B7F6-A458930CFDFE}"/>
    <hyperlink ref="L47" r:id="rId1373" display="https://drive.google.com/open?id=LO8J16PAUf8bloTkFAu5" xr:uid="{8045DA77-17AC-482C-9E63-0CEC5AEAAFB5}"/>
    <hyperlink ref="K47" r:id="rId1374" display="https://drive.google.com/open?id=XKtuDwd4S5AS7ptqeo1D" xr:uid="{E148CA79-1C65-43EC-A60F-DA5A093A4B53}"/>
    <hyperlink ref="R46" r:id="rId1375" display="https://drive.google.com/open?id=U1vny0XKUTMbusxgp0Aw" xr:uid="{58330BAC-F5D6-47F1-8EA7-CDF8163D8771}"/>
    <hyperlink ref="L46" r:id="rId1376" display="https://drive.google.com/open?id=OpuP9JbaZVr4LyreimFM" xr:uid="{1B8A44FD-DE37-43AA-9425-17FFC6F28FC2}"/>
    <hyperlink ref="K46" r:id="rId1377" display="https://drive.google.com/open?id=qqYzSE7pmnr6rFcZDFIa" xr:uid="{70DF2BA3-F95A-41CB-94AD-D935655D8840}"/>
    <hyperlink ref="R45" r:id="rId1378" display="https://drive.google.com/open?id=8rpO9754H8LGaAYXSr92" xr:uid="{A69A582E-CB78-44B3-8CD1-7F3367084E9C}"/>
    <hyperlink ref="L45" r:id="rId1379" display="https://drive.google.com/open?id=f7BHMYQE4BovbCJSzDXZ" xr:uid="{F2CF9134-B4FF-4CC7-BB54-228CD0F342A1}"/>
    <hyperlink ref="K45" r:id="rId1380" display="https://drive.google.com/open?id=O7kn0jcCEjBSCkyfGnBQ" xr:uid="{7BB84E42-6513-4193-A0CB-3889C6FD73D0}"/>
    <hyperlink ref="R44" r:id="rId1381" display="https://drive.google.com/open?id=hZxRRAOzh9cJXHDwzw5U" xr:uid="{79E630DE-7454-4B5E-9CBC-9833FB6DCA3F}"/>
    <hyperlink ref="L44" r:id="rId1382" display="https://drive.google.com/open?id=oaBPMic0KvkEYyUhfTmT" xr:uid="{23DF44E7-F3D4-4463-8593-E71CEB3E6A7F}"/>
    <hyperlink ref="K44" r:id="rId1383" display="https://drive.google.com/open?id=AZQJlWjZ917l3vVAcTVR" xr:uid="{D7E5873E-431F-4FC3-B25B-7D90BE0C9A22}"/>
    <hyperlink ref="R43" r:id="rId1384" display="https://drive.google.com/open?id=4HaBRL59jjQ1MHbobJOz" xr:uid="{754869C7-599F-43E7-B6FC-60FF7571575E}"/>
    <hyperlink ref="L43" r:id="rId1385" display="https://drive.google.com/open?id=1NtLg9NybcNgEI9366QM" xr:uid="{B337041E-417C-4821-8118-85C69FC4FA4B}"/>
    <hyperlink ref="K43" r:id="rId1386" display="https://drive.google.com/open?id=73mu4M9gGQlhYuqDaELm" xr:uid="{822D8AF5-49A4-444C-997C-29DAC0C48A84}"/>
    <hyperlink ref="R42" r:id="rId1387" display="https://drive.google.com/open?id=Irb2NKP1HdmtPqg1Ub5S" xr:uid="{BB0C7BC2-CEFC-4417-A6D4-B6D5E72AA40A}"/>
    <hyperlink ref="O42" r:id="rId1388" display="https://drive.google.com/open?id=bUHl8KAzqzHBSiT6DJ0n" xr:uid="{CD781DDE-A731-479A-AF63-C399149830FD}"/>
    <hyperlink ref="N42" r:id="rId1389" display="https://drive.google.com/open?id=PVEvYO7gHzGpAT52Vlfb" xr:uid="{7437B0B5-688A-4BFC-950E-B04438949DEB}"/>
    <hyperlink ref="R41" r:id="rId1390" display="https://drive.google.com/open?id=zc5Z0W90lNwQGe374U5T" xr:uid="{5D70A2DA-5070-448B-84E2-3D5ECA9FF5EB}"/>
    <hyperlink ref="L41" r:id="rId1391" display="https://drive.google.com/open?id=ezsycGNvoMkkNwH9u5R7" xr:uid="{69F636B3-1107-488D-9790-10B78D4D854F}"/>
    <hyperlink ref="K41" r:id="rId1392" display="https://drive.google.com/open?id=g7xX1KXJERnvhhALw18Q" xr:uid="{1FDB549D-2D02-4F5A-814C-04D2054E497F}"/>
    <hyperlink ref="R40" r:id="rId1393" display="https://drive.google.com/open?id=AmBZEcHa1waSJQ0OswSC" xr:uid="{071FE99C-0F4A-4462-9A34-899446A54A42}"/>
    <hyperlink ref="L40" r:id="rId1394" display="https://drive.google.com/open?id=p5kgHheW9H1jVELyO6An" xr:uid="{FE7A72F7-BCA2-4FCC-9D1B-5095E9429C4B}"/>
    <hyperlink ref="K40" r:id="rId1395" display="https://drive.google.com/open?id=S8PMI8MGSz9e1Xmg45iw" xr:uid="{50C58A7F-43DB-4796-8D0E-BF387BBE2384}"/>
    <hyperlink ref="R39" r:id="rId1396" display="https://drive.google.com/open?id=qQv39MYJQAjmwVtjAT3V" xr:uid="{9C256A92-53B0-422F-904A-FF057A8D9339}"/>
    <hyperlink ref="L39" r:id="rId1397" display="https://drive.google.com/open?id=uagTEsWUoXXHLDg0HkEi" xr:uid="{F7EA807A-826E-45B7-B98A-41EFCC266E24}"/>
    <hyperlink ref="K39" r:id="rId1398" display="https://drive.google.com/open?id=l0sDgubbLVc8Rfq2Ajyb" xr:uid="{F29ED389-70EA-4E96-A537-FE8B63DDDCBF}"/>
    <hyperlink ref="R38" r:id="rId1399" display="https://drive.google.com/open?id=5jm2rRSzqXmFy7RtHOIw" xr:uid="{63F9A0BC-E665-4E60-9EF3-2EB04FD7C484}"/>
    <hyperlink ref="L38" r:id="rId1400" display="https://drive.google.com/open?id=HtSkAGyZr5gn1uCfPOfJ" xr:uid="{91A01A15-B16D-4C69-A323-C25087694AD5}"/>
    <hyperlink ref="K38" r:id="rId1401" display="https://drive.google.com/open?id=jxuKjVT7TjVz9RyOy5Gv" xr:uid="{F4350ED7-5C81-4EDE-B395-DB457CA0E394}"/>
    <hyperlink ref="R37" r:id="rId1402" display="https://drive.google.com/open?id=KVUkMH9iME5frIu0c0AL" xr:uid="{8364BE84-AE22-4666-B765-4EEE9FABE3AE}"/>
    <hyperlink ref="O37" r:id="rId1403" display="https://drive.google.com/open?id=DAyYKVSUIvHxXIigMJu3" xr:uid="{4B0B1D99-605B-4053-A851-4D620BB61E32}"/>
    <hyperlink ref="N37" r:id="rId1404" display="https://drive.google.com/open?id=enmsRW0DS0OomR9xsQ1m" xr:uid="{1FF19A01-792C-4EC4-AB2C-130102640090}"/>
    <hyperlink ref="R36" r:id="rId1405" display="https://drive.google.com/open?id=JNuItjK8AjEhhu1SIV8u" xr:uid="{FCD39EB5-7575-401B-B89B-C213B3732B25}"/>
    <hyperlink ref="L36" r:id="rId1406" display="https://drive.google.com/open?id=VvYlmiXBIlIXNh7ac6qk" xr:uid="{7AF63781-B6DF-4098-8ABE-A9CD2A87BED5}"/>
    <hyperlink ref="K36" r:id="rId1407" display="https://drive.google.com/open?id=Tjwt0arRTM0QfeqCyFHr" xr:uid="{A6F4E3C2-CE9E-4A67-8413-B808F1DB28C7}"/>
    <hyperlink ref="R35" r:id="rId1408" display="https://drive.google.com/open?id=pllm0zbrdDKLfsZX5kFm" xr:uid="{C1FC7B52-FAD4-4A06-97A6-97F213027C75}"/>
    <hyperlink ref="L35" r:id="rId1409" display="https://drive.google.com/open?id=xRtLZgJ1syhPhV1AVKMe" xr:uid="{B6F8CBD8-98D1-41E7-B70F-28B0DD60CB5E}"/>
    <hyperlink ref="K35" r:id="rId1410" display="https://drive.google.com/open?id=tEbJCTChjsbjR4pE3OBu" xr:uid="{46E0A057-DEA3-4273-BA3F-723AD0A4252A}"/>
    <hyperlink ref="R34" r:id="rId1411" display="https://drive.google.com/open?id=2N7BKkYWUs4Oye9sxwnf" xr:uid="{C9FAB0C4-1107-4B5B-A80F-144FC18623B1}"/>
    <hyperlink ref="L34" r:id="rId1412" display="https://drive.google.com/open?id=BjtKpYtPfavDaR4gITCa" xr:uid="{551F37AE-C543-4B5C-99AC-C3C44756F170}"/>
    <hyperlink ref="K34" r:id="rId1413" display="https://drive.google.com/open?id=0jmwtw63UAJOoizVsMgP" xr:uid="{EED91237-D2DD-4707-8350-3FED12DD61AF}"/>
    <hyperlink ref="R33" r:id="rId1414" display="https://drive.google.com/open?id=KnQV2ktE7d8pqS7KJse9" xr:uid="{1A7B1DB5-C745-4256-918A-91E0865123FA}"/>
    <hyperlink ref="L33" r:id="rId1415" display="https://drive.google.com/open?id=eIsE62v2gx0TI2FQWMlR" xr:uid="{81DD147D-68F2-4AFA-A374-E32763F84A29}"/>
    <hyperlink ref="K33" r:id="rId1416" display="https://drive.google.com/open?id=dWRIZvZHa23goYtV2sxA" xr:uid="{0D4CDEBA-1651-476C-B364-0388ACD4F846}"/>
    <hyperlink ref="R32" r:id="rId1417" display="https://drive.google.com/open?id=2JvThY936BrcyM92AvKA" xr:uid="{38EC1634-75EA-417A-BAA3-220D95CEC2F7}"/>
    <hyperlink ref="L32" r:id="rId1418" display="https://drive.google.com/open?id=mRbUzwZriAXFQNm0tjxO" xr:uid="{C5A61A61-4E17-47BB-BE5D-9FF1B505D910}"/>
    <hyperlink ref="K32" r:id="rId1419" display="https://drive.google.com/open?id=eJSnyAISvxlzkEbu7wCX" xr:uid="{77E46CFE-BA42-4D5F-8BBC-25D945D62553}"/>
    <hyperlink ref="R31" r:id="rId1420" display="https://drive.google.com/open?id=NcH3IxVEaTeKFSvJ09xH" xr:uid="{C03DA912-2B5E-4B47-BF82-01AA31843541}"/>
    <hyperlink ref="L31" r:id="rId1421" display="https://drive.google.com/open?id=q8kIIE2YTGo3MUJlZubE" xr:uid="{3DF08E89-9DB8-45D7-BE34-D2829326F146}"/>
    <hyperlink ref="K31" r:id="rId1422" display="https://drive.google.com/open?id=QGVvJrfeLBuTYBWgNFZf" xr:uid="{5F577BC9-8866-4EA6-AF9F-0BAEDB1E6A75}"/>
    <hyperlink ref="R30" r:id="rId1423" display="https://drive.google.com/open?id=VrwNsdNcJskK0vSXtU0a" xr:uid="{45F671B3-DF1C-4270-86F0-23EEFB6596EF}"/>
    <hyperlink ref="L30" r:id="rId1424" display="https://drive.google.com/open?id=gmXRlF7gdazup0nGyvZp" xr:uid="{6A9F7586-6C1A-4EE4-B2EA-2F5DE169B399}"/>
    <hyperlink ref="K30" r:id="rId1425" display="https://drive.google.com/open?id=DMnic7u3wnxFbj4rDyZS" xr:uid="{54FE7DB7-BD35-4215-9CB1-90E9ECD07E20}"/>
    <hyperlink ref="R29" r:id="rId1426" display="https://drive.google.com/open?id=K6HjdyoBuMAfA0gFOUYE" xr:uid="{498C30F5-F4A3-4D09-AE47-B0790F431703}"/>
    <hyperlink ref="L29" r:id="rId1427" display="https://drive.google.com/open?id=HD8p4vtixgdZw9BVfJjt" xr:uid="{F5BE567F-2994-45C9-9681-F55943601469}"/>
    <hyperlink ref="K29" r:id="rId1428" display="https://drive.google.com/open?id=JJgonsFICe4nLn0YWi7B" xr:uid="{EBA2C331-B47C-4FCD-93F2-94DEBB7C7FAF}"/>
    <hyperlink ref="R28" r:id="rId1429" display="https://drive.google.com/open?id=FfnWomIrRcMdyTIVsaCW" xr:uid="{3D518A7B-C170-4136-8FDA-8D55569D2C50}"/>
    <hyperlink ref="L28" r:id="rId1430" display="https://drive.google.com/open?id=FQpMtmvJ7gDWLB2EvsJV" xr:uid="{136E7CA4-3159-4121-8B05-794C57F1BE5F}"/>
    <hyperlink ref="K28" r:id="rId1431" display="https://drive.google.com/open?id=dzVGnDoU3gkHCOVFoEJL" xr:uid="{5F9FF569-54F1-46A4-BEFA-447DC70B06C1}"/>
    <hyperlink ref="R27" r:id="rId1432" display="https://drive.google.com/open?id=K1o1dxh0vYVHJ17HgBHI" xr:uid="{06E959CA-9A5D-4D76-81D5-2DF5C9E4DF88}"/>
    <hyperlink ref="L27" r:id="rId1433" display="https://drive.google.com/open?id=Qt0rSPxxLrJIa3u7QVgx" xr:uid="{257CAF5A-6318-4C52-A417-3AF98F3E24C3}"/>
    <hyperlink ref="K27" r:id="rId1434" display="https://drive.google.com/open?id=2VjK7rwat6wGRAQ7I2wd" xr:uid="{9659A6AF-A767-4F43-9CF1-67FC89632E31}"/>
    <hyperlink ref="R26" r:id="rId1435" display="https://drive.google.com/open?id=4J3cSFDzclCP2d7ZTUXJ" xr:uid="{62335CE2-31C2-498E-B8EF-022AC1C68FE0}"/>
    <hyperlink ref="L26" r:id="rId1436" display="https://drive.google.com/open?id=wD4M0ud53HaJWbS7YquQ" xr:uid="{35681E9C-7800-4410-BAC8-2C496D41D539}"/>
    <hyperlink ref="K26" r:id="rId1437" display="https://drive.google.com/open?id=SZqNyrcGzMZecB6oUzVy" xr:uid="{4BDE6102-2004-4F4E-B04E-A5119558CF27}"/>
    <hyperlink ref="R25" r:id="rId1438" display="https://drive.google.com/open?id=jID4Jd9b3PpzdeTMHSPs" xr:uid="{D0DA4E45-1B8B-4F69-B0BC-377E492C1237}"/>
    <hyperlink ref="L25" r:id="rId1439" display="https://drive.google.com/open?id=RbLbx3Zd1gEpN9g335kU" xr:uid="{EA8C1830-5355-4B00-92AD-11C2C6928B45}"/>
    <hyperlink ref="K25" r:id="rId1440" display="https://drive.google.com/open?id=7WEhsYFSLThRvpNtx5De" xr:uid="{3F3473E8-E98F-4A9E-A217-AC08FD40A5E4}"/>
    <hyperlink ref="R24" r:id="rId1441" display="https://drive.google.com/open?id=QLfv94Zo3iJDGx3oij8O" xr:uid="{CBA5F937-F434-48E7-94B4-E5E188D02F54}"/>
    <hyperlink ref="O24" r:id="rId1442" display="https://drive.google.com/open?id=7S7ILGgkllEBHIg2DrFH" xr:uid="{0F1C58BF-2747-4A5E-A172-9BAA515AF3F3}"/>
    <hyperlink ref="N24" r:id="rId1443" display="https://drive.google.com/open?id=4tvtJWpCakRuNQVWyVFY" xr:uid="{A12408D4-613E-43FC-B755-209C963BD1FF}"/>
    <hyperlink ref="R23" r:id="rId1444" display="https://drive.google.com/open?id=a6U6BZnZt7fEC9bjdrbS" xr:uid="{0414C305-D5A9-4636-8D9E-A9DFFDE121AF}"/>
    <hyperlink ref="L23" r:id="rId1445" display="https://drive.google.com/open?id=MjZ7sQfsK2pla27PUhFd" xr:uid="{A8ECD351-594C-4F54-8801-17102B2A4C70}"/>
    <hyperlink ref="K23" r:id="rId1446" display="https://drive.google.com/open?id=1sA8lQ2Lv8pzLqUin7A4" xr:uid="{5FBA8DDD-F42C-41DF-888D-7DB8CD44285D}"/>
    <hyperlink ref="R22" r:id="rId1447" display="https://drive.google.com/open?id=IgJWdSa7qykjzMxnMdDJ" xr:uid="{9F6E60DC-549D-4C13-87B5-FB418B2940DC}"/>
    <hyperlink ref="O22" r:id="rId1448" display="https://drive.google.com/open?id=KslWT2eG7cqPECx0nDSp" xr:uid="{579BBA9B-9C23-4ED1-B583-9A64CCD16CD1}"/>
    <hyperlink ref="N22" r:id="rId1449" display="https://drive.google.com/open?id=kd2bZRHUqjOlECvm8rd0" xr:uid="{99570CC0-B8BE-4567-A35B-0098DDA1FE57}"/>
    <hyperlink ref="R21" r:id="rId1450" display="https://drive.google.com/open?id=WJ8t1RzHYDNzwYCxUnKb" xr:uid="{04F84362-1821-4BE8-B51F-7F46D49E0728}"/>
    <hyperlink ref="O21" r:id="rId1451" display="https://drive.google.com/open?id=RVKaYfMoQmxQ18nFLv35" xr:uid="{DE6C34E6-BB8C-4FFE-9CB3-F66224ABE7AD}"/>
    <hyperlink ref="N21" r:id="rId1452" display="https://drive.google.com/open?id=kiQ0yIBV47aNLpqr1Ewk" xr:uid="{545CD0F7-04A8-4136-A695-469075C3E68D}"/>
    <hyperlink ref="R20" r:id="rId1453" display="https://drive.google.com/open?id=nrG7ouDkNU4oqTji3h7h" xr:uid="{948AF092-4104-42F3-9792-72494DEB55FB}"/>
    <hyperlink ref="L20" r:id="rId1454" display="https://drive.google.com/open?id=3mubuJmXRpmgnVbd2kDG" xr:uid="{1A760A8D-1DD4-4E9B-8EF1-48E29ACA7453}"/>
    <hyperlink ref="K20" r:id="rId1455" display="https://drive.google.com/open?id=y44O2FTNmLc3NMhEK4fz" xr:uid="{A7007AB9-6A2C-40F3-9F79-30AC1B0E3552}"/>
    <hyperlink ref="R19" r:id="rId1456" display="https://drive.google.com/open?id=MdoyjcG8ZDINiiUpjbpk" xr:uid="{57D2FD15-14A3-4272-97A4-02E8DB9F9593}"/>
    <hyperlink ref="L19" r:id="rId1457" display="https://drive.google.com/open?id=KWkgQwM7wJ7NRddW1muL" xr:uid="{4F0E46A4-7CA2-48C1-BE26-C23956EB84BA}"/>
    <hyperlink ref="K19" r:id="rId1458" display="https://drive.google.com/open?id=y9lJBsXbhdZmfU5bjqW4" xr:uid="{9E389A58-A84E-4BD2-8F44-F719DC3FA522}"/>
    <hyperlink ref="R18" r:id="rId1459" display="https://drive.google.com/open?id=JgzS3HSqNJ6eBiBoN1Ez" xr:uid="{C0123182-E139-42D6-89C3-0AA28DF2E4AE}"/>
    <hyperlink ref="L18" r:id="rId1460" display="https://drive.google.com/open?id=rF3j7ws8f1KdKcViELyK" xr:uid="{15BE5A43-6AD5-40FC-A084-52F171522CFF}"/>
    <hyperlink ref="K18" r:id="rId1461" display="https://drive.google.com/open?id=AjbH75pewGD7X1x2qgWv" xr:uid="{12429D42-88FA-4839-A95E-1C307075CF5B}"/>
    <hyperlink ref="R17" r:id="rId1462" display="https://drive.google.com/open?id=GIt2OfKQJUMtuPsIXi5x" xr:uid="{732495B0-61BF-4C0F-A723-BC411BBF8ABA}"/>
    <hyperlink ref="L17" r:id="rId1463" display="https://drive.google.com/open?id=TboGYOztUcMOkEC8t254" xr:uid="{56CDA5AD-B3F6-4E51-8C83-5D385561C7D9}"/>
    <hyperlink ref="K17" r:id="rId1464" display="https://drive.google.com/open?id=mfh3hp591YN19IlKoNMW" xr:uid="{2DEEC23F-AE43-4E1E-B803-23F103667012}"/>
    <hyperlink ref="R16" r:id="rId1465" display="https://drive.google.com/open?id=Rw7u9f0HnEDmfxrIUl03" xr:uid="{508D17C2-F1CF-42F1-A2C7-8D2071A38CD7}"/>
    <hyperlink ref="L16" r:id="rId1466" display="https://drive.google.com/open?id=lWsZBVDLTfYnc9S4plN5" xr:uid="{D56B3728-213A-4179-9202-F67BA0CC34A4}"/>
    <hyperlink ref="K16" r:id="rId1467" display="https://drive.google.com/open?id=m0WN4UAKdcm0TeXIjska" xr:uid="{C65755CC-2F5C-44F5-A81E-3AE0AAF3EC0D}"/>
    <hyperlink ref="R15" r:id="rId1468" display="https://drive.google.com/open?id=DPjrkQk3Gc6LzwLDrckd" xr:uid="{6590333E-5174-43C4-9AE9-6C213A252AB4}"/>
    <hyperlink ref="L15" r:id="rId1469" display="https://drive.google.com/open?id=zQRODPSxTf5pkUp7OhrB" xr:uid="{8BAC34DD-A1C7-4EF5-A218-5337888C8FBE}"/>
    <hyperlink ref="K15" r:id="rId1470" display="https://drive.google.com/open?id=QpzwzQfLDptmbWyF0Yhp" xr:uid="{441ABAB3-F885-4A8C-832E-93D305357FE1}"/>
    <hyperlink ref="R14" r:id="rId1471" display="https://drive.google.com/open?id=Xj6FVznyp1hAQ8fG1ypA" xr:uid="{3671DB92-34B3-4A4B-95C9-0885C3440F34}"/>
    <hyperlink ref="L14" r:id="rId1472" display="https://drive.google.com/open?id=TeIk1je8RYzd07H3KBov" xr:uid="{6446A64E-92D7-40C0-B339-D59E2603C480}"/>
    <hyperlink ref="K14" r:id="rId1473" display="https://drive.google.com/open?id=VuPNcMA3UyBcG4PXgUJ9" xr:uid="{33BEC047-5B01-4570-8EC0-7827742E71F1}"/>
    <hyperlink ref="R13" r:id="rId1474" display="https://drive.google.com/open?id=pgaXVthU0gzCGSgTt1y8" xr:uid="{CA83C620-822C-4C9A-ADF8-651EB13CC404}"/>
    <hyperlink ref="L13" r:id="rId1475" display="https://drive.google.com/open?id=MlPj6k6AN5tpTFePqDj8" xr:uid="{9E1FAED6-1B57-4478-86FB-8EA2792B612B}"/>
    <hyperlink ref="K13" r:id="rId1476" display="https://drive.google.com/open?id=8lpZV1BsRAmaGbzTE5BH" xr:uid="{81DA9E2C-5ED7-4F93-8887-A19EC61D5F13}"/>
    <hyperlink ref="R12" r:id="rId1477" display="https://drive.google.com/open?id=Up9wAjxk4c40SGCrMnDB" xr:uid="{73C6E700-77A2-499A-98D7-8BDF21D7C08C}"/>
    <hyperlink ref="L12" r:id="rId1478" display="https://drive.google.com/open?id=ldIsXbHZgcxbacAOwlqN" xr:uid="{48CB6C6C-A3C6-4605-BBFB-B2C3022A3EFE}"/>
    <hyperlink ref="K12" r:id="rId1479" display="https://drive.google.com/open?id=8ldAMhkL6nPrY5fpcr0N" xr:uid="{7E77949B-51A9-4427-B659-0BED7B049CF4}"/>
    <hyperlink ref="R11" r:id="rId1480" display="https://drive.google.com/open?id=RFw7IzOlBjNdYEN4n1PF" xr:uid="{8A76B7E8-9BEF-415E-A52D-E445251E8E4C}"/>
    <hyperlink ref="L11" r:id="rId1481" display="https://drive.google.com/open?id=lq3t1xeoL2DpAi8sx8Er" xr:uid="{3D880ADC-ECE7-4A9C-9650-6479B1D79013}"/>
    <hyperlink ref="K11" r:id="rId1482" display="https://drive.google.com/open?id=3VmpEJQnthsvrIzRgaEd" xr:uid="{79C876A8-0F58-4F77-9E9A-41EE844F7780}"/>
    <hyperlink ref="R10" r:id="rId1483" display="https://drive.google.com/open?id=P2lxC7X3ZzeZOZvuw8ry" xr:uid="{7535A454-4437-415D-8503-28B8079A0BDD}"/>
    <hyperlink ref="L10" r:id="rId1484" display="https://drive.google.com/open?id=WSw3DuDGZxah4hb4GEea" xr:uid="{BF5CA55D-35F4-4230-87C7-BD9895F30C4B}"/>
    <hyperlink ref="K10" r:id="rId1485" display="https://drive.google.com/open?id=NRtmk9ZCwXN1rFIi45wt" xr:uid="{084CD20C-F220-4956-8AB3-04B9615F102B}"/>
    <hyperlink ref="R9" r:id="rId1486" display="https://drive.google.com/open?id=KAT2HkAySkOuNeT3N7b9" xr:uid="{983130E9-F7A6-4797-BFD7-0B94FF78A352}"/>
    <hyperlink ref="O9" r:id="rId1487" display="https://drive.google.com/open?id=jtTSiBS8cOgKYdCMtmq0" xr:uid="{C509F4A0-2D57-47EF-B3EB-08D0177E9144}"/>
    <hyperlink ref="N9" r:id="rId1488" display="https://drive.google.com/open?id=UfK2sPh7ijPRp5MoCFiY" xr:uid="{AF0CED03-D470-4E84-B4C9-DD98792672B7}"/>
    <hyperlink ref="R8" r:id="rId1489" display="https://drive.google.com/open?id=0JpDMm51MeUX6EB1Jw0N" xr:uid="{69D8277E-20FC-4AB1-96ED-C8F28F883F12}"/>
    <hyperlink ref="L8" r:id="rId1490" display="https://drive.google.com/open?id=m9HMJRCf4HbmjGpjnP7R" xr:uid="{60279E48-0F7A-4A50-B86A-CB9C59F22D20}"/>
    <hyperlink ref="K8" r:id="rId1491" display="https://drive.google.com/open?id=IHn7SzGzME3YCqeNDFcx" xr:uid="{8815D730-F5A2-4149-97BB-012822365541}"/>
    <hyperlink ref="R7" r:id="rId1492" display="https://drive.google.com/open?id=7f9gsjF99fbDFvU8xiuy" xr:uid="{7DE7A03F-8118-4BC5-800A-CCC9B3F7723A}"/>
    <hyperlink ref="L7" r:id="rId1493" display="https://drive.google.com/open?id=uuOWZKHywWJ00Vb32yBm" xr:uid="{8D91886F-EF45-46B9-AEEE-7C2D5449C44D}"/>
    <hyperlink ref="K7" r:id="rId1494" display="https://drive.google.com/open?id=iO1KeNRrpdX8BcBagoyz" xr:uid="{D176FC07-A0B6-4973-BCFE-70E70F722A21}"/>
    <hyperlink ref="R6" r:id="rId1495" display="https://drive.google.com/open?id=P0wMomCv489el893vVYS" xr:uid="{385E3618-06BA-4A5D-999E-67F5C695B1C1}"/>
    <hyperlink ref="L6" r:id="rId1496" display="https://drive.google.com/open?id=AtqqOV1KhxJVdGPapG4H" xr:uid="{E3078BE6-E515-413F-AED4-41149D6469A1}"/>
    <hyperlink ref="K6" r:id="rId1497" display="https://drive.google.com/open?id=kdNR0Dge0se8iluz6n7z" xr:uid="{4561CA5D-A25E-4DF5-92E6-9D4663F7770A}"/>
    <hyperlink ref="R5" r:id="rId1498" display="https://drive.google.com/open?id=4EpfGxaD5OkFAK4jGnZM" xr:uid="{D9CFC6EE-6D53-497A-B25F-31C09EFEE188}"/>
    <hyperlink ref="L5" r:id="rId1499" display="https://drive.google.com/open?id=wK7oHYeZSsaquPvwMfVu" xr:uid="{88716175-6355-475C-A1CE-4DF37762D031}"/>
    <hyperlink ref="K5" r:id="rId1500" display="https://drive.google.com/open?id=a0RLhJm1X9KXpYaqoDlg" xr:uid="{80E6840D-D6E5-4BE0-90A9-F05EDB80FF44}"/>
    <hyperlink ref="R4" r:id="rId1501" display="https://drive.google.com/open?id=C2ssDeyg3hTc6GXrj6Uj" xr:uid="{460FF5C5-6167-460E-AE74-31D14D5994A8}"/>
    <hyperlink ref="L4" r:id="rId1502" display="https://drive.google.com/open?id=V9GqaikUcujDuuvngZCM" xr:uid="{E0A3CE59-A63E-4652-8F5A-C439818D4F16}"/>
    <hyperlink ref="K4" r:id="rId1503" display="https://drive.google.com/open?id=g1gmv9gxQ7HI2Vhj4NBi" xr:uid="{AB32D6C8-2866-47AE-8CA7-4BD5ACC9EEF1}"/>
    <hyperlink ref="R3" r:id="rId1504" display="https://drive.google.com/open?id=1MDzIo0FPuiQld4Nqkuo3JTJmgVFgyLxw" xr:uid="{9182DA3F-EA95-411F-8DA7-2C3222AE678E}"/>
    <hyperlink ref="O3" r:id="rId1505" display="https://drive.google.com/open?id=1jcyUwbb-qTQ7QEqSv47X1MKr2RPnpz0v" xr:uid="{5278B2ED-9575-43C5-A05F-4E29B57D92A1}"/>
    <hyperlink ref="N3" r:id="rId1506" display="https://drive.google.com/open?id=1g_SMZ1AQraT-vnPrZYLekoC_UCWnHFhh" xr:uid="{8C2078D2-38E8-4D08-AD8A-0D12B76063C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sabor a mi</cp:lastModifiedBy>
  <dcterms:modified xsi:type="dcterms:W3CDTF">2025-09-30T16:39:17Z</dcterms:modified>
</cp:coreProperties>
</file>