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uan\Desktop\TDStore\"/>
    </mc:Choice>
  </mc:AlternateContent>
  <xr:revisionPtr revIDLastSave="0" documentId="13_ncr:1_{C6A8B1B4-276D-422E-9985-15CBDBA1B3D4}" xr6:coauthVersionLast="47" xr6:coauthVersionMax="47" xr10:uidLastSave="{00000000-0000-0000-0000-000000000000}"/>
  <bookViews>
    <workbookView xWindow="-120" yWindow="-120" windowWidth="20730" windowHeight="11310" firstSheet="2" activeTab="3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Các khoản chi phí" sheetId="6" r:id="rId6"/>
    <sheet name="Lãi-Lỗ" sheetId="5" r:id="rId7"/>
  </sheets>
  <definedNames>
    <definedName name="_xlnm._FilterDatabase" localSheetId="3" hidden="1">'Bán hàng'!$A$5:$R$57</definedName>
    <definedName name="_xlnm._FilterDatabase" localSheetId="2" hidden="1">'Nhập hàng'!$A$4:$Q$4</definedName>
    <definedName name="_xlnm._FilterDatabase" localSheetId="0" hidden="1">'Tổng hợp tồn kho cũ'!$A$2:$Z$19</definedName>
  </definedNames>
  <calcPr calcId="191029"/>
</workbook>
</file>

<file path=xl/calcChain.xml><?xml version="1.0" encoding="utf-8"?>
<calcChain xmlns="http://schemas.openxmlformats.org/spreadsheetml/2006/main">
  <c r="Q9" i="5" l="1"/>
  <c r="L5" i="5"/>
  <c r="I31" i="3"/>
  <c r="G31" i="3"/>
  <c r="E31" i="3"/>
  <c r="F31" i="3" s="1"/>
  <c r="C31" i="3"/>
  <c r="C32" i="3"/>
  <c r="E32" i="3"/>
  <c r="F32" i="3" s="1"/>
  <c r="G32" i="3"/>
  <c r="I32" i="3"/>
  <c r="C29" i="3"/>
  <c r="L15" i="7"/>
  <c r="G6" i="4"/>
  <c r="G22" i="4"/>
  <c r="G23" i="4"/>
  <c r="I13" i="7"/>
  <c r="I12" i="7"/>
  <c r="I11" i="7"/>
  <c r="I10" i="7"/>
  <c r="I9" i="7"/>
  <c r="I8" i="7"/>
  <c r="Q21" i="7"/>
  <c r="P23" i="7"/>
  <c r="I21" i="4"/>
  <c r="I22" i="4"/>
  <c r="I23" i="4"/>
  <c r="I24" i="4"/>
  <c r="I25" i="4"/>
  <c r="F21" i="4"/>
  <c r="F22" i="4"/>
  <c r="F23" i="4"/>
  <c r="F24" i="4"/>
  <c r="F25" i="4"/>
  <c r="B21" i="4"/>
  <c r="B22" i="4"/>
  <c r="B23" i="4"/>
  <c r="B24" i="4"/>
  <c r="B25" i="4"/>
  <c r="B18" i="4"/>
  <c r="L14" i="7"/>
  <c r="G8" i="4"/>
  <c r="G10" i="4"/>
  <c r="G11" i="4"/>
  <c r="G12" i="4"/>
  <c r="G14" i="4"/>
  <c r="G15" i="4"/>
  <c r="G16" i="4"/>
  <c r="G17" i="4"/>
  <c r="G19" i="4"/>
  <c r="G20" i="4"/>
  <c r="G26" i="4"/>
  <c r="I12" i="3"/>
  <c r="J7" i="7"/>
  <c r="M7" i="7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6" i="4"/>
  <c r="B6" i="4"/>
  <c r="L22" i="4" l="1"/>
  <c r="L23" i="4"/>
  <c r="L24" i="4"/>
  <c r="L25" i="4"/>
  <c r="L21" i="4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G53" i="3"/>
  <c r="G54" i="3"/>
  <c r="G55" i="3"/>
  <c r="G56" i="3"/>
  <c r="E53" i="3"/>
  <c r="F53" i="3" s="1"/>
  <c r="E54" i="3"/>
  <c r="F54" i="3" s="1"/>
  <c r="E55" i="3"/>
  <c r="F55" i="3" s="1"/>
  <c r="E56" i="3"/>
  <c r="F56" i="3" s="1"/>
  <c r="H23" i="7" l="1"/>
  <c r="J6" i="6"/>
  <c r="G7" i="5" s="1"/>
  <c r="R3" i="2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6" i="4"/>
  <c r="F6" i="4"/>
  <c r="J6" i="7"/>
  <c r="M6" i="7" s="1"/>
  <c r="J8" i="7"/>
  <c r="M8" i="7" s="1"/>
  <c r="J9" i="7"/>
  <c r="J10" i="7"/>
  <c r="J11" i="7"/>
  <c r="J12" i="7"/>
  <c r="J13" i="7"/>
  <c r="J14" i="7"/>
  <c r="M14" i="7" s="1"/>
  <c r="J15" i="7"/>
  <c r="M15" i="7" s="1"/>
  <c r="J16" i="7"/>
  <c r="M16" i="7" s="1"/>
  <c r="J17" i="7"/>
  <c r="M17" i="7" s="1"/>
  <c r="J18" i="7"/>
  <c r="M18" i="7" s="1"/>
  <c r="J19" i="7"/>
  <c r="M19" i="7" s="1"/>
  <c r="J20" i="7"/>
  <c r="M20" i="7" s="1"/>
  <c r="J21" i="7"/>
  <c r="M21" i="7" s="1"/>
  <c r="J22" i="7"/>
  <c r="M22" i="7" s="1"/>
  <c r="J5" i="7"/>
  <c r="M5" i="7" s="1"/>
  <c r="E25" i="6"/>
  <c r="I7" i="3"/>
  <c r="I8" i="3"/>
  <c r="I9" i="3"/>
  <c r="N6" i="3" s="1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6" i="3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6" i="4"/>
  <c r="I6" i="4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D19" i="4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D12" i="4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D7" i="4" s="1"/>
  <c r="M3" i="2"/>
  <c r="E3" i="2"/>
  <c r="D6" i="4" s="1"/>
  <c r="M13" i="7" l="1"/>
  <c r="L13" i="7"/>
  <c r="M12" i="7"/>
  <c r="L12" i="7"/>
  <c r="G13" i="4" s="1"/>
  <c r="H13" i="4" s="1"/>
  <c r="M11" i="7"/>
  <c r="L11" i="7"/>
  <c r="G7" i="4" s="1"/>
  <c r="J7" i="4" s="1"/>
  <c r="M10" i="7"/>
  <c r="L10" i="7"/>
  <c r="M9" i="7"/>
  <c r="J19" i="4"/>
  <c r="J6" i="4"/>
  <c r="J12" i="4"/>
  <c r="L5" i="7"/>
  <c r="G18" i="4"/>
  <c r="H18" i="4" s="1"/>
  <c r="E19" i="4"/>
  <c r="N4" i="3"/>
  <c r="D13" i="4"/>
  <c r="E13" i="4" s="1"/>
  <c r="H14" i="4"/>
  <c r="H26" i="4"/>
  <c r="H20" i="4"/>
  <c r="H12" i="4"/>
  <c r="H10" i="4"/>
  <c r="H16" i="4"/>
  <c r="H8" i="4"/>
  <c r="H19" i="4"/>
  <c r="H17" i="4"/>
  <c r="H11" i="4"/>
  <c r="H15" i="4"/>
  <c r="I57" i="3"/>
  <c r="D16" i="4"/>
  <c r="E16" i="4" s="1"/>
  <c r="D11" i="4"/>
  <c r="E11" i="4" s="1"/>
  <c r="D8" i="4"/>
  <c r="E8" i="4" s="1"/>
  <c r="L4" i="2"/>
  <c r="D26" i="4"/>
  <c r="E26" i="4" s="1"/>
  <c r="N5" i="3"/>
  <c r="L13" i="4"/>
  <c r="L17" i="4"/>
  <c r="L9" i="4"/>
  <c r="L7" i="4"/>
  <c r="D18" i="4"/>
  <c r="E18" i="4" s="1"/>
  <c r="D10" i="4"/>
  <c r="E10" i="4" s="1"/>
  <c r="D17" i="4"/>
  <c r="E17" i="4" s="1"/>
  <c r="D9" i="4"/>
  <c r="E9" i="4" s="1"/>
  <c r="L26" i="4"/>
  <c r="L3" i="2"/>
  <c r="D15" i="4"/>
  <c r="E15" i="4" s="1"/>
  <c r="L11" i="4"/>
  <c r="D14" i="4"/>
  <c r="E14" i="4" s="1"/>
  <c r="D20" i="4"/>
  <c r="E20" i="4" s="1"/>
  <c r="E12" i="4"/>
  <c r="E7" i="4"/>
  <c r="C27" i="4"/>
  <c r="L16" i="4"/>
  <c r="L6" i="4"/>
  <c r="E6" i="4"/>
  <c r="L15" i="4"/>
  <c r="L12" i="4"/>
  <c r="L8" i="4"/>
  <c r="L20" i="4"/>
  <c r="L14" i="4"/>
  <c r="L19" i="4"/>
  <c r="L18" i="4"/>
  <c r="L10" i="4"/>
  <c r="F27" i="4"/>
  <c r="I27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G5" i="5" l="1"/>
  <c r="L7" i="5"/>
  <c r="G20" i="3"/>
  <c r="G46" i="3"/>
  <c r="E46" i="3"/>
  <c r="F46" i="3" s="1"/>
  <c r="E17" i="3"/>
  <c r="F17" i="3" s="1"/>
  <c r="G36" i="3"/>
  <c r="E36" i="3"/>
  <c r="F36" i="3" s="1"/>
  <c r="G33" i="3"/>
  <c r="E33" i="3"/>
  <c r="F33" i="3" s="1"/>
  <c r="G9" i="4"/>
  <c r="J9" i="4" s="1"/>
  <c r="J22" i="4"/>
  <c r="H22" i="4"/>
  <c r="L9" i="7"/>
  <c r="G25" i="4" s="1"/>
  <c r="H25" i="4" s="1"/>
  <c r="G13" i="3"/>
  <c r="G24" i="3"/>
  <c r="G16" i="3"/>
  <c r="E21" i="3"/>
  <c r="F21" i="3" s="1"/>
  <c r="G23" i="3"/>
  <c r="E24" i="3"/>
  <c r="F24" i="3" s="1"/>
  <c r="E20" i="3"/>
  <c r="F20" i="3" s="1"/>
  <c r="E23" i="3"/>
  <c r="F23" i="3" s="1"/>
  <c r="E16" i="3"/>
  <c r="F16" i="3" s="1"/>
  <c r="G26" i="3"/>
  <c r="J10" i="4"/>
  <c r="G21" i="3"/>
  <c r="G17" i="3"/>
  <c r="J11" i="4"/>
  <c r="E26" i="3"/>
  <c r="F26" i="3" s="1"/>
  <c r="J14" i="4"/>
  <c r="J15" i="4"/>
  <c r="G29" i="3"/>
  <c r="E29" i="3"/>
  <c r="F29" i="3" s="1"/>
  <c r="J20" i="4"/>
  <c r="J17" i="4"/>
  <c r="J13" i="4"/>
  <c r="J8" i="4"/>
  <c r="E13" i="3"/>
  <c r="F13" i="3" s="1"/>
  <c r="J26" i="4"/>
  <c r="J16" i="4"/>
  <c r="J18" i="4"/>
  <c r="L6" i="7"/>
  <c r="L7" i="7"/>
  <c r="L8" i="7"/>
  <c r="N7" i="3"/>
  <c r="E27" i="4"/>
  <c r="L27" i="4"/>
  <c r="L31" i="2"/>
  <c r="G52" i="3" l="1"/>
  <c r="E52" i="3"/>
  <c r="F52" i="3" s="1"/>
  <c r="E30" i="3"/>
  <c r="F30" i="3" s="1"/>
  <c r="G34" i="3"/>
  <c r="E34" i="3"/>
  <c r="F34" i="3" s="1"/>
  <c r="G35" i="3"/>
  <c r="E35" i="3"/>
  <c r="F35" i="3" s="1"/>
  <c r="G45" i="3"/>
  <c r="E45" i="3"/>
  <c r="F45" i="3" s="1"/>
  <c r="E48" i="3"/>
  <c r="F48" i="3" s="1"/>
  <c r="G39" i="3"/>
  <c r="E39" i="3"/>
  <c r="F39" i="3" s="1"/>
  <c r="G48" i="3"/>
  <c r="G42" i="3"/>
  <c r="G51" i="3"/>
  <c r="E42" i="3"/>
  <c r="F42" i="3" s="1"/>
  <c r="E51" i="3"/>
  <c r="F51" i="3" s="1"/>
  <c r="G37" i="3"/>
  <c r="E37" i="3"/>
  <c r="F37" i="3" s="1"/>
  <c r="G41" i="3"/>
  <c r="G49" i="3"/>
  <c r="E41" i="3"/>
  <c r="F41" i="3" s="1"/>
  <c r="G50" i="3"/>
  <c r="E50" i="3"/>
  <c r="F50" i="3" s="1"/>
  <c r="G43" i="3"/>
  <c r="E43" i="3"/>
  <c r="F43" i="3" s="1"/>
  <c r="G44" i="3"/>
  <c r="G40" i="3"/>
  <c r="E49" i="3"/>
  <c r="F49" i="3" s="1"/>
  <c r="E44" i="3"/>
  <c r="F44" i="3" s="1"/>
  <c r="E40" i="3"/>
  <c r="F40" i="3" s="1"/>
  <c r="M22" i="4"/>
  <c r="N22" i="4" s="1"/>
  <c r="K22" i="4"/>
  <c r="J25" i="4"/>
  <c r="H9" i="4"/>
  <c r="G21" i="4"/>
  <c r="H7" i="4"/>
  <c r="E6" i="3"/>
  <c r="F6" i="3" s="1"/>
  <c r="G24" i="4"/>
  <c r="G30" i="3"/>
  <c r="G19" i="3"/>
  <c r="E27" i="3"/>
  <c r="F27" i="3" s="1"/>
  <c r="E19" i="3"/>
  <c r="F19" i="3" s="1"/>
  <c r="G27" i="3"/>
  <c r="E25" i="3"/>
  <c r="F25" i="3" s="1"/>
  <c r="G25" i="3"/>
  <c r="E18" i="3"/>
  <c r="F18" i="3" s="1"/>
  <c r="G18" i="3"/>
  <c r="E22" i="3"/>
  <c r="F22" i="3" s="1"/>
  <c r="G22" i="3"/>
  <c r="E15" i="3"/>
  <c r="F15" i="3" s="1"/>
  <c r="G15" i="3"/>
  <c r="G14" i="3"/>
  <c r="E14" i="3"/>
  <c r="F14" i="3" s="1"/>
  <c r="E28" i="3"/>
  <c r="F28" i="3" s="1"/>
  <c r="G28" i="3"/>
  <c r="G6" i="3"/>
  <c r="M6" i="4"/>
  <c r="N6" i="4" s="1"/>
  <c r="H6" i="4"/>
  <c r="K6" i="4"/>
  <c r="M18" i="4"/>
  <c r="N18" i="4" s="1"/>
  <c r="K15" i="4"/>
  <c r="M14" i="4"/>
  <c r="N14" i="4" s="1"/>
  <c r="K13" i="4"/>
  <c r="K11" i="4"/>
  <c r="M10" i="4"/>
  <c r="N10" i="4" s="1"/>
  <c r="M16" i="4"/>
  <c r="N16" i="4" s="1"/>
  <c r="K19" i="4"/>
  <c r="K26" i="4"/>
  <c r="M12" i="4"/>
  <c r="N12" i="4" s="1"/>
  <c r="M20" i="4"/>
  <c r="N20" i="4" s="1"/>
  <c r="M25" i="4" l="1"/>
  <c r="N25" i="4" s="1"/>
  <c r="G47" i="3"/>
  <c r="E47" i="3"/>
  <c r="F47" i="3" s="1"/>
  <c r="K25" i="4"/>
  <c r="J21" i="4"/>
  <c r="H21" i="4"/>
  <c r="J24" i="4"/>
  <c r="H24" i="4"/>
  <c r="H23" i="4"/>
  <c r="J23" i="4"/>
  <c r="E12" i="3"/>
  <c r="F12" i="3" s="1"/>
  <c r="G12" i="3"/>
  <c r="K17" i="4"/>
  <c r="G11" i="3"/>
  <c r="E11" i="3"/>
  <c r="F11" i="3" s="1"/>
  <c r="G10" i="3"/>
  <c r="E10" i="3"/>
  <c r="F10" i="3" s="1"/>
  <c r="G9" i="3"/>
  <c r="E9" i="3"/>
  <c r="F9" i="3" s="1"/>
  <c r="O6" i="3" s="1"/>
  <c r="P6" i="3" s="1"/>
  <c r="G7" i="3"/>
  <c r="G8" i="3"/>
  <c r="E7" i="3"/>
  <c r="E8" i="3"/>
  <c r="F8" i="3" s="1"/>
  <c r="M7" i="4"/>
  <c r="N7" i="4" s="1"/>
  <c r="M9" i="4"/>
  <c r="N9" i="4" s="1"/>
  <c r="M8" i="4"/>
  <c r="N8" i="4" s="1"/>
  <c r="M17" i="4"/>
  <c r="N17" i="4" s="1"/>
  <c r="K20" i="4"/>
  <c r="K12" i="4"/>
  <c r="K9" i="4"/>
  <c r="K7" i="4"/>
  <c r="M26" i="4"/>
  <c r="N26" i="4" s="1"/>
  <c r="K18" i="4"/>
  <c r="K16" i="4"/>
  <c r="M11" i="4"/>
  <c r="N11" i="4" s="1"/>
  <c r="M13" i="4"/>
  <c r="N13" i="4" s="1"/>
  <c r="M19" i="4"/>
  <c r="N19" i="4" s="1"/>
  <c r="K8" i="4"/>
  <c r="K14" i="4"/>
  <c r="K10" i="4"/>
  <c r="M15" i="4"/>
  <c r="N15" i="4" s="1"/>
  <c r="G38" i="3" l="1"/>
  <c r="G57" i="3" s="1"/>
  <c r="E38" i="3"/>
  <c r="F38" i="3" s="1"/>
  <c r="Q6" i="3"/>
  <c r="R6" i="3" s="1"/>
  <c r="H27" i="4"/>
  <c r="M23" i="4"/>
  <c r="N23" i="4" s="1"/>
  <c r="K23" i="4"/>
  <c r="M24" i="4"/>
  <c r="N24" i="4" s="1"/>
  <c r="K24" i="4"/>
  <c r="M21" i="4"/>
  <c r="N21" i="4" s="1"/>
  <c r="K21" i="4"/>
  <c r="F7" i="3"/>
  <c r="O5" i="3"/>
  <c r="P5" i="3" s="1"/>
  <c r="E57" i="3" l="1"/>
  <c r="F57" i="3"/>
  <c r="G6" i="5" s="1"/>
  <c r="Q5" i="3"/>
  <c r="R5" i="3" s="1"/>
  <c r="K27" i="4"/>
  <c r="L9" i="5" s="1"/>
  <c r="N27" i="4"/>
  <c r="L6" i="5" s="1"/>
  <c r="L8" i="5" s="1"/>
  <c r="O4" i="3"/>
  <c r="O7" i="3" s="1"/>
  <c r="G8" i="5" s="1"/>
  <c r="L10" i="5" l="1"/>
  <c r="P4" i="3"/>
  <c r="P7" i="3" l="1"/>
  <c r="Q4" i="3"/>
  <c r="Q7" i="3" s="1"/>
  <c r="G9" i="5" s="1"/>
  <c r="G10" i="5" s="1"/>
  <c r="C7" i="5" s="1"/>
  <c r="R4" i="3" l="1"/>
  <c r="R7" i="3" s="1"/>
  <c r="C6" i="5"/>
  <c r="C8" i="5" s="1"/>
  <c r="C9" i="5" s="1"/>
</calcChain>
</file>

<file path=xl/sharedStrings.xml><?xml version="1.0" encoding="utf-8"?>
<sst xmlns="http://schemas.openxmlformats.org/spreadsheetml/2006/main" count="512" uniqueCount="175">
  <si>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</si>
  <si>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</si>
  <si>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</si>
  <si>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</si>
  <si>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</si>
  <si>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</si>
  <si>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</si>
  <si>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</si>
  <si>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</si>
  <si>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</si>
  <si>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</si>
  <si>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</si>
  <si>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</si>
  <si>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</si>
  <si>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</si>
  <si>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</si>
  <si>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</si>
  <si>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</si>
  <si>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</si>
  <si>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</si>
  <si>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</si>
  <si>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</si>
  <si>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</si>
  <si>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</si>
  <si>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</si>
  <si>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</si>
  <si>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</si>
  <si>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</si>
  <si>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</si>
  <si>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</si>
  <si>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</si>
  <si>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</si>
  <si>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</si>
  <si>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</si>
  <si>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</si>
  <si>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</si>
  <si>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</si>
  <si>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</si>
  <si>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</si>
  <si>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</si>
  <si>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</si>
  <si>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</si>
  <si>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</si>
  <si>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</si>
  <si>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</si>
  <si>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</si>
  <si>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</si>
  <si>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</si>
  <si>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</si>
  <si>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</si>
  <si>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</si>
  <si>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</si>
  <si>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</si>
  <si>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</si>
  <si>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</si>
  <si>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</si>
  <si>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</si>
  <si>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</si>
  <si>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</si>
  <si>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</si>
  <si>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</si>
  <si>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</si>
  <si>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</si>
  <si>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</si>
  <si>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SỔ CHI TIẾN BÁN HÀNG THÁNG 2.2023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</si>
  <si>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</si>
  <si>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</si>
  <si>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</si>
  <si>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</si>
  <si>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</si>
  <si>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</si>
  <si>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</si>
  <si>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</si>
  <si>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</si>
  <si>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</si>
  <si>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</si>
  <si>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</si>
  <si>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</si>
  <si>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</si>
  <si>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</si>
  <si>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</si>
  <si>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</si>
  <si>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</si>
  <si>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</si>
  <si>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</si>
  <si>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</si>
  <si>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</si>
  <si>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</si>
  <si>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</si>
  <si>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</si>
  <si>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</si>
  <si>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</si>
  <si>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</si>
  <si>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</si>
  <si>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</si>
  <si>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</si>
  <si>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</si>
  <si>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</si>
  <si>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</si>
  <si>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</si>
  <si>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</si>
  <si>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</si>
  <si>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</si>
  <si>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</si>
  <si>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</si>
  <si>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</si>
  <si>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</si>
  <si>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</si>
  <si>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</si>
  <si>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</si>
  <si>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</si>
  <si>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</si>
  <si>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</si>
  <si>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</si>
  <si>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</si>
  <si>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</si>
  <si>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</si>
  <si>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</si>
  <si>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</si>
  <si>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</si>
  <si>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</si>
  <si>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</si>
  <si>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</si>
  <si>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</si>
  <si>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</si>
  <si>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</si>
  <si>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</si>
  <si>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</si>
  <si>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</si>
  <si>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</si>
  <si>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</si>
  <si>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</si>
  <si>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</si>
  <si>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</si>
  <si>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</si>
  <si>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BH khách Bắc Giang</t>
  </si>
  <si>
    <t>Tồn kho thực tế</t>
  </si>
  <si>
    <t>COD</t>
  </si>
  <si>
    <t>Chuyển thêm vào MB</t>
  </si>
  <si>
    <t>CK</t>
  </si>
  <si>
    <t>Băng dính, dán đế cao su, ốc vít</t>
  </si>
  <si>
    <t>103853</t>
  </si>
  <si>
    <t>103852</t>
  </si>
  <si>
    <t>SAC_GEN2T_CH</t>
  </si>
  <si>
    <t>103857</t>
  </si>
  <si>
    <t>TUI_SOCK_14IN</t>
  </si>
  <si>
    <t>Túi chống sốc màu đen Xiaoxin</t>
  </si>
  <si>
    <t>BALO_THINKBOOK</t>
  </si>
  <si>
    <t>Balo thinkbook trắng</t>
  </si>
  <si>
    <t>104482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</si>
  <si>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</si>
  <si>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</si>
  <si>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</si>
  <si>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</si>
  <si>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</si>
  <si>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</si>
  <si>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18/02/2023</t>
  </si>
  <si>
    <t>Phân phối ngay 20%</t>
  </si>
  <si>
    <t>19/02/2023</t>
  </si>
  <si>
    <t>m1</t>
  </si>
  <si>
    <t>20/02/2023</t>
  </si>
  <si>
    <t>20/2/2023</t>
  </si>
  <si>
    <t>21/2/2023</t>
  </si>
  <si>
    <t>21/02/2023</t>
  </si>
  <si>
    <t>22/02/2023</t>
  </si>
  <si>
    <t>k3</t>
  </si>
  <si>
    <t>23/02/2023</t>
  </si>
  <si>
    <t>CK-freeship</t>
  </si>
  <si>
    <t>24/02/2023</t>
  </si>
  <si>
    <t>25/02/2023</t>
  </si>
  <si>
    <t>25/02/23</t>
  </si>
  <si>
    <t>26/02/23</t>
  </si>
  <si>
    <t>27/02/23</t>
  </si>
  <si>
    <t>108132</t>
  </si>
  <si>
    <t>28/02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</si>
</sst>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18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0" fontId="3" fillId="12" borderId="0" xfId="0" applyFont="1" applyFill="1"/>
    <xf numFmtId="0" fontId="12" fillId="12" borderId="0" xfId="0" applyFont="1" applyFill="1"/>
    <xf numFmtId="14" fontId="12" fillId="12" borderId="0" xfId="0" applyNumberFormat="1" applyFont="1" applyFill="1" applyAlignment="1">
      <alignment horizontal="center"/>
    </xf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97" t="s">
        <v>56</v>
      </c>
      <c r="B1" s="95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98"/>
      <c r="B2" s="96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143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1"/>
  <sheetViews>
    <sheetView workbookViewId="0">
      <pane ySplit="6" topLeftCell="A22" activePane="bottomLeft" state="frozen"/>
      <selection pane="bottomLeft" activeCell="C27" sqref="C27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99" t="s">
        <v>121</v>
      </c>
      <c r="C3" s="99"/>
      <c r="D3" s="99"/>
      <c r="E3" s="99"/>
    </row>
    <row r="6" spans="2:10" ht="30" customHeight="1" x14ac:dyDescent="0.25">
      <c r="B6" s="60" t="s">
        <v>122</v>
      </c>
      <c r="C6" s="60" t="s">
        <v>56</v>
      </c>
      <c r="D6" s="60" t="s">
        <v>123</v>
      </c>
      <c r="E6" s="60" t="s">
        <v>124</v>
      </c>
      <c r="F6" s="39"/>
      <c r="G6" s="39"/>
      <c r="H6" s="48" t="s">
        <v>101</v>
      </c>
      <c r="I6" s="48" t="s">
        <v>113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91</v>
      </c>
      <c r="I7" s="73" t="s">
        <v>95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97</v>
      </c>
      <c r="I8" s="73" t="s">
        <v>96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92</v>
      </c>
      <c r="I9" s="73" t="s">
        <v>98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93</v>
      </c>
      <c r="I10" s="73" t="s">
        <v>99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94</v>
      </c>
      <c r="I11" s="73" t="s">
        <v>100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125</v>
      </c>
      <c r="I12" s="73" t="s">
        <v>126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150</v>
      </c>
      <c r="D22" s="33" t="s">
        <v>152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151</v>
      </c>
      <c r="D23" s="33" t="s">
        <v>153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145</v>
      </c>
      <c r="D24" s="33" t="s">
        <v>146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147</v>
      </c>
      <c r="D25" s="33" t="s">
        <v>148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143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154</v>
      </c>
      <c r="D27" s="33" t="s">
        <v>155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/>
      <c r="D28" s="33"/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/>
      <c r="D29" s="33"/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/>
      <c r="D30" s="33"/>
      <c r="E30" s="33"/>
      <c r="F30" s="39"/>
      <c r="G30" s="39"/>
      <c r="H30" s="39"/>
      <c r="I30" s="39"/>
      <c r="J30" s="39"/>
    </row>
    <row r="31" spans="2:10" ht="27.75" customHeight="1" x14ac:dyDescent="0.25">
      <c r="B31" s="40">
        <v>25</v>
      </c>
      <c r="C31" s="33"/>
      <c r="D31" s="33"/>
      <c r="E31" s="33"/>
      <c r="F31" s="39"/>
      <c r="G31" s="39"/>
      <c r="H31" s="39"/>
      <c r="I31" s="39"/>
      <c r="J31" s="39"/>
    </row>
  </sheetData>
  <mergeCells count="1">
    <mergeCell ref="B3:E3"/>
  </mergeCells>
  <conditionalFormatting sqref="C1:C1048576">
    <cfRule type="duplicateValues" dxfId="2" priority="1"/>
    <cfRule type="duplicateValues" dxfId="1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topLeftCell="D1" workbookViewId="0">
      <pane ySplit="4" topLeftCell="A5" activePane="bottomLeft" state="frozen"/>
      <selection pane="bottomLeft" activeCell="I13" sqref="I13"/>
    </sheetView>
  </sheetViews>
  <sheetFormatPr defaultColWidth="8.85546875" defaultRowHeight="15.75" x14ac:dyDescent="0.25"/>
  <cols>
    <col min="1" max="3" width="8.85546875" style="39"/>
    <col min="4" max="4" width="14.140625" style="39" customWidth="1"/>
    <col min="5" max="5" width="13.28515625" style="88" customWidth="1"/>
    <col min="6" max="6" width="28.7109375" style="39" customWidth="1"/>
    <col min="7" max="7" width="27.570312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01" t="s">
        <v>88</v>
      </c>
      <c r="B1" s="101"/>
      <c r="C1" s="44"/>
    </row>
    <row r="2" spans="1:16" ht="29.45" customHeight="1" x14ac:dyDescent="0.25">
      <c r="A2" s="101"/>
      <c r="B2" s="101"/>
      <c r="C2" s="44"/>
      <c r="D2" s="100" t="s">
        <v>84</v>
      </c>
      <c r="E2" s="100"/>
      <c r="F2" s="100"/>
      <c r="G2" s="100"/>
      <c r="H2" s="100"/>
      <c r="I2" s="100"/>
      <c r="J2" s="100"/>
      <c r="K2" s="100"/>
      <c r="L2" s="100"/>
      <c r="M2" s="100"/>
    </row>
    <row r="3" spans="1:16" ht="19.149999999999999" customHeight="1" x14ac:dyDescent="0.25">
      <c r="A3" s="101"/>
      <c r="B3" s="101"/>
      <c r="C3" s="44"/>
      <c r="D3" s="39" t="s">
        <v>66</v>
      </c>
      <c r="E3" s="88" t="s">
        <v>66</v>
      </c>
      <c r="F3" s="39" t="s">
        <v>65</v>
      </c>
      <c r="G3" s="39" t="s">
        <v>71</v>
      </c>
      <c r="H3" s="39" t="s">
        <v>66</v>
      </c>
      <c r="I3" s="39" t="s">
        <v>66</v>
      </c>
      <c r="J3" s="39" t="s">
        <v>71</v>
      </c>
      <c r="L3" s="39" t="s">
        <v>71</v>
      </c>
      <c r="M3" s="39" t="s">
        <v>71</v>
      </c>
    </row>
    <row r="4" spans="1:16" ht="40.15" customHeight="1" x14ac:dyDescent="0.25">
      <c r="A4" s="101"/>
      <c r="B4" s="101"/>
      <c r="D4" s="60" t="s">
        <v>79</v>
      </c>
      <c r="E4" s="89" t="s">
        <v>102</v>
      </c>
      <c r="F4" s="60" t="s">
        <v>37</v>
      </c>
      <c r="G4" s="60" t="s">
        <v>85</v>
      </c>
      <c r="H4" s="60" t="s">
        <v>86</v>
      </c>
      <c r="I4" s="60" t="s">
        <v>87</v>
      </c>
      <c r="J4" s="60" t="s">
        <v>53</v>
      </c>
      <c r="K4" s="76" t="s">
        <v>129</v>
      </c>
      <c r="L4" s="76" t="s">
        <v>132</v>
      </c>
      <c r="M4" s="60" t="s">
        <v>119</v>
      </c>
    </row>
    <row r="5" spans="1:16" ht="25.15" customHeight="1" x14ac:dyDescent="0.25">
      <c r="A5" s="101"/>
      <c r="B5" s="101"/>
      <c r="C5" s="44"/>
      <c r="D5" s="54">
        <v>44968</v>
      </c>
      <c r="E5" s="90">
        <v>1</v>
      </c>
      <c r="F5" s="33" t="s">
        <v>41</v>
      </c>
      <c r="G5" s="40" t="str">
        <f>_xlfn.IFNA(VLOOKUP(F5,'Danh mục hàng hóa'!$C$7:$D$31,2,0),0)</f>
        <v>Chuột lenovo bluetooth M1</v>
      </c>
      <c r="H5" s="33">
        <v>1</v>
      </c>
      <c r="I5" s="41">
        <v>31000</v>
      </c>
      <c r="J5" s="41">
        <f t="shared" ref="J5:J22" si="0">H5*I5</f>
        <v>31000</v>
      </c>
      <c r="K5" s="74"/>
      <c r="L5" s="68">
        <f>+J5+K5</f>
        <v>31000</v>
      </c>
      <c r="M5" s="68">
        <f>+IFERROR((J5+K5)/H5,0)</f>
        <v>31000</v>
      </c>
    </row>
    <row r="6" spans="1:16" ht="25.15" customHeight="1" x14ac:dyDescent="0.25">
      <c r="A6" s="101"/>
      <c r="B6" s="101"/>
      <c r="C6" s="44"/>
      <c r="D6" s="54">
        <v>44974</v>
      </c>
      <c r="E6" s="90" t="s">
        <v>141</v>
      </c>
      <c r="F6" s="33" t="s">
        <v>151</v>
      </c>
      <c r="G6" s="40" t="str">
        <f>_xlfn.IFNA(VLOOKUP(F6,'Danh mục hàng hóa'!$C$7:$D$31,2,0),0)</f>
        <v>Sạc Thinkplus gen 2 Pro đen new</v>
      </c>
      <c r="H6" s="33">
        <v>1</v>
      </c>
      <c r="I6" s="41">
        <v>473063</v>
      </c>
      <c r="J6" s="41">
        <f t="shared" si="0"/>
        <v>473063</v>
      </c>
      <c r="K6" s="74"/>
      <c r="L6" s="68">
        <f t="shared" ref="L6:L15" si="1">+J6+K6</f>
        <v>473063</v>
      </c>
      <c r="M6" s="68">
        <f t="shared" ref="M6:M22" si="2">+IFERROR((J6+K6)/H6,0)</f>
        <v>473063</v>
      </c>
      <c r="O6" s="39" t="s">
        <v>91</v>
      </c>
      <c r="P6" s="51" t="s">
        <v>95</v>
      </c>
    </row>
    <row r="7" spans="1:16" ht="25.15" customHeight="1" x14ac:dyDescent="0.25">
      <c r="A7" s="43"/>
      <c r="B7" s="43"/>
      <c r="C7" s="43"/>
      <c r="D7" s="54">
        <v>44974</v>
      </c>
      <c r="E7" s="90" t="s">
        <v>142</v>
      </c>
      <c r="F7" s="33" t="s">
        <v>154</v>
      </c>
      <c r="G7" s="40" t="str">
        <f>_xlfn.IFNA(VLOOKUP(F7,'Danh mục hàng hóa'!$C$7:$D$31,2,0),0)</f>
        <v>Sạc Thinkplus trắng gen 2 new</v>
      </c>
      <c r="H7" s="33">
        <v>1</v>
      </c>
      <c r="I7" s="41">
        <v>454365</v>
      </c>
      <c r="J7" s="41">
        <f t="shared" si="0"/>
        <v>454365</v>
      </c>
      <c r="K7" s="74"/>
      <c r="L7" s="68">
        <f t="shared" si="1"/>
        <v>454365</v>
      </c>
      <c r="M7" s="68">
        <f t="shared" si="2"/>
        <v>454365</v>
      </c>
      <c r="O7" s="39" t="s">
        <v>97</v>
      </c>
      <c r="P7" s="51" t="s">
        <v>96</v>
      </c>
    </row>
    <row r="8" spans="1:16" ht="25.15" customHeight="1" x14ac:dyDescent="0.25">
      <c r="A8" s="43"/>
      <c r="B8" s="43"/>
      <c r="C8" s="43"/>
      <c r="D8" s="54">
        <v>44974</v>
      </c>
      <c r="E8" s="90" t="s">
        <v>144</v>
      </c>
      <c r="F8" s="33" t="s">
        <v>145</v>
      </c>
      <c r="G8" s="40" t="str">
        <f>_xlfn.IFNA(VLOOKUP(F8,'Danh mục hàng hóa'!$C$7:$D$31,2,0),0)</f>
        <v>Túi chống sốc màu đen Xiaoxin</v>
      </c>
      <c r="H8" s="33">
        <v>2</v>
      </c>
      <c r="I8" s="41">
        <f>29*3635</f>
        <v>105415</v>
      </c>
      <c r="J8" s="41">
        <f t="shared" si="0"/>
        <v>210830</v>
      </c>
      <c r="K8" s="74">
        <v>19725.007784854919</v>
      </c>
      <c r="L8" s="68">
        <f t="shared" si="1"/>
        <v>230555.00778485491</v>
      </c>
      <c r="M8" s="68">
        <f t="shared" si="2"/>
        <v>115277.50389242746</v>
      </c>
      <c r="O8" s="39" t="s">
        <v>92</v>
      </c>
      <c r="P8" s="51" t="s">
        <v>98</v>
      </c>
    </row>
    <row r="9" spans="1:16" ht="25.15" customHeight="1" x14ac:dyDescent="0.25">
      <c r="A9" s="43"/>
      <c r="B9" s="43"/>
      <c r="C9" s="43"/>
      <c r="D9" s="54">
        <v>44975</v>
      </c>
      <c r="E9" s="90" t="s">
        <v>144</v>
      </c>
      <c r="F9" s="33" t="s">
        <v>147</v>
      </c>
      <c r="G9" s="40" t="str">
        <f>_xlfn.IFNA(VLOOKUP(F9,'Danh mục hàng hóa'!$C$7:$D$31,2,0),0)</f>
        <v>Balo thinkbook trắng</v>
      </c>
      <c r="H9" s="33">
        <v>1</v>
      </c>
      <c r="I9" s="41">
        <f>55*3635</f>
        <v>199925</v>
      </c>
      <c r="J9" s="41">
        <f t="shared" si="0"/>
        <v>199925</v>
      </c>
      <c r="K9" s="74">
        <v>18704.748761500356</v>
      </c>
      <c r="L9" s="68">
        <f t="shared" si="1"/>
        <v>218629.74876150035</v>
      </c>
      <c r="M9" s="68">
        <f t="shared" si="2"/>
        <v>218629.74876150035</v>
      </c>
      <c r="O9" s="39" t="s">
        <v>93</v>
      </c>
      <c r="P9" s="51" t="s">
        <v>99</v>
      </c>
    </row>
    <row r="10" spans="1:16" ht="25.15" customHeight="1" x14ac:dyDescent="0.25">
      <c r="D10" s="54">
        <v>44975</v>
      </c>
      <c r="E10" s="90" t="s">
        <v>144</v>
      </c>
      <c r="F10" s="33" t="s">
        <v>41</v>
      </c>
      <c r="G10" s="40" t="str">
        <f>_xlfn.IFNA(VLOOKUP(F10,'Danh mục hàng hóa'!$C$7:$D$31,2,0),0)</f>
        <v>Chuột lenovo bluetooth M1</v>
      </c>
      <c r="H10" s="33">
        <v>20</v>
      </c>
      <c r="I10" s="41">
        <f>3635*35</f>
        <v>127225</v>
      </c>
      <c r="J10" s="41">
        <f t="shared" si="0"/>
        <v>2544500</v>
      </c>
      <c r="K10" s="74">
        <v>238060.43878273177</v>
      </c>
      <c r="L10" s="68">
        <f t="shared" si="1"/>
        <v>2782560.438782732</v>
      </c>
      <c r="M10" s="68">
        <f t="shared" si="2"/>
        <v>139128.02193913661</v>
      </c>
      <c r="O10" s="39" t="s">
        <v>94</v>
      </c>
      <c r="P10" s="51" t="s">
        <v>100</v>
      </c>
    </row>
    <row r="11" spans="1:16" ht="25.15" customHeight="1" x14ac:dyDescent="0.25">
      <c r="D11" s="54">
        <v>44975</v>
      </c>
      <c r="E11" s="90" t="s">
        <v>144</v>
      </c>
      <c r="F11" s="33" t="s">
        <v>39</v>
      </c>
      <c r="G11" s="40" t="str">
        <f>_xlfn.IFNA(VLOOKUP(F11,'Danh mục hàng hóa'!$C$7:$D$31,2,0),0)</f>
        <v>Chuột M24</v>
      </c>
      <c r="H11" s="33">
        <v>10</v>
      </c>
      <c r="I11" s="41">
        <f>3635*25</f>
        <v>90875</v>
      </c>
      <c r="J11" s="41">
        <f t="shared" si="0"/>
        <v>908750</v>
      </c>
      <c r="K11" s="74">
        <v>85021.585279547056</v>
      </c>
      <c r="L11" s="68">
        <f t="shared" si="1"/>
        <v>993771.58527954703</v>
      </c>
      <c r="M11" s="68">
        <f t="shared" si="2"/>
        <v>99377.1585279547</v>
      </c>
      <c r="O11" s="39" t="s">
        <v>125</v>
      </c>
      <c r="P11" s="47" t="s">
        <v>126</v>
      </c>
    </row>
    <row r="12" spans="1:16" ht="25.15" customHeight="1" x14ac:dyDescent="0.25">
      <c r="D12" s="54">
        <v>44975</v>
      </c>
      <c r="E12" s="90" t="s">
        <v>144</v>
      </c>
      <c r="F12" s="33" t="s">
        <v>42</v>
      </c>
      <c r="G12" s="40" t="str">
        <f>_xlfn.IFNA(VLOOKUP(F12,'Danh mục hàng hóa'!$C$7:$D$31,2,0),0)</f>
        <v>Sạc YOGA</v>
      </c>
      <c r="H12" s="33">
        <v>4</v>
      </c>
      <c r="I12" s="41">
        <f>3635*55</f>
        <v>199925</v>
      </c>
      <c r="J12" s="41">
        <f t="shared" si="0"/>
        <v>799700</v>
      </c>
      <c r="K12" s="74">
        <v>74818.995046001422</v>
      </c>
      <c r="L12" s="68">
        <f t="shared" si="1"/>
        <v>874518.99504600139</v>
      </c>
      <c r="M12" s="68">
        <f t="shared" si="2"/>
        <v>218629.74876150035</v>
      </c>
    </row>
    <row r="13" spans="1:16" ht="25.15" customHeight="1" x14ac:dyDescent="0.25">
      <c r="D13" s="54">
        <v>44975</v>
      </c>
      <c r="E13" s="90" t="s">
        <v>144</v>
      </c>
      <c r="F13" s="33" t="s">
        <v>150</v>
      </c>
      <c r="G13" s="40" t="str">
        <f>_xlfn.IFNA(VLOOKUP(F13,'Danh mục hàng hóa'!$C$7:$D$31,2,0),0)</f>
        <v>Sạc Thinkplus gen 2 đen new</v>
      </c>
      <c r="H13" s="33">
        <v>1</v>
      </c>
      <c r="I13" s="41">
        <f>130*3635</f>
        <v>472550</v>
      </c>
      <c r="J13" s="41">
        <f t="shared" si="0"/>
        <v>472550</v>
      </c>
      <c r="K13" s="74">
        <v>44211.22434536447</v>
      </c>
      <c r="L13" s="68">
        <f t="shared" si="1"/>
        <v>516761.22434536449</v>
      </c>
      <c r="M13" s="68">
        <f t="shared" si="2"/>
        <v>516761.22434536449</v>
      </c>
      <c r="O13" s="75" t="s">
        <v>128</v>
      </c>
      <c r="P13" s="75" t="s">
        <v>112</v>
      </c>
    </row>
    <row r="14" spans="1:16" ht="25.15" customHeight="1" x14ac:dyDescent="0.25">
      <c r="D14" s="54">
        <v>44975</v>
      </c>
      <c r="E14" s="90" t="s">
        <v>149</v>
      </c>
      <c r="F14" s="33" t="s">
        <v>50</v>
      </c>
      <c r="G14" s="40" t="str">
        <f>_xlfn.IFNA(VLOOKUP(F14,'Danh mục hàng hóa'!$C$7:$D$31,2,0),0)</f>
        <v>Sạc Thinkplus gen 2 k hộp</v>
      </c>
      <c r="H14" s="33">
        <v>10</v>
      </c>
      <c r="I14" s="41">
        <v>298028</v>
      </c>
      <c r="J14" s="41">
        <f t="shared" si="0"/>
        <v>2980280</v>
      </c>
      <c r="K14" s="74"/>
      <c r="L14" s="68">
        <f t="shared" si="1"/>
        <v>2980280</v>
      </c>
      <c r="M14" s="68">
        <f t="shared" si="2"/>
        <v>298028</v>
      </c>
      <c r="O14" s="33" t="s">
        <v>144</v>
      </c>
      <c r="P14" s="41">
        <v>480542</v>
      </c>
    </row>
    <row r="15" spans="1:16" ht="25.15" customHeight="1" x14ac:dyDescent="0.25">
      <c r="D15" s="54">
        <v>44984</v>
      </c>
      <c r="E15" s="90" t="s">
        <v>173</v>
      </c>
      <c r="F15" s="33" t="s">
        <v>150</v>
      </c>
      <c r="G15" s="40" t="str">
        <f>_xlfn.IFNA(VLOOKUP(F15,'Danh mục hàng hóa'!$C$7:$D$31,2,0),0)</f>
        <v>Sạc Thinkplus gen 2 đen new</v>
      </c>
      <c r="H15" s="33">
        <v>1</v>
      </c>
      <c r="I15" s="41">
        <v>421650</v>
      </c>
      <c r="J15" s="41">
        <f t="shared" si="0"/>
        <v>421650</v>
      </c>
      <c r="K15" s="74"/>
      <c r="L15" s="68">
        <f t="shared" si="1"/>
        <v>421650</v>
      </c>
      <c r="M15" s="68">
        <f t="shared" si="2"/>
        <v>421650</v>
      </c>
      <c r="O15" s="33"/>
      <c r="P15" s="41"/>
    </row>
    <row r="16" spans="1:16" ht="25.15" customHeight="1" x14ac:dyDescent="0.25">
      <c r="D16" s="40"/>
      <c r="E16" s="90"/>
      <c r="F16" s="33"/>
      <c r="G16" s="40">
        <f>_xlfn.IFNA(VLOOKUP(F16,'Danh mục hàng hóa'!$C$7:$D$31,2,0),0)</f>
        <v>0</v>
      </c>
      <c r="H16" s="33"/>
      <c r="I16" s="41"/>
      <c r="J16" s="41">
        <f t="shared" si="0"/>
        <v>0</v>
      </c>
      <c r="K16" s="41"/>
      <c r="L16" s="68"/>
      <c r="M16" s="68">
        <f t="shared" si="2"/>
        <v>0</v>
      </c>
      <c r="O16" s="33"/>
      <c r="P16" s="41"/>
    </row>
    <row r="17" spans="4:17" ht="25.15" customHeight="1" x14ac:dyDescent="0.25">
      <c r="D17" s="40"/>
      <c r="E17" s="90"/>
      <c r="F17" s="33"/>
      <c r="G17" s="40">
        <f>_xlfn.IFNA(VLOOKUP(F17,'Danh mục hàng hóa'!$C$7:$D$31,2,0),0)</f>
        <v>0</v>
      </c>
      <c r="H17" s="33"/>
      <c r="I17" s="41"/>
      <c r="J17" s="41">
        <f t="shared" si="0"/>
        <v>0</v>
      </c>
      <c r="K17" s="41"/>
      <c r="L17" s="41"/>
      <c r="M17" s="68">
        <f t="shared" si="2"/>
        <v>0</v>
      </c>
      <c r="O17" s="33"/>
      <c r="P17" s="33"/>
    </row>
    <row r="18" spans="4:17" ht="25.15" customHeight="1" x14ac:dyDescent="0.25">
      <c r="D18" s="40"/>
      <c r="E18" s="90"/>
      <c r="F18" s="33"/>
      <c r="G18" s="40">
        <f>_xlfn.IFNA(VLOOKUP(F18,'Danh mục hàng hóa'!$C$7:$D$31,2,0),0)</f>
        <v>0</v>
      </c>
      <c r="H18" s="33"/>
      <c r="I18" s="41"/>
      <c r="J18" s="41">
        <f t="shared" si="0"/>
        <v>0</v>
      </c>
      <c r="K18" s="41"/>
      <c r="L18" s="41"/>
      <c r="M18" s="68">
        <f t="shared" si="2"/>
        <v>0</v>
      </c>
      <c r="O18" s="33"/>
      <c r="P18" s="33"/>
    </row>
    <row r="19" spans="4:17" ht="25.15" customHeight="1" x14ac:dyDescent="0.25">
      <c r="D19" s="40"/>
      <c r="E19" s="90"/>
      <c r="F19" s="33"/>
      <c r="G19" s="40">
        <f>_xlfn.IFNA(VLOOKUP(F19,'Danh mục hàng hóa'!$C$7:$D$31,2,0),0)</f>
        <v>0</v>
      </c>
      <c r="H19" s="33"/>
      <c r="I19" s="41"/>
      <c r="J19" s="41">
        <f t="shared" si="0"/>
        <v>0</v>
      </c>
      <c r="K19" s="41"/>
      <c r="L19" s="41"/>
      <c r="M19" s="68">
        <f t="shared" si="2"/>
        <v>0</v>
      </c>
    </row>
    <row r="20" spans="4:17" ht="25.15" customHeight="1" x14ac:dyDescent="0.25">
      <c r="D20" s="40"/>
      <c r="E20" s="90"/>
      <c r="F20" s="33"/>
      <c r="G20" s="40">
        <f>_xlfn.IFNA(VLOOKUP(F20,'Danh mục hàng hóa'!$C$7:$D$31,2,0),0)</f>
        <v>0</v>
      </c>
      <c r="H20" s="33"/>
      <c r="I20" s="41"/>
      <c r="J20" s="41">
        <f t="shared" si="0"/>
        <v>0</v>
      </c>
      <c r="K20" s="41"/>
      <c r="L20" s="41"/>
      <c r="M20" s="68">
        <f t="shared" si="2"/>
        <v>0</v>
      </c>
      <c r="O20" s="55"/>
      <c r="P20" s="92">
        <v>5616797</v>
      </c>
    </row>
    <row r="21" spans="4:17" ht="25.15" customHeight="1" x14ac:dyDescent="0.25">
      <c r="D21" s="40"/>
      <c r="E21" s="90"/>
      <c r="F21" s="33"/>
      <c r="G21" s="40">
        <f>_xlfn.IFNA(VLOOKUP(F21,'Danh mục hàng hóa'!$C$7:$D$31,2,0),0)</f>
        <v>0</v>
      </c>
      <c r="H21" s="33"/>
      <c r="I21" s="41"/>
      <c r="J21" s="41">
        <f t="shared" si="0"/>
        <v>0</v>
      </c>
      <c r="K21" s="41"/>
      <c r="L21" s="41"/>
      <c r="M21" s="68">
        <f t="shared" si="2"/>
        <v>0</v>
      </c>
      <c r="P21" s="92">
        <v>263314</v>
      </c>
      <c r="Q21" s="39">
        <f>20*3635</f>
        <v>72700</v>
      </c>
    </row>
    <row r="22" spans="4:17" ht="25.15" customHeight="1" x14ac:dyDescent="0.25">
      <c r="D22" s="40"/>
      <c r="E22" s="90"/>
      <c r="F22" s="33"/>
      <c r="G22" s="40">
        <f>_xlfn.IFNA(VLOOKUP(F22,'Danh mục hàng hóa'!$C$7:$D$31,2,0),0)</f>
        <v>0</v>
      </c>
      <c r="H22" s="33"/>
      <c r="I22" s="41"/>
      <c r="J22" s="41">
        <f t="shared" si="0"/>
        <v>0</v>
      </c>
      <c r="K22" s="41"/>
      <c r="L22" s="41"/>
      <c r="M22" s="68">
        <f t="shared" si="2"/>
        <v>0</v>
      </c>
      <c r="P22" s="92">
        <v>144528</v>
      </c>
    </row>
    <row r="23" spans="4:17" ht="25.15" customHeight="1" x14ac:dyDescent="0.25">
      <c r="D23" s="42" t="s">
        <v>78</v>
      </c>
      <c r="E23" s="91"/>
      <c r="F23" s="33"/>
      <c r="G23" s="33"/>
      <c r="H23" s="33">
        <f>SUM(H5:H22)</f>
        <v>52</v>
      </c>
      <c r="I23" s="33"/>
      <c r="J23" s="33"/>
      <c r="K23" s="33"/>
      <c r="L23" s="33"/>
      <c r="M23" s="33"/>
      <c r="P23" s="93">
        <f>P20-P21-P22</f>
        <v>5208955</v>
      </c>
    </row>
  </sheetData>
  <autoFilter ref="A4:Q4" xr:uid="{00000000-0001-0000-0200-000000000000}">
    <filterColumn colId="0" showButton="0"/>
  </autoFilter>
  <mergeCells count="2">
    <mergeCell ref="D2:M2"/>
    <mergeCell ref="A1:B6"/>
  </mergeCells>
  <phoneticPr fontId="20" type="noConversion"/>
  <hyperlinks>
    <hyperlink ref="P6" location="'Nhập hàng'!A1" display="'Nhập hàng'!A1" xr:uid="{00000000-0004-0000-0200-000000000000}"/>
    <hyperlink ref="P7" location="'Bán hàng'!A1" display="'Bán hàng'!A1" xr:uid="{00000000-0004-0000-0200-000001000000}"/>
    <hyperlink ref="P8" location="'Các khoản chi phí'!A1" display="'Các khoản chi phí'!A1" xr:uid="{00000000-0004-0000-0200-000002000000}"/>
    <hyperlink ref="P9" location="'TỔNG HỢP NHẬP XUẤT TỒN'!A1" display="'TỔNG HỢP NHẬP XUẤT TỒN'!A1" xr:uid="{00000000-0004-0000-0200-000003000000}"/>
    <hyperlink ref="P10" location="'Lãi-Lỗ'!A1" display="'Lãi-Lỗ'!A1" xr:uid="{00000000-0004-0000-0200-000004000000}"/>
    <hyperlink ref="P11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hóa'!$C$7:$C$31</xm:f>
          </x14:formula1>
          <xm:sqref>F6:F22</xm:sqref>
        </x14:dataValidation>
        <x14:dataValidation type="list" allowBlank="1" showInputMessage="1" showErrorMessage="1" xr:uid="{00000000-0002-0000-0200-000000000000}">
          <x14:formula1>
            <xm:f>'TỔNG HỢP NHẬP XUẤT TỒN'!$A$6:$A$30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7"/>
  <sheetViews>
    <sheetView tabSelected="1" workbookViewId="0">
      <pane ySplit="5" topLeftCell="A49" activePane="bottomLeft" state="frozen"/>
      <selection pane="bottomLeft" activeCell="A54" sqref="A54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4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02" t="s">
        <v>64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M2" s="102"/>
      <c r="N2" s="102"/>
    </row>
    <row r="3" spans="1:18" ht="22.9" customHeight="1" x14ac:dyDescent="0.25">
      <c r="A3" s="29" t="s">
        <v>66</v>
      </c>
      <c r="B3" s="29" t="s">
        <v>65</v>
      </c>
      <c r="C3" s="29" t="s">
        <v>71</v>
      </c>
      <c r="D3" s="29" t="s">
        <v>66</v>
      </c>
      <c r="E3" s="29" t="s">
        <v>71</v>
      </c>
      <c r="F3" s="29" t="s">
        <v>71</v>
      </c>
      <c r="G3" s="29" t="s">
        <v>71</v>
      </c>
      <c r="H3" s="29" t="s">
        <v>66</v>
      </c>
      <c r="I3" s="29" t="s">
        <v>71</v>
      </c>
      <c r="J3" s="29" t="s">
        <v>65</v>
      </c>
      <c r="K3" s="29" t="s">
        <v>66</v>
      </c>
      <c r="M3" s="52" t="s">
        <v>109</v>
      </c>
      <c r="N3" s="52" t="s">
        <v>110</v>
      </c>
      <c r="O3" s="52" t="s">
        <v>103</v>
      </c>
      <c r="P3" s="52" t="s">
        <v>111</v>
      </c>
      <c r="Q3" s="23" t="s">
        <v>157</v>
      </c>
      <c r="R3" s="23" t="s">
        <v>105</v>
      </c>
    </row>
    <row r="4" spans="1:18" ht="25.15" customHeight="1" x14ac:dyDescent="0.25">
      <c r="A4" s="105" t="s">
        <v>62</v>
      </c>
      <c r="B4" s="105" t="s">
        <v>37</v>
      </c>
      <c r="C4" s="105" t="s">
        <v>0</v>
      </c>
      <c r="D4" s="105" t="s">
        <v>7</v>
      </c>
      <c r="E4" s="105" t="s">
        <v>120</v>
      </c>
      <c r="F4" s="105" t="s">
        <v>103</v>
      </c>
      <c r="G4" s="103" t="s">
        <v>5</v>
      </c>
      <c r="H4" s="105" t="s">
        <v>6</v>
      </c>
      <c r="I4" s="105" t="s">
        <v>53</v>
      </c>
      <c r="J4" s="105" t="s">
        <v>63</v>
      </c>
      <c r="K4" s="105" t="s">
        <v>67</v>
      </c>
      <c r="M4" s="28" t="s">
        <v>69</v>
      </c>
      <c r="N4" s="70">
        <f>SUMIF($J$6:$J$56,M4,$I$6:$I$56)</f>
        <v>7898000</v>
      </c>
      <c r="O4" s="70">
        <f>SUMIF($J$6:$J$56,M4,$F$6:$F$56)</f>
        <v>4577151.8359318599</v>
      </c>
      <c r="P4" s="71">
        <f>+N4-O4</f>
        <v>3320848.1640681401</v>
      </c>
      <c r="Q4" s="70">
        <f>+P4*20%</f>
        <v>664169.63281362806</v>
      </c>
      <c r="R4" s="71">
        <f>+P4-Q4</f>
        <v>2656678.5312545123</v>
      </c>
    </row>
    <row r="5" spans="1:18" ht="25.15" customHeight="1" x14ac:dyDescent="0.25">
      <c r="A5" s="106"/>
      <c r="B5" s="106"/>
      <c r="C5" s="106"/>
      <c r="D5" s="106"/>
      <c r="E5" s="106"/>
      <c r="F5" s="106"/>
      <c r="G5" s="104"/>
      <c r="H5" s="106"/>
      <c r="I5" s="106"/>
      <c r="J5" s="106"/>
      <c r="K5" s="106"/>
      <c r="M5" s="28" t="s">
        <v>70</v>
      </c>
      <c r="N5" s="70">
        <f>SUMIF($J$6:$J$56,M5,$I$6:$I$56)</f>
        <v>9774000</v>
      </c>
      <c r="O5" s="70">
        <f>SUMIF($J$6:$J$56,M5,$F$6:$F$56)</f>
        <v>5368313.2111280374</v>
      </c>
      <c r="P5" s="71">
        <f t="shared" ref="P5:P6" si="0">+N5-O5</f>
        <v>4405686.7888719626</v>
      </c>
      <c r="Q5" s="70">
        <f t="shared" ref="Q5:Q6" si="1">+P5*20%</f>
        <v>881137.35777439259</v>
      </c>
      <c r="R5" s="71">
        <f t="shared" ref="R5:R6" si="2">+P5-Q5</f>
        <v>3524549.4310975699</v>
      </c>
    </row>
    <row r="6" spans="1:18" ht="30" customHeight="1" x14ac:dyDescent="0.25">
      <c r="A6" s="27">
        <v>44958</v>
      </c>
      <c r="B6" s="7" t="s">
        <v>38</v>
      </c>
      <c r="C6" s="28" t="str">
        <f>_xlfn.IFNA(VLOOKUP(B6,'Danh mục hàng hóa'!$C$7:$D$31,2,0),0)</f>
        <v>USB</v>
      </c>
      <c r="D6" s="7">
        <v>1</v>
      </c>
      <c r="E6" s="38">
        <f>_xlfn.IFNA(VLOOKUP(B6,'TỔNG HỢP NHẬP XUẤT TỒN'!$A$6:$J$26,10,0),0)</f>
        <v>112852.5</v>
      </c>
      <c r="F6" s="69">
        <f>+D6*E6</f>
        <v>112852.5</v>
      </c>
      <c r="G6" s="38">
        <f>_xlfn.IFNA(VLOOKUP(B6,'TỔNG HỢP NHẬP XUẤT TỒN'!$A$6:$J$26,10,0)*1.5,0)</f>
        <v>169278.75</v>
      </c>
      <c r="H6" s="38">
        <v>200000</v>
      </c>
      <c r="I6" s="38">
        <f>D6*H6</f>
        <v>200000</v>
      </c>
      <c r="J6" s="28" t="s">
        <v>69</v>
      </c>
      <c r="K6" s="7"/>
      <c r="M6" s="28" t="s">
        <v>104</v>
      </c>
      <c r="N6" s="70">
        <f>SUMIF($J$6:$J$56,M6,$I$6:$I$56)</f>
        <v>899000</v>
      </c>
      <c r="O6" s="70">
        <f>SUMIF($J$6:$J$56,M6,$F$6:$F$56)</f>
        <v>517709.30000000005</v>
      </c>
      <c r="P6" s="71">
        <f t="shared" si="0"/>
        <v>381290.69999999995</v>
      </c>
      <c r="Q6" s="70">
        <f t="shared" si="1"/>
        <v>76258.14</v>
      </c>
      <c r="R6" s="71">
        <f t="shared" si="2"/>
        <v>305032.55999999994</v>
      </c>
    </row>
    <row r="7" spans="1:18" ht="30" customHeight="1" x14ac:dyDescent="0.25">
      <c r="A7" s="27">
        <v>44958</v>
      </c>
      <c r="B7" s="7" t="s">
        <v>39</v>
      </c>
      <c r="C7" s="28" t="str">
        <f>_xlfn.IFNA(VLOOKUP(B7,'Danh mục hàng hóa'!$C$7:$D$31,2,0),0)</f>
        <v>Chuột M24</v>
      </c>
      <c r="D7" s="7">
        <v>1</v>
      </c>
      <c r="E7" s="38">
        <f>_xlfn.IFNA(VLOOKUP(B7,'TỔNG HỢP NHẬP XUẤT TỒN'!$A$6:$J$26,10,0),0)</f>
        <v>95730.981149070329</v>
      </c>
      <c r="F7" s="69">
        <f t="shared" ref="F7:F56" si="3">+D7*E7</f>
        <v>95730.981149070329</v>
      </c>
      <c r="G7" s="38">
        <f>_xlfn.IFNA(VLOOKUP(B7,'TỔNG HỢP NHẬP XUẤT TỒN'!$A$6:$J$26,10,0)*1.5,0)</f>
        <v>143596.4717236055</v>
      </c>
      <c r="H7" s="38">
        <v>160000</v>
      </c>
      <c r="I7" s="38">
        <f t="shared" ref="I7:I56" si="4">D7*H7</f>
        <v>160000</v>
      </c>
      <c r="J7" s="28" t="s">
        <v>69</v>
      </c>
      <c r="K7" s="7"/>
      <c r="M7" s="52" t="s">
        <v>55</v>
      </c>
      <c r="N7" s="72">
        <f>SUM(N4:N6)</f>
        <v>18571000</v>
      </c>
      <c r="O7" s="72">
        <f t="shared" ref="O7:R7" si="5">SUM(O4:O6)</f>
        <v>10463174.347059898</v>
      </c>
      <c r="P7" s="72">
        <f t="shared" si="5"/>
        <v>8107825.6529401029</v>
      </c>
      <c r="Q7" s="72">
        <f t="shared" si="5"/>
        <v>1621565.1305880204</v>
      </c>
      <c r="R7" s="72">
        <f t="shared" si="5"/>
        <v>6486260.5223520817</v>
      </c>
    </row>
    <row r="8" spans="1:18" ht="30" customHeight="1" x14ac:dyDescent="0.25">
      <c r="A8" s="27">
        <v>44958</v>
      </c>
      <c r="B8" s="7" t="s">
        <v>50</v>
      </c>
      <c r="C8" s="28" t="str">
        <f>_xlfn.IFNA(VLOOKUP(B8,'Danh mục hàng hóa'!$C$7:$D$31,2,0),0)</f>
        <v>Sạc Thinkplus gen 2 k hộp</v>
      </c>
      <c r="D8" s="7">
        <v>1</v>
      </c>
      <c r="E8" s="38">
        <f>_xlfn.IFNA(VLOOKUP(B8,'TỔNG HỢP NHẬP XUẤT TỒN'!$A$6:$J$26,10,0),0)</f>
        <v>298513.47499999998</v>
      </c>
      <c r="F8" s="69">
        <f t="shared" si="3"/>
        <v>298513.47499999998</v>
      </c>
      <c r="G8" s="38">
        <f>_xlfn.IFNA(VLOOKUP(B8,'TỔNG HỢP NHẬP XUẤT TỒN'!$A$6:$J$26,10,0)*1.5,0)</f>
        <v>447770.21249999997</v>
      </c>
      <c r="H8" s="38">
        <v>500000</v>
      </c>
      <c r="I8" s="38">
        <f t="shared" si="4"/>
        <v>500000</v>
      </c>
      <c r="J8" s="28" t="s">
        <v>69</v>
      </c>
      <c r="K8" s="7"/>
    </row>
    <row r="9" spans="1:18" ht="30" customHeight="1" x14ac:dyDescent="0.25">
      <c r="A9" s="27">
        <v>44958</v>
      </c>
      <c r="B9" s="7" t="s">
        <v>50</v>
      </c>
      <c r="C9" s="28" t="str">
        <f>_xlfn.IFNA(VLOOKUP(B9,'Danh mục hàng hóa'!$C$7:$D$31,2,0),0)</f>
        <v>Sạc Thinkplus gen 2 k hộp</v>
      </c>
      <c r="D9" s="7">
        <v>1</v>
      </c>
      <c r="E9" s="38">
        <f>_xlfn.IFNA(VLOOKUP(B9,'TỔNG HỢP NHẬP XUẤT TỒN'!$A$6:$J$26,10,0),0)</f>
        <v>298513.47499999998</v>
      </c>
      <c r="F9" s="69">
        <f t="shared" si="3"/>
        <v>298513.47499999998</v>
      </c>
      <c r="G9" s="38">
        <f>_xlfn.IFNA(VLOOKUP(B9,'TỔNG HỢP NHẬP XUẤT TỒN'!$A$6:$J$26,10,0)*1.5,0)</f>
        <v>447770.21249999997</v>
      </c>
      <c r="H9" s="38">
        <v>450000</v>
      </c>
      <c r="I9" s="38">
        <f t="shared" si="4"/>
        <v>450000</v>
      </c>
      <c r="J9" s="28" t="s">
        <v>69</v>
      </c>
      <c r="K9" s="7"/>
    </row>
    <row r="10" spans="1:18" ht="30" customHeight="1" x14ac:dyDescent="0.25">
      <c r="A10" s="27">
        <v>44958</v>
      </c>
      <c r="B10" s="7" t="s">
        <v>39</v>
      </c>
      <c r="C10" s="28" t="str">
        <f>_xlfn.IFNA(VLOOKUP(B10,'Danh mục hàng hóa'!$C$7:$D$31,2,0),0)</f>
        <v>Chuột M24</v>
      </c>
      <c r="D10" s="7">
        <v>3</v>
      </c>
      <c r="E10" s="38">
        <f>_xlfn.IFNA(VLOOKUP(B10,'TỔNG HỢP NHẬP XUẤT TỒN'!$A$6:$J$26,10,0),0)</f>
        <v>95730.981149070329</v>
      </c>
      <c r="F10" s="69">
        <f t="shared" si="3"/>
        <v>287192.943447211</v>
      </c>
      <c r="G10" s="38">
        <f>_xlfn.IFNA(VLOOKUP(B10,'TỔNG HỢP NHẬP XUẤT TỒN'!$A$6:$J$26,10,0)*1.5,0)</f>
        <v>143596.4717236055</v>
      </c>
      <c r="H10" s="38">
        <v>160000</v>
      </c>
      <c r="I10" s="38">
        <f t="shared" si="4"/>
        <v>480000</v>
      </c>
      <c r="J10" s="28" t="s">
        <v>70</v>
      </c>
      <c r="K10" s="7"/>
      <c r="M10" s="48" t="s">
        <v>101</v>
      </c>
      <c r="N10" s="48" t="s">
        <v>113</v>
      </c>
    </row>
    <row r="11" spans="1:18" ht="30" customHeight="1" x14ac:dyDescent="0.25">
      <c r="A11" s="27">
        <v>44958</v>
      </c>
      <c r="B11" s="7" t="s">
        <v>48</v>
      </c>
      <c r="C11" s="28" t="str">
        <f>_xlfn.IFNA(VLOOKUP(B11,'Danh mục hàng hóa'!$C$7:$D$31,2,0),0)</f>
        <v>Loa K3 Pro</v>
      </c>
      <c r="D11" s="7">
        <v>2</v>
      </c>
      <c r="E11" s="38">
        <f>_xlfn.IFNA(VLOOKUP(B11,'TỔNG HỢP NHẬP XUẤT TỒN'!$A$6:$J$26,10,0),0)</f>
        <v>115718.36666666667</v>
      </c>
      <c r="F11" s="69">
        <f t="shared" si="3"/>
        <v>231436.73333333334</v>
      </c>
      <c r="G11" s="38">
        <f>_xlfn.IFNA(VLOOKUP(B11,'TỔNG HỢP NHẬP XUẤT TỒN'!$A$6:$J$26,10,0)*1.5,0)</f>
        <v>173577.55</v>
      </c>
      <c r="H11" s="38">
        <v>179000</v>
      </c>
      <c r="I11" s="38">
        <f t="shared" si="4"/>
        <v>358000</v>
      </c>
      <c r="J11" s="28" t="s">
        <v>70</v>
      </c>
      <c r="K11" s="7"/>
      <c r="M11" s="39" t="s">
        <v>91</v>
      </c>
      <c r="N11" s="49" t="s">
        <v>95</v>
      </c>
    </row>
    <row r="12" spans="1:18" ht="30" customHeight="1" x14ac:dyDescent="0.25">
      <c r="A12" s="27">
        <v>44958</v>
      </c>
      <c r="B12" s="7" t="s">
        <v>54</v>
      </c>
      <c r="C12" s="28" t="str">
        <f>_xlfn.IFNA(VLOOKUP(B12,'Danh mục hàng hóa'!$C$7:$D$31,2,0),0)</f>
        <v>Sạc Dell</v>
      </c>
      <c r="D12" s="7">
        <v>1</v>
      </c>
      <c r="E12" s="38">
        <f>_xlfn.IFNA(VLOOKUP(B12,'TỔNG HỢP NHẬP XUẤT TỒN'!$A$6:$J$26,10,0),0)</f>
        <v>148750</v>
      </c>
      <c r="F12" s="69">
        <f t="shared" si="3"/>
        <v>148750</v>
      </c>
      <c r="G12" s="38">
        <f>_xlfn.IFNA(VLOOKUP(B12,'TỔNG HỢP NHẬP XUẤT TỒN'!$A$6:$J$26,10,0)*1.5,0)</f>
        <v>223125</v>
      </c>
      <c r="H12" s="38">
        <v>350000</v>
      </c>
      <c r="I12" s="38">
        <f t="shared" si="4"/>
        <v>350000</v>
      </c>
      <c r="J12" s="28" t="s">
        <v>70</v>
      </c>
      <c r="K12" s="7"/>
      <c r="M12" s="39" t="s">
        <v>97</v>
      </c>
      <c r="N12" s="49" t="s">
        <v>96</v>
      </c>
    </row>
    <row r="13" spans="1:18" ht="30" customHeight="1" x14ac:dyDescent="0.25">
      <c r="A13" s="27">
        <v>44965</v>
      </c>
      <c r="B13" s="7" t="s">
        <v>39</v>
      </c>
      <c r="C13" s="28" t="str">
        <f>_xlfn.IFNA(VLOOKUP(B13,'Danh mục hàng hóa'!$C$7:$D$31,2,0),0)</f>
        <v>Chuột M24</v>
      </c>
      <c r="D13" s="7">
        <v>1</v>
      </c>
      <c r="E13" s="38">
        <f>_xlfn.IFNA(VLOOKUP(B13,'TỔNG HỢP NHẬP XUẤT TỒN'!$A$6:$J$26,10,0),0)</f>
        <v>95730.981149070329</v>
      </c>
      <c r="F13" s="69">
        <f t="shared" si="3"/>
        <v>95730.981149070329</v>
      </c>
      <c r="G13" s="38">
        <f>_xlfn.IFNA(VLOOKUP(B13,'TỔNG HỢP NHẬP XUẤT TỒN'!$A$6:$J$26,10,0)*1.5,0)</f>
        <v>143596.4717236055</v>
      </c>
      <c r="H13" s="38">
        <v>160000</v>
      </c>
      <c r="I13" s="38">
        <f t="shared" si="4"/>
        <v>160000</v>
      </c>
      <c r="J13" s="28" t="s">
        <v>70</v>
      </c>
      <c r="K13" s="7"/>
      <c r="M13" s="39" t="s">
        <v>92</v>
      </c>
      <c r="N13" s="49" t="s">
        <v>98</v>
      </c>
    </row>
    <row r="14" spans="1:18" ht="30" customHeight="1" x14ac:dyDescent="0.25">
      <c r="A14" s="27">
        <v>44965</v>
      </c>
      <c r="B14" s="7" t="s">
        <v>48</v>
      </c>
      <c r="C14" s="28" t="str">
        <f>_xlfn.IFNA(VLOOKUP(B14,'Danh mục hàng hóa'!$C$7:$D$31,2,0),0)</f>
        <v>Loa K3 Pro</v>
      </c>
      <c r="D14" s="7">
        <v>2</v>
      </c>
      <c r="E14" s="38">
        <f>_xlfn.IFNA(VLOOKUP(B14,'TỔNG HỢP NHẬP XUẤT TỒN'!$A$6:$J$26,10,0),0)</f>
        <v>115718.36666666667</v>
      </c>
      <c r="F14" s="69">
        <f t="shared" si="3"/>
        <v>231436.73333333334</v>
      </c>
      <c r="G14" s="38">
        <f>_xlfn.IFNA(VLOOKUP(B14,'TỔNG HỢP NHẬP XUẤT TỒN'!$A$6:$J$26,10,0)*1.5,0)</f>
        <v>173577.55</v>
      </c>
      <c r="H14" s="38">
        <v>179000</v>
      </c>
      <c r="I14" s="38">
        <f t="shared" si="4"/>
        <v>358000</v>
      </c>
      <c r="J14" s="28" t="s">
        <v>70</v>
      </c>
      <c r="K14" s="7"/>
      <c r="M14" s="39" t="s">
        <v>93</v>
      </c>
      <c r="N14" s="49" t="s">
        <v>99</v>
      </c>
    </row>
    <row r="15" spans="1:18" ht="30" customHeight="1" x14ac:dyDescent="0.25">
      <c r="A15" s="27">
        <v>44965</v>
      </c>
      <c r="B15" s="7" t="s">
        <v>48</v>
      </c>
      <c r="C15" s="28" t="str">
        <f>_xlfn.IFNA(VLOOKUP(B15,'Danh mục hàng hóa'!$C$7:$D$31,2,0),0)</f>
        <v>Loa K3 Pro</v>
      </c>
      <c r="D15" s="7">
        <v>2</v>
      </c>
      <c r="E15" s="38">
        <f>_xlfn.IFNA(VLOOKUP(B15,'TỔNG HỢP NHẬP XUẤT TỒN'!$A$6:$J$26,10,0),0)</f>
        <v>115718.36666666667</v>
      </c>
      <c r="F15" s="69">
        <f t="shared" si="3"/>
        <v>231436.73333333334</v>
      </c>
      <c r="G15" s="38">
        <f>_xlfn.IFNA(VLOOKUP(B15,'TỔNG HỢP NHẬP XUẤT TỒN'!$A$6:$J$26,10,0)*1.5,0)</f>
        <v>173577.55</v>
      </c>
      <c r="H15" s="38">
        <v>170000</v>
      </c>
      <c r="I15" s="38">
        <f t="shared" si="4"/>
        <v>340000</v>
      </c>
      <c r="J15" s="28" t="s">
        <v>70</v>
      </c>
      <c r="K15" s="7"/>
      <c r="M15" s="39" t="s">
        <v>94</v>
      </c>
      <c r="N15" s="49" t="s">
        <v>100</v>
      </c>
    </row>
    <row r="16" spans="1:18" ht="30" customHeight="1" x14ac:dyDescent="0.25">
      <c r="A16" s="27">
        <v>44965</v>
      </c>
      <c r="B16" s="7" t="s">
        <v>50</v>
      </c>
      <c r="C16" s="28" t="str">
        <f>_xlfn.IFNA(VLOOKUP(B16,'Danh mục hàng hóa'!$C$7:$D$31,2,0),0)</f>
        <v>Sạc Thinkplus gen 2 k hộp</v>
      </c>
      <c r="D16" s="7">
        <v>1</v>
      </c>
      <c r="E16" s="38">
        <f>_xlfn.IFNA(VLOOKUP(B16,'TỔNG HỢP NHẬP XUẤT TỒN'!$A$6:$J$26,10,0),0)</f>
        <v>298513.47499999998</v>
      </c>
      <c r="F16" s="69">
        <f t="shared" si="3"/>
        <v>298513.47499999998</v>
      </c>
      <c r="G16" s="38">
        <f>_xlfn.IFNA(VLOOKUP(B16,'TỔNG HỢP NHẬP XUẤT TỒN'!$A$6:$J$26,10,0)*1.5,0)</f>
        <v>447770.21249999997</v>
      </c>
      <c r="H16" s="38"/>
      <c r="I16" s="38">
        <f t="shared" si="4"/>
        <v>0</v>
      </c>
      <c r="J16" s="28"/>
      <c r="K16" s="7" t="s">
        <v>135</v>
      </c>
      <c r="M16" s="12" t="s">
        <v>125</v>
      </c>
      <c r="N16" s="47" t="s">
        <v>126</v>
      </c>
    </row>
    <row r="17" spans="1:11" ht="30" customHeight="1" x14ac:dyDescent="0.25">
      <c r="A17" s="27">
        <v>44965</v>
      </c>
      <c r="B17" s="7" t="s">
        <v>50</v>
      </c>
      <c r="C17" s="28" t="str">
        <f>_xlfn.IFNA(VLOOKUP(B17,'Danh mục hàng hóa'!$C$7:$D$31,2,0),0)</f>
        <v>Sạc Thinkplus gen 2 k hộp</v>
      </c>
      <c r="D17" s="7">
        <v>1</v>
      </c>
      <c r="E17" s="38">
        <f>_xlfn.IFNA(VLOOKUP(B17,'TỔNG HỢP NHẬP XUẤT TỒN'!$A$6:$J$26,10,0),0)</f>
        <v>298513.47499999998</v>
      </c>
      <c r="F17" s="69">
        <f t="shared" si="3"/>
        <v>298513.47499999998</v>
      </c>
      <c r="G17" s="38">
        <f>_xlfn.IFNA(VLOOKUP(B17,'TỔNG HỢP NHẬP XUẤT TỒN'!$A$6:$J$26,10,0)*1.5,0)</f>
        <v>447770.21249999997</v>
      </c>
      <c r="H17" s="38">
        <v>500000</v>
      </c>
      <c r="I17" s="38">
        <f t="shared" si="4"/>
        <v>500000</v>
      </c>
      <c r="J17" s="28" t="s">
        <v>69</v>
      </c>
      <c r="K17" s="7" t="s">
        <v>137</v>
      </c>
    </row>
    <row r="18" spans="1:11" ht="30" customHeight="1" x14ac:dyDescent="0.25">
      <c r="A18" s="27">
        <v>44965</v>
      </c>
      <c r="B18" s="7" t="s">
        <v>40</v>
      </c>
      <c r="C18" s="28" t="str">
        <f>_xlfn.IFNA(VLOOKUP(B18,'Danh mục hàng hóa'!$C$7:$D$31,2,0),0)</f>
        <v>Chuột IBM</v>
      </c>
      <c r="D18" s="7">
        <v>1</v>
      </c>
      <c r="E18" s="38">
        <f>_xlfn.IFNA(VLOOKUP(B18,'TỔNG HỢP NHẬP XUẤT TỒN'!$A$6:$J$26,10,0),0)</f>
        <v>170554.2</v>
      </c>
      <c r="F18" s="69">
        <f t="shared" si="3"/>
        <v>170554.2</v>
      </c>
      <c r="G18" s="38">
        <f>_xlfn.IFNA(VLOOKUP(B18,'TỔNG HỢP NHẬP XUẤT TỒN'!$A$6:$J$26,10,0)*1.5,0)</f>
        <v>255831.30000000002</v>
      </c>
      <c r="H18" s="38">
        <v>400000</v>
      </c>
      <c r="I18" s="38">
        <f t="shared" si="4"/>
        <v>400000</v>
      </c>
      <c r="J18" s="28" t="s">
        <v>70</v>
      </c>
      <c r="K18" s="7"/>
    </row>
    <row r="19" spans="1:11" ht="30" customHeight="1" x14ac:dyDescent="0.25">
      <c r="A19" s="27">
        <v>44967</v>
      </c>
      <c r="B19" s="7" t="s">
        <v>47</v>
      </c>
      <c r="C19" s="28" t="str">
        <f>_xlfn.IFNA(VLOOKUP(B19,'Danh mục hàng hóa'!$C$7:$D$31,2,0),0)</f>
        <v>Sạc gen 1 có hộp</v>
      </c>
      <c r="D19" s="7">
        <v>1</v>
      </c>
      <c r="E19" s="38">
        <f>_xlfn.IFNA(VLOOKUP(B19,'TỔNG HỢP NHẬP XUẤT TỒN'!$A$6:$J$26,10,0),0)</f>
        <v>249127</v>
      </c>
      <c r="F19" s="69">
        <f t="shared" si="3"/>
        <v>249127</v>
      </c>
      <c r="G19" s="38">
        <f>_xlfn.IFNA(VLOOKUP(B19,'TỔNG HỢP NHẬP XUẤT TỒN'!$A$6:$J$26,10,0)*1.5,0)</f>
        <v>373690.5</v>
      </c>
      <c r="H19" s="38">
        <v>400000</v>
      </c>
      <c r="I19" s="38">
        <f t="shared" si="4"/>
        <v>400000</v>
      </c>
      <c r="J19" s="28" t="s">
        <v>70</v>
      </c>
      <c r="K19" s="7" t="s">
        <v>139</v>
      </c>
    </row>
    <row r="20" spans="1:11" ht="30" customHeight="1" x14ac:dyDescent="0.25">
      <c r="A20" s="27">
        <v>44967</v>
      </c>
      <c r="B20" s="7" t="s">
        <v>38</v>
      </c>
      <c r="C20" s="28" t="str">
        <f>_xlfn.IFNA(VLOOKUP(B20,'Danh mục hàng hóa'!$C$7:$D$31,2,0),0)</f>
        <v>USB</v>
      </c>
      <c r="D20" s="7">
        <v>1</v>
      </c>
      <c r="E20" s="38">
        <f>_xlfn.IFNA(VLOOKUP(B20,'TỔNG HỢP NHẬP XUẤT TỒN'!$A$6:$J$26,10,0),0)</f>
        <v>112852.5</v>
      </c>
      <c r="F20" s="69">
        <f t="shared" si="3"/>
        <v>112852.5</v>
      </c>
      <c r="G20" s="38">
        <f>_xlfn.IFNA(VLOOKUP(B20,'TỔNG HỢP NHẬP XUẤT TỒN'!$A$6:$J$26,10,0)*1.5,0)</f>
        <v>169278.75</v>
      </c>
      <c r="H20" s="38">
        <v>200000</v>
      </c>
      <c r="I20" s="38">
        <f t="shared" si="4"/>
        <v>200000</v>
      </c>
      <c r="J20" s="28" t="s">
        <v>69</v>
      </c>
      <c r="K20" s="7" t="s">
        <v>139</v>
      </c>
    </row>
    <row r="21" spans="1:11" ht="30" customHeight="1" x14ac:dyDescent="0.25">
      <c r="A21" s="27">
        <v>44967</v>
      </c>
      <c r="B21" s="7" t="s">
        <v>39</v>
      </c>
      <c r="C21" s="28" t="str">
        <f>_xlfn.IFNA(VLOOKUP(B21,'Danh mục hàng hóa'!$C$7:$D$31,2,0),0)</f>
        <v>Chuột M24</v>
      </c>
      <c r="D21" s="7">
        <v>1</v>
      </c>
      <c r="E21" s="38">
        <f>_xlfn.IFNA(VLOOKUP(B21,'TỔNG HỢP NHẬP XUẤT TỒN'!$A$6:$J$26,10,0),0)</f>
        <v>95730.981149070329</v>
      </c>
      <c r="F21" s="69">
        <f t="shared" si="3"/>
        <v>95730.981149070329</v>
      </c>
      <c r="G21" s="38">
        <f>_xlfn.IFNA(VLOOKUP(B21,'TỔNG HỢP NHẬP XUẤT TỒN'!$A$6:$J$26,10,0)*1.5,0)</f>
        <v>143596.4717236055</v>
      </c>
      <c r="H21" s="38">
        <v>130000</v>
      </c>
      <c r="I21" s="38">
        <f t="shared" si="4"/>
        <v>130000</v>
      </c>
      <c r="J21" s="28" t="s">
        <v>69</v>
      </c>
      <c r="K21" s="7" t="s">
        <v>139</v>
      </c>
    </row>
    <row r="22" spans="1:11" ht="30" customHeight="1" x14ac:dyDescent="0.25">
      <c r="A22" s="27">
        <v>44968</v>
      </c>
      <c r="B22" s="7" t="s">
        <v>42</v>
      </c>
      <c r="C22" s="28" t="str">
        <f>_xlfn.IFNA(VLOOKUP(B22,'Danh mục hàng hóa'!$C$7:$D$31,2,0),0)</f>
        <v>Sạc YOGA</v>
      </c>
      <c r="D22" s="7">
        <v>1</v>
      </c>
      <c r="E22" s="38">
        <f>_xlfn.IFNA(VLOOKUP(B22,'TỔNG HỢP NHẬP XUẤT TỒN'!$A$6:$J$26,10,0),0)</f>
        <v>238082.66611622239</v>
      </c>
      <c r="F22" s="69">
        <f t="shared" si="3"/>
        <v>238082.66611622239</v>
      </c>
      <c r="G22" s="38">
        <f>_xlfn.IFNA(VLOOKUP(B22,'TỔNG HỢP NHẬP XUẤT TỒN'!$A$6:$J$26,10,0)*1.5,0)</f>
        <v>357123.99917433358</v>
      </c>
      <c r="H22" s="38">
        <v>470000</v>
      </c>
      <c r="I22" s="38">
        <f t="shared" si="4"/>
        <v>470000</v>
      </c>
      <c r="J22" s="28" t="s">
        <v>69</v>
      </c>
      <c r="K22" s="7" t="s">
        <v>139</v>
      </c>
    </row>
    <row r="23" spans="1:11" ht="30" customHeight="1" x14ac:dyDescent="0.25">
      <c r="A23" s="27">
        <v>44968</v>
      </c>
      <c r="B23" s="7" t="s">
        <v>39</v>
      </c>
      <c r="C23" s="28" t="str">
        <f>_xlfn.IFNA(VLOOKUP(B23,'Danh mục hàng hóa'!$C$7:$D$31,2,0),0)</f>
        <v>Chuột M24</v>
      </c>
      <c r="D23" s="7">
        <v>1</v>
      </c>
      <c r="E23" s="38">
        <f>_xlfn.IFNA(VLOOKUP(B23,'TỔNG HỢP NHẬP XUẤT TỒN'!$A$6:$J$26,10,0),0)</f>
        <v>95730.981149070329</v>
      </c>
      <c r="F23" s="69">
        <f t="shared" si="3"/>
        <v>95730.981149070329</v>
      </c>
      <c r="G23" s="38">
        <f>_xlfn.IFNA(VLOOKUP(B23,'TỔNG HỢP NHẬP XUẤT TỒN'!$A$6:$J$26,10,0)*1.5,0)</f>
        <v>143596.4717236055</v>
      </c>
      <c r="H23" s="38">
        <v>160000</v>
      </c>
      <c r="I23" s="38">
        <f t="shared" si="4"/>
        <v>160000</v>
      </c>
      <c r="J23" s="28" t="s">
        <v>70</v>
      </c>
      <c r="K23" s="7" t="s">
        <v>139</v>
      </c>
    </row>
    <row r="24" spans="1:11" ht="30" customHeight="1" x14ac:dyDescent="0.25">
      <c r="A24" s="27">
        <v>44968</v>
      </c>
      <c r="B24" s="7" t="s">
        <v>50</v>
      </c>
      <c r="C24" s="28" t="str">
        <f>_xlfn.IFNA(VLOOKUP(B24,'Danh mục hàng hóa'!$C$7:$D$31,2,0),0)</f>
        <v>Sạc Thinkplus gen 2 k hộp</v>
      </c>
      <c r="D24" s="7">
        <v>1</v>
      </c>
      <c r="E24" s="38">
        <f>_xlfn.IFNA(VLOOKUP(B24,'TỔNG HỢP NHẬP XUẤT TỒN'!$A$6:$J$26,10,0),0)</f>
        <v>298513.47499999998</v>
      </c>
      <c r="F24" s="69">
        <f t="shared" si="3"/>
        <v>298513.47499999998</v>
      </c>
      <c r="G24" s="38">
        <f>_xlfn.IFNA(VLOOKUP(B24,'TỔNG HỢP NHẬP XUẤT TỒN'!$A$6:$J$26,10,0)*1.5,0)</f>
        <v>447770.21249999997</v>
      </c>
      <c r="H24" s="38">
        <v>500000</v>
      </c>
      <c r="I24" s="38">
        <f t="shared" si="4"/>
        <v>500000</v>
      </c>
      <c r="J24" s="28" t="s">
        <v>70</v>
      </c>
      <c r="K24" s="7" t="s">
        <v>139</v>
      </c>
    </row>
    <row r="25" spans="1:11" ht="30" customHeight="1" x14ac:dyDescent="0.25">
      <c r="A25" s="27">
        <v>44968</v>
      </c>
      <c r="B25" s="7" t="s">
        <v>40</v>
      </c>
      <c r="C25" s="28" t="str">
        <f>_xlfn.IFNA(VLOOKUP(B25,'Danh mục hàng hóa'!$C$7:$D$31,2,0),0)</f>
        <v>Chuột IBM</v>
      </c>
      <c r="D25" s="7">
        <v>1</v>
      </c>
      <c r="E25" s="38">
        <f>_xlfn.IFNA(VLOOKUP(B25,'TỔNG HỢP NHẬP XUẤT TỒN'!$A$6:$J$26,10,0),0)</f>
        <v>170554.2</v>
      </c>
      <c r="F25" s="69">
        <f t="shared" si="3"/>
        <v>170554.2</v>
      </c>
      <c r="G25" s="38">
        <f>_xlfn.IFNA(VLOOKUP(B25,'TỔNG HỢP NHẬP XUẤT TỒN'!$A$6:$J$26,10,0)*1.5,0)</f>
        <v>255831.30000000002</v>
      </c>
      <c r="H25" s="38">
        <v>370000</v>
      </c>
      <c r="I25" s="38">
        <f t="shared" si="4"/>
        <v>370000</v>
      </c>
      <c r="J25" s="28" t="s">
        <v>104</v>
      </c>
      <c r="K25" s="7" t="s">
        <v>139</v>
      </c>
    </row>
    <row r="26" spans="1:11" ht="30" customHeight="1" x14ac:dyDescent="0.25">
      <c r="A26" s="27">
        <v>44971</v>
      </c>
      <c r="B26" s="7" t="s">
        <v>39</v>
      </c>
      <c r="C26" s="28" t="str">
        <f>_xlfn.IFNA(VLOOKUP(B26,'Danh mục hàng hóa'!$C$7:$D$31,2,0),0)</f>
        <v>Chuột M24</v>
      </c>
      <c r="D26" s="7">
        <v>1</v>
      </c>
      <c r="E26" s="38">
        <f>_xlfn.IFNA(VLOOKUP(B26,'TỔNG HỢP NHẬP XUẤT TỒN'!$A$6:$J$26,10,0),0)</f>
        <v>95730.981149070329</v>
      </c>
      <c r="F26" s="69">
        <f t="shared" si="3"/>
        <v>95730.981149070329</v>
      </c>
      <c r="G26" s="38">
        <f>_xlfn.IFNA(VLOOKUP(B26,'TỔNG HỢP NHẬP XUẤT TỒN'!$A$6:$J$26,10,0)*1.5,0)</f>
        <v>143596.4717236055</v>
      </c>
      <c r="H26" s="38">
        <v>160000</v>
      </c>
      <c r="I26" s="38">
        <f t="shared" si="4"/>
        <v>160000</v>
      </c>
      <c r="J26" s="28" t="s">
        <v>69</v>
      </c>
      <c r="K26" s="7" t="s">
        <v>139</v>
      </c>
    </row>
    <row r="27" spans="1:11" ht="30" customHeight="1" x14ac:dyDescent="0.25">
      <c r="A27" s="27">
        <v>44969</v>
      </c>
      <c r="B27" s="7" t="s">
        <v>47</v>
      </c>
      <c r="C27" s="28" t="str">
        <f>_xlfn.IFNA(VLOOKUP(B27,'Danh mục hàng hóa'!$C$7:$D$31,2,0),0)</f>
        <v>Sạc gen 1 có hộp</v>
      </c>
      <c r="D27" s="7">
        <v>1</v>
      </c>
      <c r="E27" s="38">
        <f>_xlfn.IFNA(VLOOKUP(B27,'TỔNG HỢP NHẬP XUẤT TỒN'!$A$6:$J$26,10,0),0)</f>
        <v>249127</v>
      </c>
      <c r="F27" s="69">
        <f t="shared" si="3"/>
        <v>249127</v>
      </c>
      <c r="G27" s="38">
        <f>_xlfn.IFNA(VLOOKUP(B27,'TỔNG HỢP NHẬP XUẤT TỒN'!$A$6:$J$26,10,0)*1.5,0)</f>
        <v>373690.5</v>
      </c>
      <c r="H27" s="38">
        <v>400000</v>
      </c>
      <c r="I27" s="38">
        <f t="shared" si="4"/>
        <v>400000</v>
      </c>
      <c r="J27" s="28" t="s">
        <v>70</v>
      </c>
      <c r="K27" s="7" t="s">
        <v>139</v>
      </c>
    </row>
    <row r="28" spans="1:11" ht="30" customHeight="1" x14ac:dyDescent="0.25">
      <c r="A28" s="27">
        <v>44969</v>
      </c>
      <c r="B28" s="7" t="s">
        <v>150</v>
      </c>
      <c r="C28" s="28" t="str">
        <f>_xlfn.IFNA(VLOOKUP(B28,'Danh mục hàng hóa'!$C$7:$D$31,2,0),0)</f>
        <v>Sạc Thinkplus gen 2 đen new</v>
      </c>
      <c r="D28" s="7">
        <v>1</v>
      </c>
      <c r="E28" s="38">
        <f>_xlfn.IFNA(VLOOKUP(B28,'TỔNG HỢP NHẬP XUẤT TỒN'!$A$6:$J$26,10,0),0)</f>
        <v>469205.61217268225</v>
      </c>
      <c r="F28" s="69">
        <f t="shared" si="3"/>
        <v>469205.61217268225</v>
      </c>
      <c r="G28" s="38">
        <f>_xlfn.IFNA(VLOOKUP(B28,'TỔNG HỢP NHẬP XUẤT TỒN'!$A$6:$J$26,10,0)*1.5,0)</f>
        <v>703808.41825902334</v>
      </c>
      <c r="H28" s="38">
        <v>850000</v>
      </c>
      <c r="I28" s="38">
        <f t="shared" si="4"/>
        <v>850000</v>
      </c>
      <c r="J28" s="28" t="s">
        <v>70</v>
      </c>
      <c r="K28" s="7" t="s">
        <v>137</v>
      </c>
    </row>
    <row r="29" spans="1:11" ht="30" customHeight="1" x14ac:dyDescent="0.25">
      <c r="A29" s="27">
        <v>44969</v>
      </c>
      <c r="B29" s="7" t="s">
        <v>39</v>
      </c>
      <c r="C29" s="28" t="str">
        <f>_xlfn.IFNA(VLOOKUP(B29,'Danh mục hàng hóa'!$C$7:$D$31,2,0),0)</f>
        <v>Chuột M24</v>
      </c>
      <c r="D29" s="7">
        <v>2</v>
      </c>
      <c r="E29" s="38">
        <f>_xlfn.IFNA(VLOOKUP(B29,'TỔNG HỢP NHẬP XUẤT TỒN'!$A$6:$J$26,10,0),0)</f>
        <v>95730.981149070329</v>
      </c>
      <c r="F29" s="69">
        <f t="shared" si="3"/>
        <v>191461.96229814066</v>
      </c>
      <c r="G29" s="38">
        <f>_xlfn.IFNA(VLOOKUP(B29,'TỔNG HỢP NHẬP XUẤT TỒN'!$A$6:$J$26,10,0)*1.5,0)</f>
        <v>143596.4717236055</v>
      </c>
      <c r="H29" s="38">
        <v>320000</v>
      </c>
      <c r="I29" s="38">
        <f t="shared" si="4"/>
        <v>640000</v>
      </c>
      <c r="J29" s="28" t="s">
        <v>70</v>
      </c>
      <c r="K29" s="7" t="s">
        <v>139</v>
      </c>
    </row>
    <row r="30" spans="1:11" ht="30" customHeight="1" x14ac:dyDescent="0.25">
      <c r="A30" s="27">
        <v>44969</v>
      </c>
      <c r="B30" s="7" t="s">
        <v>41</v>
      </c>
      <c r="C30" s="28" t="str">
        <f>_xlfn.IFNA(VLOOKUP(B30,'Danh mục hàng hóa'!$C$7:$D$31,2,0),0)</f>
        <v>Chuột lenovo bluetooth M1</v>
      </c>
      <c r="D30" s="7">
        <v>1</v>
      </c>
      <c r="E30" s="38">
        <f>_xlfn.IFNA(VLOOKUP(B30,'TỔNG HỢP NHẬP XUẤT TỒN'!$A$6:$J$26,10,0),0)</f>
        <v>133979.06851346343</v>
      </c>
      <c r="F30" s="69">
        <f t="shared" si="3"/>
        <v>133979.06851346343</v>
      </c>
      <c r="G30" s="38">
        <f>_xlfn.IFNA(VLOOKUP(B30,'TỔNG HỢP NHẬP XUẤT TỒN'!$A$6:$J$26,10,0)*1.5,0)</f>
        <v>200968.60277019514</v>
      </c>
      <c r="H30" s="38">
        <v>250000</v>
      </c>
      <c r="I30" s="38">
        <f t="shared" si="4"/>
        <v>250000</v>
      </c>
      <c r="J30" s="28" t="s">
        <v>70</v>
      </c>
      <c r="K30" s="7" t="s">
        <v>139</v>
      </c>
    </row>
    <row r="31" spans="1:11" ht="30" customHeight="1" x14ac:dyDescent="0.25">
      <c r="A31" s="27">
        <v>45262</v>
      </c>
      <c r="B31" s="7" t="s">
        <v>44</v>
      </c>
      <c r="C31" s="28" t="str">
        <f>_xlfn.IFNA(VLOOKUP(B31,'Danh mục hàng hóa'!$C$7:$D$31,2,0),0)</f>
        <v>USB C 3in1</v>
      </c>
      <c r="D31" s="7">
        <v>1</v>
      </c>
      <c r="E31" s="38">
        <f>_xlfn.IFNA(VLOOKUP(B31,'TỔNG HỢP NHẬP XUẤT TỒN'!$A$6:$J$26,10,0),0)</f>
        <v>92692.5</v>
      </c>
      <c r="F31" s="69">
        <f t="shared" si="3"/>
        <v>92692.5</v>
      </c>
      <c r="G31" s="38">
        <f>_xlfn.IFNA(VLOOKUP(B31,'TỔNG HỢP NHẬP XUẤT TỒN'!$A$6:$J$26,10,0)*1.5,0)</f>
        <v>139038.75</v>
      </c>
      <c r="H31" s="38">
        <v>250000</v>
      </c>
      <c r="I31" s="38">
        <f t="shared" si="4"/>
        <v>250000</v>
      </c>
      <c r="J31" s="28" t="s">
        <v>70</v>
      </c>
      <c r="K31" s="7" t="s">
        <v>137</v>
      </c>
    </row>
    <row r="32" spans="1:11" ht="30" customHeight="1" x14ac:dyDescent="0.25">
      <c r="A32" s="28" t="s">
        <v>156</v>
      </c>
      <c r="B32" s="7" t="s">
        <v>39</v>
      </c>
      <c r="C32" s="28" t="str">
        <f>_xlfn.IFNA(VLOOKUP(B32,'Danh mục hàng hóa'!$C$7:$D$31,2,0),0)</f>
        <v>Chuột M24</v>
      </c>
      <c r="D32" s="7">
        <v>10</v>
      </c>
      <c r="E32" s="38">
        <f>_xlfn.IFNA(VLOOKUP(B32,'TỔNG HỢP NHẬP XUẤT TỒN'!$A$6:$J$26,10,0),0)</f>
        <v>95730.981149070329</v>
      </c>
      <c r="F32" s="69">
        <f t="shared" si="3"/>
        <v>957309.81149070326</v>
      </c>
      <c r="G32" s="38">
        <f>_xlfn.IFNA(VLOOKUP(B32,'TỔNG HỢP NHẬP XUẤT TỒN'!$A$6:$J$26,10,0)*1.5,0)</f>
        <v>143596.4717236055</v>
      </c>
      <c r="H32" s="38">
        <v>130000</v>
      </c>
      <c r="I32" s="38">
        <f t="shared" si="4"/>
        <v>1300000</v>
      </c>
      <c r="J32" s="28" t="s">
        <v>69</v>
      </c>
      <c r="K32" s="7" t="s">
        <v>139</v>
      </c>
    </row>
    <row r="33" spans="1:11" ht="30" customHeight="1" x14ac:dyDescent="0.25">
      <c r="A33" s="28" t="s">
        <v>156</v>
      </c>
      <c r="B33" s="7" t="s">
        <v>39</v>
      </c>
      <c r="C33" s="28" t="str">
        <f>_xlfn.IFNA(VLOOKUP(B33,'Danh mục hàng hóa'!$C$7:$D$31,2,0),0)</f>
        <v>Chuột M24</v>
      </c>
      <c r="D33" s="7">
        <v>2</v>
      </c>
      <c r="E33" s="38">
        <f>_xlfn.IFNA(VLOOKUP(B33,'TỔNG HỢP NHẬP XUẤT TỒN'!$A$6:$J$26,10,0),0)</f>
        <v>95730.981149070329</v>
      </c>
      <c r="F33" s="69">
        <f t="shared" si="3"/>
        <v>191461.96229814066</v>
      </c>
      <c r="G33" s="38">
        <f>_xlfn.IFNA(VLOOKUP(B33,'TỔNG HỢP NHẬP XUẤT TỒN'!$A$6:$J$26,10,0)*1.5,0)</f>
        <v>143596.4717236055</v>
      </c>
      <c r="H33" s="38">
        <v>160000</v>
      </c>
      <c r="I33" s="38">
        <f t="shared" si="4"/>
        <v>320000</v>
      </c>
      <c r="J33" s="28" t="s">
        <v>70</v>
      </c>
      <c r="K33" s="7"/>
    </row>
    <row r="34" spans="1:11" ht="30" customHeight="1" x14ac:dyDescent="0.25">
      <c r="A34" s="28" t="s">
        <v>158</v>
      </c>
      <c r="B34" s="7" t="s">
        <v>159</v>
      </c>
      <c r="C34" s="28" t="str">
        <f>_xlfn.IFNA(VLOOKUP(B34,'Danh mục hàng hóa'!$C$7:$D$31,2,0),0)</f>
        <v>Chuột lenovo bluetooth M1</v>
      </c>
      <c r="D34" s="7">
        <v>3</v>
      </c>
      <c r="E34" s="38">
        <f>_xlfn.IFNA(VLOOKUP(B34,'TỔNG HỢP NHẬP XUẤT TỒN'!$A$6:$J$26,10,0),0)</f>
        <v>133979.06851346343</v>
      </c>
      <c r="F34" s="69">
        <f t="shared" si="3"/>
        <v>401937.20554039028</v>
      </c>
      <c r="G34" s="38">
        <f>_xlfn.IFNA(VLOOKUP(B34,'TỔNG HỢP NHẬP XUẤT TỒN'!$A$6:$J$26,10,0)*1.5,0)</f>
        <v>200968.60277019514</v>
      </c>
      <c r="H34" s="38">
        <v>250000</v>
      </c>
      <c r="I34" s="38">
        <f t="shared" si="4"/>
        <v>750000</v>
      </c>
      <c r="J34" s="28" t="s">
        <v>70</v>
      </c>
      <c r="K34" s="7" t="s">
        <v>139</v>
      </c>
    </row>
    <row r="35" spans="1:11" ht="30" customHeight="1" x14ac:dyDescent="0.25">
      <c r="A35" s="28" t="s">
        <v>160</v>
      </c>
      <c r="B35" s="7" t="s">
        <v>159</v>
      </c>
      <c r="C35" s="28" t="str">
        <f>_xlfn.IFNA(VLOOKUP(B35,'Danh mục hàng hóa'!$C$7:$D$31,2,0),0)</f>
        <v>Chuột lenovo bluetooth M1</v>
      </c>
      <c r="D35" s="7">
        <v>1</v>
      </c>
      <c r="E35" s="38">
        <f>_xlfn.IFNA(VLOOKUP(B35,'TỔNG HỢP NHẬP XUẤT TỒN'!$A$6:$J$26,10,0),0)</f>
        <v>133979.06851346343</v>
      </c>
      <c r="F35" s="69">
        <f t="shared" si="3"/>
        <v>133979.06851346343</v>
      </c>
      <c r="G35" s="38">
        <f>_xlfn.IFNA(VLOOKUP(B35,'TỔNG HỢP NHẬP XUẤT TỒN'!$A$6:$J$26,10,0)*1.5,0)</f>
        <v>200968.60277019514</v>
      </c>
      <c r="H35" s="38">
        <v>250000</v>
      </c>
      <c r="I35" s="38">
        <f t="shared" si="4"/>
        <v>250000</v>
      </c>
      <c r="J35" s="28" t="s">
        <v>70</v>
      </c>
      <c r="K35" s="7" t="s">
        <v>139</v>
      </c>
    </row>
    <row r="36" spans="1:11" ht="30" customHeight="1" x14ac:dyDescent="0.25">
      <c r="A36" s="28" t="s">
        <v>160</v>
      </c>
      <c r="B36" s="7" t="s">
        <v>50</v>
      </c>
      <c r="C36" s="28" t="str">
        <f>_xlfn.IFNA(VLOOKUP(B36,'Danh mục hàng hóa'!$C$7:$D$31,2,0),0)</f>
        <v>Sạc Thinkplus gen 2 k hộp</v>
      </c>
      <c r="D36" s="7">
        <v>1</v>
      </c>
      <c r="E36" s="38">
        <f>_xlfn.IFNA(VLOOKUP(B36,'TỔNG HỢP NHẬP XUẤT TỒN'!$A$6:$J$26,10,0),0)</f>
        <v>298513.47499999998</v>
      </c>
      <c r="F36" s="69">
        <f t="shared" si="3"/>
        <v>298513.47499999998</v>
      </c>
      <c r="G36" s="38">
        <f>_xlfn.IFNA(VLOOKUP(B36,'TỔNG HỢP NHẬP XUẤT TỒN'!$A$6:$J$26,10,0)*1.5,0)</f>
        <v>447770.21249999997</v>
      </c>
      <c r="H36" s="38">
        <v>500000</v>
      </c>
      <c r="I36" s="38">
        <f t="shared" si="4"/>
        <v>500000</v>
      </c>
      <c r="J36" s="28" t="s">
        <v>69</v>
      </c>
      <c r="K36" s="7" t="s">
        <v>137</v>
      </c>
    </row>
    <row r="37" spans="1:11" ht="30" customHeight="1" x14ac:dyDescent="0.25">
      <c r="A37" s="28" t="s">
        <v>161</v>
      </c>
      <c r="B37" s="7" t="s">
        <v>42</v>
      </c>
      <c r="C37" s="28" t="str">
        <f>_xlfn.IFNA(VLOOKUP(B37,'Danh mục hàng hóa'!$C$7:$D$31,2,0),0)</f>
        <v>Sạc YOGA</v>
      </c>
      <c r="D37" s="7">
        <v>1</v>
      </c>
      <c r="E37" s="38">
        <f>_xlfn.IFNA(VLOOKUP(B37,'TỔNG HỢP NHẬP XUẤT TỒN'!$A$6:$J$26,10,0),0)</f>
        <v>238082.66611622239</v>
      </c>
      <c r="F37" s="69">
        <f t="shared" si="3"/>
        <v>238082.66611622239</v>
      </c>
      <c r="G37" s="38">
        <f>_xlfn.IFNA(VLOOKUP(B37,'TỔNG HỢP NHẬP XUẤT TỒN'!$A$6:$J$26,10,0)*1.5,0)</f>
        <v>357123.99917433358</v>
      </c>
      <c r="H37" s="38">
        <v>500000</v>
      </c>
      <c r="I37" s="38">
        <f t="shared" si="4"/>
        <v>500000</v>
      </c>
      <c r="J37" s="28" t="s">
        <v>69</v>
      </c>
      <c r="K37" s="7" t="s">
        <v>137</v>
      </c>
    </row>
    <row r="38" spans="1:11" ht="30" customHeight="1" x14ac:dyDescent="0.25">
      <c r="A38" s="28" t="s">
        <v>162</v>
      </c>
      <c r="B38" s="7" t="s">
        <v>151</v>
      </c>
      <c r="C38" s="28" t="str">
        <f>_xlfn.IFNA(VLOOKUP(B38,'Danh mục hàng hóa'!$C$7:$D$31,2,0),0)</f>
        <v>Sạc Thinkplus gen 2 Pro đen new</v>
      </c>
      <c r="D38" s="7">
        <v>1</v>
      </c>
      <c r="E38" s="38">
        <f>_xlfn.IFNA(VLOOKUP(B38,'TỔNG HỢP NHẬP XUẤT TỒN'!$A$6:$J$26,10,0),0)</f>
        <v>473063</v>
      </c>
      <c r="F38" s="69">
        <f t="shared" si="3"/>
        <v>473063</v>
      </c>
      <c r="G38" s="38">
        <f>_xlfn.IFNA(VLOOKUP(B38,'TỔNG HỢP NHẬP XUẤT TỒN'!$A$6:$J$26,10,0)*1.5,0)</f>
        <v>709594.5</v>
      </c>
      <c r="H38" s="38">
        <v>950000</v>
      </c>
      <c r="I38" s="38">
        <f t="shared" si="4"/>
        <v>950000</v>
      </c>
      <c r="J38" s="28" t="s">
        <v>69</v>
      </c>
      <c r="K38" s="7" t="s">
        <v>137</v>
      </c>
    </row>
    <row r="39" spans="1:11" ht="30" customHeight="1" x14ac:dyDescent="0.25">
      <c r="A39" s="28" t="s">
        <v>163</v>
      </c>
      <c r="B39" s="7" t="s">
        <v>41</v>
      </c>
      <c r="C39" s="28" t="str">
        <f>_xlfn.IFNA(VLOOKUP(B39,'Danh mục hàng hóa'!$C$7:$D$31,2,0),0)</f>
        <v>Chuột lenovo bluetooth M1</v>
      </c>
      <c r="D39" s="7">
        <v>1</v>
      </c>
      <c r="E39" s="38">
        <f>_xlfn.IFNA(VLOOKUP(B39,'TỔNG HỢP NHẬP XUẤT TỒN'!$A$6:$J$26,10,0),0)</f>
        <v>133979.06851346343</v>
      </c>
      <c r="F39" s="69">
        <f t="shared" si="3"/>
        <v>133979.06851346343</v>
      </c>
      <c r="G39" s="38">
        <f>_xlfn.IFNA(VLOOKUP(B39,'TỔNG HỢP NHẬP XUẤT TỒN'!$A$6:$J$26,10,0)*1.5,0)</f>
        <v>200968.60277019514</v>
      </c>
      <c r="H39" s="38">
        <v>250000</v>
      </c>
      <c r="I39" s="38">
        <f t="shared" si="4"/>
        <v>250000</v>
      </c>
      <c r="J39" s="28" t="s">
        <v>70</v>
      </c>
      <c r="K39" s="7" t="s">
        <v>137</v>
      </c>
    </row>
    <row r="40" spans="1:11" ht="30" customHeight="1" x14ac:dyDescent="0.25">
      <c r="A40" s="28" t="s">
        <v>164</v>
      </c>
      <c r="B40" s="7" t="s">
        <v>48</v>
      </c>
      <c r="C40" s="28" t="str">
        <f>_xlfn.IFNA(VLOOKUP(B40,'Danh mục hàng hóa'!$C$7:$D$31,2,0),0)</f>
        <v>Loa K3 Pro</v>
      </c>
      <c r="D40" s="7">
        <v>1</v>
      </c>
      <c r="E40" s="38">
        <f>_xlfn.IFNA(VLOOKUP(B40,'TỔNG HỢP NHẬP XUẤT TỒN'!$A$6:$J$26,10,0),0)</f>
        <v>115718.36666666667</v>
      </c>
      <c r="F40" s="69">
        <f t="shared" si="3"/>
        <v>115718.36666666667</v>
      </c>
      <c r="G40" s="38">
        <f>_xlfn.IFNA(VLOOKUP(B40,'TỔNG HỢP NHẬP XUẤT TỒN'!$A$6:$J$26,10,0)*1.5,0)</f>
        <v>173577.55</v>
      </c>
      <c r="H40" s="38">
        <v>179000</v>
      </c>
      <c r="I40" s="38">
        <f t="shared" si="4"/>
        <v>179000</v>
      </c>
      <c r="J40" s="28" t="s">
        <v>69</v>
      </c>
      <c r="K40" s="7" t="s">
        <v>137</v>
      </c>
    </row>
    <row r="41" spans="1:11" ht="30" customHeight="1" x14ac:dyDescent="0.25">
      <c r="A41" s="28" t="s">
        <v>166</v>
      </c>
      <c r="B41" s="7" t="s">
        <v>165</v>
      </c>
      <c r="C41" s="28" t="str">
        <f>_xlfn.IFNA(VLOOKUP(B41,'Danh mục hàng hóa'!$C$7:$D$31,2,0),0)</f>
        <v>Loa K3 Pro</v>
      </c>
      <c r="D41" s="7">
        <v>1</v>
      </c>
      <c r="E41" s="38">
        <f>_xlfn.IFNA(VLOOKUP(B41,'TỔNG HỢP NHẬP XUẤT TỒN'!$A$6:$J$26,10,0),0)</f>
        <v>115718.36666666667</v>
      </c>
      <c r="F41" s="69">
        <f t="shared" si="3"/>
        <v>115718.36666666667</v>
      </c>
      <c r="G41" s="38">
        <f>_xlfn.IFNA(VLOOKUP(B41,'TỔNG HỢP NHẬP XUẤT TỒN'!$A$6:$J$26,10,0)*1.5,0)</f>
        <v>173577.55</v>
      </c>
      <c r="H41" s="38">
        <v>170000</v>
      </c>
      <c r="I41" s="38">
        <f t="shared" si="4"/>
        <v>170000</v>
      </c>
      <c r="J41" s="28" t="s">
        <v>69</v>
      </c>
      <c r="K41" s="7" t="s">
        <v>139</v>
      </c>
    </row>
    <row r="42" spans="1:11" ht="30" customHeight="1" x14ac:dyDescent="0.25">
      <c r="A42" s="28" t="s">
        <v>166</v>
      </c>
      <c r="B42" s="7" t="s">
        <v>47</v>
      </c>
      <c r="C42" s="28" t="str">
        <f>_xlfn.IFNA(VLOOKUP(B42,'Danh mục hàng hóa'!$C$7:$D$31,2,0),0)</f>
        <v>Sạc gen 1 có hộp</v>
      </c>
      <c r="D42" s="7">
        <v>1</v>
      </c>
      <c r="E42" s="38">
        <f>_xlfn.IFNA(VLOOKUP(B42,'TỔNG HỢP NHẬP XUẤT TỒN'!$A$6:$J$26,10,0),0)</f>
        <v>249127</v>
      </c>
      <c r="F42" s="69">
        <f t="shared" si="3"/>
        <v>249127</v>
      </c>
      <c r="G42" s="38">
        <f>_xlfn.IFNA(VLOOKUP(B42,'TỔNG HỢP NHẬP XUẤT TỒN'!$A$6:$J$26,10,0)*1.5,0)</f>
        <v>373690.5</v>
      </c>
      <c r="H42" s="38">
        <v>400000</v>
      </c>
      <c r="I42" s="38">
        <f t="shared" si="4"/>
        <v>400000</v>
      </c>
      <c r="J42" s="28" t="s">
        <v>70</v>
      </c>
      <c r="K42" s="7" t="s">
        <v>167</v>
      </c>
    </row>
    <row r="43" spans="1:11" ht="30" customHeight="1" x14ac:dyDescent="0.25">
      <c r="A43" s="28" t="s">
        <v>168</v>
      </c>
      <c r="B43" s="7" t="s">
        <v>48</v>
      </c>
      <c r="C43" s="28" t="str">
        <f>_xlfn.IFNA(VLOOKUP(B43,'Danh mục hàng hóa'!$C$7:$D$31,2,0),0)</f>
        <v>Loa K3 Pro</v>
      </c>
      <c r="D43" s="7">
        <v>1</v>
      </c>
      <c r="E43" s="38">
        <f>_xlfn.IFNA(VLOOKUP(B43,'TỔNG HỢP NHẬP XUẤT TỒN'!$A$6:$J$26,10,0),0)</f>
        <v>115718.36666666667</v>
      </c>
      <c r="F43" s="69">
        <f t="shared" si="3"/>
        <v>115718.36666666667</v>
      </c>
      <c r="G43" s="38">
        <f>_xlfn.IFNA(VLOOKUP(B43,'TỔNG HỢP NHẬP XUẤT TỒN'!$A$6:$J$26,10,0)*1.5,0)</f>
        <v>173577.55</v>
      </c>
      <c r="H43" s="38">
        <v>179000</v>
      </c>
      <c r="I43" s="38">
        <f t="shared" si="4"/>
        <v>179000</v>
      </c>
      <c r="J43" s="28" t="s">
        <v>69</v>
      </c>
      <c r="K43" s="7" t="s">
        <v>139</v>
      </c>
    </row>
    <row r="44" spans="1:11" ht="30" customHeight="1" x14ac:dyDescent="0.25">
      <c r="A44" s="28" t="s">
        <v>169</v>
      </c>
      <c r="B44" s="7" t="s">
        <v>165</v>
      </c>
      <c r="C44" s="28" t="str">
        <f>_xlfn.IFNA(VLOOKUP(B44,'Danh mục hàng hóa'!$C$7:$D$31,2,0),0)</f>
        <v>Loa K3 Pro</v>
      </c>
      <c r="D44" s="7">
        <v>2</v>
      </c>
      <c r="E44" s="38">
        <f>_xlfn.IFNA(VLOOKUP(B44,'TỔNG HỢP NHẬP XUẤT TỒN'!$A$6:$J$26,10,0),0)</f>
        <v>115718.36666666667</v>
      </c>
      <c r="F44" s="69">
        <f t="shared" si="3"/>
        <v>231436.73333333334</v>
      </c>
      <c r="G44" s="38">
        <f>_xlfn.IFNA(VLOOKUP(B44,'TỔNG HỢP NHẬP XUẤT TỒN'!$A$6:$J$26,10,0)*1.5,0)</f>
        <v>173577.55</v>
      </c>
      <c r="H44" s="38">
        <v>175000</v>
      </c>
      <c r="I44" s="38">
        <f t="shared" si="4"/>
        <v>350000</v>
      </c>
      <c r="J44" s="28" t="s">
        <v>104</v>
      </c>
      <c r="K44" s="7" t="s">
        <v>139</v>
      </c>
    </row>
    <row r="45" spans="1:11" ht="30" customHeight="1" x14ac:dyDescent="0.25">
      <c r="A45" s="28" t="s">
        <v>170</v>
      </c>
      <c r="B45" s="7" t="s">
        <v>41</v>
      </c>
      <c r="C45" s="28" t="str">
        <f>_xlfn.IFNA(VLOOKUP(B45,'Danh mục hàng hóa'!$C$7:$D$31,2,0),0)</f>
        <v>Chuột lenovo bluetooth M1</v>
      </c>
      <c r="D45" s="7">
        <v>1</v>
      </c>
      <c r="E45" s="38">
        <f>_xlfn.IFNA(VLOOKUP(B45,'TỔNG HỢP NHẬP XUẤT TỒN'!$A$6:$J$26,10,0),0)</f>
        <v>133979.06851346343</v>
      </c>
      <c r="F45" s="69">
        <f t="shared" si="3"/>
        <v>133979.06851346343</v>
      </c>
      <c r="G45" s="38">
        <f>_xlfn.IFNA(VLOOKUP(B45,'TỔNG HỢP NHẬP XUẤT TỒN'!$A$6:$J$26,10,0)*1.5,0)</f>
        <v>200968.60277019514</v>
      </c>
      <c r="H45" s="38">
        <v>250000</v>
      </c>
      <c r="I45" s="38">
        <f t="shared" si="4"/>
        <v>250000</v>
      </c>
      <c r="J45" s="28" t="s">
        <v>70</v>
      </c>
      <c r="K45" s="7" t="s">
        <v>139</v>
      </c>
    </row>
    <row r="46" spans="1:11" ht="30" customHeight="1" x14ac:dyDescent="0.25">
      <c r="A46" s="28" t="s">
        <v>170</v>
      </c>
      <c r="B46" s="7" t="s">
        <v>38</v>
      </c>
      <c r="C46" s="28" t="str">
        <f>_xlfn.IFNA(VLOOKUP(B46,'Danh mục hàng hóa'!$C$7:$D$31,2,0),0)</f>
        <v>USB</v>
      </c>
      <c r="D46" s="7">
        <v>1</v>
      </c>
      <c r="E46" s="38">
        <f>_xlfn.IFNA(VLOOKUP(B46,'TỔNG HỢP NHẬP XUẤT TỒN'!$A$6:$J$26,10,0),0)</f>
        <v>112852.5</v>
      </c>
      <c r="F46" s="69">
        <f t="shared" si="3"/>
        <v>112852.5</v>
      </c>
      <c r="G46" s="38">
        <f>_xlfn.IFNA(VLOOKUP(B46,'TỔNG HỢP NHẬP XUẤT TỒN'!$A$6:$J$26,10,0)*1.5,0)</f>
        <v>169278.75</v>
      </c>
      <c r="H46" s="38">
        <v>200000</v>
      </c>
      <c r="I46" s="38">
        <f t="shared" si="4"/>
        <v>200000</v>
      </c>
      <c r="J46" s="28" t="s">
        <v>70</v>
      </c>
      <c r="K46" s="7" t="s">
        <v>137</v>
      </c>
    </row>
    <row r="47" spans="1:11" ht="30" customHeight="1" x14ac:dyDescent="0.25">
      <c r="A47" s="28" t="s">
        <v>170</v>
      </c>
      <c r="B47" s="7" t="s">
        <v>147</v>
      </c>
      <c r="C47" s="28" t="str">
        <f>_xlfn.IFNA(VLOOKUP(B47,'Danh mục hàng hóa'!$C$7:$D$31,2,0),0)</f>
        <v>Balo thinkbook trắng</v>
      </c>
      <c r="D47" s="7">
        <v>1</v>
      </c>
      <c r="E47" s="38">
        <f>_xlfn.IFNA(VLOOKUP(B47,'TỔNG HỢP NHẬP XUẤT TỒN'!$A$6:$J$26,10,0),0)</f>
        <v>218629.74876150035</v>
      </c>
      <c r="F47" s="69">
        <f t="shared" si="3"/>
        <v>218629.74876150035</v>
      </c>
      <c r="G47" s="38">
        <f>_xlfn.IFNA(VLOOKUP(B47,'TỔNG HỢP NHẬP XUẤT TỒN'!$A$6:$J$26,10,0)*1.5,0)</f>
        <v>327944.62314225052</v>
      </c>
      <c r="H47" s="38">
        <v>450000</v>
      </c>
      <c r="I47" s="38">
        <f t="shared" si="4"/>
        <v>450000</v>
      </c>
      <c r="J47" s="28" t="s">
        <v>69</v>
      </c>
      <c r="K47" s="7" t="s">
        <v>137</v>
      </c>
    </row>
    <row r="48" spans="1:11" ht="30" customHeight="1" x14ac:dyDescent="0.25">
      <c r="A48" s="28" t="s">
        <v>170</v>
      </c>
      <c r="B48" s="7" t="s">
        <v>41</v>
      </c>
      <c r="C48" s="28" t="str">
        <f>_xlfn.IFNA(VLOOKUP(B48,'Danh mục hàng hóa'!$C$7:$D$31,2,0),0)</f>
        <v>Chuột lenovo bluetooth M1</v>
      </c>
      <c r="D48" s="7">
        <v>1</v>
      </c>
      <c r="E48" s="38">
        <f>_xlfn.IFNA(VLOOKUP(B48,'TỔNG HỢP NHẬP XUẤT TỒN'!$A$6:$J$26,10,0),0)</f>
        <v>133979.06851346343</v>
      </c>
      <c r="F48" s="69">
        <f t="shared" si="3"/>
        <v>133979.06851346343</v>
      </c>
      <c r="G48" s="38">
        <f>_xlfn.IFNA(VLOOKUP(B48,'TỔNG HỢP NHẬP XUẤT TỒN'!$A$6:$J$26,10,0)*1.5,0)</f>
        <v>200968.60277019514</v>
      </c>
      <c r="H48" s="38">
        <v>250000</v>
      </c>
      <c r="I48" s="38">
        <f t="shared" si="4"/>
        <v>250000</v>
      </c>
      <c r="J48" s="28" t="s">
        <v>70</v>
      </c>
      <c r="K48" s="7" t="s">
        <v>137</v>
      </c>
    </row>
    <row r="49" spans="1:11" ht="30" customHeight="1" x14ac:dyDescent="0.25">
      <c r="A49" s="28" t="s">
        <v>171</v>
      </c>
      <c r="B49" s="7" t="s">
        <v>48</v>
      </c>
      <c r="C49" s="28" t="str">
        <f>_xlfn.IFNA(VLOOKUP(B49,'Danh mục hàng hóa'!$C$7:$D$31,2,0),0)</f>
        <v>Loa K3 Pro</v>
      </c>
      <c r="D49" s="7">
        <v>2</v>
      </c>
      <c r="E49" s="38">
        <f>_xlfn.IFNA(VLOOKUP(B49,'TỔNG HỢP NHẬP XUẤT TỒN'!$A$6:$J$26,10,0),0)</f>
        <v>115718.36666666667</v>
      </c>
      <c r="F49" s="69">
        <f t="shared" si="3"/>
        <v>231436.73333333334</v>
      </c>
      <c r="G49" s="38">
        <f>_xlfn.IFNA(VLOOKUP(B49,'TỔNG HỢP NHẬP XUẤT TỒN'!$A$6:$J$26,10,0)*1.5,0)</f>
        <v>173577.55</v>
      </c>
      <c r="H49" s="38">
        <v>179000</v>
      </c>
      <c r="I49" s="38">
        <f t="shared" si="4"/>
        <v>358000</v>
      </c>
      <c r="J49" s="28" t="s">
        <v>70</v>
      </c>
      <c r="K49" s="7" t="s">
        <v>139</v>
      </c>
    </row>
    <row r="50" spans="1:11" ht="30" customHeight="1" x14ac:dyDescent="0.25">
      <c r="A50" s="28" t="s">
        <v>171</v>
      </c>
      <c r="B50" s="7" t="s">
        <v>48</v>
      </c>
      <c r="C50" s="28" t="str">
        <f>_xlfn.IFNA(VLOOKUP(B50,'Danh mục hàng hóa'!$C$7:$D$31,2,0),0)</f>
        <v>Loa K3 Pro</v>
      </c>
      <c r="D50" s="7">
        <v>1</v>
      </c>
      <c r="E50" s="38">
        <f>_xlfn.IFNA(VLOOKUP(B50,'TỔNG HỢP NHẬP XUẤT TỒN'!$A$6:$J$26,10,0),0)</f>
        <v>115718.36666666667</v>
      </c>
      <c r="F50" s="69">
        <f t="shared" si="3"/>
        <v>115718.36666666667</v>
      </c>
      <c r="G50" s="38">
        <f>_xlfn.IFNA(VLOOKUP(B50,'TỔNG HỢP NHẬP XUẤT TỒN'!$A$6:$J$26,10,0)*1.5,0)</f>
        <v>173577.55</v>
      </c>
      <c r="H50" s="38">
        <v>179000</v>
      </c>
      <c r="I50" s="38">
        <f t="shared" si="4"/>
        <v>179000</v>
      </c>
      <c r="J50" s="28" t="s">
        <v>104</v>
      </c>
      <c r="K50" s="7" t="s">
        <v>139</v>
      </c>
    </row>
    <row r="51" spans="1:11" ht="30" customHeight="1" x14ac:dyDescent="0.25">
      <c r="A51" s="28" t="s">
        <v>172</v>
      </c>
      <c r="B51" s="7" t="s">
        <v>47</v>
      </c>
      <c r="C51" s="28" t="str">
        <f>_xlfn.IFNA(VLOOKUP(B51,'Danh mục hàng hóa'!$C$7:$D$31,2,0),0)</f>
        <v>Sạc gen 1 có hộp</v>
      </c>
      <c r="D51" s="7">
        <v>1</v>
      </c>
      <c r="E51" s="38">
        <f>_xlfn.IFNA(VLOOKUP(B51,'TỔNG HỢP NHẬP XUẤT TỒN'!$A$6:$J$26,10,0),0)</f>
        <v>249127</v>
      </c>
      <c r="F51" s="69">
        <f t="shared" si="3"/>
        <v>249127</v>
      </c>
      <c r="G51" s="38">
        <f>_xlfn.IFNA(VLOOKUP(B51,'TỔNG HỢP NHẬP XUẤT TỒN'!$A$6:$J$26,10,0)*1.5,0)</f>
        <v>373690.5</v>
      </c>
      <c r="H51" s="38">
        <v>400000</v>
      </c>
      <c r="I51" s="38">
        <f t="shared" si="4"/>
        <v>400000</v>
      </c>
      <c r="J51" s="28" t="s">
        <v>69</v>
      </c>
      <c r="K51" s="7" t="s">
        <v>139</v>
      </c>
    </row>
    <row r="52" spans="1:11" ht="30" customHeight="1" x14ac:dyDescent="0.25">
      <c r="A52" s="28" t="s">
        <v>172</v>
      </c>
      <c r="B52" s="7" t="s">
        <v>150</v>
      </c>
      <c r="C52" s="28" t="str">
        <f>_xlfn.IFNA(VLOOKUP(B52,'Danh mục hàng hóa'!$C$7:$D$31,2,0),0)</f>
        <v>Sạc Thinkplus gen 2 đen new</v>
      </c>
      <c r="D52" s="7">
        <v>1</v>
      </c>
      <c r="E52" s="38">
        <f>_xlfn.IFNA(VLOOKUP(B52,'TỔNG HỢP NHẬP XUẤT TỒN'!$A$6:$J$26,10,0),0)</f>
        <v>469205.61217268225</v>
      </c>
      <c r="F52" s="69">
        <f t="shared" si="3"/>
        <v>469205.61217268225</v>
      </c>
      <c r="G52" s="38">
        <f>_xlfn.IFNA(VLOOKUP(B52,'TỔNG HỢP NHẬP XUẤT TỒN'!$A$6:$J$26,10,0)*1.5,0)</f>
        <v>703808.41825902334</v>
      </c>
      <c r="H52" s="38">
        <v>850000</v>
      </c>
      <c r="I52" s="38">
        <f t="shared" si="4"/>
        <v>850000</v>
      </c>
      <c r="J52" s="28" t="s">
        <v>70</v>
      </c>
      <c r="K52" s="7" t="s">
        <v>137</v>
      </c>
    </row>
    <row r="53" spans="1:11" ht="30" customHeight="1" x14ac:dyDescent="0.25">
      <c r="A53" s="28" t="s">
        <v>174</v>
      </c>
      <c r="B53" s="7" t="s">
        <v>54</v>
      </c>
      <c r="C53" s="28" t="str">
        <f>_xlfn.IFNA(VLOOKUP(B53,'Danh mục hàng hóa'!$C$7:$D$31,2,0),0)</f>
        <v>Sạc Dell</v>
      </c>
      <c r="D53" s="7">
        <v>1</v>
      </c>
      <c r="E53" s="38">
        <f>_xlfn.IFNA(VLOOKUP(B53,'TỔNG HỢP NHẬP XUẤT TỒN'!$A$6:$J$26,10,0),0)</f>
        <v>148750</v>
      </c>
      <c r="F53" s="69">
        <f t="shared" si="3"/>
        <v>148750</v>
      </c>
      <c r="G53" s="38">
        <f>_xlfn.IFNA(VLOOKUP(B53,'TỔNG HỢP NHẬP XUẤT TỒN'!$A$6:$J$26,10,0)*1.5,0)</f>
        <v>223125</v>
      </c>
      <c r="H53" s="38">
        <v>500000</v>
      </c>
      <c r="I53" s="38">
        <f t="shared" si="4"/>
        <v>500000</v>
      </c>
      <c r="J53" s="28" t="s">
        <v>69</v>
      </c>
      <c r="K53" s="7" t="s">
        <v>139</v>
      </c>
    </row>
    <row r="54" spans="1:11" ht="30" customHeight="1" x14ac:dyDescent="0.25">
      <c r="A54" s="28"/>
      <c r="B54" s="7"/>
      <c r="C54" s="28">
        <f>_xlfn.IFNA(VLOOKUP(B54,'Danh mục hàng hóa'!$C$7:$D$31,2,0),0)</f>
        <v>0</v>
      </c>
      <c r="D54" s="7"/>
      <c r="E54" s="38">
        <f>_xlfn.IFNA(VLOOKUP(B54,'TỔNG HỢP NHẬP XUẤT TỒN'!$A$6:$J$26,10,0),0)</f>
        <v>0</v>
      </c>
      <c r="F54" s="69">
        <f t="shared" si="3"/>
        <v>0</v>
      </c>
      <c r="G54" s="38">
        <f>_xlfn.IFNA(VLOOKUP(B54,'TỔNG HỢP NHẬP XUẤT TỒN'!$A$6:$J$26,10,0)*1.5,0)</f>
        <v>0</v>
      </c>
      <c r="H54" s="38"/>
      <c r="I54" s="38">
        <f t="shared" si="4"/>
        <v>0</v>
      </c>
      <c r="J54" s="28"/>
      <c r="K54" s="7"/>
    </row>
    <row r="55" spans="1:11" ht="30" customHeight="1" x14ac:dyDescent="0.25">
      <c r="A55" s="28"/>
      <c r="B55" s="7"/>
      <c r="C55" s="28">
        <f>_xlfn.IFNA(VLOOKUP(B55,'Danh mục hàng hóa'!$C$7:$D$31,2,0),0)</f>
        <v>0</v>
      </c>
      <c r="D55" s="7"/>
      <c r="E55" s="38">
        <f>_xlfn.IFNA(VLOOKUP(B55,'TỔNG HỢP NHẬP XUẤT TỒN'!$A$6:$J$26,10,0),0)</f>
        <v>0</v>
      </c>
      <c r="F55" s="69">
        <f t="shared" si="3"/>
        <v>0</v>
      </c>
      <c r="G55" s="38">
        <f>_xlfn.IFNA(VLOOKUP(B55,'TỔNG HỢP NHẬP XUẤT TỒN'!$A$6:$J$26,10,0)*1.5,0)</f>
        <v>0</v>
      </c>
      <c r="H55" s="38"/>
      <c r="I55" s="38">
        <f t="shared" si="4"/>
        <v>0</v>
      </c>
      <c r="J55" s="28"/>
      <c r="K55" s="7"/>
    </row>
    <row r="56" spans="1:11" ht="30" customHeight="1" x14ac:dyDescent="0.25">
      <c r="A56" s="7"/>
      <c r="B56" s="7"/>
      <c r="C56" s="28">
        <f>_xlfn.IFNA(VLOOKUP(B56,'Danh mục hàng hóa'!$C$7:$D$31,2,0),0)</f>
        <v>0</v>
      </c>
      <c r="D56" s="7"/>
      <c r="E56" s="38">
        <f>_xlfn.IFNA(VLOOKUP(B56,'TỔNG HỢP NHẬP XUẤT TỒN'!$A$6:$J$26,10,0),0)</f>
        <v>0</v>
      </c>
      <c r="F56" s="69">
        <f t="shared" si="3"/>
        <v>0</v>
      </c>
      <c r="G56" s="38">
        <f>_xlfn.IFNA(VLOOKUP(B56,'TỔNG HỢP NHẬP XUẤT TỒN'!$A$6:$J$26,10,0)*1.5,0)</f>
        <v>0</v>
      </c>
      <c r="H56" s="38"/>
      <c r="I56" s="38">
        <f t="shared" si="4"/>
        <v>0</v>
      </c>
      <c r="J56" s="28"/>
      <c r="K56" s="7"/>
    </row>
    <row r="57" spans="1:11" s="6" customFormat="1" ht="30" customHeight="1" x14ac:dyDescent="0.2">
      <c r="A57" s="23" t="s">
        <v>78</v>
      </c>
      <c r="B57" s="23"/>
      <c r="C57" s="23"/>
      <c r="D57" s="23"/>
      <c r="E57" s="45">
        <f t="shared" ref="E57:G57" si="6">SUM(E6:E56)</f>
        <v>8670635.0967617184</v>
      </c>
      <c r="F57" s="45">
        <f t="shared" si="6"/>
        <v>10761687.8220599</v>
      </c>
      <c r="G57" s="45">
        <f t="shared" si="6"/>
        <v>13005952.645142589</v>
      </c>
      <c r="H57" s="45"/>
      <c r="I57" s="45">
        <f>SUM(I6:I56)</f>
        <v>18571000</v>
      </c>
      <c r="J57" s="23"/>
      <c r="K57" s="23"/>
    </row>
  </sheetData>
  <autoFilter ref="A5:R57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dataValidations count="1">
    <dataValidation type="list" allowBlank="1" showInputMessage="1" showErrorMessage="1" sqref="J6:J56" xr:uid="{00000000-0002-0000-0300-000000000000}">
      <formula1>$M$4:$M$6</formula1>
    </dataValidation>
  </dataValidations>
  <hyperlinks>
    <hyperlink ref="N11" location="'Nhập hàng'!A1" display="'Nhập hàng'!A1" xr:uid="{00000000-0004-0000-0300-000000000000}"/>
    <hyperlink ref="N12" location="'Bán hàng'!A1" display="'Bán hàng'!A1" xr:uid="{00000000-0004-0000-0300-000001000000}"/>
    <hyperlink ref="N13" location="'Các khoản chi phí'!A1" display="'Các khoản chi phí'!A1" xr:uid="{00000000-0004-0000-0300-000002000000}"/>
    <hyperlink ref="N14" location="'TỔNG HỢP NHẬP XUẤT TỒN'!A1" display="'TỔNG HỢP NHẬP XUẤT TỒN'!A1" xr:uid="{00000000-0004-0000-0300-000003000000}"/>
    <hyperlink ref="N15" location="'Lãi-Lỗ'!A1" display="'Lãi-Lỗ'!A1" xr:uid="{00000000-0004-0000-0300-000004000000}"/>
    <hyperlink ref="N16" location="'Danh mục hàng hóa'!A1" display="'Danh mục hàng hóa'!A1" xr:uid="{00000000-0004-0000-03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'Danh mục hàng hóa'!$C$7:$C$26</xm:f>
          </x14:formula1>
          <xm:sqref>B6:B56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7"/>
  <sheetViews>
    <sheetView topLeftCell="A2" zoomScale="82" zoomScaleNormal="82" workbookViewId="0">
      <pane ySplit="4" topLeftCell="A15" activePane="bottomLeft" state="frozen"/>
      <selection activeCell="A2" sqref="A2"/>
      <selection pane="bottomLeft" activeCell="A20" sqref="A20:XFD20"/>
    </sheetView>
  </sheetViews>
  <sheetFormatPr defaultColWidth="9.140625" defaultRowHeight="15" x14ac:dyDescent="0.25"/>
  <cols>
    <col min="1" max="1" width="21" style="12" customWidth="1"/>
    <col min="2" max="2" width="32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12" customWidth="1"/>
    <col min="15" max="15" width="14.7109375" style="79" customWidth="1"/>
    <col min="16" max="16" width="23.140625" style="12" customWidth="1"/>
    <col min="17" max="17" width="22.85546875" style="12" customWidth="1"/>
    <col min="18" max="16384" width="9.140625" style="12"/>
  </cols>
  <sheetData>
    <row r="2" spans="1:17" ht="29.45" customHeight="1" x14ac:dyDescent="0.25">
      <c r="A2" s="100" t="s">
        <v>68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7" ht="56.45" customHeight="1" x14ac:dyDescent="0.25">
      <c r="A3" s="107" t="s">
        <v>127</v>
      </c>
      <c r="B3" s="107"/>
      <c r="C3" s="12" t="s">
        <v>66</v>
      </c>
      <c r="D3" s="12" t="s">
        <v>66</v>
      </c>
      <c r="E3" s="12" t="s">
        <v>71</v>
      </c>
      <c r="F3" s="12" t="s">
        <v>71</v>
      </c>
      <c r="G3" s="12" t="s">
        <v>71</v>
      </c>
      <c r="H3" s="12" t="s">
        <v>71</v>
      </c>
      <c r="I3" s="12" t="s">
        <v>71</v>
      </c>
      <c r="J3" s="12" t="s">
        <v>71</v>
      </c>
      <c r="K3" s="12" t="s">
        <v>71</v>
      </c>
      <c r="L3" s="12" t="s">
        <v>71</v>
      </c>
      <c r="M3" s="12" t="s">
        <v>71</v>
      </c>
      <c r="N3" s="12" t="s">
        <v>71</v>
      </c>
      <c r="P3" s="48" t="s">
        <v>101</v>
      </c>
      <c r="Q3" s="48" t="s">
        <v>113</v>
      </c>
    </row>
    <row r="4" spans="1:17" s="39" customFormat="1" ht="40.15" customHeight="1" x14ac:dyDescent="0.25">
      <c r="A4" s="108" t="s">
        <v>56</v>
      </c>
      <c r="B4" s="110" t="s">
        <v>57</v>
      </c>
      <c r="C4" s="112" t="s">
        <v>58</v>
      </c>
      <c r="D4" s="112"/>
      <c r="E4" s="112"/>
      <c r="F4" s="113" t="s">
        <v>59</v>
      </c>
      <c r="G4" s="114"/>
      <c r="H4" s="115"/>
      <c r="I4" s="113" t="s">
        <v>60</v>
      </c>
      <c r="J4" s="114"/>
      <c r="K4" s="115"/>
      <c r="L4" s="113" t="s">
        <v>61</v>
      </c>
      <c r="M4" s="114"/>
      <c r="N4" s="115"/>
      <c r="O4" s="80" t="s">
        <v>136</v>
      </c>
      <c r="P4" s="39" t="s">
        <v>91</v>
      </c>
      <c r="Q4" s="49" t="s">
        <v>95</v>
      </c>
    </row>
    <row r="5" spans="1:17" s="39" customFormat="1" ht="36.6" customHeight="1" x14ac:dyDescent="0.25">
      <c r="A5" s="109"/>
      <c r="B5" s="111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73</v>
      </c>
      <c r="H5" s="31" t="s">
        <v>53</v>
      </c>
      <c r="I5" s="31" t="s">
        <v>7</v>
      </c>
      <c r="J5" s="32" t="s">
        <v>131</v>
      </c>
      <c r="K5" s="31" t="s">
        <v>53</v>
      </c>
      <c r="L5" s="31" t="s">
        <v>7</v>
      </c>
      <c r="M5" s="31" t="s">
        <v>52</v>
      </c>
      <c r="N5" s="31" t="s">
        <v>53</v>
      </c>
      <c r="O5" s="81"/>
      <c r="P5" s="39" t="s">
        <v>97</v>
      </c>
      <c r="Q5" s="49" t="s">
        <v>96</v>
      </c>
    </row>
    <row r="6" spans="1:17" s="39" customFormat="1" ht="24" customHeight="1" x14ac:dyDescent="0.25">
      <c r="A6" s="33" t="s">
        <v>38</v>
      </c>
      <c r="B6" s="34" t="str">
        <f>VLOOKUP(A6,'Danh mục hàng hóa'!$C$7:$D$31,2,0)</f>
        <v>USB</v>
      </c>
      <c r="C6" s="37">
        <v>9</v>
      </c>
      <c r="D6" s="37">
        <f>VLOOKUP(A6,'Tổng hợp tồn kho cũ'!$A$3:$E$18,5,0)</f>
        <v>112852.5</v>
      </c>
      <c r="E6" s="37">
        <f>C6*D6</f>
        <v>1015672.5</v>
      </c>
      <c r="F6" s="37">
        <f>SUMIF('Nhập hàng'!$F$5:$F$22,'TỔNG HỢP NHẬP XUẤT TỒN'!A6,'Nhập hàng'!$H$5:$H$22)</f>
        <v>0</v>
      </c>
      <c r="G6" s="37">
        <f>IFERROR(SUMIF('Nhập hàng'!$F$5:$F$22,'TỔNG HỢP NHẬP XUẤT TỒN'!A6,'Nhập hàng'!$L$5:$L$22)/SUMIF('Nhập hàng'!$F$5:$F$22,'TỔNG HỢP NHẬP XUẤT TỒN'!A6,'Nhập hàng'!$H$5:$H$22),0)</f>
        <v>0</v>
      </c>
      <c r="H6" s="37">
        <f>F6*G6</f>
        <v>0</v>
      </c>
      <c r="I6" s="37">
        <f>SUMIF('Bán hàng'!$B$6:$B$56,'TỔNG HỢP NHẬP XUẤT TỒN'!A6,'Bán hàng'!$D$6:$D$56)</f>
        <v>3</v>
      </c>
      <c r="J6" s="37">
        <f>IFERROR((C6*D6+F6*G6)/(C6+F6),0)</f>
        <v>112852.5</v>
      </c>
      <c r="K6" s="37">
        <f>I6*J6</f>
        <v>338557.5</v>
      </c>
      <c r="L6" s="37">
        <f>C6+F6-I6</f>
        <v>6</v>
      </c>
      <c r="M6" s="37">
        <f>J6</f>
        <v>112852.5</v>
      </c>
      <c r="N6" s="37">
        <f>L6*M6</f>
        <v>677115</v>
      </c>
      <c r="O6" s="80"/>
      <c r="P6" s="39" t="s">
        <v>92</v>
      </c>
      <c r="Q6" s="49" t="s">
        <v>98</v>
      </c>
    </row>
    <row r="7" spans="1:17" s="39" customFormat="1" ht="24" customHeight="1" x14ac:dyDescent="0.25">
      <c r="A7" s="33" t="s">
        <v>39</v>
      </c>
      <c r="B7" s="34" t="str">
        <f>VLOOKUP(A7,'Danh mục hàng hóa'!$C$7:$D$31,2,0)</f>
        <v>Chuột M24</v>
      </c>
      <c r="C7" s="37">
        <v>12</v>
      </c>
      <c r="D7" s="37">
        <f>VLOOKUP(A7,'Tổng hợp tồn kho cũ'!$A$3:$E$18,5,0)</f>
        <v>92692.5</v>
      </c>
      <c r="E7" s="37">
        <f t="shared" ref="E7:E26" si="0">C7*D7</f>
        <v>1112310</v>
      </c>
      <c r="F7" s="37">
        <f>SUMIF('Nhập hàng'!$F$5:$F$22,'TỔNG HỢP NHẬP XUẤT TỒN'!A7,'Nhập hàng'!$H$5:$H$22)</f>
        <v>10</v>
      </c>
      <c r="G7" s="37">
        <f>IFERROR(SUMIF('Nhập hàng'!$F$5:$F$22,'TỔNG HỢP NHẬP XUẤT TỒN'!A7,'Nhập hàng'!$L$5:$L$22)/SUMIF('Nhập hàng'!$F$5:$F$22,'TỔNG HỢP NHẬP XUẤT TỒN'!A7,'Nhập hàng'!$H$5:$H$22),0)</f>
        <v>99377.1585279547</v>
      </c>
      <c r="H7" s="37">
        <f t="shared" ref="H7:H26" si="1">F7*G7</f>
        <v>993771.58527954703</v>
      </c>
      <c r="I7" s="37">
        <f>SUMIF('Bán hàng'!$B$6:$B$56,'TỔNG HỢP NHẬP XUẤT TỒN'!A7,'Bán hàng'!$D$6:$D$56)</f>
        <v>22</v>
      </c>
      <c r="J7" s="37">
        <f t="shared" ref="J7:J26" si="2">IFERROR((C7*D7+F7*G7)/(C7+F7),0)</f>
        <v>95730.981149070329</v>
      </c>
      <c r="K7" s="37">
        <f t="shared" ref="K7:K26" si="3">I7*J7</f>
        <v>2106081.5852795471</v>
      </c>
      <c r="L7" s="37">
        <f t="shared" ref="L7:L26" si="4">C7+F7-I7</f>
        <v>0</v>
      </c>
      <c r="M7" s="37">
        <f t="shared" ref="M7:M26" si="5">J7</f>
        <v>95730.981149070329</v>
      </c>
      <c r="N7" s="37">
        <f t="shared" ref="N7:N26" si="6">L7*M7</f>
        <v>0</v>
      </c>
      <c r="O7" s="80"/>
      <c r="P7" s="39" t="s">
        <v>93</v>
      </c>
      <c r="Q7" s="49" t="s">
        <v>99</v>
      </c>
    </row>
    <row r="8" spans="1:17" s="39" customFormat="1" ht="24" customHeight="1" x14ac:dyDescent="0.25">
      <c r="A8" s="33" t="s">
        <v>40</v>
      </c>
      <c r="B8" s="34" t="str">
        <f>VLOOKUP(A8,'Danh mục hàng hóa'!$C$7:$D$31,2,0)</f>
        <v>Chuột IBM</v>
      </c>
      <c r="C8" s="37">
        <v>4</v>
      </c>
      <c r="D8" s="37">
        <f>VLOOKUP(A8,'Tổng hợp tồn kho cũ'!$A$3:$E$18,5,0)</f>
        <v>170554.2</v>
      </c>
      <c r="E8" s="37">
        <f t="shared" si="0"/>
        <v>682216.8</v>
      </c>
      <c r="F8" s="37">
        <f>SUMIF('Nhập hàng'!$F$5:$F$22,'TỔNG HỢP NHẬP XUẤT TỒN'!A8,'Nhập hàng'!$H$5:$H$22)</f>
        <v>0</v>
      </c>
      <c r="G8" s="37">
        <f>IFERROR(SUMIF('Nhập hàng'!$F$5:$F$22,'TỔNG HỢP NHẬP XUẤT TỒN'!A8,'Nhập hàng'!$L$5:$L$22)/SUMIF('Nhập hàng'!$F$5:$F$22,'TỔNG HỢP NHẬP XUẤT TỒN'!A8,'Nhập hàng'!$H$5:$H$22),0)</f>
        <v>0</v>
      </c>
      <c r="H8" s="37">
        <f t="shared" si="1"/>
        <v>0</v>
      </c>
      <c r="I8" s="37">
        <f>SUMIF('Bán hàng'!$B$6:$B$56,'TỔNG HỢP NHẬP XUẤT TỒN'!A8,'Bán hàng'!$D$6:$D$56)</f>
        <v>2</v>
      </c>
      <c r="J8" s="37">
        <f t="shared" si="2"/>
        <v>170554.2</v>
      </c>
      <c r="K8" s="37">
        <f t="shared" si="3"/>
        <v>341108.4</v>
      </c>
      <c r="L8" s="37">
        <f t="shared" si="4"/>
        <v>2</v>
      </c>
      <c r="M8" s="37">
        <f t="shared" si="5"/>
        <v>170554.2</v>
      </c>
      <c r="N8" s="37">
        <f t="shared" si="6"/>
        <v>341108.4</v>
      </c>
      <c r="O8" s="80"/>
      <c r="P8" s="39" t="s">
        <v>94</v>
      </c>
      <c r="Q8" s="49" t="s">
        <v>100</v>
      </c>
    </row>
    <row r="9" spans="1:17" s="39" customFormat="1" ht="24" customHeight="1" x14ac:dyDescent="0.25">
      <c r="A9" s="33" t="s">
        <v>41</v>
      </c>
      <c r="B9" s="34" t="str">
        <f>VLOOKUP(A9,'Danh mục hàng hóa'!$C$7:$D$31,2,0)</f>
        <v>Chuột lenovo bluetooth M1</v>
      </c>
      <c r="C9" s="37">
        <v>0</v>
      </c>
      <c r="D9" s="37">
        <f>VLOOKUP(A9,'Tổng hợp tồn kho cũ'!$A$3:$E$18,5,0)</f>
        <v>129769.4</v>
      </c>
      <c r="E9" s="37">
        <f t="shared" si="0"/>
        <v>0</v>
      </c>
      <c r="F9" s="37">
        <f>SUMIF('Nhập hàng'!$F$5:$F$22,'TỔNG HỢP NHẬP XUẤT TỒN'!A9,'Nhập hàng'!$H$5:$H$22)</f>
        <v>21</v>
      </c>
      <c r="G9" s="37">
        <f>IFERROR(SUMIF('Nhập hàng'!$F$5:$F$22,'TỔNG HỢP NHẬP XUẤT TỒN'!A9,'Nhập hàng'!$L$5:$L$22)/SUMIF('Nhập hàng'!$F$5:$F$22,'TỔNG HỢP NHẬP XUẤT TỒN'!A9,'Nhập hàng'!$H$5:$H$22),0)</f>
        <v>133979.06851346343</v>
      </c>
      <c r="H9" s="37">
        <f t="shared" si="1"/>
        <v>2813560.438782732</v>
      </c>
      <c r="I9" s="37">
        <f>SUMIF('Bán hàng'!$B$6:$B$56,'TỔNG HỢP NHẬP XUẤT TỒN'!A9,'Bán hàng'!$D$6:$D$56)</f>
        <v>8</v>
      </c>
      <c r="J9" s="37">
        <f t="shared" si="2"/>
        <v>133979.06851346343</v>
      </c>
      <c r="K9" s="37">
        <f t="shared" si="3"/>
        <v>1071832.5481077074</v>
      </c>
      <c r="L9" s="37">
        <f t="shared" si="4"/>
        <v>13</v>
      </c>
      <c r="M9" s="37">
        <f t="shared" si="5"/>
        <v>133979.06851346343</v>
      </c>
      <c r="N9" s="37">
        <f t="shared" si="6"/>
        <v>1741727.8906750246</v>
      </c>
      <c r="O9" s="80"/>
      <c r="P9" s="39" t="s">
        <v>125</v>
      </c>
      <c r="Q9" s="47" t="s">
        <v>126</v>
      </c>
    </row>
    <row r="10" spans="1:17" s="39" customFormat="1" ht="24" customHeight="1" x14ac:dyDescent="0.25">
      <c r="A10" s="33" t="s">
        <v>44</v>
      </c>
      <c r="B10" s="34" t="str">
        <f>VLOOKUP(A10,'Danh mục hàng hóa'!$C$7:$D$31,2,0)</f>
        <v>USB C 3in1</v>
      </c>
      <c r="C10" s="37">
        <v>9</v>
      </c>
      <c r="D10" s="37">
        <f>VLOOKUP(A10,'Tổng hợp tồn kho cũ'!$A$3:$E$18,5,0)</f>
        <v>92692.5</v>
      </c>
      <c r="E10" s="37">
        <f t="shared" si="0"/>
        <v>834232.5</v>
      </c>
      <c r="F10" s="37">
        <f>SUMIF('Nhập hàng'!$F$5:$F$22,'TỔNG HỢP NHẬP XUẤT TỒN'!A10,'Nhập hàng'!$H$5:$H$22)</f>
        <v>0</v>
      </c>
      <c r="G10" s="37">
        <f>IFERROR(SUMIF('Nhập hàng'!$F$5:$F$22,'TỔNG HỢP NHẬP XUẤT TỒN'!A10,'Nhập hàng'!$L$5:$L$22)/SUMIF('Nhập hàng'!$F$5:$F$22,'TỔNG HỢP NHẬP XUẤT TỒN'!A10,'Nhập hàng'!$H$5:$H$22),0)</f>
        <v>0</v>
      </c>
      <c r="H10" s="37">
        <f t="shared" si="1"/>
        <v>0</v>
      </c>
      <c r="I10" s="37">
        <f>SUMIF('Bán hàng'!$B$6:$B$56,'TỔNG HỢP NHẬP XUẤT TỒN'!A10,'Bán hàng'!$D$6:$D$56)</f>
        <v>1</v>
      </c>
      <c r="J10" s="37">
        <f t="shared" si="2"/>
        <v>92692.5</v>
      </c>
      <c r="K10" s="37">
        <f t="shared" si="3"/>
        <v>92692.5</v>
      </c>
      <c r="L10" s="37">
        <f t="shared" si="4"/>
        <v>8</v>
      </c>
      <c r="M10" s="37">
        <f t="shared" si="5"/>
        <v>92692.5</v>
      </c>
      <c r="N10" s="37">
        <f t="shared" si="6"/>
        <v>741540</v>
      </c>
      <c r="O10" s="80"/>
    </row>
    <row r="11" spans="1:17" s="39" customFormat="1" ht="24" customHeight="1" x14ac:dyDescent="0.25">
      <c r="A11" s="33" t="s">
        <v>45</v>
      </c>
      <c r="B11" s="34" t="str">
        <f>VLOOKUP(A11,'Danh mục hàng hóa'!$C$7:$D$31,2,0)</f>
        <v>Chuột thinkpad</v>
      </c>
      <c r="C11" s="37">
        <v>5</v>
      </c>
      <c r="D11" s="37">
        <f>VLOOKUP(A11,'Tổng hợp tồn kho cũ'!$A$3:$E$18,5,0)</f>
        <v>251905.6</v>
      </c>
      <c r="E11" s="37">
        <f t="shared" si="0"/>
        <v>1259528</v>
      </c>
      <c r="F11" s="37">
        <f>SUMIF('Nhập hàng'!$F$5:$F$22,'TỔNG HỢP NHẬP XUẤT TỒN'!A11,'Nhập hàng'!$H$5:$H$22)</f>
        <v>0</v>
      </c>
      <c r="G11" s="37">
        <f>IFERROR(SUMIF('Nhập hàng'!$F$5:$F$22,'TỔNG HỢP NHẬP XUẤT TỒN'!A11,'Nhập hàng'!$L$5:$L$22)/SUMIF('Nhập hàng'!$F$5:$F$22,'TỔNG HỢP NHẬP XUẤT TỒN'!A11,'Nhập hàng'!$H$5:$H$22),0)</f>
        <v>0</v>
      </c>
      <c r="H11" s="37">
        <f t="shared" si="1"/>
        <v>0</v>
      </c>
      <c r="I11" s="37">
        <f>SUMIF('Bán hàng'!$B$6:$B$56,'TỔNG HỢP NHẬP XUẤT TỒN'!A11,'Bán hàng'!$D$6:$D$56)</f>
        <v>0</v>
      </c>
      <c r="J11" s="37">
        <f t="shared" si="2"/>
        <v>251905.6</v>
      </c>
      <c r="K11" s="37">
        <f t="shared" si="3"/>
        <v>0</v>
      </c>
      <c r="L11" s="37">
        <f t="shared" si="4"/>
        <v>5</v>
      </c>
      <c r="M11" s="37">
        <f t="shared" si="5"/>
        <v>251905.6</v>
      </c>
      <c r="N11" s="37">
        <f t="shared" si="6"/>
        <v>1259528</v>
      </c>
      <c r="O11" s="80"/>
    </row>
    <row r="12" spans="1:17" s="39" customFormat="1" ht="24" customHeight="1" x14ac:dyDescent="0.25">
      <c r="A12" s="33" t="s">
        <v>46</v>
      </c>
      <c r="B12" s="34" t="str">
        <f>VLOOKUP(A12,'Danh mục hàng hóa'!$C$7:$D$31,2,0)</f>
        <v>Trải bàn xiaomi</v>
      </c>
      <c r="C12" s="37">
        <v>10</v>
      </c>
      <c r="D12" s="37">
        <f>VLOOKUP(A12,'Tổng hợp tồn kho cũ'!$A$3:$E$18,5,0)</f>
        <v>123485.81818181818</v>
      </c>
      <c r="E12" s="37">
        <f t="shared" si="0"/>
        <v>1234858.1818181816</v>
      </c>
      <c r="F12" s="37">
        <f>SUMIF('Nhập hàng'!$F$5:$F$22,'TỔNG HỢP NHẬP XUẤT TỒN'!A12,'Nhập hàng'!$H$5:$H$22)</f>
        <v>0</v>
      </c>
      <c r="G12" s="37">
        <f>IFERROR(SUMIF('Nhập hàng'!$F$5:$F$22,'TỔNG HỢP NHẬP XUẤT TỒN'!A12,'Nhập hàng'!$L$5:$L$22)/SUMIF('Nhập hàng'!$F$5:$F$22,'TỔNG HỢP NHẬP XUẤT TỒN'!A12,'Nhập hàng'!$H$5:$H$22),0)</f>
        <v>0</v>
      </c>
      <c r="H12" s="37">
        <f t="shared" si="1"/>
        <v>0</v>
      </c>
      <c r="I12" s="37">
        <f>SUMIF('Bán hàng'!$B$6:$B$56,'TỔNG HỢP NHẬP XUẤT TỒN'!A12,'Bán hàng'!$D$6:$D$56)</f>
        <v>0</v>
      </c>
      <c r="J12" s="37">
        <f t="shared" si="2"/>
        <v>123485.81818181816</v>
      </c>
      <c r="K12" s="37">
        <f t="shared" si="3"/>
        <v>0</v>
      </c>
      <c r="L12" s="37">
        <f t="shared" si="4"/>
        <v>10</v>
      </c>
      <c r="M12" s="37">
        <f t="shared" si="5"/>
        <v>123485.81818181816</v>
      </c>
      <c r="N12" s="37">
        <f t="shared" si="6"/>
        <v>1234858.1818181816</v>
      </c>
      <c r="O12" s="80"/>
    </row>
    <row r="13" spans="1:17" s="39" customFormat="1" ht="24" customHeight="1" x14ac:dyDescent="0.25">
      <c r="A13" s="33" t="s">
        <v>42</v>
      </c>
      <c r="B13" s="34" t="str">
        <f>VLOOKUP(A13,'Danh mục hàng hóa'!$C$7:$D$31,2,0)</f>
        <v>Sạc YOGA</v>
      </c>
      <c r="C13" s="37">
        <v>5</v>
      </c>
      <c r="D13" s="37">
        <f>VLOOKUP(A13,'Tổng hợp tồn kho cũ'!$A$3:$E$18,5,0)</f>
        <v>253645</v>
      </c>
      <c r="E13" s="37">
        <f t="shared" si="0"/>
        <v>1268225</v>
      </c>
      <c r="F13" s="37">
        <f>SUMIF('Nhập hàng'!$F$5:$F$22,'TỔNG HỢP NHẬP XUẤT TỒN'!A13,'Nhập hàng'!$H$5:$H$22)</f>
        <v>4</v>
      </c>
      <c r="G13" s="37">
        <f>IFERROR(SUMIF('Nhập hàng'!$F$5:$F$22,'TỔNG HỢP NHẬP XUẤT TỒN'!A13,'Nhập hàng'!$L$5:$L$22)/SUMIF('Nhập hàng'!$F$5:$F$22,'TỔNG HỢP NHẬP XUẤT TỒN'!A13,'Nhập hàng'!$H$5:$H$22),0)</f>
        <v>218629.74876150035</v>
      </c>
      <c r="H13" s="37">
        <f t="shared" si="1"/>
        <v>874518.99504600139</v>
      </c>
      <c r="I13" s="37">
        <f>SUMIF('Bán hàng'!$B$6:$B$56,'TỔNG HỢP NHẬP XUẤT TỒN'!A13,'Bán hàng'!$D$6:$D$56)</f>
        <v>2</v>
      </c>
      <c r="J13" s="37">
        <f t="shared" si="2"/>
        <v>238082.66611622239</v>
      </c>
      <c r="K13" s="37">
        <f t="shared" si="3"/>
        <v>476165.33223244478</v>
      </c>
      <c r="L13" s="37">
        <f t="shared" si="4"/>
        <v>7</v>
      </c>
      <c r="M13" s="37">
        <f t="shared" si="5"/>
        <v>238082.66611622239</v>
      </c>
      <c r="N13" s="37">
        <f t="shared" si="6"/>
        <v>1666578.6628135568</v>
      </c>
      <c r="O13" s="80"/>
    </row>
    <row r="14" spans="1:17" s="39" customFormat="1" ht="24" customHeight="1" x14ac:dyDescent="0.25">
      <c r="A14" s="33" t="s">
        <v>43</v>
      </c>
      <c r="B14" s="34" t="str">
        <f>VLOOKUP(A14,'Danh mục hàng hóa'!$C$7:$D$31,2,0)</f>
        <v>Loa TS32A</v>
      </c>
      <c r="C14" s="37">
        <v>6</v>
      </c>
      <c r="D14" s="37">
        <f>VLOOKUP(A14,'Tổng hợp tồn kho cũ'!$A$3:$E$18,5,0)</f>
        <v>137800</v>
      </c>
      <c r="E14" s="37">
        <f t="shared" si="0"/>
        <v>826800</v>
      </c>
      <c r="F14" s="37">
        <f>SUMIF('Nhập hàng'!$F$5:$F$22,'TỔNG HỢP NHẬP XUẤT TỒN'!A14,'Nhập hàng'!$H$5:$H$22)</f>
        <v>0</v>
      </c>
      <c r="G14" s="37">
        <f>IFERROR(SUMIF('Nhập hàng'!$F$5:$F$22,'TỔNG HỢP NHẬP XUẤT TỒN'!A14,'Nhập hàng'!$L$5:$L$22)/SUMIF('Nhập hàng'!$F$5:$F$22,'TỔNG HỢP NHẬP XUẤT TỒN'!A14,'Nhập hàng'!$H$5:$H$22),0)</f>
        <v>0</v>
      </c>
      <c r="H14" s="37">
        <f t="shared" si="1"/>
        <v>0</v>
      </c>
      <c r="I14" s="37">
        <f>SUMIF('Bán hàng'!$B$6:$B$56,'TỔNG HỢP NHẬP XUẤT TỒN'!A14,'Bán hàng'!$D$6:$D$56)</f>
        <v>0</v>
      </c>
      <c r="J14" s="37">
        <f t="shared" si="2"/>
        <v>137800</v>
      </c>
      <c r="K14" s="37">
        <f t="shared" si="3"/>
        <v>0</v>
      </c>
      <c r="L14" s="37">
        <f t="shared" si="4"/>
        <v>6</v>
      </c>
      <c r="M14" s="37">
        <f t="shared" si="5"/>
        <v>137800</v>
      </c>
      <c r="N14" s="37">
        <f t="shared" si="6"/>
        <v>826800</v>
      </c>
      <c r="O14" s="80"/>
    </row>
    <row r="15" spans="1:17" s="39" customFormat="1" ht="24" customHeight="1" x14ac:dyDescent="0.25">
      <c r="A15" s="33" t="s">
        <v>47</v>
      </c>
      <c r="B15" s="34" t="str">
        <f>VLOOKUP(A15,'Danh mục hàng hóa'!$C$7:$D$31,2,0)</f>
        <v>Sạc gen 1 có hộp</v>
      </c>
      <c r="C15" s="37">
        <v>7</v>
      </c>
      <c r="D15" s="37">
        <f>VLOOKUP(A15,'Tổng hợp tồn kho cũ'!$A$3:$E$18,5,0)</f>
        <v>249127</v>
      </c>
      <c r="E15" s="37">
        <f t="shared" si="0"/>
        <v>1743889</v>
      </c>
      <c r="F15" s="37">
        <f>SUMIF('Nhập hàng'!$F$5:$F$22,'TỔNG HỢP NHẬP XUẤT TỒN'!A15,'Nhập hàng'!$H$5:$H$22)</f>
        <v>0</v>
      </c>
      <c r="G15" s="37">
        <f>IFERROR(SUMIF('Nhập hàng'!$F$5:$F$22,'TỔNG HỢP NHẬP XUẤT TỒN'!A15,'Nhập hàng'!$L$5:$L$22)/SUMIF('Nhập hàng'!$F$5:$F$22,'TỔNG HỢP NHẬP XUẤT TỒN'!A15,'Nhập hàng'!$H$5:$H$22),0)</f>
        <v>0</v>
      </c>
      <c r="H15" s="37">
        <f t="shared" si="1"/>
        <v>0</v>
      </c>
      <c r="I15" s="37">
        <f>SUMIF('Bán hàng'!$B$6:$B$56,'TỔNG HỢP NHẬP XUẤT TỒN'!A15,'Bán hàng'!$D$6:$D$56)</f>
        <v>4</v>
      </c>
      <c r="J15" s="37">
        <f t="shared" si="2"/>
        <v>249127</v>
      </c>
      <c r="K15" s="37">
        <f t="shared" si="3"/>
        <v>996508</v>
      </c>
      <c r="L15" s="37">
        <f t="shared" si="4"/>
        <v>3</v>
      </c>
      <c r="M15" s="37">
        <f t="shared" si="5"/>
        <v>249127</v>
      </c>
      <c r="N15" s="37">
        <f t="shared" si="6"/>
        <v>747381</v>
      </c>
      <c r="O15" s="80"/>
    </row>
    <row r="16" spans="1:17" s="39" customFormat="1" ht="24" customHeight="1" x14ac:dyDescent="0.25">
      <c r="A16" s="33" t="s">
        <v>49</v>
      </c>
      <c r="B16" s="34" t="str">
        <f>VLOOKUP(A16,'Danh mục hàng hóa'!$C$7:$D$31,2,0)</f>
        <v>Sạc lenovo to type C</v>
      </c>
      <c r="C16" s="37">
        <v>5</v>
      </c>
      <c r="D16" s="37">
        <f>VLOOKUP(A16,'Tổng hợp tồn kho cũ'!$A$3:$E$18,5,0)</f>
        <v>138090</v>
      </c>
      <c r="E16" s="37">
        <f t="shared" si="0"/>
        <v>690450</v>
      </c>
      <c r="F16" s="37">
        <f>SUMIF('Nhập hàng'!$F$5:$F$22,'TỔNG HỢP NHẬP XUẤT TỒN'!A16,'Nhập hàng'!$H$5:$H$22)</f>
        <v>0</v>
      </c>
      <c r="G16" s="37">
        <f>IFERROR(SUMIF('Nhập hàng'!$F$5:$F$22,'TỔNG HỢP NHẬP XUẤT TỒN'!A16,'Nhập hàng'!$L$5:$L$22)/SUMIF('Nhập hàng'!$F$5:$F$22,'TỔNG HỢP NHẬP XUẤT TỒN'!A16,'Nhập hàng'!$H$5:$H$22),0)</f>
        <v>0</v>
      </c>
      <c r="H16" s="37">
        <f t="shared" si="1"/>
        <v>0</v>
      </c>
      <c r="I16" s="37">
        <f>SUMIF('Bán hàng'!$B$6:$B$56,'TỔNG HỢP NHẬP XUẤT TỒN'!A16,'Bán hàng'!$D$6:$D$56)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37">
        <f t="shared" si="6"/>
        <v>690450</v>
      </c>
      <c r="O16" s="80"/>
    </row>
    <row r="17" spans="1:15" s="39" customFormat="1" ht="24" customHeight="1" x14ac:dyDescent="0.25">
      <c r="A17" s="33" t="s">
        <v>48</v>
      </c>
      <c r="B17" s="34" t="str">
        <f>VLOOKUP(A17,'Danh mục hàng hóa'!$C$7:$D$31,2,0)</f>
        <v>Loa K3 Pro</v>
      </c>
      <c r="C17" s="37">
        <v>18</v>
      </c>
      <c r="D17" s="37">
        <f>VLOOKUP(A17,'Tổng hợp tồn kho cũ'!$A$3:$E$18,5,0)</f>
        <v>115718.36666666667</v>
      </c>
      <c r="E17" s="37">
        <f t="shared" si="0"/>
        <v>2082930.6</v>
      </c>
      <c r="F17" s="37">
        <f>SUMIF('Nhập hàng'!$F$5:$F$22,'TỔNG HỢP NHẬP XUẤT TỒN'!A17,'Nhập hàng'!$H$5:$H$22)</f>
        <v>0</v>
      </c>
      <c r="G17" s="37">
        <f>IFERROR(SUMIF('Nhập hàng'!$F$5:$F$22,'TỔNG HỢP NHẬP XUẤT TỒN'!A17,'Nhập hàng'!$L$5:$L$22)/SUMIF('Nhập hàng'!$F$5:$F$22,'TỔNG HỢP NHẬP XUẤT TỒN'!A17,'Nhập hàng'!$H$5:$H$22),0)</f>
        <v>0</v>
      </c>
      <c r="H17" s="37">
        <f t="shared" si="1"/>
        <v>0</v>
      </c>
      <c r="I17" s="37">
        <f>SUMIF('Bán hàng'!$B$6:$B$56,'TỔNG HỢP NHẬP XUẤT TỒN'!A17,'Bán hàng'!$D$6:$D$56)</f>
        <v>14</v>
      </c>
      <c r="J17" s="37">
        <f t="shared" si="2"/>
        <v>115718.36666666667</v>
      </c>
      <c r="K17" s="37">
        <f t="shared" si="3"/>
        <v>1620057.1333333333</v>
      </c>
      <c r="L17" s="37">
        <f t="shared" si="4"/>
        <v>4</v>
      </c>
      <c r="M17" s="37">
        <f t="shared" si="5"/>
        <v>115718.36666666667</v>
      </c>
      <c r="N17" s="37">
        <f t="shared" si="6"/>
        <v>462873.46666666667</v>
      </c>
      <c r="O17" s="80"/>
    </row>
    <row r="18" spans="1:15" s="39" customFormat="1" ht="24" customHeight="1" x14ac:dyDescent="0.25">
      <c r="A18" s="33" t="s">
        <v>143</v>
      </c>
      <c r="B18" s="34" t="str">
        <f>VLOOKUP(A18,'Danh mục hàng hóa'!$C$7:$D$31,2,0)</f>
        <v>Sạc Thinkplus gen 2 có hộp trắng</v>
      </c>
      <c r="C18" s="37">
        <v>1</v>
      </c>
      <c r="D18" s="37">
        <f>VLOOKUP(A18,'Tổng hợp tồn kho cũ'!$A$3:$E$18,5,0)</f>
        <v>327150</v>
      </c>
      <c r="E18" s="37">
        <f t="shared" si="0"/>
        <v>327150</v>
      </c>
      <c r="F18" s="37">
        <f>SUMIF('Nhập hàng'!$F$5:$F$22,'TỔNG HỢP NHẬP XUẤT TỒN'!A18,'Nhập hàng'!$H$5:$H$22)</f>
        <v>0</v>
      </c>
      <c r="G18" s="37">
        <f>IFERROR(SUMIF('Nhập hàng'!$F$5:$F$22,'TỔNG HỢP NHẬP XUẤT TỒN'!A18,'Nhập hàng'!$L$5:$L$22)/SUMIF('Nhập hàng'!$F$5:$F$22,'TỔNG HỢP NHẬP XUẤT TỒN'!A18,'Nhập hàng'!$H$5:$H$22),0)</f>
        <v>0</v>
      </c>
      <c r="H18" s="37">
        <f t="shared" si="1"/>
        <v>0</v>
      </c>
      <c r="I18" s="37">
        <f>SUMIF('Bán hàng'!$B$6:$B$56,'TỔNG HỢP NHẬP XUẤT TỒN'!A18,'Bán hàng'!$D$6:$D$56)</f>
        <v>0</v>
      </c>
      <c r="J18" s="37">
        <f t="shared" si="2"/>
        <v>327150</v>
      </c>
      <c r="K18" s="37">
        <f t="shared" si="3"/>
        <v>0</v>
      </c>
      <c r="L18" s="37">
        <f t="shared" si="4"/>
        <v>1</v>
      </c>
      <c r="M18" s="37">
        <f t="shared" si="5"/>
        <v>327150</v>
      </c>
      <c r="N18" s="37">
        <f t="shared" si="6"/>
        <v>327150</v>
      </c>
      <c r="O18" s="80"/>
    </row>
    <row r="19" spans="1:15" s="39" customFormat="1" ht="24" customHeight="1" x14ac:dyDescent="0.25">
      <c r="A19" s="33" t="s">
        <v>50</v>
      </c>
      <c r="B19" s="34" t="str">
        <f>VLOOKUP(A19,'Danh mục hàng hóa'!$C$7:$D$31,2,0)</f>
        <v>Sạc Thinkplus gen 2 k hộp</v>
      </c>
      <c r="C19" s="37">
        <v>6</v>
      </c>
      <c r="D19" s="37">
        <f>VLOOKUP(A19,'Tổng hợp tồn kho cũ'!$A$3:$E$18,5,0)</f>
        <v>299322.59999999998</v>
      </c>
      <c r="E19" s="37">
        <f t="shared" si="0"/>
        <v>1795935.5999999999</v>
      </c>
      <c r="F19" s="37">
        <f>SUMIF('Nhập hàng'!$F$5:$F$22,'TỔNG HỢP NHẬP XUẤT TỒN'!A19,'Nhập hàng'!$H$5:$H$22)</f>
        <v>10</v>
      </c>
      <c r="G19" s="37">
        <f>IFERROR(SUMIF('Nhập hàng'!$F$5:$F$22,'TỔNG HỢP NHẬP XUẤT TỒN'!A19,'Nhập hàng'!$L$5:$L$22)/SUMIF('Nhập hàng'!$F$5:$F$22,'TỔNG HỢP NHẬP XUẤT TỒN'!A19,'Nhập hàng'!$H$5:$H$22),0)</f>
        <v>298028</v>
      </c>
      <c r="H19" s="37">
        <f t="shared" si="1"/>
        <v>2980280</v>
      </c>
      <c r="I19" s="37">
        <f>SUMIF('Bán hàng'!$B$6:$B$56,'TỔNG HỢP NHẬP XUẤT TỒN'!A19,'Bán hàng'!$D$6:$D$56)</f>
        <v>6</v>
      </c>
      <c r="J19" s="37">
        <f t="shared" si="2"/>
        <v>298513.47499999998</v>
      </c>
      <c r="K19" s="37">
        <f t="shared" si="3"/>
        <v>1791080.8499999999</v>
      </c>
      <c r="L19" s="37">
        <f t="shared" si="4"/>
        <v>10</v>
      </c>
      <c r="M19" s="37">
        <f t="shared" si="5"/>
        <v>298513.47499999998</v>
      </c>
      <c r="N19" s="37">
        <f t="shared" si="6"/>
        <v>2985134.75</v>
      </c>
      <c r="O19" s="80"/>
    </row>
    <row r="20" spans="1:15" s="39" customFormat="1" ht="24" customHeight="1" x14ac:dyDescent="0.25">
      <c r="A20" s="33" t="s">
        <v>51</v>
      </c>
      <c r="B20" s="34" t="str">
        <f>VLOOKUP(A20,'Danh mục hàng hóa'!$C$7:$D$31,2,0)</f>
        <v>Dây type C to slim</v>
      </c>
      <c r="C20" s="37">
        <v>10</v>
      </c>
      <c r="D20" s="37">
        <f>VLOOKUP(A20,'Tổng hợp tồn kho cũ'!$A$3:$E$18,5,0)</f>
        <v>73020.600000000006</v>
      </c>
      <c r="E20" s="37">
        <f t="shared" si="0"/>
        <v>730206</v>
      </c>
      <c r="F20" s="37">
        <f>SUMIF('Nhập hàng'!$F$5:$F$22,'TỔNG HỢP NHẬP XUẤT TỒN'!A20,'Nhập hàng'!$H$5:$H$22)</f>
        <v>0</v>
      </c>
      <c r="G20" s="37">
        <f>IFERROR(SUMIF('Nhập hàng'!$F$5:$F$22,'TỔNG HỢP NHẬP XUẤT TỒN'!A20,'Nhập hàng'!$L$5:$L$22)/SUMIF('Nhập hàng'!$F$5:$F$22,'TỔNG HỢP NHẬP XUẤT TỒN'!A20,'Nhập hàng'!$H$5:$H$22),0)</f>
        <v>0</v>
      </c>
      <c r="H20" s="37">
        <f t="shared" si="1"/>
        <v>0</v>
      </c>
      <c r="I20" s="37">
        <f>SUMIF('Bán hàng'!$B$6:$B$56,'TỔNG HỢP NHẬP XUẤT TỒN'!A20,'Bán hàng'!$D$6:$D$56)</f>
        <v>0</v>
      </c>
      <c r="J20" s="37">
        <f t="shared" si="2"/>
        <v>73020.600000000006</v>
      </c>
      <c r="K20" s="37">
        <f t="shared" si="3"/>
        <v>0</v>
      </c>
      <c r="L20" s="37">
        <f t="shared" si="4"/>
        <v>10</v>
      </c>
      <c r="M20" s="37">
        <f t="shared" si="5"/>
        <v>73020.600000000006</v>
      </c>
      <c r="N20" s="37">
        <f t="shared" si="6"/>
        <v>730206</v>
      </c>
      <c r="O20" s="80"/>
    </row>
    <row r="21" spans="1:15" s="39" customFormat="1" ht="24" customHeight="1" x14ac:dyDescent="0.25">
      <c r="A21" s="33" t="s">
        <v>154</v>
      </c>
      <c r="B21" s="34" t="str">
        <f>VLOOKUP(A21,'Danh mục hàng hóa'!$C$7:$D$31,2,0)</f>
        <v>Sạc Thinkplus trắng gen 2 new</v>
      </c>
      <c r="C21" s="37"/>
      <c r="D21" s="37"/>
      <c r="E21" s="37"/>
      <c r="F21" s="37">
        <f>SUMIF('Nhập hàng'!$F$5:$F$22,'TỔNG HỢP NHẬP XUẤT TỒN'!A21,'Nhập hàng'!$H$5:$H$22)</f>
        <v>1</v>
      </c>
      <c r="G21" s="37">
        <f>IFERROR(SUMIF('Nhập hàng'!$F$5:$F$22,'TỔNG HỢP NHẬP XUẤT TỒN'!A21,'Nhập hàng'!$L$5:$L$22)/SUMIF('Nhập hàng'!$F$5:$F$22,'TỔNG HỢP NHẬP XUẤT TỒN'!A21,'Nhập hàng'!$H$5:$H$22),0)</f>
        <v>454365</v>
      </c>
      <c r="H21" s="37">
        <f t="shared" si="1"/>
        <v>454365</v>
      </c>
      <c r="I21" s="37">
        <f>SUMIF('Bán hàng'!$B$6:$B$56,'TỔNG HỢP NHẬP XUẤT TỒN'!A21,'Bán hàng'!$D$6:$D$56)</f>
        <v>0</v>
      </c>
      <c r="J21" s="37">
        <f t="shared" ref="J21:J25" si="7">IFERROR((C21*D21+F21*G21)/(C21+F21),0)</f>
        <v>454365</v>
      </c>
      <c r="K21" s="37">
        <f t="shared" ref="K21:K25" si="8">I21*J21</f>
        <v>0</v>
      </c>
      <c r="L21" s="37">
        <f t="shared" ref="L21:L25" si="9">C21+F21-I21</f>
        <v>1</v>
      </c>
      <c r="M21" s="37">
        <f t="shared" ref="M21:M25" si="10">J21</f>
        <v>454365</v>
      </c>
      <c r="N21" s="37">
        <f t="shared" ref="N21:N25" si="11">L21*M21</f>
        <v>454365</v>
      </c>
      <c r="O21" s="80"/>
    </row>
    <row r="22" spans="1:15" s="39" customFormat="1" ht="24" customHeight="1" x14ac:dyDescent="0.25">
      <c r="A22" s="33" t="s">
        <v>150</v>
      </c>
      <c r="B22" s="34" t="str">
        <f>VLOOKUP(A22,'Danh mục hàng hóa'!$C$7:$D$31,2,0)</f>
        <v>Sạc Thinkplus gen 2 đen new</v>
      </c>
      <c r="C22" s="37"/>
      <c r="D22" s="37"/>
      <c r="E22" s="37"/>
      <c r="F22" s="37">
        <f>SUMIF('Nhập hàng'!$F$5:$F$22,'TỔNG HỢP NHẬP XUẤT TỒN'!A22,'Nhập hàng'!$H$5:$H$22)</f>
        <v>2</v>
      </c>
      <c r="G22" s="37">
        <f>IFERROR(SUMIF('Nhập hàng'!$F$5:$F$22,'TỔNG HỢP NHẬP XUẤT TỒN'!A22,'Nhập hàng'!$L$5:$L$22)/SUMIF('Nhập hàng'!$F$5:$F$22,'TỔNG HỢP NHẬP XUẤT TỒN'!A22,'Nhập hàng'!$H$5:$H$22),0)</f>
        <v>469205.61217268225</v>
      </c>
      <c r="H22" s="37">
        <f t="shared" si="1"/>
        <v>938411.22434536449</v>
      </c>
      <c r="I22" s="37">
        <f>SUMIF('Bán hàng'!$B$6:$B$56,'TỔNG HỢP NHẬP XUẤT TỒN'!A22,'Bán hàng'!$D$6:$D$56)</f>
        <v>2</v>
      </c>
      <c r="J22" s="37">
        <f t="shared" si="7"/>
        <v>469205.61217268225</v>
      </c>
      <c r="K22" s="37">
        <f t="shared" si="8"/>
        <v>938411.22434536449</v>
      </c>
      <c r="L22" s="37">
        <f t="shared" si="9"/>
        <v>0</v>
      </c>
      <c r="M22" s="37">
        <f t="shared" si="10"/>
        <v>469205.61217268225</v>
      </c>
      <c r="N22" s="37">
        <f t="shared" si="11"/>
        <v>0</v>
      </c>
      <c r="O22" s="80"/>
    </row>
    <row r="23" spans="1:15" s="39" customFormat="1" ht="24" customHeight="1" x14ac:dyDescent="0.25">
      <c r="A23" s="33" t="s">
        <v>151</v>
      </c>
      <c r="B23" s="34" t="str">
        <f>VLOOKUP(A23,'Danh mục hàng hóa'!$C$7:$D$31,2,0)</f>
        <v>Sạc Thinkplus gen 2 Pro đen new</v>
      </c>
      <c r="C23" s="37"/>
      <c r="D23" s="37"/>
      <c r="E23" s="37"/>
      <c r="F23" s="37">
        <f>SUMIF('Nhập hàng'!$F$5:$F$22,'TỔNG HỢP NHẬP XUẤT TỒN'!A23,'Nhập hàng'!$H$5:$H$22)</f>
        <v>1</v>
      </c>
      <c r="G23" s="37">
        <f>IFERROR(SUMIF('Nhập hàng'!$F$5:$F$22,'TỔNG HỢP NHẬP XUẤT TỒN'!A23,'Nhập hàng'!$L$5:$L$22)/SUMIF('Nhập hàng'!$F$5:$F$22,'TỔNG HỢP NHẬP XUẤT TỒN'!A23,'Nhập hàng'!$H$5:$H$22),0)</f>
        <v>473063</v>
      </c>
      <c r="H23" s="37">
        <f t="shared" si="1"/>
        <v>473063</v>
      </c>
      <c r="I23" s="37">
        <f>SUMIF('Bán hàng'!$B$6:$B$56,'TỔNG HỢP NHẬP XUẤT TỒN'!A23,'Bán hàng'!$D$6:$D$56)</f>
        <v>1</v>
      </c>
      <c r="J23" s="37">
        <f t="shared" si="7"/>
        <v>473063</v>
      </c>
      <c r="K23" s="37">
        <f t="shared" si="8"/>
        <v>473063</v>
      </c>
      <c r="L23" s="37">
        <f t="shared" si="9"/>
        <v>0</v>
      </c>
      <c r="M23" s="37">
        <f t="shared" si="10"/>
        <v>473063</v>
      </c>
      <c r="N23" s="37">
        <f t="shared" si="11"/>
        <v>0</v>
      </c>
      <c r="O23" s="80"/>
    </row>
    <row r="24" spans="1:15" s="39" customFormat="1" ht="24" customHeight="1" x14ac:dyDescent="0.25">
      <c r="A24" s="33" t="s">
        <v>145</v>
      </c>
      <c r="B24" s="34" t="str">
        <f>VLOOKUP(A24,'Danh mục hàng hóa'!$C$7:$D$31,2,0)</f>
        <v>Túi chống sốc màu đen Xiaoxin</v>
      </c>
      <c r="C24" s="37"/>
      <c r="D24" s="37"/>
      <c r="E24" s="37"/>
      <c r="F24" s="37">
        <f>SUMIF('Nhập hàng'!$F$5:$F$22,'TỔNG HỢP NHẬP XUẤT TỒN'!A24,'Nhập hàng'!$H$5:$H$22)</f>
        <v>2</v>
      </c>
      <c r="G24" s="37">
        <f>IFERROR(SUMIF('Nhập hàng'!$F$5:$F$22,'TỔNG HỢP NHẬP XUẤT TỒN'!A24,'Nhập hàng'!$L$5:$L$22)/SUMIF('Nhập hàng'!$F$5:$F$22,'TỔNG HỢP NHẬP XUẤT TỒN'!A24,'Nhập hàng'!$H$5:$H$22),0)</f>
        <v>115277.50389242746</v>
      </c>
      <c r="H24" s="37">
        <f t="shared" si="1"/>
        <v>230555.00778485491</v>
      </c>
      <c r="I24" s="37">
        <f>SUMIF('Bán hàng'!$B$6:$B$56,'TỔNG HỢP NHẬP XUẤT TỒN'!A24,'Bán hàng'!$D$6:$D$56)</f>
        <v>0</v>
      </c>
      <c r="J24" s="37">
        <f t="shared" si="7"/>
        <v>115277.50389242746</v>
      </c>
      <c r="K24" s="37">
        <f t="shared" si="8"/>
        <v>0</v>
      </c>
      <c r="L24" s="37">
        <f t="shared" si="9"/>
        <v>2</v>
      </c>
      <c r="M24" s="37">
        <f t="shared" si="10"/>
        <v>115277.50389242746</v>
      </c>
      <c r="N24" s="37">
        <f t="shared" si="11"/>
        <v>230555.00778485491</v>
      </c>
      <c r="O24" s="80"/>
    </row>
    <row r="25" spans="1:15" s="39" customFormat="1" ht="24" customHeight="1" x14ac:dyDescent="0.25">
      <c r="A25" s="33" t="s">
        <v>147</v>
      </c>
      <c r="B25" s="34" t="str">
        <f>VLOOKUP(A25,'Danh mục hàng hóa'!$C$7:$D$31,2,0)</f>
        <v>Balo thinkbook trắng</v>
      </c>
      <c r="C25" s="37"/>
      <c r="D25" s="37"/>
      <c r="E25" s="37"/>
      <c r="F25" s="37">
        <f>SUMIF('Nhập hàng'!$F$5:$F$22,'TỔNG HỢP NHẬP XUẤT TỒN'!A25,'Nhập hàng'!$H$5:$H$22)</f>
        <v>1</v>
      </c>
      <c r="G25" s="37">
        <f>IFERROR(SUMIF('Nhập hàng'!$F$5:$F$22,'TỔNG HỢP NHẬP XUẤT TỒN'!A25,'Nhập hàng'!$L$5:$L$22)/SUMIF('Nhập hàng'!$F$5:$F$22,'TỔNG HỢP NHẬP XUẤT TỒN'!A25,'Nhập hàng'!$H$5:$H$22),0)</f>
        <v>218629.74876150035</v>
      </c>
      <c r="H25" s="37">
        <f t="shared" si="1"/>
        <v>218629.74876150035</v>
      </c>
      <c r="I25" s="37">
        <f>SUMIF('Bán hàng'!$B$6:$B$56,'TỔNG HỢP NHẬP XUẤT TỒN'!A25,'Bán hàng'!$D$6:$D$56)</f>
        <v>1</v>
      </c>
      <c r="J25" s="37">
        <f t="shared" si="7"/>
        <v>218629.74876150035</v>
      </c>
      <c r="K25" s="37">
        <f t="shared" si="8"/>
        <v>218629.74876150035</v>
      </c>
      <c r="L25" s="37">
        <f t="shared" si="9"/>
        <v>0</v>
      </c>
      <c r="M25" s="37">
        <f t="shared" si="10"/>
        <v>218629.74876150035</v>
      </c>
      <c r="N25" s="37">
        <f t="shared" si="11"/>
        <v>0</v>
      </c>
      <c r="O25" s="80"/>
    </row>
    <row r="26" spans="1:15" s="39" customFormat="1" ht="24" customHeight="1" x14ac:dyDescent="0.25">
      <c r="A26" s="33" t="s">
        <v>54</v>
      </c>
      <c r="B26" s="34" t="str">
        <f>VLOOKUP(A26,'Danh mục hàng hóa'!$C$7:$D$31,2,0)</f>
        <v>Sạc Dell</v>
      </c>
      <c r="C26" s="37">
        <v>4</v>
      </c>
      <c r="D26" s="37">
        <f>VLOOKUP(A26,'Tổng hợp tồn kho cũ'!$A$3:$E$18,5,0)</f>
        <v>148750</v>
      </c>
      <c r="E26" s="37">
        <f t="shared" si="0"/>
        <v>595000</v>
      </c>
      <c r="F26" s="37">
        <f>SUMIF('Nhập hàng'!$F$5:$F$22,'TỔNG HỢP NHẬP XUẤT TỒN'!A26,'Nhập hàng'!$H$5:$H$22)</f>
        <v>0</v>
      </c>
      <c r="G26" s="37">
        <f>IFERROR(SUMIF('Nhập hàng'!$F$5:$F$22,'TỔNG HỢP NHẬP XUẤT TỒN'!A26,'Nhập hàng'!$L$5:$L$22)/SUMIF('Nhập hàng'!$F$5:$F$22,'TỔNG HỢP NHẬP XUẤT TỒN'!A26,'Nhập hàng'!$H$5:$H$22),0)</f>
        <v>0</v>
      </c>
      <c r="H26" s="37">
        <f t="shared" si="1"/>
        <v>0</v>
      </c>
      <c r="I26" s="37">
        <f>SUMIF('Bán hàng'!$B$6:$B$56,'TỔNG HỢP NHẬP XUẤT TỒN'!A26,'Bán hàng'!$D$6:$D$56)</f>
        <v>2</v>
      </c>
      <c r="J26" s="37">
        <f t="shared" si="2"/>
        <v>148750</v>
      </c>
      <c r="K26" s="37">
        <f t="shared" si="3"/>
        <v>297500</v>
      </c>
      <c r="L26" s="37">
        <f t="shared" si="4"/>
        <v>2</v>
      </c>
      <c r="M26" s="37">
        <f t="shared" si="5"/>
        <v>148750</v>
      </c>
      <c r="N26" s="37">
        <f t="shared" si="6"/>
        <v>297500</v>
      </c>
      <c r="O26" s="80"/>
    </row>
    <row r="27" spans="1:15" s="39" customFormat="1" ht="31.5" customHeight="1" x14ac:dyDescent="0.25">
      <c r="A27" s="58" t="s">
        <v>55</v>
      </c>
      <c r="B27" s="58"/>
      <c r="C27" s="58">
        <f>SUM(C6:C26)</f>
        <v>111</v>
      </c>
      <c r="D27" s="59"/>
      <c r="E27" s="59">
        <f>SUM(E6:E26)</f>
        <v>16199404.18181818</v>
      </c>
      <c r="F27" s="59">
        <f>SUM(F6:F26)</f>
        <v>52</v>
      </c>
      <c r="G27" s="59"/>
      <c r="H27" s="59">
        <f>SUM(H6:H26)</f>
        <v>9977155</v>
      </c>
      <c r="I27" s="59">
        <f>SUM(I6:I26)</f>
        <v>68</v>
      </c>
      <c r="J27" s="59"/>
      <c r="K27" s="59">
        <f>SUM(K6:K26)</f>
        <v>10761687.822059898</v>
      </c>
      <c r="L27" s="59">
        <f>SUM(L6:L26)</f>
        <v>95</v>
      </c>
      <c r="M27" s="59"/>
      <c r="N27" s="59">
        <f>SUM(N6:N26)</f>
        <v>15414871.359758284</v>
      </c>
      <c r="O27" s="80"/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Q4" location="'Nhập hàng'!A1" display="'Nhập hàng'!A1" xr:uid="{00000000-0004-0000-0400-000000000000}"/>
    <hyperlink ref="Q5" location="'Bán hàng'!A1" display="'Bán hàng'!A1" xr:uid="{00000000-0004-0000-0400-000001000000}"/>
    <hyperlink ref="Q6" location="'Các khoản chi phí'!A1" display="'Các khoản chi phí'!A1" xr:uid="{00000000-0004-0000-0400-000002000000}"/>
    <hyperlink ref="Q7" location="'TỔNG HỢP NHẬP XUẤT TỒN'!A1" display="'TỔNG HỢP NHẬP XUẤT TỒN'!A1" xr:uid="{00000000-0004-0000-0400-000003000000}"/>
    <hyperlink ref="Q8" location="'Lãi-Lỗ'!A1" display="'Lãi-Lỗ'!A1" xr:uid="{00000000-0004-0000-0400-000004000000}"/>
    <hyperlink ref="Q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hóa'!$C$7:$C$31</xm:f>
          </x14:formula1>
          <xm:sqref>A6:A26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topLeftCell="A16" workbookViewId="0">
      <selection activeCell="E5" sqref="E5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7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99" t="s">
        <v>130</v>
      </c>
      <c r="C2" s="99"/>
      <c r="D2" s="99"/>
      <c r="E2" s="99"/>
      <c r="F2" s="99"/>
    </row>
    <row r="3" spans="2:10" ht="32.450000000000003" customHeight="1" x14ac:dyDescent="0.25">
      <c r="B3" s="36" t="s">
        <v>66</v>
      </c>
      <c r="C3" s="36" t="s">
        <v>83</v>
      </c>
      <c r="D3" s="36" t="s">
        <v>71</v>
      </c>
      <c r="E3" s="36" t="s">
        <v>66</v>
      </c>
      <c r="F3" s="84" t="s">
        <v>66</v>
      </c>
    </row>
    <row r="4" spans="2:10" ht="34.15" customHeight="1" x14ac:dyDescent="0.25">
      <c r="B4" s="60" t="s">
        <v>79</v>
      </c>
      <c r="C4" s="60" t="s">
        <v>80</v>
      </c>
      <c r="D4" s="60" t="s">
        <v>89</v>
      </c>
      <c r="E4" s="60" t="s">
        <v>81</v>
      </c>
      <c r="F4" s="76" t="s">
        <v>67</v>
      </c>
      <c r="H4" s="50" t="s">
        <v>82</v>
      </c>
      <c r="I4" s="50"/>
    </row>
    <row r="5" spans="2:10" ht="30" customHeight="1" x14ac:dyDescent="0.25">
      <c r="B5" s="46">
        <v>44968</v>
      </c>
      <c r="C5" s="33" t="s">
        <v>90</v>
      </c>
      <c r="D5" s="33" t="str">
        <f t="shared" ref="D5:D24" si="0">_xlfn.IFNA(VLOOKUP(C5,$H$6:$I$6,2,0),0)</f>
        <v>Chi phí bán hàng</v>
      </c>
      <c r="E5" s="41">
        <v>126000</v>
      </c>
      <c r="F5" s="85" t="s">
        <v>140</v>
      </c>
      <c r="J5" s="39" t="s">
        <v>72</v>
      </c>
    </row>
    <row r="6" spans="2:10" ht="25.15" customHeight="1" x14ac:dyDescent="0.25">
      <c r="B6" s="46"/>
      <c r="C6" s="33"/>
      <c r="D6" s="33">
        <f t="shared" si="0"/>
        <v>0</v>
      </c>
      <c r="E6" s="41"/>
      <c r="F6" s="85"/>
      <c r="H6" s="33" t="s">
        <v>90</v>
      </c>
      <c r="I6" s="33" t="s">
        <v>16</v>
      </c>
      <c r="J6" s="41">
        <f>SUMIF($C$5:$C$24,H6,$E$5:$E$24)</f>
        <v>126000</v>
      </c>
    </row>
    <row r="7" spans="2:10" ht="25.15" customHeight="1" x14ac:dyDescent="0.25">
      <c r="B7" s="46"/>
      <c r="C7" s="33"/>
      <c r="D7" s="33">
        <f t="shared" si="0"/>
        <v>0</v>
      </c>
      <c r="E7" s="41"/>
      <c r="F7" s="85"/>
    </row>
    <row r="8" spans="2:10" ht="25.15" customHeight="1" x14ac:dyDescent="0.25">
      <c r="B8" s="33"/>
      <c r="C8" s="33"/>
      <c r="D8" s="33">
        <f t="shared" si="0"/>
        <v>0</v>
      </c>
      <c r="E8" s="41"/>
      <c r="F8" s="85"/>
    </row>
    <row r="9" spans="2:10" ht="25.15" customHeight="1" x14ac:dyDescent="0.25">
      <c r="B9" s="33"/>
      <c r="C9" s="33"/>
      <c r="D9" s="33">
        <f t="shared" si="0"/>
        <v>0</v>
      </c>
      <c r="E9" s="41"/>
      <c r="F9" s="85"/>
      <c r="H9" s="48" t="s">
        <v>101</v>
      </c>
      <c r="J9" s="48" t="s">
        <v>113</v>
      </c>
    </row>
    <row r="10" spans="2:10" ht="25.15" customHeight="1" x14ac:dyDescent="0.25">
      <c r="B10" s="33"/>
      <c r="C10" s="33"/>
      <c r="D10" s="33">
        <f t="shared" si="0"/>
        <v>0</v>
      </c>
      <c r="E10" s="41"/>
      <c r="F10" s="85"/>
      <c r="H10" s="39" t="s">
        <v>91</v>
      </c>
      <c r="J10" s="51" t="s">
        <v>95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5"/>
      <c r="H11" s="39" t="s">
        <v>97</v>
      </c>
      <c r="J11" s="51" t="s">
        <v>96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5"/>
      <c r="H12" s="39" t="s">
        <v>92</v>
      </c>
      <c r="J12" s="51" t="s">
        <v>98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5"/>
      <c r="H13" s="39" t="s">
        <v>93</v>
      </c>
      <c r="J13" s="51" t="s">
        <v>99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5"/>
      <c r="H14" s="39" t="s">
        <v>94</v>
      </c>
      <c r="J14" s="51" t="s">
        <v>100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5"/>
      <c r="H15" s="39" t="s">
        <v>125</v>
      </c>
      <c r="J15" s="47" t="s">
        <v>126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5"/>
    </row>
    <row r="17" spans="2:6" ht="25.15" customHeight="1" x14ac:dyDescent="0.25">
      <c r="B17" s="33"/>
      <c r="C17" s="33"/>
      <c r="D17" s="33">
        <f t="shared" si="0"/>
        <v>0</v>
      </c>
      <c r="E17" s="41"/>
      <c r="F17" s="85"/>
    </row>
    <row r="18" spans="2:6" ht="25.15" customHeight="1" x14ac:dyDescent="0.25">
      <c r="B18" s="33"/>
      <c r="C18" s="33"/>
      <c r="D18" s="33">
        <f t="shared" si="0"/>
        <v>0</v>
      </c>
      <c r="E18" s="41"/>
      <c r="F18" s="85"/>
    </row>
    <row r="19" spans="2:6" ht="25.15" customHeight="1" x14ac:dyDescent="0.25">
      <c r="B19" s="33"/>
      <c r="C19" s="33"/>
      <c r="D19" s="33">
        <f t="shared" si="0"/>
        <v>0</v>
      </c>
      <c r="E19" s="41"/>
      <c r="F19" s="85"/>
    </row>
    <row r="20" spans="2:6" ht="25.15" customHeight="1" x14ac:dyDescent="0.25">
      <c r="B20" s="33"/>
      <c r="C20" s="33"/>
      <c r="D20" s="33">
        <f t="shared" si="0"/>
        <v>0</v>
      </c>
      <c r="E20" s="41"/>
      <c r="F20" s="85"/>
    </row>
    <row r="21" spans="2:6" ht="25.15" customHeight="1" x14ac:dyDescent="0.25">
      <c r="B21" s="33"/>
      <c r="C21" s="33"/>
      <c r="D21" s="33">
        <f t="shared" si="0"/>
        <v>0</v>
      </c>
      <c r="E21" s="41"/>
      <c r="F21" s="85"/>
    </row>
    <row r="22" spans="2:6" ht="25.15" customHeight="1" x14ac:dyDescent="0.25">
      <c r="B22" s="33"/>
      <c r="C22" s="33"/>
      <c r="D22" s="33">
        <f t="shared" si="0"/>
        <v>0</v>
      </c>
      <c r="E22" s="41"/>
      <c r="F22" s="85"/>
    </row>
    <row r="23" spans="2:6" ht="25.15" customHeight="1" x14ac:dyDescent="0.25">
      <c r="B23" s="33"/>
      <c r="C23" s="33"/>
      <c r="D23" s="33">
        <f t="shared" si="0"/>
        <v>0</v>
      </c>
      <c r="E23" s="41"/>
      <c r="F23" s="85"/>
    </row>
    <row r="24" spans="2:6" ht="25.15" customHeight="1" x14ac:dyDescent="0.25">
      <c r="B24" s="33"/>
      <c r="C24" s="33"/>
      <c r="D24" s="33">
        <f t="shared" si="0"/>
        <v>0</v>
      </c>
      <c r="E24" s="41"/>
      <c r="F24" s="85"/>
    </row>
    <row r="25" spans="2:6" ht="25.15" customHeight="1" x14ac:dyDescent="0.25">
      <c r="B25" s="42" t="s">
        <v>78</v>
      </c>
      <c r="C25" s="42"/>
      <c r="D25" s="35"/>
      <c r="E25" s="67">
        <f>SUM(E5:E24)</f>
        <v>126000</v>
      </c>
      <c r="F25" s="86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0"/>
  <sheetViews>
    <sheetView topLeftCell="G1" workbookViewId="0">
      <selection activeCell="P3" sqref="P3"/>
    </sheetView>
  </sheetViews>
  <sheetFormatPr defaultColWidth="8.85546875" defaultRowHeight="15" x14ac:dyDescent="0.25"/>
  <cols>
    <col min="1" max="1" width="13" style="12" customWidth="1"/>
    <col min="2" max="2" width="9.5703125" style="12" customWidth="1"/>
    <col min="3" max="3" width="21.28515625" style="12" customWidth="1"/>
    <col min="4" max="4" width="11.7109375" style="12" customWidth="1"/>
    <col min="5" max="5" width="8.85546875" style="12"/>
    <col min="6" max="6" width="34.140625" style="12" customWidth="1"/>
    <col min="7" max="7" width="19.7109375" style="12" customWidth="1"/>
    <col min="8" max="8" width="8.85546875" style="12"/>
    <col min="9" max="9" width="22.28515625" style="12" customWidth="1"/>
    <col min="10" max="10" width="28" style="12" customWidth="1"/>
    <col min="11" max="11" width="8.85546875" style="12"/>
    <col min="12" max="12" width="14.140625" style="12" bestFit="1" customWidth="1"/>
    <col min="13" max="14" width="8.85546875" style="12"/>
    <col min="15" max="15" width="10.42578125" style="12" customWidth="1"/>
    <col min="16" max="16" width="10.140625" style="12" bestFit="1" customWidth="1"/>
    <col min="17" max="16384" width="8.85546875" style="12"/>
  </cols>
  <sheetData>
    <row r="2" spans="1:17" s="30" customFormat="1" ht="18.75" x14ac:dyDescent="0.3">
      <c r="F2" s="99" t="s">
        <v>118</v>
      </c>
      <c r="G2" s="99"/>
    </row>
    <row r="3" spans="1:17" ht="15.75" x14ac:dyDescent="0.25">
      <c r="A3" s="56" t="s">
        <v>108</v>
      </c>
      <c r="B3" s="56"/>
      <c r="C3" s="56"/>
      <c r="D3" s="56"/>
      <c r="G3" s="36" t="s">
        <v>72</v>
      </c>
      <c r="K3" s="12" t="s">
        <v>133</v>
      </c>
      <c r="L3" s="82">
        <v>9000000</v>
      </c>
      <c r="M3" s="12" t="s">
        <v>14</v>
      </c>
      <c r="N3" s="12" t="s">
        <v>138</v>
      </c>
      <c r="P3" s="83">
        <v>3855333</v>
      </c>
    </row>
    <row r="4" spans="1:17" ht="15.75" x14ac:dyDescent="0.25">
      <c r="F4" s="60" t="s">
        <v>74</v>
      </c>
      <c r="G4" s="60" t="s">
        <v>75</v>
      </c>
      <c r="I4" s="48" t="s">
        <v>101</v>
      </c>
      <c r="J4" s="48" t="s">
        <v>113</v>
      </c>
      <c r="L4" s="82">
        <v>19283000</v>
      </c>
      <c r="M4" s="12" t="s">
        <v>15</v>
      </c>
    </row>
    <row r="5" spans="1:17" ht="28.5" x14ac:dyDescent="0.25">
      <c r="A5" s="61" t="s">
        <v>114</v>
      </c>
      <c r="B5" s="62" t="s">
        <v>115</v>
      </c>
      <c r="C5" s="61" t="s">
        <v>116</v>
      </c>
      <c r="D5" s="61" t="s">
        <v>67</v>
      </c>
      <c r="F5" s="33" t="s">
        <v>76</v>
      </c>
      <c r="G5" s="41">
        <f>'Bán hàng'!I57</f>
        <v>18571000</v>
      </c>
      <c r="I5" s="39" t="s">
        <v>91</v>
      </c>
      <c r="J5" s="49" t="s">
        <v>95</v>
      </c>
      <c r="L5" s="82">
        <f>L3+L4</f>
        <v>28283000</v>
      </c>
    </row>
    <row r="6" spans="1:17" ht="15.75" x14ac:dyDescent="0.25">
      <c r="A6" s="28" t="s">
        <v>15</v>
      </c>
      <c r="B6" s="57">
        <v>0.6</v>
      </c>
      <c r="C6" s="77">
        <f>+G10*B6</f>
        <v>3637048.228411248</v>
      </c>
      <c r="D6" s="7"/>
      <c r="F6" s="33" t="s">
        <v>77</v>
      </c>
      <c r="G6" s="41">
        <f>'Bán hàng'!F57</f>
        <v>10761687.8220599</v>
      </c>
      <c r="I6" s="39" t="s">
        <v>97</v>
      </c>
      <c r="J6" s="49" t="s">
        <v>96</v>
      </c>
      <c r="L6" s="82">
        <f>'TỔNG HỢP NHẬP XUẤT TỒN'!N27</f>
        <v>15414871.359758284</v>
      </c>
    </row>
    <row r="7" spans="1:17" ht="15.75" x14ac:dyDescent="0.25">
      <c r="A7" s="28" t="s">
        <v>14</v>
      </c>
      <c r="B7" s="57">
        <v>0.4</v>
      </c>
      <c r="C7" s="77">
        <f>+G10*B7</f>
        <v>2424698.8189408323</v>
      </c>
      <c r="D7" s="7"/>
      <c r="F7" s="33" t="s">
        <v>134</v>
      </c>
      <c r="G7" s="41">
        <f>'Các khoản chi phí'!J6</f>
        <v>126000</v>
      </c>
      <c r="I7" s="39" t="s">
        <v>92</v>
      </c>
      <c r="J7" s="49" t="s">
        <v>98</v>
      </c>
      <c r="L7" s="82">
        <f>'Bán hàng'!I57</f>
        <v>18571000</v>
      </c>
    </row>
    <row r="8" spans="1:17" ht="15.75" x14ac:dyDescent="0.25">
      <c r="A8" s="116" t="s">
        <v>78</v>
      </c>
      <c r="B8" s="117"/>
      <c r="C8" s="78">
        <f>SUM(C6:C7)</f>
        <v>6061747.0473520802</v>
      </c>
      <c r="D8" s="63"/>
      <c r="F8" s="35" t="s">
        <v>117</v>
      </c>
      <c r="G8" s="41">
        <f>G5-G6-G7</f>
        <v>7683312.1779401004</v>
      </c>
      <c r="I8" s="39" t="s">
        <v>93</v>
      </c>
      <c r="J8" s="49" t="s">
        <v>99</v>
      </c>
      <c r="L8" s="82">
        <f>L5-L6+L7</f>
        <v>31439128.640241716</v>
      </c>
    </row>
    <row r="9" spans="1:17" ht="15.75" x14ac:dyDescent="0.25">
      <c r="C9" s="66" t="str">
        <f>IF(C8=G10,"TRUE","FALSE")</f>
        <v>TRUE</v>
      </c>
      <c r="F9" s="53" t="s">
        <v>106</v>
      </c>
      <c r="G9" s="41">
        <f>+'Bán hàng'!Q7</f>
        <v>1621565.1305880204</v>
      </c>
      <c r="I9" s="39" t="s">
        <v>94</v>
      </c>
      <c r="J9" s="49" t="s">
        <v>100</v>
      </c>
      <c r="L9" s="12">
        <f>'TỔNG HỢP NHẬP XUẤT TỒN'!K27</f>
        <v>10761687.822059898</v>
      </c>
      <c r="Q9" s="12">
        <f>3800+5400+140+130+140+2520+3000</f>
        <v>15130</v>
      </c>
    </row>
    <row r="10" spans="1:17" ht="15.75" x14ac:dyDescent="0.25">
      <c r="F10" s="64" t="s">
        <v>107</v>
      </c>
      <c r="G10" s="65">
        <f>+G8-G9</f>
        <v>6061747.0473520802</v>
      </c>
      <c r="I10" s="12" t="s">
        <v>125</v>
      </c>
      <c r="J10" s="47" t="s">
        <v>126</v>
      </c>
      <c r="L10" s="94">
        <f>L8-L9</f>
        <v>20677440.81818182</v>
      </c>
    </row>
  </sheetData>
  <mergeCells count="2">
    <mergeCell ref="F2:G2"/>
    <mergeCell ref="A8:B8"/>
  </mergeCells>
  <hyperlinks>
    <hyperlink ref="J5" location="'Nhập hàng'!A1" display="'Nhập hàng'!A1" xr:uid="{00000000-0004-0000-0600-000000000000}"/>
    <hyperlink ref="J6" location="'Bán hàng'!A1" display="'Bán hàng'!A1" xr:uid="{00000000-0004-0000-0600-000001000000}"/>
    <hyperlink ref="J7" location="'Các khoản chi phí'!A1" display="'Các khoản chi phí'!A1" xr:uid="{00000000-0004-0000-0600-000002000000}"/>
    <hyperlink ref="J8" location="'TỔNG HỢP NHẬP XUẤT TỒN'!A1" display="'TỔNG HỢP NHẬP XUẤT TỒN'!A1" xr:uid="{00000000-0004-0000-0600-000003000000}"/>
    <hyperlink ref="J9" location="'Lãi-Lỗ'!A1" display="'Lãi-Lỗ'!A1" xr:uid="{00000000-0004-0000-0600-000004000000}"/>
    <hyperlink ref="J10" location="'Danh mục hàng hóa'!A1" display="'Danh mục hàng hóa'!A1" xr:uid="{00000000-0004-0000-0600-000005000000}"/>
  </hyperlink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 tồn kho cũ</vt:lpstr>
      <vt:lpstr>Danh mục hàng hóa</vt:lpstr>
      <vt:lpstr>Nhập hàng</vt:lpstr>
      <vt:lpstr>Bán hàng</vt:lpstr>
      <vt:lpstr>TỔNG HỢP NHẬP XUẤT TỒN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</cp:lastModifiedBy>
  <dcterms:created xsi:type="dcterms:W3CDTF">2023-02-07T15:09:46Z</dcterms:created>
  <dcterms:modified xsi:type="dcterms:W3CDTF">2023-03-15T12:59:31Z</dcterms:modified>
</cp:coreProperties>
</file>