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E02DF11A-D6FD-4C10-AB36-A64A494B3987}" xr6:coauthVersionLast="47" xr6:coauthVersionMax="47" xr10:uidLastSave="{00000000-0000-0000-0000-000000000000}"/>
  <bookViews>
    <workbookView xWindow="-120" yWindow="-120" windowWidth="20730" windowHeight="11310" firstSheet="2" activeTab="3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Các khoản chi phí" sheetId="6" r:id="rId6"/>
    <sheet name="Lãi-Lỗ" sheetId="5" r:id="rId7"/>
  </sheets>
  <definedNames>
    <definedName name="_xlnm._FilterDatabase" localSheetId="3" hidden="1">'Bán hàng'!$A$5:$R$70</definedName>
    <definedName name="_xlnm._FilterDatabase" localSheetId="2" hidden="1">'Nhập hàng'!$A$4:$Q$4</definedName>
    <definedName name="_xlnm._FilterDatabase" localSheetId="0" hidden="1">'Tổng hợp tồn kho cũ'!$A$2:$Z$19</definedName>
  </definedNames>
  <calcPr calcId="191029"/>
</workbook>
</file>

<file path=xl/calcChain.xml><?xml version="1.0" encoding="utf-8"?>
<calcChain xmlns="http://schemas.openxmlformats.org/spreadsheetml/2006/main">
  <c r="F32" i="4" l="1"/>
  <c r="I32" i="4"/>
  <c r="E32" i="4"/>
  <c r="B32" i="4"/>
  <c r="C7" i="5"/>
  <c r="C6" i="5"/>
  <c r="B8" i="5"/>
  <c r="E21" i="4"/>
  <c r="E22" i="4"/>
  <c r="E23" i="4"/>
  <c r="E24" i="4"/>
  <c r="E25" i="4"/>
  <c r="E26" i="4"/>
  <c r="E27" i="4"/>
  <c r="E28" i="4"/>
  <c r="E29" i="4"/>
  <c r="E30" i="4"/>
  <c r="E31" i="4"/>
  <c r="E33" i="4"/>
  <c r="N10" i="3"/>
  <c r="C69" i="3"/>
  <c r="I68" i="3"/>
  <c r="C68" i="3"/>
  <c r="I67" i="3"/>
  <c r="C67" i="3"/>
  <c r="I66" i="3"/>
  <c r="C66" i="3"/>
  <c r="I21" i="7"/>
  <c r="I58" i="3"/>
  <c r="I55" i="3"/>
  <c r="I56" i="3"/>
  <c r="I57" i="3"/>
  <c r="I59" i="3"/>
  <c r="I60" i="3"/>
  <c r="I61" i="3"/>
  <c r="I62" i="3"/>
  <c r="I63" i="3"/>
  <c r="I64" i="3"/>
  <c r="I65" i="3"/>
  <c r="C56" i="3"/>
  <c r="C57" i="3"/>
  <c r="C58" i="3"/>
  <c r="C59" i="3"/>
  <c r="C60" i="3"/>
  <c r="C61" i="3"/>
  <c r="C62" i="3"/>
  <c r="C63" i="3"/>
  <c r="C64" i="3"/>
  <c r="C65" i="3"/>
  <c r="L19" i="7"/>
  <c r="L20" i="7"/>
  <c r="G29" i="4" s="1"/>
  <c r="L18" i="7"/>
  <c r="F29" i="4"/>
  <c r="I29" i="4"/>
  <c r="B29" i="4"/>
  <c r="L21" i="7"/>
  <c r="L16" i="7"/>
  <c r="L17" i="7"/>
  <c r="G6" i="4"/>
  <c r="G8" i="4"/>
  <c r="G9" i="4"/>
  <c r="G10" i="4"/>
  <c r="G11" i="4"/>
  <c r="G12" i="4"/>
  <c r="I40" i="3"/>
  <c r="F21" i="4"/>
  <c r="G21" i="4"/>
  <c r="I21" i="4"/>
  <c r="B21" i="4"/>
  <c r="F30" i="4"/>
  <c r="I30" i="4"/>
  <c r="B30" i="4"/>
  <c r="F31" i="4"/>
  <c r="I31" i="4"/>
  <c r="B31" i="4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5" i="7"/>
  <c r="B27" i="4"/>
  <c r="F27" i="4"/>
  <c r="I27" i="4"/>
  <c r="F26" i="4"/>
  <c r="I26" i="4"/>
  <c r="B26" i="4"/>
  <c r="L32" i="4" l="1"/>
  <c r="H29" i="4"/>
  <c r="L29" i="4"/>
  <c r="J29" i="4"/>
  <c r="H21" i="4"/>
  <c r="L21" i="4"/>
  <c r="J21" i="4"/>
  <c r="M21" i="4" s="1"/>
  <c r="L30" i="4"/>
  <c r="L31" i="4"/>
  <c r="L27" i="4"/>
  <c r="L26" i="4"/>
  <c r="M29" i="4" l="1"/>
  <c r="N29" i="4" s="1"/>
  <c r="G57" i="3"/>
  <c r="E57" i="3"/>
  <c r="F57" i="3" s="1"/>
  <c r="K29" i="4"/>
  <c r="N21" i="4"/>
  <c r="K21" i="4"/>
  <c r="I31" i="3"/>
  <c r="C31" i="3"/>
  <c r="C32" i="3"/>
  <c r="I32" i="3"/>
  <c r="C29" i="3"/>
  <c r="Q21" i="7"/>
  <c r="P23" i="7"/>
  <c r="I22" i="4"/>
  <c r="I23" i="4"/>
  <c r="I24" i="4"/>
  <c r="I25" i="4"/>
  <c r="I28" i="4"/>
  <c r="F22" i="4"/>
  <c r="F23" i="4"/>
  <c r="F24" i="4"/>
  <c r="F25" i="4"/>
  <c r="F28" i="4"/>
  <c r="B22" i="4"/>
  <c r="B23" i="4"/>
  <c r="B24" i="4"/>
  <c r="B25" i="4"/>
  <c r="B28" i="4"/>
  <c r="B18" i="4"/>
  <c r="G14" i="4"/>
  <c r="G15" i="4"/>
  <c r="G19" i="4"/>
  <c r="G20" i="4"/>
  <c r="G33" i="4"/>
  <c r="I12" i="3"/>
  <c r="M7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33" i="4"/>
  <c r="B6" i="4"/>
  <c r="L23" i="4" l="1"/>
  <c r="L24" i="4"/>
  <c r="L25" i="4"/>
  <c r="L28" i="4"/>
  <c r="L22" i="4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H23" i="7" l="1"/>
  <c r="J6" i="6"/>
  <c r="H7" i="5" s="1"/>
  <c r="R3" i="2"/>
  <c r="F7" i="4"/>
  <c r="F8" i="4"/>
  <c r="F9" i="4"/>
  <c r="J9" i="4" s="1"/>
  <c r="F10" i="4"/>
  <c r="F11" i="4"/>
  <c r="F12" i="4"/>
  <c r="F13" i="4"/>
  <c r="F14" i="4"/>
  <c r="F15" i="4"/>
  <c r="F16" i="4"/>
  <c r="F17" i="4"/>
  <c r="F18" i="4"/>
  <c r="F19" i="4"/>
  <c r="F20" i="4"/>
  <c r="F33" i="4"/>
  <c r="F6" i="4"/>
  <c r="M6" i="7"/>
  <c r="M8" i="7"/>
  <c r="M16" i="7"/>
  <c r="M17" i="7"/>
  <c r="M18" i="7"/>
  <c r="M19" i="7"/>
  <c r="M20" i="7"/>
  <c r="M21" i="7"/>
  <c r="M22" i="7"/>
  <c r="E25" i="6"/>
  <c r="I7" i="3"/>
  <c r="I8" i="3"/>
  <c r="I9" i="3"/>
  <c r="I10" i="3"/>
  <c r="I11" i="3"/>
  <c r="I13" i="3"/>
  <c r="N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3" i="4"/>
  <c r="I6" i="4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M3" i="2"/>
  <c r="E3" i="2"/>
  <c r="E69" i="3" l="1"/>
  <c r="E67" i="3"/>
  <c r="F67" i="3" s="1"/>
  <c r="G69" i="3"/>
  <c r="G67" i="3"/>
  <c r="N13" i="3"/>
  <c r="G61" i="3"/>
  <c r="E61" i="3"/>
  <c r="F61" i="3" s="1"/>
  <c r="G55" i="3"/>
  <c r="E55" i="3"/>
  <c r="F55" i="3" s="1"/>
  <c r="M14" i="7"/>
  <c r="L14" i="7"/>
  <c r="M15" i="7"/>
  <c r="L15" i="7"/>
  <c r="G30" i="4" s="1"/>
  <c r="M13" i="7"/>
  <c r="L13" i="7"/>
  <c r="G31" i="4" s="1"/>
  <c r="M12" i="7"/>
  <c r="L12" i="7"/>
  <c r="G13" i="4" s="1"/>
  <c r="H13" i="4" s="1"/>
  <c r="M11" i="7"/>
  <c r="L11" i="7"/>
  <c r="G7" i="4" s="1"/>
  <c r="M10" i="7"/>
  <c r="L10" i="7"/>
  <c r="G16" i="4" s="1"/>
  <c r="H16" i="4" s="1"/>
  <c r="M9" i="7"/>
  <c r="J19" i="4"/>
  <c r="J6" i="4"/>
  <c r="J12" i="4"/>
  <c r="G18" i="4"/>
  <c r="H18" i="4" s="1"/>
  <c r="E19" i="4"/>
  <c r="E13" i="4"/>
  <c r="H14" i="4"/>
  <c r="H33" i="4"/>
  <c r="H20" i="4"/>
  <c r="H12" i="4"/>
  <c r="H10" i="4"/>
  <c r="H8" i="4"/>
  <c r="H19" i="4"/>
  <c r="H11" i="4"/>
  <c r="H15" i="4"/>
  <c r="E16" i="4"/>
  <c r="E11" i="4"/>
  <c r="E8" i="4"/>
  <c r="L4" i="2"/>
  <c r="L13" i="4"/>
  <c r="L17" i="4"/>
  <c r="L9" i="4"/>
  <c r="L7" i="4"/>
  <c r="E18" i="4"/>
  <c r="E10" i="4"/>
  <c r="E17" i="4"/>
  <c r="E9" i="4"/>
  <c r="L33" i="4"/>
  <c r="L3" i="2"/>
  <c r="E15" i="4"/>
  <c r="L11" i="4"/>
  <c r="E14" i="4"/>
  <c r="E20" i="4"/>
  <c r="E12" i="4"/>
  <c r="E7" i="4"/>
  <c r="C34" i="4"/>
  <c r="L16" i="4"/>
  <c r="L6" i="4"/>
  <c r="E6" i="4"/>
  <c r="L15" i="4"/>
  <c r="L12" i="4"/>
  <c r="L8" i="4"/>
  <c r="L20" i="4"/>
  <c r="L14" i="4"/>
  <c r="L19" i="4"/>
  <c r="L18" i="4"/>
  <c r="L10" i="4"/>
  <c r="F34" i="4"/>
  <c r="I34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F69" i="3" l="1"/>
  <c r="H69" i="3"/>
  <c r="I69" i="3" s="1"/>
  <c r="J7" i="4"/>
  <c r="J30" i="4"/>
  <c r="H30" i="4"/>
  <c r="H31" i="4"/>
  <c r="J31" i="4"/>
  <c r="G46" i="3"/>
  <c r="E46" i="3"/>
  <c r="F46" i="3" s="1"/>
  <c r="G24" i="3"/>
  <c r="L9" i="7"/>
  <c r="J10" i="4"/>
  <c r="J11" i="4"/>
  <c r="J14" i="4"/>
  <c r="J15" i="4"/>
  <c r="J20" i="4"/>
  <c r="J13" i="4"/>
  <c r="J8" i="4"/>
  <c r="J33" i="4"/>
  <c r="J16" i="4"/>
  <c r="J18" i="4"/>
  <c r="L6" i="7"/>
  <c r="G27" i="4" s="1"/>
  <c r="L7" i="7"/>
  <c r="G24" i="4" s="1"/>
  <c r="L8" i="7"/>
  <c r="G23" i="4" s="1"/>
  <c r="J23" i="4" s="1"/>
  <c r="G17" i="3" s="1"/>
  <c r="E34" i="4"/>
  <c r="L34" i="4"/>
  <c r="L31" i="2"/>
  <c r="E17" i="3" l="1"/>
  <c r="F17" i="3" s="1"/>
  <c r="E65" i="3"/>
  <c r="F65" i="3" s="1"/>
  <c r="G65" i="3"/>
  <c r="E64" i="3"/>
  <c r="F64" i="3" s="1"/>
  <c r="G64" i="3"/>
  <c r="I70" i="3"/>
  <c r="N11" i="3"/>
  <c r="N14" i="3" s="1"/>
  <c r="H5" i="5" s="1"/>
  <c r="G36" i="3"/>
  <c r="E54" i="3"/>
  <c r="F54" i="3" s="1"/>
  <c r="G54" i="3"/>
  <c r="E58" i="3"/>
  <c r="F58" i="3" s="1"/>
  <c r="G58" i="3"/>
  <c r="E33" i="3"/>
  <c r="F33" i="3" s="1"/>
  <c r="G33" i="3"/>
  <c r="E24" i="3"/>
  <c r="F24" i="3" s="1"/>
  <c r="E36" i="3"/>
  <c r="F36" i="3" s="1"/>
  <c r="M30" i="4"/>
  <c r="N30" i="4" s="1"/>
  <c r="K30" i="4"/>
  <c r="M31" i="4"/>
  <c r="N31" i="4" s="1"/>
  <c r="K31" i="4"/>
  <c r="G28" i="4"/>
  <c r="H28" i="4" s="1"/>
  <c r="G17" i="4"/>
  <c r="H23" i="4"/>
  <c r="J27" i="4"/>
  <c r="G44" i="3" s="1"/>
  <c r="H27" i="4"/>
  <c r="G53" i="3"/>
  <c r="E53" i="3"/>
  <c r="F53" i="3" s="1"/>
  <c r="G31" i="3"/>
  <c r="E31" i="3"/>
  <c r="F31" i="3" s="1"/>
  <c r="G52" i="3"/>
  <c r="E52" i="3"/>
  <c r="F52" i="3" s="1"/>
  <c r="E30" i="3"/>
  <c r="F30" i="3" s="1"/>
  <c r="G35" i="3"/>
  <c r="E35" i="3"/>
  <c r="F35" i="3" s="1"/>
  <c r="G45" i="3"/>
  <c r="E45" i="3"/>
  <c r="F45" i="3" s="1"/>
  <c r="G42" i="3"/>
  <c r="G51" i="3"/>
  <c r="E42" i="3"/>
  <c r="F42" i="3" s="1"/>
  <c r="E51" i="3"/>
  <c r="F51" i="3" s="1"/>
  <c r="G37" i="3"/>
  <c r="E37" i="3"/>
  <c r="F37" i="3" s="1"/>
  <c r="G49" i="3"/>
  <c r="G50" i="3"/>
  <c r="E50" i="3"/>
  <c r="F50" i="3" s="1"/>
  <c r="G43" i="3"/>
  <c r="E43" i="3"/>
  <c r="F43" i="3" s="1"/>
  <c r="G40" i="3"/>
  <c r="E49" i="3"/>
  <c r="F49" i="3" s="1"/>
  <c r="E40" i="3"/>
  <c r="F40" i="3" s="1"/>
  <c r="M23" i="4"/>
  <c r="N23" i="4" s="1"/>
  <c r="K23" i="4"/>
  <c r="H9" i="4"/>
  <c r="G22" i="4"/>
  <c r="H7" i="4"/>
  <c r="E6" i="3"/>
  <c r="G25" i="4"/>
  <c r="G30" i="3"/>
  <c r="G19" i="3"/>
  <c r="E27" i="3"/>
  <c r="F27" i="3" s="1"/>
  <c r="E19" i="3"/>
  <c r="F19" i="3" s="1"/>
  <c r="G27" i="3"/>
  <c r="E15" i="3"/>
  <c r="F15" i="3" s="1"/>
  <c r="G15" i="3"/>
  <c r="G14" i="3"/>
  <c r="E14" i="3"/>
  <c r="F14" i="3" s="1"/>
  <c r="G6" i="3"/>
  <c r="M6" i="4"/>
  <c r="N6" i="4" s="1"/>
  <c r="H6" i="4"/>
  <c r="K6" i="4"/>
  <c r="M18" i="4"/>
  <c r="N18" i="4" s="1"/>
  <c r="K15" i="4"/>
  <c r="M14" i="4"/>
  <c r="N14" i="4" s="1"/>
  <c r="K13" i="4"/>
  <c r="K11" i="4"/>
  <c r="M10" i="4"/>
  <c r="N10" i="4" s="1"/>
  <c r="M16" i="4"/>
  <c r="N16" i="4" s="1"/>
  <c r="K19" i="4"/>
  <c r="K33" i="4"/>
  <c r="M12" i="4"/>
  <c r="N12" i="4" s="1"/>
  <c r="M20" i="4"/>
  <c r="N20" i="4" s="1"/>
  <c r="F6" i="3" l="1"/>
  <c r="E44" i="3"/>
  <c r="F44" i="3" s="1"/>
  <c r="J28" i="4"/>
  <c r="M28" i="4" s="1"/>
  <c r="N28" i="4" s="1"/>
  <c r="H17" i="4"/>
  <c r="J17" i="4"/>
  <c r="M27" i="4"/>
  <c r="N27" i="4" s="1"/>
  <c r="K27" i="4"/>
  <c r="J22" i="4"/>
  <c r="G47" i="3" s="1"/>
  <c r="H22" i="4"/>
  <c r="J25" i="4"/>
  <c r="G7" i="3" s="1"/>
  <c r="H25" i="4"/>
  <c r="H24" i="4"/>
  <c r="J24" i="4"/>
  <c r="G11" i="3"/>
  <c r="E11" i="3"/>
  <c r="F11" i="3" s="1"/>
  <c r="G10" i="3"/>
  <c r="E10" i="3"/>
  <c r="F10" i="3" s="1"/>
  <c r="G9" i="3"/>
  <c r="E9" i="3"/>
  <c r="F9" i="3" s="1"/>
  <c r="G8" i="3"/>
  <c r="E8" i="3"/>
  <c r="F8" i="3" s="1"/>
  <c r="M7" i="4"/>
  <c r="N7" i="4" s="1"/>
  <c r="M9" i="4"/>
  <c r="N9" i="4" s="1"/>
  <c r="M8" i="4"/>
  <c r="N8" i="4" s="1"/>
  <c r="K20" i="4"/>
  <c r="K12" i="4"/>
  <c r="K9" i="4"/>
  <c r="K7" i="4"/>
  <c r="M33" i="4"/>
  <c r="N33" i="4" s="1"/>
  <c r="K18" i="4"/>
  <c r="K16" i="4"/>
  <c r="M11" i="4"/>
  <c r="N11" i="4" s="1"/>
  <c r="M13" i="4"/>
  <c r="N13" i="4" s="1"/>
  <c r="M19" i="4"/>
  <c r="N19" i="4" s="1"/>
  <c r="K8" i="4"/>
  <c r="K14" i="4"/>
  <c r="K10" i="4"/>
  <c r="M15" i="4"/>
  <c r="N15" i="4" s="1"/>
  <c r="G21" i="3" l="1"/>
  <c r="E21" i="3"/>
  <c r="F21" i="3" s="1"/>
  <c r="G28" i="3"/>
  <c r="G23" i="3"/>
  <c r="E23" i="3"/>
  <c r="F23" i="3" s="1"/>
  <c r="E20" i="3"/>
  <c r="F20" i="3" s="1"/>
  <c r="G20" i="3"/>
  <c r="E28" i="3"/>
  <c r="F28" i="3" s="1"/>
  <c r="E7" i="3"/>
  <c r="F7" i="3" s="1"/>
  <c r="E26" i="3"/>
  <c r="F26" i="3" s="1"/>
  <c r="G25" i="3"/>
  <c r="G29" i="3"/>
  <c r="G26" i="3"/>
  <c r="E29" i="3"/>
  <c r="F29" i="3" s="1"/>
  <c r="E25" i="3"/>
  <c r="F25" i="3" s="1"/>
  <c r="E63" i="3"/>
  <c r="F63" i="3" s="1"/>
  <c r="E66" i="3"/>
  <c r="F66" i="3" s="1"/>
  <c r="G63" i="3"/>
  <c r="G66" i="3"/>
  <c r="G68" i="3"/>
  <c r="E68" i="3"/>
  <c r="F68" i="3" s="1"/>
  <c r="E59" i="3"/>
  <c r="F59" i="3" s="1"/>
  <c r="G59" i="3"/>
  <c r="E60" i="3"/>
  <c r="F60" i="3" s="1"/>
  <c r="G60" i="3"/>
  <c r="E48" i="3"/>
  <c r="F48" i="3" s="1"/>
  <c r="G48" i="3"/>
  <c r="E56" i="3"/>
  <c r="F56" i="3" s="1"/>
  <c r="G56" i="3"/>
  <c r="E47" i="3"/>
  <c r="F47" i="3" s="1"/>
  <c r="M17" i="4"/>
  <c r="N17" i="4" s="1"/>
  <c r="E41" i="3"/>
  <c r="F41" i="3" s="1"/>
  <c r="G41" i="3"/>
  <c r="G12" i="3"/>
  <c r="E12" i="3"/>
  <c r="F12" i="3" s="1"/>
  <c r="G39" i="3"/>
  <c r="E39" i="3"/>
  <c r="F39" i="3" s="1"/>
  <c r="G32" i="3"/>
  <c r="E32" i="3"/>
  <c r="F32" i="3" s="1"/>
  <c r="K17" i="4"/>
  <c r="E13" i="3"/>
  <c r="F13" i="3" s="1"/>
  <c r="O12" i="3" s="1"/>
  <c r="P12" i="3" s="1"/>
  <c r="G13" i="3"/>
  <c r="E22" i="3"/>
  <c r="F22" i="3" s="1"/>
  <c r="G34" i="3"/>
  <c r="E34" i="3"/>
  <c r="F34" i="3" s="1"/>
  <c r="G22" i="3"/>
  <c r="K28" i="4"/>
  <c r="G38" i="3"/>
  <c r="E38" i="3"/>
  <c r="F38" i="3" s="1"/>
  <c r="M24" i="4"/>
  <c r="N24" i="4" s="1"/>
  <c r="K24" i="4"/>
  <c r="M25" i="4"/>
  <c r="N25" i="4" s="1"/>
  <c r="K25" i="4"/>
  <c r="M22" i="4"/>
  <c r="N22" i="4" s="1"/>
  <c r="K22" i="4"/>
  <c r="O10" i="3" l="1"/>
  <c r="P10" i="3" s="1"/>
  <c r="Q12" i="3"/>
  <c r="R12" i="3" s="1"/>
  <c r="M5" i="7"/>
  <c r="Q10" i="3" l="1"/>
  <c r="L5" i="7"/>
  <c r="G26" i="4" l="1"/>
  <c r="G32" i="4"/>
  <c r="R10" i="3"/>
  <c r="G34" i="4" l="1"/>
  <c r="H26" i="4"/>
  <c r="J26" i="4"/>
  <c r="K26" i="4" s="1"/>
  <c r="J32" i="4"/>
  <c r="H32" i="4"/>
  <c r="E62" i="3"/>
  <c r="G62" i="3"/>
  <c r="M26" i="4" l="1"/>
  <c r="N26" i="4" s="1"/>
  <c r="G16" i="3"/>
  <c r="E16" i="3"/>
  <c r="F16" i="3" s="1"/>
  <c r="E18" i="3"/>
  <c r="F18" i="3" s="1"/>
  <c r="G18" i="3"/>
  <c r="G70" i="3" s="1"/>
  <c r="M32" i="4"/>
  <c r="N32" i="4" s="1"/>
  <c r="K32" i="4"/>
  <c r="K34" i="4" s="1"/>
  <c r="H34" i="4"/>
  <c r="F62" i="3"/>
  <c r="O13" i="3" s="1"/>
  <c r="E70" i="3" l="1"/>
  <c r="N34" i="4"/>
  <c r="O11" i="3"/>
  <c r="P11" i="3" s="1"/>
  <c r="Q11" i="3" s="1"/>
  <c r="P13" i="3"/>
  <c r="F70" i="3"/>
  <c r="R11" i="3" l="1"/>
  <c r="Q14" i="3"/>
  <c r="H9" i="5" s="1"/>
  <c r="O14" i="3"/>
  <c r="H6" i="5" s="1"/>
  <c r="H8" i="5" s="1"/>
  <c r="H10" i="5" s="1"/>
  <c r="R13" i="3"/>
  <c r="P14" i="3"/>
  <c r="R14" i="3" l="1"/>
  <c r="D7" i="5"/>
  <c r="D6" i="5"/>
  <c r="D8" i="5" l="1"/>
  <c r="D9" i="5" s="1"/>
</calcChain>
</file>

<file path=xl/sharedStrings.xml><?xml version="1.0" encoding="utf-8"?>
<sst xmlns="http://schemas.openxmlformats.org/spreadsheetml/2006/main" count="433" uniqueCount="183">
  <si>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</si>
  <si>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</si>
  <si>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</si>
  <si>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</si>
  <si>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</si>
  <si>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</si>
  <si>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</si>
  <si>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</si>
  <si>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</si>
  <si>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</si>
  <si>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</si>
  <si>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</si>
  <si>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</si>
  <si>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</si>
  <si>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</si>
  <si>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</si>
  <si>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</si>
  <si>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</si>
  <si>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</si>
  <si>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</si>
  <si>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</si>
  <si>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</si>
  <si>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</si>
  <si>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</si>
  <si>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</si>
  <si>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</si>
  <si>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</si>
  <si>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</si>
  <si>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</si>
  <si>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</si>
  <si>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</si>
  <si>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</si>
  <si>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</si>
  <si>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</si>
  <si>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</si>
  <si>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</si>
  <si>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</si>
  <si>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</si>
  <si>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</si>
  <si>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</si>
  <si>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</si>
  <si>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</si>
  <si>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</si>
  <si>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</si>
  <si>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</si>
  <si>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</si>
  <si>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</si>
  <si>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</si>
  <si>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</si>
  <si>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</si>
  <si>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</si>
  <si>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</si>
  <si>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</si>
  <si>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</si>
  <si>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</si>
  <si>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</si>
  <si>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</si>
  <si>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</si>
  <si>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</si>
  <si>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</si>
  <si>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</si>
  <si>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</si>
  <si>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</si>
  <si>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</si>
  <si>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</si>
  <si>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</si>
  <si>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</si>
  <si>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</si>
  <si>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</si>
  <si>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</si>
  <si>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</si>
  <si>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</si>
  <si>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</si>
  <si>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</si>
  <si>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</si>
  <si>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</si>
  <si>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</si>
  <si>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</si>
  <si>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</si>
  <si>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</si>
  <si>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</si>
  <si>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</si>
  <si>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</si>
  <si>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</si>
  <si>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</si>
  <si>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</si>
  <si>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</si>
  <si>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</si>
  <si>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</si>
  <si>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</si>
  <si>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</si>
  <si>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</si>
  <si>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</si>
  <si>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</si>
  <si>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</si>
  <si>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</si>
  <si>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</si>
  <si>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</si>
  <si>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</si>
  <si>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</si>
  <si>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</si>
  <si>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</si>
  <si>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</si>
  <si>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</si>
  <si>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</si>
  <si>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</si>
  <si>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</si>
  <si>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</si>
  <si>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</si>
  <si>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</si>
  <si>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</si>
  <si>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</si>
  <si>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</si>
  <si>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</si>
  <si>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</si>
  <si>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</si>
  <si>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</si>
  <si>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</si>
  <si>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</si>
  <si>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</si>
  <si>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</si>
  <si>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</si>
  <si>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</si>
  <si>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</si>
  <si>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</si>
  <si>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</si>
  <si>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</si>
  <si>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</si>
  <si>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</si>
  <si>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</si>
  <si>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</si>
  <si>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</si>
  <si>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</si>
  <si>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</si>
  <si>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Tồn kho thực tế</t>
  </si>
  <si>
    <t>SAC_GEN2T_CH</t>
  </si>
  <si>
    <t>TUI_SOCK_14IN</t>
  </si>
  <si>
    <t>BALO_THINKBOOK</t>
  </si>
  <si>
    <t>Balo thinkbook trắng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</si>
  <si>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</si>
  <si>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</si>
  <si>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</si>
  <si>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</si>
  <si>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</si>
  <si>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</si>
  <si>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Phân phối ngay 20%</t>
  </si>
  <si>
    <t>SAC_GEN1_NEW</t>
  </si>
  <si>
    <t>Sạc gan 1 đen new</t>
  </si>
  <si>
    <t>USBC_6IN1</t>
  </si>
  <si>
    <t>USB C 6in1</t>
  </si>
  <si>
    <t>109480</t>
  </si>
  <si>
    <t>CHUOT_THINKLIFE</t>
  </si>
  <si>
    <t>Chuột Thinklife</t>
  </si>
  <si>
    <t>SAC_YOGA_2C</t>
  </si>
  <si>
    <t>Sạc YOGA 2 cổng C</t>
  </si>
  <si>
    <t>Nam cầm 1 cái</t>
  </si>
  <si>
    <t>Đủ 7 củ thiếu 2 dây</t>
  </si>
  <si>
    <t>Sac_lenovo_C_REAL</t>
  </si>
  <si>
    <t>Sạc lenovo to type C bóc máy</t>
  </si>
  <si>
    <t>CTV</t>
  </si>
  <si>
    <t>TUI_SOCK_15.6IN</t>
  </si>
  <si>
    <t>Túi chống sốc màu đen Xiaoxin 15.6</t>
  </si>
  <si>
    <t>Túi chống sốc màu đen Xiaoxin 14</t>
  </si>
  <si>
    <t>SỔ CHI TIẾN BÁN HÀNG THÁNG 4.2023</t>
  </si>
  <si>
    <t>m1</t>
  </si>
  <si>
    <t>COD</t>
  </si>
  <si>
    <t>CK</t>
  </si>
  <si>
    <t>USB64</t>
  </si>
  <si>
    <t>USB 2 đầu 64GB</t>
  </si>
  <si>
    <t>24/3/23</t>
  </si>
  <si>
    <t>13/4/23</t>
  </si>
  <si>
    <t>19/04/23</t>
  </si>
  <si>
    <t>k3</t>
  </si>
  <si>
    <t>15/04/23</t>
  </si>
  <si>
    <t>16/04</t>
  </si>
  <si>
    <t>17/04/23</t>
  </si>
  <si>
    <t>18/04/23</t>
  </si>
  <si>
    <t>22/04/23</t>
  </si>
  <si>
    <t>m24</t>
  </si>
  <si>
    <t>23/4/23</t>
  </si>
  <si>
    <t>25/04/23</t>
  </si>
  <si>
    <t>28/4/23</t>
  </si>
  <si>
    <t>20/04/23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</si>
</sst>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11" fillId="10" borderId="3" xfId="0" applyFont="1" applyFill="1" applyBorder="1" applyAlignment="1">
      <alignment horizontal="center" vertical="center"/>
    </xf>
    <xf numFmtId="0" fontId="3" fillId="0" borderId="1" xfId="0" applyFont="1" applyBorder="1"/>
    <xf numFmtId="165" fontId="12" fillId="8" borderId="3" xfId="1" applyNumberFormat="1" applyFont="1" applyFill="1" applyBorder="1"/>
    <xf numFmtId="165" fontId="11" fillId="9" borderId="3" xfId="1" applyNumberFormat="1" applyFont="1" applyFill="1" applyBorder="1"/>
    <xf numFmtId="14" fontId="12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3" borderId="2" xfId="0" applyFont="1" applyFill="1" applyBorder="1"/>
    <xf numFmtId="3" fontId="12" fillId="0" borderId="0" xfId="0" applyNumberFormat="1" applyFont="1"/>
    <xf numFmtId="165" fontId="3" fillId="0" borderId="2" xfId="1" applyNumberFormat="1" applyFont="1" applyBorder="1" applyAlignment="1">
      <alignment horizontal="center"/>
    </xf>
    <xf numFmtId="0" fontId="2" fillId="11" borderId="3" xfId="0" applyFont="1" applyFill="1" applyBorder="1"/>
    <xf numFmtId="0" fontId="2" fillId="11" borderId="2" xfId="0" applyFont="1" applyFill="1" applyBorder="1"/>
    <xf numFmtId="165" fontId="2" fillId="11" borderId="2" xfId="0" applyNumberFormat="1" applyFont="1" applyFill="1" applyBorder="1"/>
    <xf numFmtId="165" fontId="2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108" t="s">
        <v>56</v>
      </c>
      <c r="B1" s="106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109"/>
      <c r="B2" s="107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135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4"/>
  <sheetViews>
    <sheetView workbookViewId="0">
      <pane ySplit="6" topLeftCell="A27" activePane="bottomLeft" state="frozen"/>
      <selection pane="bottomLeft" activeCell="D31" sqref="D31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110" t="s">
        <v>120</v>
      </c>
      <c r="C3" s="110"/>
      <c r="D3" s="110"/>
      <c r="E3" s="110"/>
    </row>
    <row r="6" spans="2:10" ht="30" customHeight="1" x14ac:dyDescent="0.25">
      <c r="B6" s="60" t="s">
        <v>121</v>
      </c>
      <c r="C6" s="60" t="s">
        <v>56</v>
      </c>
      <c r="D6" s="60" t="s">
        <v>122</v>
      </c>
      <c r="E6" s="60" t="s">
        <v>123</v>
      </c>
      <c r="F6" s="39"/>
      <c r="G6" s="39"/>
      <c r="H6" s="48" t="s">
        <v>100</v>
      </c>
      <c r="I6" s="48" t="s">
        <v>112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90</v>
      </c>
      <c r="I7" s="73" t="s">
        <v>94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96</v>
      </c>
      <c r="I8" s="73" t="s">
        <v>95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91</v>
      </c>
      <c r="I9" s="73" t="s">
        <v>97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92</v>
      </c>
      <c r="I10" s="73" t="s">
        <v>98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93</v>
      </c>
      <c r="I11" s="73" t="s">
        <v>99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124</v>
      </c>
      <c r="I12" s="73" t="s">
        <v>125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139</v>
      </c>
      <c r="D22" s="33" t="s">
        <v>141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140</v>
      </c>
      <c r="D23" s="33" t="s">
        <v>142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136</v>
      </c>
      <c r="D24" s="33" t="s">
        <v>162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137</v>
      </c>
      <c r="D25" s="33" t="s">
        <v>138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135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143</v>
      </c>
      <c r="D27" s="33" t="s">
        <v>144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 t="s">
        <v>146</v>
      </c>
      <c r="D28" s="33" t="s">
        <v>147</v>
      </c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 t="s">
        <v>148</v>
      </c>
      <c r="D29" s="33" t="s">
        <v>149</v>
      </c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 t="s">
        <v>157</v>
      </c>
      <c r="D30" s="33" t="s">
        <v>158</v>
      </c>
      <c r="E30" s="33"/>
      <c r="F30" s="39"/>
      <c r="G30" s="39"/>
      <c r="H30" s="39"/>
      <c r="I30" s="39"/>
      <c r="J30" s="39"/>
    </row>
    <row r="31" spans="2:10" ht="27.75" customHeight="1" x14ac:dyDescent="0.25">
      <c r="B31" s="40"/>
      <c r="C31" s="33" t="s">
        <v>167</v>
      </c>
      <c r="D31" s="33" t="s">
        <v>168</v>
      </c>
      <c r="E31" s="33"/>
      <c r="F31" s="39"/>
      <c r="G31" s="39"/>
      <c r="H31" s="39"/>
      <c r="I31" s="39"/>
      <c r="J31" s="39"/>
    </row>
    <row r="32" spans="2:10" ht="27.75" customHeight="1" x14ac:dyDescent="0.25">
      <c r="B32" s="40"/>
      <c r="C32" s="33" t="s">
        <v>160</v>
      </c>
      <c r="D32" s="33" t="s">
        <v>161</v>
      </c>
      <c r="E32" s="33"/>
      <c r="F32" s="39"/>
      <c r="G32" s="39"/>
      <c r="H32" s="39"/>
      <c r="I32" s="39"/>
      <c r="J32" s="39"/>
    </row>
    <row r="33" spans="2:10" ht="27.75" customHeight="1" x14ac:dyDescent="0.25">
      <c r="B33" s="40">
        <v>25</v>
      </c>
      <c r="C33" s="33" t="s">
        <v>151</v>
      </c>
      <c r="D33" s="33" t="s">
        <v>152</v>
      </c>
      <c r="E33" s="33"/>
      <c r="F33" s="39"/>
      <c r="G33" s="39"/>
      <c r="H33" s="39"/>
      <c r="I33" s="39"/>
      <c r="J33" s="39"/>
    </row>
    <row r="34" spans="2:10" ht="27.75" customHeight="1" x14ac:dyDescent="0.25">
      <c r="B34" s="40">
        <v>26</v>
      </c>
      <c r="C34" s="33" t="s">
        <v>153</v>
      </c>
      <c r="D34" s="33" t="s">
        <v>154</v>
      </c>
      <c r="E34" s="33"/>
      <c r="F34" s="39"/>
      <c r="G34" s="39"/>
      <c r="H34" s="39"/>
      <c r="I34" s="39"/>
      <c r="J34" s="39"/>
    </row>
  </sheetData>
  <mergeCells count="1">
    <mergeCell ref="B3:E3"/>
  </mergeCells>
  <conditionalFormatting sqref="C1:C1048576">
    <cfRule type="duplicateValues" dxfId="7" priority="1"/>
    <cfRule type="duplicateValues" dxfId="6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C1" workbookViewId="0">
      <pane ySplit="4" topLeftCell="A5" activePane="bottomLeft" state="frozen"/>
      <selection pane="bottomLeft" activeCell="K6" sqref="K6"/>
    </sheetView>
  </sheetViews>
  <sheetFormatPr defaultColWidth="8.85546875" defaultRowHeight="15.75" x14ac:dyDescent="0.25"/>
  <cols>
    <col min="1" max="2" width="8.85546875" style="39"/>
    <col min="3" max="3" width="6.28515625" style="39" customWidth="1"/>
    <col min="4" max="4" width="14.140625" style="39" customWidth="1"/>
    <col min="5" max="5" width="13.28515625" style="85" customWidth="1"/>
    <col min="6" max="6" width="28.7109375" style="39" customWidth="1"/>
    <col min="7" max="7" width="30.710937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12" t="s">
        <v>87</v>
      </c>
      <c r="B1" s="112"/>
      <c r="C1" s="44"/>
    </row>
    <row r="2" spans="1:16" ht="29.45" customHeight="1" x14ac:dyDescent="0.25">
      <c r="A2" s="112"/>
      <c r="B2" s="112"/>
      <c r="C2" s="44"/>
      <c r="D2" s="111" t="s">
        <v>83</v>
      </c>
      <c r="E2" s="111"/>
      <c r="F2" s="111"/>
      <c r="G2" s="111"/>
      <c r="H2" s="111"/>
      <c r="I2" s="111"/>
      <c r="J2" s="111"/>
      <c r="K2" s="111"/>
      <c r="L2" s="111"/>
      <c r="M2" s="111"/>
    </row>
    <row r="3" spans="1:16" ht="19.149999999999999" customHeight="1" x14ac:dyDescent="0.25">
      <c r="A3" s="112"/>
      <c r="B3" s="112"/>
      <c r="C3" s="44"/>
      <c r="D3" s="39" t="s">
        <v>65</v>
      </c>
      <c r="E3" s="85" t="s">
        <v>65</v>
      </c>
      <c r="F3" s="39" t="s">
        <v>64</v>
      </c>
      <c r="G3" s="39" t="s">
        <v>70</v>
      </c>
      <c r="H3" s="39" t="s">
        <v>65</v>
      </c>
      <c r="I3" s="39" t="s">
        <v>70</v>
      </c>
      <c r="J3" s="39" t="s">
        <v>65</v>
      </c>
      <c r="L3" s="39" t="s">
        <v>70</v>
      </c>
      <c r="M3" s="39" t="s">
        <v>70</v>
      </c>
    </row>
    <row r="4" spans="1:16" ht="40.15" customHeight="1" x14ac:dyDescent="0.25">
      <c r="A4" s="112"/>
      <c r="B4" s="112"/>
      <c r="D4" s="60" t="s">
        <v>78</v>
      </c>
      <c r="E4" s="86" t="s">
        <v>101</v>
      </c>
      <c r="F4" s="60" t="s">
        <v>37</v>
      </c>
      <c r="G4" s="60" t="s">
        <v>84</v>
      </c>
      <c r="H4" s="60" t="s">
        <v>85</v>
      </c>
      <c r="I4" s="60" t="s">
        <v>86</v>
      </c>
      <c r="J4" s="60" t="s">
        <v>53</v>
      </c>
      <c r="K4" s="76" t="s">
        <v>128</v>
      </c>
      <c r="L4" s="76" t="s">
        <v>131</v>
      </c>
      <c r="M4" s="60" t="s">
        <v>118</v>
      </c>
    </row>
    <row r="5" spans="1:16" ht="25.15" customHeight="1" x14ac:dyDescent="0.25">
      <c r="A5" s="112"/>
      <c r="B5" s="112"/>
      <c r="C5" s="44"/>
      <c r="D5" s="54" t="s">
        <v>169</v>
      </c>
      <c r="E5" s="87"/>
      <c r="F5" s="33" t="s">
        <v>167</v>
      </c>
      <c r="G5" s="40" t="str">
        <f>_xlfn.IFNA(VLOOKUP(F5,'Danh mục hàng hóa'!$C$7:$D$34,2,0),0)</f>
        <v>USB 2 đầu 64GB</v>
      </c>
      <c r="H5" s="33">
        <v>15</v>
      </c>
      <c r="I5" s="41">
        <f>J5/H5</f>
        <v>112256.66666666667</v>
      </c>
      <c r="J5" s="41">
        <v>1683850</v>
      </c>
      <c r="K5" s="74"/>
      <c r="L5" s="68">
        <f>+J5+K5</f>
        <v>1683850</v>
      </c>
      <c r="M5" s="68">
        <f>+IFERROR((J5+K5)/H5,0)</f>
        <v>112256.66666666667</v>
      </c>
    </row>
    <row r="6" spans="1:16" ht="25.15" customHeight="1" x14ac:dyDescent="0.25">
      <c r="A6" s="112"/>
      <c r="B6" s="112"/>
      <c r="C6" s="44"/>
      <c r="D6" s="54" t="s">
        <v>182</v>
      </c>
      <c r="E6" s="87"/>
      <c r="F6" s="33" t="s">
        <v>139</v>
      </c>
      <c r="G6" s="40" t="str">
        <f>_xlfn.IFNA(VLOOKUP(F6,'Danh mục hàng hóa'!$C$7:$D$34,2,0),0)</f>
        <v>Sạc Thinkplus gen 2 đen new</v>
      </c>
      <c r="H6" s="33">
        <v>5</v>
      </c>
      <c r="I6" s="41">
        <f t="shared" ref="I6:I22" si="0">J6/H6</f>
        <v>441200</v>
      </c>
      <c r="J6" s="41">
        <v>2206000</v>
      </c>
      <c r="K6" s="74"/>
      <c r="L6" s="68">
        <f t="shared" ref="L6:L21" si="1">+J6+K6</f>
        <v>2206000</v>
      </c>
      <c r="M6" s="68">
        <f t="shared" ref="M6:M22" si="2">+IFERROR((J6+K6)/H6,0)</f>
        <v>441200</v>
      </c>
      <c r="O6" s="39" t="s">
        <v>90</v>
      </c>
      <c r="P6" s="51" t="s">
        <v>94</v>
      </c>
    </row>
    <row r="7" spans="1:16" ht="25.15" customHeight="1" x14ac:dyDescent="0.25">
      <c r="A7" s="43"/>
      <c r="B7" s="43"/>
      <c r="C7" s="43"/>
      <c r="D7" s="54"/>
      <c r="E7" s="87"/>
      <c r="F7" s="33"/>
      <c r="G7" s="40">
        <f>_xlfn.IFNA(VLOOKUP(F7,'Danh mục hàng hóa'!$C$7:$D$34,2,0),0)</f>
        <v>0</v>
      </c>
      <c r="H7" s="33"/>
      <c r="I7" s="41" t="e">
        <f t="shared" si="0"/>
        <v>#DIV/0!</v>
      </c>
      <c r="J7" s="41"/>
      <c r="K7" s="74"/>
      <c r="L7" s="68">
        <f t="shared" si="1"/>
        <v>0</v>
      </c>
      <c r="M7" s="68">
        <f t="shared" si="2"/>
        <v>0</v>
      </c>
      <c r="O7" s="39" t="s">
        <v>96</v>
      </c>
      <c r="P7" s="51" t="s">
        <v>95</v>
      </c>
    </row>
    <row r="8" spans="1:16" ht="25.15" customHeight="1" x14ac:dyDescent="0.25">
      <c r="A8" s="43"/>
      <c r="B8" s="43"/>
      <c r="C8" s="43"/>
      <c r="D8" s="54"/>
      <c r="E8" s="87"/>
      <c r="F8" s="33"/>
      <c r="G8" s="40">
        <f>_xlfn.IFNA(VLOOKUP(F8,'Danh mục hàng hóa'!$C$7:$D$34,2,0),0)</f>
        <v>0</v>
      </c>
      <c r="H8" s="33"/>
      <c r="I8" s="41" t="e">
        <f t="shared" si="0"/>
        <v>#DIV/0!</v>
      </c>
      <c r="J8" s="41"/>
      <c r="K8" s="74"/>
      <c r="L8" s="68">
        <f t="shared" si="1"/>
        <v>0</v>
      </c>
      <c r="M8" s="68">
        <f t="shared" si="2"/>
        <v>0</v>
      </c>
      <c r="O8" s="39" t="s">
        <v>91</v>
      </c>
      <c r="P8" s="51" t="s">
        <v>97</v>
      </c>
    </row>
    <row r="9" spans="1:16" ht="25.15" customHeight="1" x14ac:dyDescent="0.25">
      <c r="A9" s="43"/>
      <c r="B9" s="43"/>
      <c r="C9" s="43"/>
      <c r="D9" s="54"/>
      <c r="E9" s="87"/>
      <c r="F9" s="33"/>
      <c r="G9" s="40">
        <f>_xlfn.IFNA(VLOOKUP(F9,'Danh mục hàng hóa'!$C$7:$D$34,2,0),0)</f>
        <v>0</v>
      </c>
      <c r="H9" s="33"/>
      <c r="I9" s="41" t="e">
        <f t="shared" si="0"/>
        <v>#DIV/0!</v>
      </c>
      <c r="J9" s="41"/>
      <c r="K9" s="74"/>
      <c r="L9" s="68">
        <f t="shared" si="1"/>
        <v>0</v>
      </c>
      <c r="M9" s="68">
        <f t="shared" si="2"/>
        <v>0</v>
      </c>
      <c r="O9" s="39" t="s">
        <v>92</v>
      </c>
      <c r="P9" s="51" t="s">
        <v>98</v>
      </c>
    </row>
    <row r="10" spans="1:16" ht="25.15" customHeight="1" x14ac:dyDescent="0.25">
      <c r="D10" s="54"/>
      <c r="E10" s="87"/>
      <c r="F10" s="99"/>
      <c r="G10" s="40">
        <f>_xlfn.IFNA(VLOOKUP(F10,'Danh mục hàng hóa'!$C$7:$D$34,2,0),0)</f>
        <v>0</v>
      </c>
      <c r="H10" s="33"/>
      <c r="I10" s="41" t="e">
        <f t="shared" si="0"/>
        <v>#DIV/0!</v>
      </c>
      <c r="J10" s="41"/>
      <c r="K10" s="74"/>
      <c r="L10" s="68">
        <f t="shared" si="1"/>
        <v>0</v>
      </c>
      <c r="M10" s="68">
        <f t="shared" si="2"/>
        <v>0</v>
      </c>
      <c r="O10" s="39" t="s">
        <v>93</v>
      </c>
      <c r="P10" s="51" t="s">
        <v>99</v>
      </c>
    </row>
    <row r="11" spans="1:16" ht="25.15" customHeight="1" x14ac:dyDescent="0.25">
      <c r="D11" s="54"/>
      <c r="E11" s="87"/>
      <c r="F11" s="33"/>
      <c r="G11" s="40">
        <f>_xlfn.IFNA(VLOOKUP(F11,'Danh mục hàng hóa'!$C$7:$D$34,2,0),0)</f>
        <v>0</v>
      </c>
      <c r="H11" s="33"/>
      <c r="I11" s="41" t="e">
        <f t="shared" si="0"/>
        <v>#DIV/0!</v>
      </c>
      <c r="J11" s="41"/>
      <c r="K11" s="74"/>
      <c r="L11" s="68">
        <f t="shared" si="1"/>
        <v>0</v>
      </c>
      <c r="M11" s="68">
        <f t="shared" si="2"/>
        <v>0</v>
      </c>
      <c r="O11" s="39" t="s">
        <v>124</v>
      </c>
      <c r="P11" s="47" t="s">
        <v>125</v>
      </c>
    </row>
    <row r="12" spans="1:16" ht="25.15" customHeight="1" x14ac:dyDescent="0.25">
      <c r="D12" s="54"/>
      <c r="E12" s="87"/>
      <c r="F12" s="33"/>
      <c r="G12" s="40">
        <f>_xlfn.IFNA(VLOOKUP(F12,'Danh mục hàng hóa'!$C$7:$D$34,2,0),0)</f>
        <v>0</v>
      </c>
      <c r="H12" s="33"/>
      <c r="I12" s="41" t="e">
        <f t="shared" si="0"/>
        <v>#DIV/0!</v>
      </c>
      <c r="J12" s="41"/>
      <c r="K12" s="74"/>
      <c r="L12" s="68">
        <f t="shared" si="1"/>
        <v>0</v>
      </c>
      <c r="M12" s="68">
        <f t="shared" si="2"/>
        <v>0</v>
      </c>
    </row>
    <row r="13" spans="1:16" ht="25.15" customHeight="1" x14ac:dyDescent="0.25">
      <c r="D13" s="54"/>
      <c r="E13" s="87"/>
      <c r="F13" s="33"/>
      <c r="G13" s="40">
        <f>_xlfn.IFNA(VLOOKUP(F13,'Danh mục hàng hóa'!$C$7:$D$34,2,0),0)</f>
        <v>0</v>
      </c>
      <c r="H13" s="33"/>
      <c r="I13" s="41" t="e">
        <f t="shared" si="0"/>
        <v>#DIV/0!</v>
      </c>
      <c r="J13" s="41"/>
      <c r="K13" s="74"/>
      <c r="L13" s="68">
        <f t="shared" si="1"/>
        <v>0</v>
      </c>
      <c r="M13" s="68">
        <f t="shared" si="2"/>
        <v>0</v>
      </c>
      <c r="O13" s="75" t="s">
        <v>127</v>
      </c>
      <c r="P13" s="75" t="s">
        <v>111</v>
      </c>
    </row>
    <row r="14" spans="1:16" ht="25.15" customHeight="1" x14ac:dyDescent="0.25">
      <c r="D14" s="54"/>
      <c r="E14" s="87"/>
      <c r="F14" s="33"/>
      <c r="G14" s="40">
        <f>_xlfn.IFNA(VLOOKUP(F14,'Danh mục hàng hóa'!$C$7:$D$34,2,0),0)</f>
        <v>0</v>
      </c>
      <c r="H14" s="33"/>
      <c r="I14" s="41" t="e">
        <f t="shared" si="0"/>
        <v>#DIV/0!</v>
      </c>
      <c r="J14" s="41"/>
      <c r="K14" s="74"/>
      <c r="L14" s="68">
        <f t="shared" si="1"/>
        <v>0</v>
      </c>
      <c r="M14" s="68">
        <f t="shared" si="2"/>
        <v>0</v>
      </c>
      <c r="O14" s="33" t="s">
        <v>150</v>
      </c>
      <c r="P14" s="41">
        <v>141983</v>
      </c>
    </row>
    <row r="15" spans="1:16" ht="25.15" customHeight="1" x14ac:dyDescent="0.25">
      <c r="D15" s="54"/>
      <c r="E15" s="87"/>
      <c r="F15" s="33"/>
      <c r="G15" s="40">
        <f>_xlfn.IFNA(VLOOKUP(F15,'Danh mục hàng hóa'!$C$7:$D$34,2,0),0)</f>
        <v>0</v>
      </c>
      <c r="H15" s="33"/>
      <c r="I15" s="41" t="e">
        <f t="shared" si="0"/>
        <v>#DIV/0!</v>
      </c>
      <c r="J15" s="41"/>
      <c r="K15" s="74"/>
      <c r="L15" s="68">
        <f t="shared" si="1"/>
        <v>0</v>
      </c>
      <c r="M15" s="68">
        <f t="shared" si="2"/>
        <v>0</v>
      </c>
      <c r="O15" s="33" t="s">
        <v>150</v>
      </c>
      <c r="P15" s="41">
        <v>456000</v>
      </c>
    </row>
    <row r="16" spans="1:16" ht="25.15" customHeight="1" x14ac:dyDescent="0.25">
      <c r="D16" s="54"/>
      <c r="E16" s="87"/>
      <c r="F16" s="33"/>
      <c r="G16" s="40">
        <f>_xlfn.IFNA(VLOOKUP(F16,'Danh mục hàng hóa'!$C$7:$D$34,2,0),0)</f>
        <v>0</v>
      </c>
      <c r="H16" s="33"/>
      <c r="I16" s="41" t="e">
        <f t="shared" si="0"/>
        <v>#DIV/0!</v>
      </c>
      <c r="J16" s="41"/>
      <c r="K16" s="41"/>
      <c r="L16" s="68">
        <f t="shared" si="1"/>
        <v>0</v>
      </c>
      <c r="M16" s="68">
        <f t="shared" si="2"/>
        <v>0</v>
      </c>
      <c r="O16" s="33"/>
      <c r="P16" s="41"/>
    </row>
    <row r="17" spans="4:17" ht="25.15" customHeight="1" x14ac:dyDescent="0.25">
      <c r="D17" s="54"/>
      <c r="E17" s="87"/>
      <c r="F17" s="33"/>
      <c r="G17" s="40">
        <f>_xlfn.IFNA(VLOOKUP(F17,'Danh mục hàng hóa'!$C$7:$D$34,2,0),0)</f>
        <v>0</v>
      </c>
      <c r="H17" s="33"/>
      <c r="I17" s="41" t="e">
        <f t="shared" si="0"/>
        <v>#DIV/0!</v>
      </c>
      <c r="J17" s="41"/>
      <c r="K17" s="41"/>
      <c r="L17" s="68">
        <f t="shared" si="1"/>
        <v>0</v>
      </c>
      <c r="M17" s="68">
        <f t="shared" si="2"/>
        <v>0</v>
      </c>
      <c r="O17" s="33"/>
      <c r="P17" s="33"/>
    </row>
    <row r="18" spans="4:17" ht="25.15" customHeight="1" x14ac:dyDescent="0.25">
      <c r="D18" s="54"/>
      <c r="E18" s="87"/>
      <c r="F18" s="33"/>
      <c r="G18" s="40">
        <f>_xlfn.IFNA(VLOOKUP(F18,'Danh mục hàng hóa'!$C$7:$D$34,2,0),0)</f>
        <v>0</v>
      </c>
      <c r="H18" s="33"/>
      <c r="I18" s="41" t="e">
        <f t="shared" si="0"/>
        <v>#DIV/0!</v>
      </c>
      <c r="J18" s="41"/>
      <c r="K18" s="41"/>
      <c r="L18" s="68">
        <f t="shared" si="1"/>
        <v>0</v>
      </c>
      <c r="M18" s="68">
        <f t="shared" si="2"/>
        <v>0</v>
      </c>
      <c r="O18" s="33"/>
      <c r="P18" s="33"/>
    </row>
    <row r="19" spans="4:17" ht="25.15" customHeight="1" x14ac:dyDescent="0.25">
      <c r="D19" s="54"/>
      <c r="E19" s="87"/>
      <c r="F19" s="33"/>
      <c r="G19" s="40">
        <f>_xlfn.IFNA(VLOOKUP(F19,'Danh mục hàng hóa'!$C$7:$D$34,2,0),0)</f>
        <v>0</v>
      </c>
      <c r="H19" s="33"/>
      <c r="I19" s="41" t="e">
        <f t="shared" si="0"/>
        <v>#DIV/0!</v>
      </c>
      <c r="J19" s="41"/>
      <c r="K19" s="41"/>
      <c r="L19" s="68">
        <f t="shared" si="1"/>
        <v>0</v>
      </c>
      <c r="M19" s="68">
        <f t="shared" si="2"/>
        <v>0</v>
      </c>
    </row>
    <row r="20" spans="4:17" ht="25.15" customHeight="1" x14ac:dyDescent="0.25">
      <c r="D20" s="54"/>
      <c r="E20" s="87"/>
      <c r="F20" s="33"/>
      <c r="G20" s="40">
        <f>_xlfn.IFNA(VLOOKUP(F20,'Danh mục hàng hóa'!$C$7:$D$34,2,0),0)</f>
        <v>0</v>
      </c>
      <c r="H20" s="33"/>
      <c r="I20" s="41" t="e">
        <f t="shared" si="0"/>
        <v>#DIV/0!</v>
      </c>
      <c r="J20" s="41"/>
      <c r="K20" s="41"/>
      <c r="L20" s="68">
        <f t="shared" si="1"/>
        <v>0</v>
      </c>
      <c r="M20" s="68">
        <f t="shared" si="2"/>
        <v>0</v>
      </c>
      <c r="O20" s="55"/>
      <c r="P20" s="89">
        <v>5616797</v>
      </c>
    </row>
    <row r="21" spans="4:17" ht="25.15" customHeight="1" x14ac:dyDescent="0.25">
      <c r="D21" s="54"/>
      <c r="E21" s="87"/>
      <c r="F21" s="33"/>
      <c r="G21" s="40">
        <f>_xlfn.IFNA(VLOOKUP(F21,'Danh mục hàng hóa'!$C$7:$D$34,2,0),0)</f>
        <v>0</v>
      </c>
      <c r="H21" s="33"/>
      <c r="I21" s="41" t="e">
        <f t="shared" si="0"/>
        <v>#DIV/0!</v>
      </c>
      <c r="J21" s="41"/>
      <c r="K21" s="41"/>
      <c r="L21" s="68">
        <f t="shared" si="1"/>
        <v>0</v>
      </c>
      <c r="M21" s="68">
        <f t="shared" si="2"/>
        <v>0</v>
      </c>
      <c r="P21" s="89">
        <v>263314</v>
      </c>
      <c r="Q21" s="39">
        <f>20*3635</f>
        <v>72700</v>
      </c>
    </row>
    <row r="22" spans="4:17" ht="25.15" customHeight="1" x14ac:dyDescent="0.25">
      <c r="D22" s="40"/>
      <c r="E22" s="87"/>
      <c r="F22" s="33"/>
      <c r="G22" s="40">
        <f>_xlfn.IFNA(VLOOKUP(F22,'Danh mục hàng hóa'!$C$7:$D$34,2,0),0)</f>
        <v>0</v>
      </c>
      <c r="H22" s="33"/>
      <c r="I22" s="41" t="e">
        <f t="shared" si="0"/>
        <v>#DIV/0!</v>
      </c>
      <c r="J22" s="41"/>
      <c r="K22" s="41"/>
      <c r="L22" s="41"/>
      <c r="M22" s="68">
        <f t="shared" si="2"/>
        <v>0</v>
      </c>
      <c r="P22" s="89">
        <v>144528</v>
      </c>
    </row>
    <row r="23" spans="4:17" ht="25.15" customHeight="1" x14ac:dyDescent="0.25">
      <c r="D23" s="42" t="s">
        <v>77</v>
      </c>
      <c r="E23" s="88"/>
      <c r="F23" s="33"/>
      <c r="G23" s="33"/>
      <c r="H23" s="33">
        <f>SUM(H5:H22)</f>
        <v>20</v>
      </c>
      <c r="I23" s="33"/>
      <c r="J23" s="33"/>
      <c r="K23" s="33"/>
      <c r="L23" s="33"/>
      <c r="M23" s="33"/>
      <c r="P23" s="90">
        <f>P20-P21-P22</f>
        <v>5208955</v>
      </c>
    </row>
    <row r="25" spans="4:17" x14ac:dyDescent="0.25">
      <c r="K25" s="100"/>
    </row>
    <row r="26" spans="4:17" x14ac:dyDescent="0.25">
      <c r="K26" s="90"/>
    </row>
  </sheetData>
  <autoFilter ref="A4:Q4" xr:uid="{00000000-0001-0000-0200-000000000000}">
    <filterColumn colId="0" showButton="0"/>
  </autoFilter>
  <mergeCells count="2">
    <mergeCell ref="D2:M2"/>
    <mergeCell ref="A1:B6"/>
  </mergeCells>
  <phoneticPr fontId="20" type="noConversion"/>
  <conditionalFormatting sqref="F10:F11">
    <cfRule type="duplicateValues" dxfId="5" priority="3"/>
    <cfRule type="duplicateValues" dxfId="4" priority="4"/>
  </conditionalFormatting>
  <conditionalFormatting sqref="F12">
    <cfRule type="duplicateValues" dxfId="3" priority="1"/>
    <cfRule type="duplicateValues" dxfId="2" priority="2"/>
  </conditionalFormatting>
  <hyperlinks>
    <hyperlink ref="P6" location="'Nhập hàng'!A1" display="'Nhập hàng'!A1" xr:uid="{00000000-0004-0000-0200-000000000000}"/>
    <hyperlink ref="P7" location="'Bán hàng'!A1" display="'Bán hàng'!A1" xr:uid="{00000000-0004-0000-0200-000001000000}"/>
    <hyperlink ref="P8" location="'Các khoản chi phí'!A1" display="'Các khoản chi phí'!A1" xr:uid="{00000000-0004-0000-0200-000002000000}"/>
    <hyperlink ref="P9" location="'TỔNG HỢP NHẬP XUẤT TỒN'!A1" display="'TỔNG HỢP NHẬP XUẤT TỒN'!A1" xr:uid="{00000000-0004-0000-0200-000003000000}"/>
    <hyperlink ref="P10" location="'Lãi-Lỗ'!A1" display="'Lãi-Lỗ'!A1" xr:uid="{00000000-0004-0000-0200-000004000000}"/>
    <hyperlink ref="P11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hóa'!$C$7:$C$34</xm:f>
          </x14:formula1>
          <xm:sqref>F6:F22</xm:sqref>
        </x14:dataValidation>
        <x14:dataValidation type="list" allowBlank="1" showInputMessage="1" showErrorMessage="1" xr:uid="{00000000-0002-0000-0200-000000000000}">
          <x14:formula1>
            <xm:f>'TỔNG HỢP NHẬP XUẤT TỒN'!$A$6:$A$37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0"/>
  <sheetViews>
    <sheetView tabSelected="1" workbookViewId="0">
      <pane ySplit="5" topLeftCell="A6" activePane="bottomLeft" state="frozen"/>
      <selection pane="bottomLeft" activeCell="Q15" sqref="Q15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5.85546875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13" t="s">
        <v>163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M2" s="113"/>
      <c r="N2" s="113"/>
    </row>
    <row r="3" spans="1:18" ht="22.9" customHeight="1" x14ac:dyDescent="0.25">
      <c r="A3" s="29" t="s">
        <v>65</v>
      </c>
      <c r="B3" s="29" t="s">
        <v>64</v>
      </c>
      <c r="C3" s="29" t="s">
        <v>70</v>
      </c>
      <c r="D3" s="29" t="s">
        <v>65</v>
      </c>
      <c r="E3" s="29" t="s">
        <v>70</v>
      </c>
      <c r="F3" s="29" t="s">
        <v>70</v>
      </c>
      <c r="G3" s="29" t="s">
        <v>70</v>
      </c>
      <c r="H3" s="29" t="s">
        <v>65</v>
      </c>
      <c r="I3" s="29" t="s">
        <v>70</v>
      </c>
      <c r="J3" s="29" t="s">
        <v>64</v>
      </c>
      <c r="K3" s="29" t="s">
        <v>65</v>
      </c>
    </row>
    <row r="4" spans="1:18" ht="25.15" customHeight="1" x14ac:dyDescent="0.25">
      <c r="A4" s="116" t="s">
        <v>62</v>
      </c>
      <c r="B4" s="116" t="s">
        <v>37</v>
      </c>
      <c r="C4" s="116" t="s">
        <v>0</v>
      </c>
      <c r="D4" s="116" t="s">
        <v>7</v>
      </c>
      <c r="E4" s="116" t="s">
        <v>119</v>
      </c>
      <c r="F4" s="116" t="s">
        <v>102</v>
      </c>
      <c r="G4" s="114" t="s">
        <v>5</v>
      </c>
      <c r="H4" s="116" t="s">
        <v>6</v>
      </c>
      <c r="I4" s="116" t="s">
        <v>53</v>
      </c>
      <c r="J4" s="116" t="s">
        <v>63</v>
      </c>
      <c r="K4" s="116" t="s">
        <v>66</v>
      </c>
    </row>
    <row r="5" spans="1:18" ht="25.15" customHeight="1" x14ac:dyDescent="0.25">
      <c r="A5" s="117"/>
      <c r="B5" s="117"/>
      <c r="C5" s="117"/>
      <c r="D5" s="117"/>
      <c r="E5" s="117"/>
      <c r="F5" s="117"/>
      <c r="G5" s="115"/>
      <c r="H5" s="117"/>
      <c r="I5" s="117"/>
      <c r="J5" s="117"/>
      <c r="K5" s="117"/>
    </row>
    <row r="6" spans="1:18" ht="30" customHeight="1" x14ac:dyDescent="0.25">
      <c r="A6" s="27">
        <v>44961</v>
      </c>
      <c r="B6" s="7" t="s">
        <v>164</v>
      </c>
      <c r="C6" s="28" t="str">
        <f>_xlfn.IFNA(VLOOKUP(B6,'Danh mục hàng hóa'!$C$7:$D$34,2,0),0)</f>
        <v>Chuột lenovo bluetooth M1</v>
      </c>
      <c r="D6" s="7">
        <v>1</v>
      </c>
      <c r="E6" s="38">
        <f>_xlfn.IFNA(VLOOKUP(B6,'TỔNG HỢP NHẬP XUẤT TỒN'!$A$6:$J$33,10,0),0)</f>
        <v>128976.97420174476</v>
      </c>
      <c r="F6" s="69">
        <f>+D6*E6</f>
        <v>128976.97420174476</v>
      </c>
      <c r="G6" s="38">
        <f>_xlfn.IFNA(VLOOKUP(B6,'TỔNG HỢP NHẬP XUẤT TỒN'!$A$6:$J$33,10,0)*1.5,0)</f>
        <v>193465.46130261713</v>
      </c>
      <c r="H6" s="38">
        <v>250000</v>
      </c>
      <c r="I6" s="38">
        <f>D6*H6</f>
        <v>250000</v>
      </c>
      <c r="J6" s="28" t="s">
        <v>68</v>
      </c>
      <c r="K6" s="7" t="s">
        <v>165</v>
      </c>
    </row>
    <row r="7" spans="1:18" ht="30" customHeight="1" x14ac:dyDescent="0.25">
      <c r="A7" s="27">
        <v>44961</v>
      </c>
      <c r="B7" s="7" t="s">
        <v>136</v>
      </c>
      <c r="C7" s="28" t="str">
        <f>_xlfn.IFNA(VLOOKUP(B7,'Danh mục hàng hóa'!$C$7:$D$34,2,0),0)</f>
        <v>Túi chống sốc màu đen Xiaoxin 14</v>
      </c>
      <c r="D7" s="7">
        <v>1</v>
      </c>
      <c r="E7" s="38">
        <f>_xlfn.IFNA(VLOOKUP(B7,'TỔNG HỢP NHẬP XUẤT TỒN'!$A$6:$J$33,10,0),0)</f>
        <v>119648.55442403493</v>
      </c>
      <c r="F7" s="69">
        <f t="shared" ref="F7:F55" si="0">+D7*E7</f>
        <v>119648.55442403493</v>
      </c>
      <c r="G7" s="38">
        <f>_xlfn.IFNA(VLOOKUP(B7,'TỔNG HỢP NHẬP XUẤT TỒN'!$A$6:$J$33,10,0)*1.5,0)</f>
        <v>179472.8316360524</v>
      </c>
      <c r="H7" s="38">
        <v>250000</v>
      </c>
      <c r="I7" s="38">
        <f t="shared" ref="I7:I67" si="1">D7*H7</f>
        <v>250000</v>
      </c>
      <c r="J7" s="28" t="s">
        <v>69</v>
      </c>
      <c r="K7" s="7"/>
    </row>
    <row r="8" spans="1:18" ht="30" customHeight="1" x14ac:dyDescent="0.25">
      <c r="A8" s="27">
        <v>44961</v>
      </c>
      <c r="B8" s="7" t="s">
        <v>164</v>
      </c>
      <c r="C8" s="28" t="str">
        <f>_xlfn.IFNA(VLOOKUP(B8,'Danh mục hàng hóa'!$C$7:$D$34,2,0),0)</f>
        <v>Chuột lenovo bluetooth M1</v>
      </c>
      <c r="D8" s="7">
        <v>1</v>
      </c>
      <c r="E8" s="38">
        <f>_xlfn.IFNA(VLOOKUP(B8,'TỔNG HỢP NHẬP XUẤT TỒN'!$A$6:$J$33,10,0),0)</f>
        <v>128976.97420174476</v>
      </c>
      <c r="F8" s="69">
        <f t="shared" si="0"/>
        <v>128976.97420174476</v>
      </c>
      <c r="G8" s="38">
        <f>_xlfn.IFNA(VLOOKUP(B8,'TỔNG HỢP NHẬP XUẤT TỒN'!$A$6:$J$33,10,0)*1.5,0)</f>
        <v>193465.46130261713</v>
      </c>
      <c r="H8" s="38">
        <v>130000</v>
      </c>
      <c r="I8" s="38">
        <f t="shared" si="1"/>
        <v>130000</v>
      </c>
      <c r="J8" s="28" t="s">
        <v>69</v>
      </c>
      <c r="K8" s="7"/>
    </row>
    <row r="9" spans="1:18" ht="30" customHeight="1" x14ac:dyDescent="0.25">
      <c r="A9" s="27">
        <v>44989</v>
      </c>
      <c r="B9" s="7" t="s">
        <v>51</v>
      </c>
      <c r="C9" s="28" t="str">
        <f>_xlfn.IFNA(VLOOKUP(B9,'Danh mục hàng hóa'!$C$7:$D$34,2,0),0)</f>
        <v>Dây type C to slim</v>
      </c>
      <c r="D9" s="7">
        <v>1</v>
      </c>
      <c r="E9" s="38">
        <f>_xlfn.IFNA(VLOOKUP(B9,'TỔNG HỢP NHẬP XUẤT TỒN'!$A$6:$J$33,10,0),0)</f>
        <v>73020.600000000006</v>
      </c>
      <c r="F9" s="69">
        <f t="shared" si="0"/>
        <v>73020.600000000006</v>
      </c>
      <c r="G9" s="38">
        <f>_xlfn.IFNA(VLOOKUP(B9,'TỔNG HỢP NHẬP XUẤT TỒN'!$A$6:$J$33,10,0)*1.5,0)</f>
        <v>109530.90000000001</v>
      </c>
      <c r="H9" s="38">
        <v>100000</v>
      </c>
      <c r="I9" s="38">
        <f t="shared" si="1"/>
        <v>100000</v>
      </c>
      <c r="J9" s="28" t="s">
        <v>68</v>
      </c>
      <c r="K9" s="7"/>
      <c r="M9" s="52" t="s">
        <v>108</v>
      </c>
      <c r="N9" s="52" t="s">
        <v>109</v>
      </c>
      <c r="O9" s="52" t="s">
        <v>102</v>
      </c>
      <c r="P9" s="52" t="s">
        <v>110</v>
      </c>
      <c r="Q9" s="23" t="s">
        <v>145</v>
      </c>
      <c r="R9" s="23" t="s">
        <v>104</v>
      </c>
    </row>
    <row r="10" spans="1:18" ht="30" customHeight="1" x14ac:dyDescent="0.25">
      <c r="A10" s="27">
        <v>44989</v>
      </c>
      <c r="B10" s="7" t="s">
        <v>47</v>
      </c>
      <c r="C10" s="28" t="str">
        <f>_xlfn.IFNA(VLOOKUP(B10,'Danh mục hàng hóa'!$C$7:$D$34,2,0),0)</f>
        <v>Sạc gen 1 có hộp</v>
      </c>
      <c r="D10" s="7">
        <v>1</v>
      </c>
      <c r="E10" s="38">
        <f>_xlfn.IFNA(VLOOKUP(B10,'TỔNG HỢP NHẬP XUẤT TỒN'!$A$6:$J$33,10,0),0)</f>
        <v>249127</v>
      </c>
      <c r="F10" s="69">
        <f t="shared" si="0"/>
        <v>249127</v>
      </c>
      <c r="G10" s="38">
        <f>_xlfn.IFNA(VLOOKUP(B10,'TỔNG HỢP NHẬP XUẤT TỒN'!$A$6:$J$33,10,0)*1.5,0)</f>
        <v>373690.5</v>
      </c>
      <c r="H10" s="38">
        <v>300000</v>
      </c>
      <c r="I10" s="38">
        <f t="shared" si="1"/>
        <v>300000</v>
      </c>
      <c r="J10" s="28" t="s">
        <v>68</v>
      </c>
      <c r="K10" s="7"/>
      <c r="M10" s="28" t="s">
        <v>68</v>
      </c>
      <c r="N10" s="70">
        <f>SUMIF($J$6:$J$69,M10,$I$6:$I$69)</f>
        <v>3645000</v>
      </c>
      <c r="O10" s="70">
        <f>SUMIF($J$6:$J$69,M10,$F$6:$F$69)</f>
        <v>2172020.0701317657</v>
      </c>
      <c r="P10" s="71">
        <f>+N10-O10</f>
        <v>1472979.9298682343</v>
      </c>
      <c r="Q10" s="70">
        <f>+P10*20%</f>
        <v>294595.98597364686</v>
      </c>
      <c r="R10" s="71">
        <f>+P10-Q10</f>
        <v>1178383.9438945875</v>
      </c>
    </row>
    <row r="11" spans="1:18" ht="30" customHeight="1" x14ac:dyDescent="0.25">
      <c r="A11" s="27">
        <v>44989</v>
      </c>
      <c r="B11" s="7" t="s">
        <v>139</v>
      </c>
      <c r="C11" s="28" t="str">
        <f>_xlfn.IFNA(VLOOKUP(B11,'Danh mục hàng hóa'!$C$7:$D$34,2,0),0)</f>
        <v>Sạc Thinkplus gen 2 đen new</v>
      </c>
      <c r="D11" s="7">
        <v>1</v>
      </c>
      <c r="E11" s="38">
        <f>_xlfn.IFNA(VLOOKUP(B11,'TỔNG HỢP NHẬP XUẤT TỒN'!$A$6:$J$33,10,0),0)</f>
        <v>449057.14285714284</v>
      </c>
      <c r="F11" s="69">
        <f t="shared" si="0"/>
        <v>449057.14285714284</v>
      </c>
      <c r="G11" s="38">
        <f>_xlfn.IFNA(VLOOKUP(B11,'TỔNG HỢP NHẬP XUẤT TỒN'!$A$6:$J$33,10,0)*1.5,0)</f>
        <v>673585.71428571432</v>
      </c>
      <c r="H11" s="38">
        <v>820000</v>
      </c>
      <c r="I11" s="38">
        <f t="shared" si="1"/>
        <v>820000</v>
      </c>
      <c r="J11" s="28" t="s">
        <v>159</v>
      </c>
      <c r="K11" s="7"/>
      <c r="M11" s="28" t="s">
        <v>69</v>
      </c>
      <c r="N11" s="70">
        <f>SUMIF($J$6:$J$69,M11,$I$6:$I$69)</f>
        <v>5982000</v>
      </c>
      <c r="O11" s="70">
        <f>SUMIF($J$6:$J$69,M11,$F$6:$F$69)</f>
        <v>3331650.2157721659</v>
      </c>
      <c r="P11" s="71">
        <f t="shared" ref="P11:P13" si="2">+N11-O11</f>
        <v>2650349.7842278341</v>
      </c>
      <c r="Q11" s="70">
        <f t="shared" ref="Q11:Q12" si="3">+P11*20%</f>
        <v>530069.95684556686</v>
      </c>
      <c r="R11" s="71">
        <f t="shared" ref="R11:R13" si="4">+P11-Q11</f>
        <v>2120279.8273822675</v>
      </c>
    </row>
    <row r="12" spans="1:18" ht="30" customHeight="1" x14ac:dyDescent="0.25">
      <c r="A12" s="27">
        <v>45142</v>
      </c>
      <c r="B12" s="7" t="s">
        <v>164</v>
      </c>
      <c r="C12" s="28" t="str">
        <f>_xlfn.IFNA(VLOOKUP(B12,'Danh mục hàng hóa'!$C$7:$D$34,2,0),0)</f>
        <v>Chuột lenovo bluetooth M1</v>
      </c>
      <c r="D12" s="7">
        <v>1</v>
      </c>
      <c r="E12" s="38">
        <f>_xlfn.IFNA(VLOOKUP(B12,'TỔNG HỢP NHẬP XUẤT TỒN'!$A$6:$J$33,10,0),0)</f>
        <v>128976.97420174476</v>
      </c>
      <c r="F12" s="69">
        <f t="shared" si="0"/>
        <v>128976.97420174476</v>
      </c>
      <c r="G12" s="38">
        <f>_xlfn.IFNA(VLOOKUP(B12,'TỔNG HỢP NHẬP XUẤT TỒN'!$A$6:$J$33,10,0)*1.5,0)</f>
        <v>193465.46130261713</v>
      </c>
      <c r="H12" s="38">
        <v>250000</v>
      </c>
      <c r="I12" s="38">
        <f t="shared" si="1"/>
        <v>250000</v>
      </c>
      <c r="J12" s="28" t="s">
        <v>69</v>
      </c>
      <c r="K12" s="7"/>
      <c r="M12" s="28" t="s">
        <v>103</v>
      </c>
      <c r="N12" s="70">
        <f>SUMIF($J$6:$J$69,M12,$I$6:$I$69)</f>
        <v>0</v>
      </c>
      <c r="O12" s="70">
        <f>SUMIF($J$6:$J$69,M12,$F$6:$F$69)</f>
        <v>0</v>
      </c>
      <c r="P12" s="71">
        <f t="shared" si="2"/>
        <v>0</v>
      </c>
      <c r="Q12" s="70">
        <f t="shared" si="3"/>
        <v>0</v>
      </c>
      <c r="R12" s="71">
        <f t="shared" si="4"/>
        <v>0</v>
      </c>
    </row>
    <row r="13" spans="1:18" ht="30" customHeight="1" x14ac:dyDescent="0.25">
      <c r="A13" s="27">
        <v>45142</v>
      </c>
      <c r="B13" s="7" t="s">
        <v>50</v>
      </c>
      <c r="C13" s="28" t="str">
        <f>_xlfn.IFNA(VLOOKUP(B13,'Danh mục hàng hóa'!$C$7:$D$34,2,0),0)</f>
        <v>Sạc Thinkplus gen 2 k hộp</v>
      </c>
      <c r="D13" s="7">
        <v>1</v>
      </c>
      <c r="E13" s="38">
        <f>_xlfn.IFNA(VLOOKUP(B13,'TỔNG HỢP NHẬP XUẤT TỒN'!$A$6:$J$33,10,0),0)</f>
        <v>298513.47499999998</v>
      </c>
      <c r="F13" s="69">
        <f t="shared" si="0"/>
        <v>298513.47499999998</v>
      </c>
      <c r="G13" s="38">
        <f>_xlfn.IFNA(VLOOKUP(B13,'TỔNG HỢP NHẬP XUẤT TỒN'!$A$6:$J$33,10,0)*1.5,0)</f>
        <v>447770.21249999997</v>
      </c>
      <c r="H13" s="38">
        <v>500000</v>
      </c>
      <c r="I13" s="38">
        <f t="shared" si="1"/>
        <v>500000</v>
      </c>
      <c r="J13" s="28" t="s">
        <v>68</v>
      </c>
      <c r="K13" s="7" t="s">
        <v>166</v>
      </c>
      <c r="M13" s="28" t="s">
        <v>159</v>
      </c>
      <c r="N13" s="70">
        <f>SUMIF($J$6:$J$69,M13,$I$6:$I$69)</f>
        <v>3260000</v>
      </c>
      <c r="O13" s="70">
        <f>SUMIF($J$6:$J$69,M13,$F$6:$F$69)</f>
        <v>2189697.0005508279</v>
      </c>
      <c r="P13" s="71">
        <f t="shared" si="2"/>
        <v>1070302.9994491721</v>
      </c>
      <c r="Q13" s="71"/>
      <c r="R13" s="71">
        <f t="shared" si="4"/>
        <v>1070302.9994491721</v>
      </c>
    </row>
    <row r="14" spans="1:18" ht="30" customHeight="1" x14ac:dyDescent="0.25">
      <c r="A14" s="27">
        <v>45173</v>
      </c>
      <c r="B14" s="7" t="s">
        <v>39</v>
      </c>
      <c r="C14" s="28" t="str">
        <f>_xlfn.IFNA(VLOOKUP(B14,'Danh mục hàng hóa'!$C$7:$D$34,2,0),0)</f>
        <v>Chuột M24</v>
      </c>
      <c r="D14" s="7">
        <v>2</v>
      </c>
      <c r="E14" s="38">
        <f>_xlfn.IFNA(VLOOKUP(B14,'TỔNG HỢP NHẬP XUẤT TỒN'!$A$6:$J$33,10,0),0)</f>
        <v>96821.919038737062</v>
      </c>
      <c r="F14" s="69">
        <f t="shared" si="0"/>
        <v>193643.83807747412</v>
      </c>
      <c r="G14" s="38">
        <f>_xlfn.IFNA(VLOOKUP(B14,'TỔNG HỢP NHẬP XUẤT TỒN'!$A$6:$J$33,10,0)*1.5,0)</f>
        <v>145232.87855810559</v>
      </c>
      <c r="H14" s="38">
        <v>160000</v>
      </c>
      <c r="I14" s="38">
        <f t="shared" si="1"/>
        <v>320000</v>
      </c>
      <c r="J14" s="28" t="s">
        <v>69</v>
      </c>
      <c r="K14" s="7"/>
      <c r="M14" s="23" t="s">
        <v>55</v>
      </c>
      <c r="N14" s="72">
        <f>SUM(N10:N13)</f>
        <v>12887000</v>
      </c>
      <c r="O14" s="72">
        <f>SUM(O10:O13)</f>
        <v>7693367.2864547595</v>
      </c>
      <c r="P14" s="72">
        <f t="shared" ref="P14" si="5">SUM(P10:P13)</f>
        <v>5193632.7135452405</v>
      </c>
      <c r="Q14" s="72">
        <f t="shared" ref="Q14" si="6">SUM(Q10:Q13)</f>
        <v>824665.94281921373</v>
      </c>
      <c r="R14" s="72">
        <f t="shared" ref="R14" si="7">SUM(R10:R13)</f>
        <v>4368966.770726027</v>
      </c>
    </row>
    <row r="15" spans="1:18" ht="30" customHeight="1" x14ac:dyDescent="0.25">
      <c r="A15" s="27">
        <v>45173</v>
      </c>
      <c r="B15" s="7" t="s">
        <v>164</v>
      </c>
      <c r="C15" s="28" t="str">
        <f>_xlfn.IFNA(VLOOKUP(B15,'Danh mục hàng hóa'!$C$7:$D$34,2,0),0)</f>
        <v>Chuột lenovo bluetooth M1</v>
      </c>
      <c r="D15" s="7">
        <v>1</v>
      </c>
      <c r="E15" s="38">
        <f>_xlfn.IFNA(VLOOKUP(B15,'TỔNG HỢP NHẬP XUẤT TỒN'!$A$6:$J$33,10,0),0)</f>
        <v>128976.97420174476</v>
      </c>
      <c r="F15" s="69">
        <f t="shared" si="0"/>
        <v>128976.97420174476</v>
      </c>
      <c r="G15" s="38">
        <f>_xlfn.IFNA(VLOOKUP(B15,'TỔNG HỢP NHẬP XUẤT TỒN'!$A$6:$J$33,10,0)*1.5,0)</f>
        <v>193465.46130261713</v>
      </c>
      <c r="H15" s="38">
        <v>250000</v>
      </c>
      <c r="I15" s="38">
        <f t="shared" si="1"/>
        <v>250000</v>
      </c>
      <c r="J15" s="28" t="s">
        <v>69</v>
      </c>
      <c r="K15" s="7"/>
      <c r="M15" s="39"/>
      <c r="N15" s="49"/>
    </row>
    <row r="16" spans="1:18" ht="30" customHeight="1" x14ac:dyDescent="0.25">
      <c r="A16" s="27">
        <v>45173</v>
      </c>
      <c r="B16" s="7" t="s">
        <v>167</v>
      </c>
      <c r="C16" s="28" t="str">
        <f>_xlfn.IFNA(VLOOKUP(B16,'Danh mục hàng hóa'!$C$7:$D$34,2,0),0)</f>
        <v>USB 2 đầu 64GB</v>
      </c>
      <c r="D16" s="7">
        <v>1</v>
      </c>
      <c r="E16" s="38">
        <f>_xlfn.IFNA(VLOOKUP(B16,'TỔNG HỢP NHẬP XUẤT TỒN'!$A$6:$J$33,10,0),0)</f>
        <v>112256.66666666667</v>
      </c>
      <c r="F16" s="69">
        <f t="shared" si="0"/>
        <v>112256.66666666667</v>
      </c>
      <c r="G16" s="38">
        <f>_xlfn.IFNA(VLOOKUP(B16,'TỔNG HỢP NHẬP XUẤT TỒN'!$A$6:$J$33,10,0)*1.5,0)</f>
        <v>168385</v>
      </c>
      <c r="H16" s="38">
        <v>235000</v>
      </c>
      <c r="I16" s="38">
        <f t="shared" si="1"/>
        <v>235000</v>
      </c>
      <c r="J16" s="28" t="s">
        <v>69</v>
      </c>
      <c r="K16" s="7"/>
    </row>
    <row r="17" spans="1:11" ht="30" customHeight="1" x14ac:dyDescent="0.25">
      <c r="A17" s="27">
        <v>45173</v>
      </c>
      <c r="B17" s="7" t="s">
        <v>139</v>
      </c>
      <c r="C17" s="28" t="str">
        <f>_xlfn.IFNA(VLOOKUP(B17,'Danh mục hàng hóa'!$C$7:$D$34,2,0),0)</f>
        <v>Sạc Thinkplus gen 2 đen new</v>
      </c>
      <c r="D17" s="7">
        <v>1</v>
      </c>
      <c r="E17" s="38">
        <f>_xlfn.IFNA(VLOOKUP(B17,'TỔNG HỢP NHẬP XUẤT TỒN'!$A$6:$J$33,10,0),0)</f>
        <v>449057.14285714284</v>
      </c>
      <c r="F17" s="69">
        <f t="shared" si="0"/>
        <v>449057.14285714284</v>
      </c>
      <c r="G17" s="38">
        <f>_xlfn.IFNA(VLOOKUP(B17,'TỔNG HỢP NHẬP XUẤT TỒN'!$A$6:$J$33,10,0)*1.5,0)</f>
        <v>673585.71428571432</v>
      </c>
      <c r="H17" s="38">
        <v>850000</v>
      </c>
      <c r="I17" s="38">
        <f t="shared" si="1"/>
        <v>850000</v>
      </c>
      <c r="J17" s="28" t="s">
        <v>69</v>
      </c>
      <c r="K17" s="7"/>
    </row>
    <row r="18" spans="1:11" ht="30" customHeight="1" x14ac:dyDescent="0.25">
      <c r="A18" s="27">
        <v>45173</v>
      </c>
      <c r="B18" s="7" t="s">
        <v>167</v>
      </c>
      <c r="C18" s="28" t="str">
        <f>_xlfn.IFNA(VLOOKUP(B18,'Danh mục hàng hóa'!$C$7:$D$34,2,0),0)</f>
        <v>USB 2 đầu 64GB</v>
      </c>
      <c r="D18" s="7">
        <v>1</v>
      </c>
      <c r="E18" s="38">
        <f>_xlfn.IFNA(VLOOKUP(B18,'TỔNG HỢP NHẬP XUẤT TỒN'!$A$6:$J$33,10,0),0)</f>
        <v>112256.66666666667</v>
      </c>
      <c r="F18" s="69">
        <f t="shared" si="0"/>
        <v>112256.66666666667</v>
      </c>
      <c r="G18" s="38">
        <f>_xlfn.IFNA(VLOOKUP(B18,'TỔNG HỢP NHẬP XUẤT TỒN'!$A$6:$J$33,10,0)*1.5,0)</f>
        <v>168385</v>
      </c>
      <c r="H18" s="38">
        <v>250000</v>
      </c>
      <c r="I18" s="38">
        <f t="shared" si="1"/>
        <v>250000</v>
      </c>
      <c r="J18" s="28" t="s">
        <v>69</v>
      </c>
      <c r="K18" s="7"/>
    </row>
    <row r="19" spans="1:11" ht="30" customHeight="1" x14ac:dyDescent="0.25">
      <c r="A19" s="27">
        <v>45203</v>
      </c>
      <c r="B19" s="7" t="s">
        <v>151</v>
      </c>
      <c r="C19" s="28" t="str">
        <f>_xlfn.IFNA(VLOOKUP(B19,'Danh mục hàng hóa'!$C$7:$D$34,2,0),0)</f>
        <v>Chuột Thinklife</v>
      </c>
      <c r="D19" s="7">
        <v>1</v>
      </c>
      <c r="E19" s="38">
        <f>_xlfn.IFNA(VLOOKUP(B19,'TỔNG HỢP NHẬP XUẤT TỒN'!$A$6:$J$33,10,0),0)</f>
        <v>312279.65018607123</v>
      </c>
      <c r="F19" s="69">
        <f t="shared" si="0"/>
        <v>312279.65018607123</v>
      </c>
      <c r="G19" s="38">
        <f>_xlfn.IFNA(VLOOKUP(B19,'TỔNG HỢP NHẬP XUẤT TỒN'!$A$6:$J$33,10,0)*1.5,0)</f>
        <v>468419.47527910687</v>
      </c>
      <c r="H19" s="38">
        <v>500000</v>
      </c>
      <c r="I19" s="38">
        <f t="shared" si="1"/>
        <v>500000</v>
      </c>
      <c r="J19" s="28" t="s">
        <v>69</v>
      </c>
      <c r="K19" s="7"/>
    </row>
    <row r="20" spans="1:11" ht="30" customHeight="1" x14ac:dyDescent="0.25">
      <c r="A20" s="27">
        <v>45203</v>
      </c>
      <c r="B20" s="7" t="s">
        <v>48</v>
      </c>
      <c r="C20" s="28" t="str">
        <f>_xlfn.IFNA(VLOOKUP(B20,'Danh mục hàng hóa'!$C$7:$D$34,2,0),0)</f>
        <v>Loa K3 Pro</v>
      </c>
      <c r="D20" s="7">
        <v>2</v>
      </c>
      <c r="E20" s="38">
        <f>_xlfn.IFNA(VLOOKUP(B20,'TỔNG HỢP NHẬP XUẤT TỒN'!$A$6:$J$33,10,0),0)</f>
        <v>107421.71041666667</v>
      </c>
      <c r="F20" s="69">
        <f t="shared" si="0"/>
        <v>214843.42083333334</v>
      </c>
      <c r="G20" s="38">
        <f>_xlfn.IFNA(VLOOKUP(B20,'TỔNG HỢP NHẬP XUẤT TỒN'!$A$6:$J$33,10,0)*1.5,0)</f>
        <v>161132.56562499999</v>
      </c>
      <c r="H20" s="38">
        <v>172000</v>
      </c>
      <c r="I20" s="38">
        <f t="shared" si="1"/>
        <v>344000</v>
      </c>
      <c r="J20" s="28" t="s">
        <v>69</v>
      </c>
      <c r="K20" s="7"/>
    </row>
    <row r="21" spans="1:11" ht="30" customHeight="1" x14ac:dyDescent="0.25">
      <c r="A21" s="27" t="s">
        <v>170</v>
      </c>
      <c r="B21" s="7" t="s">
        <v>140</v>
      </c>
      <c r="C21" s="28" t="str">
        <f>_xlfn.IFNA(VLOOKUP(B21,'Danh mục hàng hóa'!$C$7:$D$34,2,0),0)</f>
        <v>Sạc Thinkplus gen 2 Pro đen new</v>
      </c>
      <c r="D21" s="7">
        <v>1</v>
      </c>
      <c r="E21" s="38">
        <f>_xlfn.IFNA(VLOOKUP(B21,'TỔNG HỢP NHẬP XUẤT TỒN'!$A$6:$J$33,10,0),0)</f>
        <v>612000</v>
      </c>
      <c r="F21" s="69">
        <f t="shared" si="0"/>
        <v>612000</v>
      </c>
      <c r="G21" s="38">
        <f>_xlfn.IFNA(VLOOKUP(B21,'TỔNG HỢP NHẬP XUẤT TỒN'!$A$6:$J$33,10,0)*1.5,0)</f>
        <v>918000</v>
      </c>
      <c r="H21" s="38">
        <v>950000</v>
      </c>
      <c r="I21" s="38">
        <f t="shared" si="1"/>
        <v>950000</v>
      </c>
      <c r="J21" s="28" t="s">
        <v>159</v>
      </c>
      <c r="K21" s="7"/>
    </row>
    <row r="22" spans="1:11" ht="30" customHeight="1" x14ac:dyDescent="0.25">
      <c r="A22" s="27" t="s">
        <v>171</v>
      </c>
      <c r="B22" s="7" t="s">
        <v>172</v>
      </c>
      <c r="C22" s="28" t="str">
        <f>_xlfn.IFNA(VLOOKUP(B22,'Danh mục hàng hóa'!$C$7:$D$34,2,0),0)</f>
        <v>Loa K3 Pro</v>
      </c>
      <c r="D22" s="7">
        <v>6</v>
      </c>
      <c r="E22" s="38">
        <f>_xlfn.IFNA(VLOOKUP(B22,'TỔNG HỢP NHẬP XUẤT TỒN'!$A$6:$J$33,10,0),0)</f>
        <v>107421.71041666667</v>
      </c>
      <c r="F22" s="69">
        <f t="shared" si="0"/>
        <v>644530.26249999995</v>
      </c>
      <c r="G22" s="38">
        <f>_xlfn.IFNA(VLOOKUP(B22,'TỔNG HỢP NHẬP XUẤT TỒN'!$A$6:$J$33,10,0)*1.5,0)</f>
        <v>161132.56562499999</v>
      </c>
      <c r="H22" s="38">
        <v>140000</v>
      </c>
      <c r="I22" s="38">
        <f t="shared" si="1"/>
        <v>840000</v>
      </c>
      <c r="J22" s="28" t="s">
        <v>159</v>
      </c>
      <c r="K22" s="7"/>
    </row>
    <row r="23" spans="1:11" ht="30" customHeight="1" x14ac:dyDescent="0.25">
      <c r="A23" s="27" t="s">
        <v>173</v>
      </c>
      <c r="B23" s="7" t="s">
        <v>172</v>
      </c>
      <c r="C23" s="28" t="str">
        <f>_xlfn.IFNA(VLOOKUP(B23,'Danh mục hàng hóa'!$C$7:$D$34,2,0),0)</f>
        <v>Loa K3 Pro</v>
      </c>
      <c r="D23" s="7">
        <v>1</v>
      </c>
      <c r="E23" s="38">
        <f>_xlfn.IFNA(VLOOKUP(B23,'TỔNG HỢP NHẬP XUẤT TỒN'!$A$6:$J$33,10,0),0)</f>
        <v>107421.71041666667</v>
      </c>
      <c r="F23" s="69">
        <f t="shared" si="0"/>
        <v>107421.71041666667</v>
      </c>
      <c r="G23" s="38">
        <f>_xlfn.IFNA(VLOOKUP(B23,'TỔNG HỢP NHẬP XUẤT TỒN'!$A$6:$J$33,10,0)*1.5,0)</f>
        <v>161132.56562499999</v>
      </c>
      <c r="H23" s="38">
        <v>179000</v>
      </c>
      <c r="I23" s="38">
        <f t="shared" si="1"/>
        <v>179000</v>
      </c>
      <c r="J23" s="28" t="s">
        <v>69</v>
      </c>
      <c r="K23" s="7"/>
    </row>
    <row r="24" spans="1:11" ht="30" customHeight="1" x14ac:dyDescent="0.25">
      <c r="A24" s="27" t="s">
        <v>173</v>
      </c>
      <c r="B24" s="7" t="s">
        <v>151</v>
      </c>
      <c r="C24" s="28" t="str">
        <f>_xlfn.IFNA(VLOOKUP(B24,'Danh mục hàng hóa'!$C$7:$D$34,2,0),0)</f>
        <v>Chuột Thinklife</v>
      </c>
      <c r="D24" s="7">
        <v>1</v>
      </c>
      <c r="E24" s="38">
        <f>_xlfn.IFNA(VLOOKUP(B24,'TỔNG HỢP NHẬP XUẤT TỒN'!$A$6:$J$33,10,0),0)</f>
        <v>312279.65018607123</v>
      </c>
      <c r="F24" s="69">
        <f t="shared" si="0"/>
        <v>312279.65018607123</v>
      </c>
      <c r="G24" s="38">
        <f>_xlfn.IFNA(VLOOKUP(B24,'TỔNG HỢP NHẬP XUẤT TỒN'!$A$6:$J$33,10,0)*1.5,0)</f>
        <v>468419.47527910687</v>
      </c>
      <c r="H24" s="38">
        <v>485000</v>
      </c>
      <c r="I24" s="38">
        <f t="shared" si="1"/>
        <v>485000</v>
      </c>
      <c r="J24" s="28" t="s">
        <v>69</v>
      </c>
      <c r="K24" s="7"/>
    </row>
    <row r="25" spans="1:11" ht="30" customHeight="1" x14ac:dyDescent="0.25">
      <c r="A25" s="27" t="s">
        <v>173</v>
      </c>
      <c r="B25" s="7" t="s">
        <v>136</v>
      </c>
      <c r="C25" s="28" t="str">
        <f>_xlfn.IFNA(VLOOKUP(B25,'Danh mục hàng hóa'!$C$7:$D$34,2,0),0)</f>
        <v>Túi chống sốc màu đen Xiaoxin 14</v>
      </c>
      <c r="D25" s="7">
        <v>1</v>
      </c>
      <c r="E25" s="38">
        <f>_xlfn.IFNA(VLOOKUP(B25,'TỔNG HỢP NHẬP XUẤT TỒN'!$A$6:$J$33,10,0),0)</f>
        <v>119648.55442403493</v>
      </c>
      <c r="F25" s="69">
        <f t="shared" si="0"/>
        <v>119648.55442403493</v>
      </c>
      <c r="G25" s="38">
        <f>_xlfn.IFNA(VLOOKUP(B25,'TỔNG HỢP NHẬP XUẤT TỒN'!$A$6:$J$33,10,0)*1.5,0)</f>
        <v>179472.8316360524</v>
      </c>
      <c r="H25" s="38">
        <v>250000</v>
      </c>
      <c r="I25" s="38">
        <f t="shared" si="1"/>
        <v>250000</v>
      </c>
      <c r="J25" s="28" t="s">
        <v>69</v>
      </c>
      <c r="K25" s="7"/>
    </row>
    <row r="26" spans="1:11" ht="30" customHeight="1" x14ac:dyDescent="0.25">
      <c r="A26" s="27" t="s">
        <v>173</v>
      </c>
      <c r="B26" s="7" t="s">
        <v>136</v>
      </c>
      <c r="C26" s="28" t="str">
        <f>_xlfn.IFNA(VLOOKUP(B26,'Danh mục hàng hóa'!$C$7:$D$34,2,0),0)</f>
        <v>Túi chống sốc màu đen Xiaoxin 14</v>
      </c>
      <c r="D26" s="7">
        <v>1</v>
      </c>
      <c r="E26" s="38">
        <f>_xlfn.IFNA(VLOOKUP(B26,'TỔNG HỢP NHẬP XUẤT TỒN'!$A$6:$J$33,10,0),0)</f>
        <v>119648.55442403493</v>
      </c>
      <c r="F26" s="69">
        <f t="shared" si="0"/>
        <v>119648.55442403493</v>
      </c>
      <c r="G26" s="38">
        <f>_xlfn.IFNA(VLOOKUP(B26,'TỔNG HỢP NHẬP XUẤT TỒN'!$A$6:$J$33,10,0)*1.5,0)</f>
        <v>179472.8316360524</v>
      </c>
      <c r="H26" s="38">
        <v>250000</v>
      </c>
      <c r="I26" s="38">
        <f t="shared" si="1"/>
        <v>250000</v>
      </c>
      <c r="J26" s="28" t="s">
        <v>68</v>
      </c>
      <c r="K26" s="7"/>
    </row>
    <row r="27" spans="1:11" ht="30" customHeight="1" x14ac:dyDescent="0.25">
      <c r="A27" s="27" t="s">
        <v>174</v>
      </c>
      <c r="B27" s="7" t="s">
        <v>51</v>
      </c>
      <c r="C27" s="28" t="str">
        <f>_xlfn.IFNA(VLOOKUP(B27,'Danh mục hàng hóa'!$C$7:$D$34,2,0),0)</f>
        <v>Dây type C to slim</v>
      </c>
      <c r="D27" s="7">
        <v>1</v>
      </c>
      <c r="E27" s="38">
        <f>_xlfn.IFNA(VLOOKUP(B27,'TỔNG HỢP NHẬP XUẤT TỒN'!$A$6:$J$33,10,0),0)</f>
        <v>73020.600000000006</v>
      </c>
      <c r="F27" s="69">
        <f t="shared" si="0"/>
        <v>73020.600000000006</v>
      </c>
      <c r="G27" s="38">
        <f>_xlfn.IFNA(VLOOKUP(B27,'TỔNG HỢP NHẬP XUẤT TỒN'!$A$6:$J$33,10,0)*1.5,0)</f>
        <v>109530.90000000001</v>
      </c>
      <c r="H27" s="38">
        <v>100000</v>
      </c>
      <c r="I27" s="38">
        <f t="shared" si="1"/>
        <v>100000</v>
      </c>
      <c r="J27" s="28" t="s">
        <v>68</v>
      </c>
      <c r="K27" s="7"/>
    </row>
    <row r="28" spans="1:11" ht="30" customHeight="1" x14ac:dyDescent="0.25">
      <c r="A28" s="27" t="s">
        <v>175</v>
      </c>
      <c r="B28" s="7" t="s">
        <v>172</v>
      </c>
      <c r="C28" s="28" t="str">
        <f>_xlfn.IFNA(VLOOKUP(B28,'Danh mục hàng hóa'!$C$7:$D$34,2,0),0)</f>
        <v>Loa K3 Pro</v>
      </c>
      <c r="D28" s="7">
        <v>1</v>
      </c>
      <c r="E28" s="38">
        <f>_xlfn.IFNA(VLOOKUP(B28,'TỔNG HỢP NHẬP XUẤT TỒN'!$A$6:$J$33,10,0),0)</f>
        <v>107421.71041666667</v>
      </c>
      <c r="F28" s="69">
        <f t="shared" si="0"/>
        <v>107421.71041666667</v>
      </c>
      <c r="G28" s="38">
        <f>_xlfn.IFNA(VLOOKUP(B28,'TỔNG HỢP NHẬP XUẤT TỒN'!$A$6:$J$33,10,0)*1.5,0)</f>
        <v>161132.56562499999</v>
      </c>
      <c r="H28" s="38">
        <v>179000</v>
      </c>
      <c r="I28" s="38">
        <f t="shared" si="1"/>
        <v>179000</v>
      </c>
      <c r="J28" s="28" t="s">
        <v>69</v>
      </c>
      <c r="K28" s="7"/>
    </row>
    <row r="29" spans="1:11" ht="30" customHeight="1" x14ac:dyDescent="0.25">
      <c r="A29" s="27" t="s">
        <v>176</v>
      </c>
      <c r="B29" s="7" t="s">
        <v>136</v>
      </c>
      <c r="C29" s="28" t="str">
        <f>_xlfn.IFNA(VLOOKUP(B29,'Danh mục hàng hóa'!$C$7:$D$34,2,0),0)</f>
        <v>Túi chống sốc màu đen Xiaoxin 14</v>
      </c>
      <c r="D29" s="7">
        <v>1</v>
      </c>
      <c r="E29" s="38">
        <f>_xlfn.IFNA(VLOOKUP(B29,'TỔNG HỢP NHẬP XUẤT TỒN'!$A$6:$J$33,10,0),0)</f>
        <v>119648.55442403493</v>
      </c>
      <c r="F29" s="69">
        <f t="shared" si="0"/>
        <v>119648.55442403493</v>
      </c>
      <c r="G29" s="38">
        <f>_xlfn.IFNA(VLOOKUP(B29,'TỔNG HỢP NHẬP XUẤT TỒN'!$A$6:$J$33,10,0)*1.5,0)</f>
        <v>179472.8316360524</v>
      </c>
      <c r="H29" s="38">
        <v>250000</v>
      </c>
      <c r="I29" s="38">
        <f t="shared" si="1"/>
        <v>250000</v>
      </c>
      <c r="J29" s="28" t="s">
        <v>68</v>
      </c>
      <c r="K29" s="7"/>
    </row>
    <row r="30" spans="1:11" ht="30" customHeight="1" x14ac:dyDescent="0.25">
      <c r="A30" s="27" t="s">
        <v>177</v>
      </c>
      <c r="B30" s="33" t="s">
        <v>42</v>
      </c>
      <c r="C30" s="28" t="str">
        <f>_xlfn.IFNA(VLOOKUP(B30,'Danh mục hàng hóa'!$C$7:$D$34,2,0),0)</f>
        <v>Sạc YOGA</v>
      </c>
      <c r="D30" s="7">
        <v>1</v>
      </c>
      <c r="E30" s="38">
        <f>_xlfn.IFNA(VLOOKUP(B30,'TỔNG HỢP NHẬP XUẤT TỒN'!$A$6:$J$33,10,0),0)</f>
        <v>238082.66611622242</v>
      </c>
      <c r="F30" s="69">
        <f t="shared" si="0"/>
        <v>238082.66611622242</v>
      </c>
      <c r="G30" s="38">
        <f>_xlfn.IFNA(VLOOKUP(B30,'TỔNG HỢP NHẬP XUẤT TỒN'!$A$6:$J$33,10,0)*1.5,0)</f>
        <v>357123.99917433364</v>
      </c>
      <c r="H30" s="38">
        <v>500000</v>
      </c>
      <c r="I30" s="38">
        <f t="shared" si="1"/>
        <v>500000</v>
      </c>
      <c r="J30" s="28" t="s">
        <v>69</v>
      </c>
      <c r="K30" s="7"/>
    </row>
    <row r="31" spans="1:11" ht="30" customHeight="1" x14ac:dyDescent="0.25">
      <c r="A31" s="27" t="s">
        <v>177</v>
      </c>
      <c r="B31" s="7" t="s">
        <v>178</v>
      </c>
      <c r="C31" s="28" t="str">
        <f>_xlfn.IFNA(VLOOKUP(B31,'Danh mục hàng hóa'!$C$7:$D$34,2,0),0)</f>
        <v>Chuột M24</v>
      </c>
      <c r="D31" s="7">
        <v>1</v>
      </c>
      <c r="E31" s="38">
        <f>_xlfn.IFNA(VLOOKUP(B31,'TỔNG HỢP NHẬP XUẤT TỒN'!$A$6:$J$33,10,0),0)</f>
        <v>96821.919038737062</v>
      </c>
      <c r="F31" s="69">
        <f t="shared" si="0"/>
        <v>96821.919038737062</v>
      </c>
      <c r="G31" s="38">
        <f>_xlfn.IFNA(VLOOKUP(B31,'TỔNG HỢP NHẬP XUẤT TỒN'!$A$6:$J$33,10,0)*1.5,0)</f>
        <v>145232.87855810559</v>
      </c>
      <c r="H31" s="38">
        <v>160000</v>
      </c>
      <c r="I31" s="38">
        <f t="shared" si="1"/>
        <v>160000</v>
      </c>
      <c r="J31" s="28" t="s">
        <v>68</v>
      </c>
      <c r="K31" s="7"/>
    </row>
    <row r="32" spans="1:11" ht="30" customHeight="1" x14ac:dyDescent="0.25">
      <c r="A32" s="28" t="s">
        <v>179</v>
      </c>
      <c r="B32" s="7" t="s">
        <v>151</v>
      </c>
      <c r="C32" s="28" t="str">
        <f>_xlfn.IFNA(VLOOKUP(B32,'Danh mục hàng hóa'!$C$7:$D$34,2,0),0)</f>
        <v>Chuột Thinklife</v>
      </c>
      <c r="D32" s="7">
        <v>1</v>
      </c>
      <c r="E32" s="38">
        <f>_xlfn.IFNA(VLOOKUP(B32,'TỔNG HỢP NHẬP XUẤT TỒN'!$A$6:$J$33,10,0),0)</f>
        <v>312279.65018607123</v>
      </c>
      <c r="F32" s="69">
        <f t="shared" si="0"/>
        <v>312279.65018607123</v>
      </c>
      <c r="G32" s="38">
        <f>_xlfn.IFNA(VLOOKUP(B32,'TỔNG HỢP NHẬP XUẤT TỒN'!$A$6:$J$33,10,0)*1.5,0)</f>
        <v>468419.47527910687</v>
      </c>
      <c r="H32" s="38">
        <v>450000</v>
      </c>
      <c r="I32" s="38">
        <f t="shared" si="1"/>
        <v>450000</v>
      </c>
      <c r="J32" s="28" t="s">
        <v>68</v>
      </c>
      <c r="K32" s="7"/>
    </row>
    <row r="33" spans="1:11" ht="30" customHeight="1" x14ac:dyDescent="0.25">
      <c r="A33" s="28" t="s">
        <v>179</v>
      </c>
      <c r="B33" s="7" t="s">
        <v>45</v>
      </c>
      <c r="C33" s="28" t="str">
        <f>_xlfn.IFNA(VLOOKUP(B33,'Danh mục hàng hóa'!$C$7:$D$34,2,0),0)</f>
        <v>Chuột thinkpad</v>
      </c>
      <c r="D33" s="7">
        <v>1</v>
      </c>
      <c r="E33" s="38">
        <f>_xlfn.IFNA(VLOOKUP(B33,'TỔNG HỢP NHẬP XUẤT TỒN'!$A$6:$J$33,10,0),0)</f>
        <v>251905.6</v>
      </c>
      <c r="F33" s="69">
        <f t="shared" si="0"/>
        <v>251905.6</v>
      </c>
      <c r="G33" s="38">
        <f>_xlfn.IFNA(VLOOKUP(B33,'TỔNG HỢP NHẬP XUẤT TỒN'!$A$6:$J$33,10,0)*1.5,0)</f>
        <v>377858.4</v>
      </c>
      <c r="H33" s="38">
        <v>435000</v>
      </c>
      <c r="I33" s="38">
        <f t="shared" si="1"/>
        <v>435000</v>
      </c>
      <c r="J33" s="28" t="s">
        <v>68</v>
      </c>
      <c r="K33" s="7"/>
    </row>
    <row r="34" spans="1:11" ht="30" customHeight="1" x14ac:dyDescent="0.25">
      <c r="A34" s="28" t="s">
        <v>180</v>
      </c>
      <c r="B34" s="7" t="s">
        <v>139</v>
      </c>
      <c r="C34" s="28" t="str">
        <f>_xlfn.IFNA(VLOOKUP(B34,'Danh mục hàng hóa'!$C$7:$D$34,2,0),0)</f>
        <v>Sạc Thinkplus gen 2 đen new</v>
      </c>
      <c r="D34" s="7">
        <v>1</v>
      </c>
      <c r="E34" s="38">
        <f>_xlfn.IFNA(VLOOKUP(B34,'TỔNG HỢP NHẬP XUẤT TỒN'!$A$6:$J$33,10,0),0)</f>
        <v>449057.14285714284</v>
      </c>
      <c r="F34" s="69">
        <f t="shared" si="0"/>
        <v>449057.14285714284</v>
      </c>
      <c r="G34" s="38">
        <f>_xlfn.IFNA(VLOOKUP(B34,'TỔNG HỢP NHẬP XUẤT TỒN'!$A$6:$J$33,10,0)*1.5,0)</f>
        <v>673585.71428571432</v>
      </c>
      <c r="H34" s="38">
        <v>850000</v>
      </c>
      <c r="I34" s="38">
        <f t="shared" si="1"/>
        <v>850000</v>
      </c>
      <c r="J34" s="28" t="s">
        <v>68</v>
      </c>
      <c r="K34" s="7"/>
    </row>
    <row r="35" spans="1:11" ht="30" customHeight="1" x14ac:dyDescent="0.25">
      <c r="A35" s="28" t="s">
        <v>180</v>
      </c>
      <c r="B35" s="7" t="s">
        <v>139</v>
      </c>
      <c r="C35" s="28" t="str">
        <f>_xlfn.IFNA(VLOOKUP(B35,'Danh mục hàng hóa'!$C$7:$D$34,2,0),0)</f>
        <v>Sạc Thinkplus gen 2 đen new</v>
      </c>
      <c r="D35" s="7">
        <v>1</v>
      </c>
      <c r="E35" s="38">
        <f>_xlfn.IFNA(VLOOKUP(B35,'TỔNG HỢP NHẬP XUẤT TỒN'!$A$6:$J$33,10,0),0)</f>
        <v>449057.14285714284</v>
      </c>
      <c r="F35" s="69">
        <f t="shared" si="0"/>
        <v>449057.14285714284</v>
      </c>
      <c r="G35" s="38">
        <f>_xlfn.IFNA(VLOOKUP(B35,'TỔNG HỢP NHẬP XUẤT TỒN'!$A$6:$J$33,10,0)*1.5,0)</f>
        <v>673585.71428571432</v>
      </c>
      <c r="H35" s="38">
        <v>850000</v>
      </c>
      <c r="I35" s="38">
        <f t="shared" si="1"/>
        <v>850000</v>
      </c>
      <c r="J35" s="28" t="s">
        <v>69</v>
      </c>
      <c r="K35" s="7"/>
    </row>
    <row r="36" spans="1:11" ht="30" customHeight="1" x14ac:dyDescent="0.25">
      <c r="A36" s="28" t="s">
        <v>181</v>
      </c>
      <c r="B36" s="7" t="s">
        <v>178</v>
      </c>
      <c r="C36" s="28" t="str">
        <f>_xlfn.IFNA(VLOOKUP(B36,'Danh mục hàng hóa'!$C$7:$D$34,2,0),0)</f>
        <v>Chuột M24</v>
      </c>
      <c r="D36" s="7">
        <v>5</v>
      </c>
      <c r="E36" s="38">
        <f>_xlfn.IFNA(VLOOKUP(B36,'TỔNG HỢP NHẬP XUẤT TỒN'!$A$6:$J$33,10,0),0)</f>
        <v>96821.919038737062</v>
      </c>
      <c r="F36" s="69">
        <f t="shared" si="0"/>
        <v>484109.59519368532</v>
      </c>
      <c r="G36" s="38">
        <f>_xlfn.IFNA(VLOOKUP(B36,'TỔNG HỢP NHẬP XUẤT TỒN'!$A$6:$J$33,10,0)*1.5,0)</f>
        <v>145232.87855810559</v>
      </c>
      <c r="H36" s="38">
        <v>130000</v>
      </c>
      <c r="I36" s="38">
        <f t="shared" si="1"/>
        <v>650000</v>
      </c>
      <c r="J36" s="28" t="s">
        <v>159</v>
      </c>
      <c r="K36" s="7"/>
    </row>
    <row r="37" spans="1:11" ht="30" customHeight="1" x14ac:dyDescent="0.25">
      <c r="A37" s="28" t="s">
        <v>181</v>
      </c>
      <c r="B37" s="7" t="s">
        <v>178</v>
      </c>
      <c r="C37" s="28" t="str">
        <f>_xlfn.IFNA(VLOOKUP(B37,'Danh mục hàng hóa'!$C$7:$D$34,2,0),0)</f>
        <v>Chuột M24</v>
      </c>
      <c r="D37" s="7">
        <v>1</v>
      </c>
      <c r="E37" s="38">
        <f>_xlfn.IFNA(VLOOKUP(B37,'TỔNG HỢP NHẬP XUẤT TỒN'!$A$6:$J$33,10,0),0)</f>
        <v>96821.919038737062</v>
      </c>
      <c r="F37" s="69">
        <f t="shared" si="0"/>
        <v>96821.919038737062</v>
      </c>
      <c r="G37" s="38">
        <f>_xlfn.IFNA(VLOOKUP(B37,'TỔNG HỢP NHẬP XUẤT TỒN'!$A$6:$J$33,10,0)*1.5,0)</f>
        <v>145232.87855810559</v>
      </c>
      <c r="H37" s="38">
        <v>160000</v>
      </c>
      <c r="I37" s="38">
        <f t="shared" si="1"/>
        <v>160000</v>
      </c>
      <c r="J37" s="28" t="s">
        <v>69</v>
      </c>
      <c r="K37" s="7"/>
    </row>
    <row r="38" spans="1:11" ht="30" customHeight="1" x14ac:dyDescent="0.25">
      <c r="A38" s="28"/>
      <c r="B38" s="7"/>
      <c r="C38" s="28">
        <f>_xlfn.IFNA(VLOOKUP(B38,'Danh mục hàng hóa'!$C$7:$D$34,2,0),0)</f>
        <v>0</v>
      </c>
      <c r="D38" s="7"/>
      <c r="E38" s="38">
        <f>_xlfn.IFNA(VLOOKUP(B38,'TỔNG HỢP NHẬP XUẤT TỒN'!$A$6:$J$33,10,0),0)</f>
        <v>0</v>
      </c>
      <c r="F38" s="69">
        <f t="shared" si="0"/>
        <v>0</v>
      </c>
      <c r="G38" s="38">
        <f>_xlfn.IFNA(VLOOKUP(B38,'TỔNG HỢP NHẬP XUẤT TỒN'!$A$6:$J$33,10,0)*1.5,0)</f>
        <v>0</v>
      </c>
      <c r="H38" s="38"/>
      <c r="I38" s="38">
        <f t="shared" si="1"/>
        <v>0</v>
      </c>
      <c r="J38" s="28"/>
      <c r="K38" s="7"/>
    </row>
    <row r="39" spans="1:11" ht="30" customHeight="1" x14ac:dyDescent="0.25">
      <c r="A39" s="28"/>
      <c r="B39" s="7"/>
      <c r="C39" s="28">
        <f>_xlfn.IFNA(VLOOKUP(B39,'Danh mục hàng hóa'!$C$7:$D$34,2,0),0)</f>
        <v>0</v>
      </c>
      <c r="D39" s="7"/>
      <c r="E39" s="38">
        <f>_xlfn.IFNA(VLOOKUP(B39,'TỔNG HỢP NHẬP XUẤT TỒN'!$A$6:$J$33,10,0),0)</f>
        <v>0</v>
      </c>
      <c r="F39" s="69">
        <f t="shared" si="0"/>
        <v>0</v>
      </c>
      <c r="G39" s="38">
        <f>_xlfn.IFNA(VLOOKUP(B39,'TỔNG HỢP NHẬP XUẤT TỒN'!$A$6:$J$33,10,0)*1.5,0)</f>
        <v>0</v>
      </c>
      <c r="H39" s="38"/>
      <c r="I39" s="38">
        <f t="shared" si="1"/>
        <v>0</v>
      </c>
      <c r="J39" s="28"/>
      <c r="K39" s="7"/>
    </row>
    <row r="40" spans="1:11" ht="30" customHeight="1" x14ac:dyDescent="0.25">
      <c r="A40" s="28"/>
      <c r="B40" s="7"/>
      <c r="C40" s="28">
        <f>_xlfn.IFNA(VLOOKUP(B40,'Danh mục hàng hóa'!$C$7:$D$34,2,0),0)</f>
        <v>0</v>
      </c>
      <c r="D40" s="7"/>
      <c r="E40" s="38">
        <f>_xlfn.IFNA(VLOOKUP(B40,'TỔNG HỢP NHẬP XUẤT TỒN'!$A$6:$J$33,10,0),0)</f>
        <v>0</v>
      </c>
      <c r="F40" s="69">
        <f t="shared" si="0"/>
        <v>0</v>
      </c>
      <c r="G40" s="38">
        <f>_xlfn.IFNA(VLOOKUP(B40,'TỔNG HỢP NHẬP XUẤT TỒN'!$A$6:$J$33,10,0)*1.5,0)</f>
        <v>0</v>
      </c>
      <c r="H40" s="38"/>
      <c r="I40" s="38">
        <f>D40*H40</f>
        <v>0</v>
      </c>
      <c r="J40" s="28"/>
      <c r="K40" s="7"/>
    </row>
    <row r="41" spans="1:11" ht="30" customHeight="1" x14ac:dyDescent="0.25">
      <c r="A41" s="28"/>
      <c r="B41" s="7"/>
      <c r="C41" s="28">
        <f>_xlfn.IFNA(VLOOKUP(B41,'Danh mục hàng hóa'!$C$7:$D$34,2,0),0)</f>
        <v>0</v>
      </c>
      <c r="D41" s="7"/>
      <c r="E41" s="38">
        <f>_xlfn.IFNA(VLOOKUP(B41,'TỔNG HỢP NHẬP XUẤT TỒN'!$A$6:$J$33,10,0),0)</f>
        <v>0</v>
      </c>
      <c r="F41" s="69">
        <f t="shared" si="0"/>
        <v>0</v>
      </c>
      <c r="G41" s="38">
        <f>_xlfn.IFNA(VLOOKUP(B41,'TỔNG HỢP NHẬP XUẤT TỒN'!$A$6:$J$33,10,0)*1.5,0)</f>
        <v>0</v>
      </c>
      <c r="H41" s="38"/>
      <c r="I41" s="38">
        <f t="shared" si="1"/>
        <v>0</v>
      </c>
      <c r="J41" s="28"/>
      <c r="K41" s="7"/>
    </row>
    <row r="42" spans="1:11" ht="30" customHeight="1" x14ac:dyDescent="0.25">
      <c r="A42" s="28"/>
      <c r="B42" s="7"/>
      <c r="C42" s="28">
        <f>_xlfn.IFNA(VLOOKUP(B42,'Danh mục hàng hóa'!$C$7:$D$34,2,0),0)</f>
        <v>0</v>
      </c>
      <c r="D42" s="7"/>
      <c r="E42" s="38">
        <f>_xlfn.IFNA(VLOOKUP(B42,'TỔNG HỢP NHẬP XUẤT TỒN'!$A$6:$J$33,10,0),0)</f>
        <v>0</v>
      </c>
      <c r="F42" s="69">
        <f t="shared" si="0"/>
        <v>0</v>
      </c>
      <c r="G42" s="38">
        <f>_xlfn.IFNA(VLOOKUP(B42,'TỔNG HỢP NHẬP XUẤT TỒN'!$A$6:$J$33,10,0)*1.5,0)</f>
        <v>0</v>
      </c>
      <c r="H42" s="38"/>
      <c r="I42" s="38">
        <f t="shared" si="1"/>
        <v>0</v>
      </c>
      <c r="J42" s="28"/>
      <c r="K42" s="7"/>
    </row>
    <row r="43" spans="1:11" ht="30" customHeight="1" x14ac:dyDescent="0.25">
      <c r="A43" s="28"/>
      <c r="B43" s="7"/>
      <c r="C43" s="28">
        <f>_xlfn.IFNA(VLOOKUP(B43,'Danh mục hàng hóa'!$C$7:$D$34,2,0),0)</f>
        <v>0</v>
      </c>
      <c r="D43" s="7"/>
      <c r="E43" s="38">
        <f>_xlfn.IFNA(VLOOKUP(B43,'TỔNG HỢP NHẬP XUẤT TỒN'!$A$6:$J$33,10,0),0)</f>
        <v>0</v>
      </c>
      <c r="F43" s="69">
        <f t="shared" si="0"/>
        <v>0</v>
      </c>
      <c r="G43" s="38">
        <f>_xlfn.IFNA(VLOOKUP(B43,'TỔNG HỢP NHẬP XUẤT TỒN'!$A$6:$J$33,10,0)*1.5,0)</f>
        <v>0</v>
      </c>
      <c r="H43" s="38"/>
      <c r="I43" s="38">
        <f t="shared" si="1"/>
        <v>0</v>
      </c>
      <c r="J43" s="28"/>
      <c r="K43" s="7"/>
    </row>
    <row r="44" spans="1:11" ht="30" customHeight="1" x14ac:dyDescent="0.25">
      <c r="A44" s="28"/>
      <c r="B44" s="7"/>
      <c r="C44" s="28">
        <f>_xlfn.IFNA(VLOOKUP(B44,'Danh mục hàng hóa'!$C$7:$D$34,2,0),0)</f>
        <v>0</v>
      </c>
      <c r="D44" s="7"/>
      <c r="E44" s="38">
        <f>_xlfn.IFNA(VLOOKUP(B44,'TỔNG HỢP NHẬP XUẤT TỒN'!$A$6:$J$33,10,0),0)</f>
        <v>0</v>
      </c>
      <c r="F44" s="69">
        <f t="shared" si="0"/>
        <v>0</v>
      </c>
      <c r="G44" s="38">
        <f>_xlfn.IFNA(VLOOKUP(B44,'TỔNG HỢP NHẬP XUẤT TỒN'!$A$6:$J$33,10,0)*1.5,0)</f>
        <v>0</v>
      </c>
      <c r="H44" s="38"/>
      <c r="I44" s="38">
        <f t="shared" si="1"/>
        <v>0</v>
      </c>
      <c r="J44" s="28"/>
      <c r="K44" s="7"/>
    </row>
    <row r="45" spans="1:11" ht="30" customHeight="1" x14ac:dyDescent="0.25">
      <c r="A45" s="28"/>
      <c r="B45" s="7"/>
      <c r="C45" s="28">
        <f>_xlfn.IFNA(VLOOKUP(B45,'Danh mục hàng hóa'!$C$7:$D$34,2,0),0)</f>
        <v>0</v>
      </c>
      <c r="D45" s="7"/>
      <c r="E45" s="38">
        <f>_xlfn.IFNA(VLOOKUP(B45,'TỔNG HỢP NHẬP XUẤT TỒN'!$A$6:$J$33,10,0),0)</f>
        <v>0</v>
      </c>
      <c r="F45" s="69">
        <f t="shared" si="0"/>
        <v>0</v>
      </c>
      <c r="G45" s="38">
        <f>_xlfn.IFNA(VLOOKUP(B45,'TỔNG HỢP NHẬP XUẤT TỒN'!$A$6:$J$33,10,0)*1.5,0)</f>
        <v>0</v>
      </c>
      <c r="H45" s="38"/>
      <c r="I45" s="38">
        <f t="shared" si="1"/>
        <v>0</v>
      </c>
      <c r="J45" s="28"/>
      <c r="K45" s="7"/>
    </row>
    <row r="46" spans="1:11" ht="30" customHeight="1" x14ac:dyDescent="0.25">
      <c r="A46" s="28"/>
      <c r="B46" s="7"/>
      <c r="C46" s="28">
        <f>_xlfn.IFNA(VLOOKUP(B46,'Danh mục hàng hóa'!$C$7:$D$34,2,0),0)</f>
        <v>0</v>
      </c>
      <c r="D46" s="7"/>
      <c r="E46" s="38">
        <f>_xlfn.IFNA(VLOOKUP(B46,'TỔNG HỢP NHẬP XUẤT TỒN'!$A$6:$J$33,10,0),0)</f>
        <v>0</v>
      </c>
      <c r="F46" s="69">
        <f t="shared" si="0"/>
        <v>0</v>
      </c>
      <c r="G46" s="38">
        <f>_xlfn.IFNA(VLOOKUP(B46,'TỔNG HỢP NHẬP XUẤT TỒN'!$A$6:$J$33,10,0)*1.5,0)</f>
        <v>0</v>
      </c>
      <c r="H46" s="38"/>
      <c r="I46" s="38">
        <f t="shared" si="1"/>
        <v>0</v>
      </c>
      <c r="J46" s="28"/>
      <c r="K46" s="7"/>
    </row>
    <row r="47" spans="1:11" ht="30" customHeight="1" x14ac:dyDescent="0.25">
      <c r="A47" s="28"/>
      <c r="B47" s="7"/>
      <c r="C47" s="28">
        <f>_xlfn.IFNA(VLOOKUP(B47,'Danh mục hàng hóa'!$C$7:$D$34,2,0),0)</f>
        <v>0</v>
      </c>
      <c r="D47" s="7"/>
      <c r="E47" s="38">
        <f>_xlfn.IFNA(VLOOKUP(B47,'TỔNG HỢP NHẬP XUẤT TỒN'!$A$6:$J$33,10,0),0)</f>
        <v>0</v>
      </c>
      <c r="F47" s="69">
        <f t="shared" si="0"/>
        <v>0</v>
      </c>
      <c r="G47" s="38">
        <f>_xlfn.IFNA(VLOOKUP(B47,'TỔNG HỢP NHẬP XUẤT TỒN'!$A$6:$J$33,10,0)*1.5,0)</f>
        <v>0</v>
      </c>
      <c r="H47" s="38"/>
      <c r="I47" s="38">
        <f t="shared" si="1"/>
        <v>0</v>
      </c>
      <c r="J47" s="28"/>
      <c r="K47" s="7"/>
    </row>
    <row r="48" spans="1:11" ht="30" customHeight="1" x14ac:dyDescent="0.25">
      <c r="A48" s="28"/>
      <c r="B48" s="7"/>
      <c r="C48" s="28">
        <f>_xlfn.IFNA(VLOOKUP(B48,'Danh mục hàng hóa'!$C$7:$D$34,2,0),0)</f>
        <v>0</v>
      </c>
      <c r="D48" s="7"/>
      <c r="E48" s="38">
        <f>_xlfn.IFNA(VLOOKUP(B48,'TỔNG HỢP NHẬP XUẤT TỒN'!$A$6:$J$33,10,0),0)</f>
        <v>0</v>
      </c>
      <c r="F48" s="69">
        <f t="shared" si="0"/>
        <v>0</v>
      </c>
      <c r="G48" s="38">
        <f>_xlfn.IFNA(VLOOKUP(B48,'TỔNG HỢP NHẬP XUẤT TỒN'!$A$6:$J$33,10,0)*1.5,0)</f>
        <v>0</v>
      </c>
      <c r="H48" s="38"/>
      <c r="I48" s="38">
        <f t="shared" si="1"/>
        <v>0</v>
      </c>
      <c r="J48" s="28"/>
      <c r="K48" s="7"/>
    </row>
    <row r="49" spans="1:11" ht="30" customHeight="1" x14ac:dyDescent="0.25">
      <c r="A49" s="28"/>
      <c r="B49" s="7"/>
      <c r="C49" s="28">
        <f>_xlfn.IFNA(VLOOKUP(B49,'Danh mục hàng hóa'!$C$7:$D$34,2,0),0)</f>
        <v>0</v>
      </c>
      <c r="D49" s="7"/>
      <c r="E49" s="38">
        <f>_xlfn.IFNA(VLOOKUP(B49,'TỔNG HỢP NHẬP XUẤT TỒN'!$A$6:$J$33,10,0),0)</f>
        <v>0</v>
      </c>
      <c r="F49" s="69">
        <f t="shared" si="0"/>
        <v>0</v>
      </c>
      <c r="G49" s="38">
        <f>_xlfn.IFNA(VLOOKUP(B49,'TỔNG HỢP NHẬP XUẤT TỒN'!$A$6:$J$33,10,0)*1.5,0)</f>
        <v>0</v>
      </c>
      <c r="H49" s="38"/>
      <c r="I49" s="38">
        <f t="shared" si="1"/>
        <v>0</v>
      </c>
      <c r="J49" s="28"/>
      <c r="K49" s="7"/>
    </row>
    <row r="50" spans="1:11" ht="30" customHeight="1" x14ac:dyDescent="0.25">
      <c r="A50" s="28"/>
      <c r="B50" s="7"/>
      <c r="C50" s="28">
        <f>_xlfn.IFNA(VLOOKUP(B50,'Danh mục hàng hóa'!$C$7:$D$34,2,0),0)</f>
        <v>0</v>
      </c>
      <c r="D50" s="7"/>
      <c r="E50" s="38">
        <f>_xlfn.IFNA(VLOOKUP(B50,'TỔNG HỢP NHẬP XUẤT TỒN'!$A$6:$J$33,10,0),0)</f>
        <v>0</v>
      </c>
      <c r="F50" s="69">
        <f t="shared" si="0"/>
        <v>0</v>
      </c>
      <c r="G50" s="38">
        <f>_xlfn.IFNA(VLOOKUP(B50,'TỔNG HỢP NHẬP XUẤT TỒN'!$A$6:$J$33,10,0)*1.5,0)</f>
        <v>0</v>
      </c>
      <c r="H50" s="38"/>
      <c r="I50" s="38">
        <f t="shared" si="1"/>
        <v>0</v>
      </c>
      <c r="J50" s="28"/>
      <c r="K50" s="7"/>
    </row>
    <row r="51" spans="1:11" ht="30" customHeight="1" x14ac:dyDescent="0.25">
      <c r="A51" s="28"/>
      <c r="B51" s="7"/>
      <c r="C51" s="28">
        <f>_xlfn.IFNA(VLOOKUP(B51,'Danh mục hàng hóa'!$C$7:$D$34,2,0),0)</f>
        <v>0</v>
      </c>
      <c r="D51" s="7"/>
      <c r="E51" s="38">
        <f>_xlfn.IFNA(VLOOKUP(B51,'TỔNG HỢP NHẬP XUẤT TỒN'!$A$6:$J$33,10,0),0)</f>
        <v>0</v>
      </c>
      <c r="F51" s="69">
        <f t="shared" si="0"/>
        <v>0</v>
      </c>
      <c r="G51" s="38">
        <f>_xlfn.IFNA(VLOOKUP(B51,'TỔNG HỢP NHẬP XUẤT TỒN'!$A$6:$J$33,10,0)*1.5,0)</f>
        <v>0</v>
      </c>
      <c r="H51" s="38"/>
      <c r="I51" s="38">
        <f t="shared" si="1"/>
        <v>0</v>
      </c>
      <c r="J51" s="28"/>
      <c r="K51" s="7"/>
    </row>
    <row r="52" spans="1:11" ht="30" customHeight="1" x14ac:dyDescent="0.25">
      <c r="A52" s="28"/>
      <c r="B52" s="7"/>
      <c r="C52" s="28">
        <f>_xlfn.IFNA(VLOOKUP(B52,'Danh mục hàng hóa'!$C$7:$D$34,2,0),0)</f>
        <v>0</v>
      </c>
      <c r="D52" s="7"/>
      <c r="E52" s="38">
        <f>_xlfn.IFNA(VLOOKUP(B52,'TỔNG HỢP NHẬP XUẤT TỒN'!$A$6:$J$33,10,0),0)</f>
        <v>0</v>
      </c>
      <c r="F52" s="69">
        <f t="shared" si="0"/>
        <v>0</v>
      </c>
      <c r="G52" s="38">
        <f>_xlfn.IFNA(VLOOKUP(B52,'TỔNG HỢP NHẬP XUẤT TỒN'!$A$6:$J$33,10,0)*1.5,0)</f>
        <v>0</v>
      </c>
      <c r="H52" s="38"/>
      <c r="I52" s="38">
        <f t="shared" si="1"/>
        <v>0</v>
      </c>
      <c r="J52" s="28"/>
      <c r="K52" s="7"/>
    </row>
    <row r="53" spans="1:11" ht="30" customHeight="1" x14ac:dyDescent="0.25">
      <c r="A53" s="28"/>
      <c r="B53" s="7"/>
      <c r="C53" s="28">
        <f>_xlfn.IFNA(VLOOKUP(B53,'Danh mục hàng hóa'!$C$7:$D$34,2,0),0)</f>
        <v>0</v>
      </c>
      <c r="D53" s="7"/>
      <c r="E53" s="38">
        <f>_xlfn.IFNA(VLOOKUP(B53,'TỔNG HỢP NHẬP XUẤT TỒN'!$A$6:$J$33,10,0),0)</f>
        <v>0</v>
      </c>
      <c r="F53" s="69">
        <f t="shared" si="0"/>
        <v>0</v>
      </c>
      <c r="G53" s="38">
        <f>_xlfn.IFNA(VLOOKUP(B53,'TỔNG HỢP NHẬP XUẤT TỒN'!$A$6:$J$33,10,0)*1.5,0)</f>
        <v>0</v>
      </c>
      <c r="H53" s="38"/>
      <c r="I53" s="38">
        <f t="shared" si="1"/>
        <v>0</v>
      </c>
      <c r="J53" s="28"/>
      <c r="K53" s="7"/>
    </row>
    <row r="54" spans="1:11" ht="30" customHeight="1" x14ac:dyDescent="0.25">
      <c r="A54" s="28"/>
      <c r="B54" s="7"/>
      <c r="C54" s="28">
        <f>_xlfn.IFNA(VLOOKUP(B54,'Danh mục hàng hóa'!$C$7:$D$34,2,0),0)</f>
        <v>0</v>
      </c>
      <c r="D54" s="7"/>
      <c r="E54" s="38">
        <f>_xlfn.IFNA(VLOOKUP(B54,'TỔNG HỢP NHẬP XUẤT TỒN'!$A$6:$J$33,10,0),0)</f>
        <v>0</v>
      </c>
      <c r="F54" s="69">
        <f t="shared" si="0"/>
        <v>0</v>
      </c>
      <c r="G54" s="38">
        <f>_xlfn.IFNA(VLOOKUP(B54,'TỔNG HỢP NHẬP XUẤT TỒN'!$A$6:$J$33,10,0)*1.5,0)</f>
        <v>0</v>
      </c>
      <c r="H54" s="38"/>
      <c r="I54" s="38">
        <f t="shared" si="1"/>
        <v>0</v>
      </c>
      <c r="J54" s="28"/>
      <c r="K54" s="7"/>
    </row>
    <row r="55" spans="1:11" ht="30" customHeight="1" x14ac:dyDescent="0.25">
      <c r="A55" s="28"/>
      <c r="B55" s="7"/>
      <c r="C55" s="28">
        <f>_xlfn.IFNA(VLOOKUP(B55,'Danh mục hàng hóa'!$C$7:$D$34,2,0),0)</f>
        <v>0</v>
      </c>
      <c r="D55" s="7"/>
      <c r="E55" s="38">
        <f>_xlfn.IFNA(VLOOKUP(B55,'TỔNG HỢP NHẬP XUẤT TỒN'!$A$6:$J$33,10,0),0)</f>
        <v>0</v>
      </c>
      <c r="F55" s="69">
        <f t="shared" si="0"/>
        <v>0</v>
      </c>
      <c r="G55" s="38">
        <f>_xlfn.IFNA(VLOOKUP(B55,'TỔNG HỢP NHẬP XUẤT TỒN'!$A$6:$J$33,10,0)*1.5,0)</f>
        <v>0</v>
      </c>
      <c r="H55" s="38"/>
      <c r="I55" s="38">
        <f t="shared" si="1"/>
        <v>0</v>
      </c>
      <c r="J55" s="28"/>
      <c r="K55" s="7"/>
    </row>
    <row r="56" spans="1:11" ht="30" customHeight="1" x14ac:dyDescent="0.25">
      <c r="A56" s="28"/>
      <c r="B56" s="7"/>
      <c r="C56" s="28">
        <f>_xlfn.IFNA(VLOOKUP(B56,'Danh mục hàng hóa'!$C$7:$D$34,2,0),0)</f>
        <v>0</v>
      </c>
      <c r="D56" s="7"/>
      <c r="E56" s="38">
        <f>_xlfn.IFNA(VLOOKUP(B56,'TỔNG HỢP NHẬP XUẤT TỒN'!$A$6:$J$33,10,0),0)</f>
        <v>0</v>
      </c>
      <c r="F56" s="69">
        <f t="shared" ref="F56:F65" si="8">+D56*E56</f>
        <v>0</v>
      </c>
      <c r="G56" s="38">
        <f>_xlfn.IFNA(VLOOKUP(B56,'TỔNG HỢP NHẬP XUẤT TỒN'!$A$6:$J$33,10,0)*1.5,0)</f>
        <v>0</v>
      </c>
      <c r="H56" s="38"/>
      <c r="I56" s="38">
        <f t="shared" si="1"/>
        <v>0</v>
      </c>
      <c r="J56" s="28"/>
      <c r="K56" s="7"/>
    </row>
    <row r="57" spans="1:11" ht="30" customHeight="1" x14ac:dyDescent="0.25">
      <c r="A57" s="28"/>
      <c r="B57" s="7"/>
      <c r="C57" s="28">
        <f>_xlfn.IFNA(VLOOKUP(B57,'Danh mục hàng hóa'!$C$7:$D$34,2,0),0)</f>
        <v>0</v>
      </c>
      <c r="D57" s="7"/>
      <c r="E57" s="38">
        <f>_xlfn.IFNA(VLOOKUP(B57,'TỔNG HỢP NHẬP XUẤT TỒN'!$A$6:$J$33,10,0),0)</f>
        <v>0</v>
      </c>
      <c r="F57" s="69">
        <f t="shared" si="8"/>
        <v>0</v>
      </c>
      <c r="G57" s="38">
        <f>_xlfn.IFNA(VLOOKUP(B57,'TỔNG HỢP NHẬP XUẤT TỒN'!$A$6:$J$33,10,0)*1.5,0)</f>
        <v>0</v>
      </c>
      <c r="H57" s="38"/>
      <c r="I57" s="38">
        <f t="shared" si="1"/>
        <v>0</v>
      </c>
      <c r="J57" s="28"/>
      <c r="K57" s="7"/>
    </row>
    <row r="58" spans="1:11" ht="30" customHeight="1" x14ac:dyDescent="0.25">
      <c r="A58" s="28"/>
      <c r="B58" s="7"/>
      <c r="C58" s="28">
        <f>_xlfn.IFNA(VLOOKUP(B58,'Danh mục hàng hóa'!$C$7:$D$34,2,0),0)</f>
        <v>0</v>
      </c>
      <c r="D58" s="7"/>
      <c r="E58" s="38">
        <f>_xlfn.IFNA(VLOOKUP(B58,'TỔNG HỢP NHẬP XUẤT TỒN'!$A$6:$J$33,10,0),0)</f>
        <v>0</v>
      </c>
      <c r="F58" s="69">
        <f t="shared" si="8"/>
        <v>0</v>
      </c>
      <c r="G58" s="38">
        <f>_xlfn.IFNA(VLOOKUP(B58,'TỔNG HỢP NHẬP XUẤT TỒN'!$A$6:$J$33,10,0)*1.5,0)</f>
        <v>0</v>
      </c>
      <c r="H58" s="38"/>
      <c r="I58" s="38">
        <f t="shared" si="1"/>
        <v>0</v>
      </c>
      <c r="J58" s="28"/>
      <c r="K58" s="7"/>
    </row>
    <row r="59" spans="1:11" ht="30" customHeight="1" x14ac:dyDescent="0.25">
      <c r="A59" s="28"/>
      <c r="B59" s="7"/>
      <c r="C59" s="28">
        <f>_xlfn.IFNA(VLOOKUP(B59,'Danh mục hàng hóa'!$C$7:$D$34,2,0),0)</f>
        <v>0</v>
      </c>
      <c r="D59" s="7"/>
      <c r="E59" s="38">
        <f>_xlfn.IFNA(VLOOKUP(B59,'TỔNG HỢP NHẬP XUẤT TỒN'!$A$6:$J$33,10,0),0)</f>
        <v>0</v>
      </c>
      <c r="F59" s="69">
        <f t="shared" si="8"/>
        <v>0</v>
      </c>
      <c r="G59" s="38">
        <f>_xlfn.IFNA(VLOOKUP(B59,'TỔNG HỢP NHẬP XUẤT TỒN'!$A$6:$J$33,10,0)*1.5,0)</f>
        <v>0</v>
      </c>
      <c r="H59" s="38"/>
      <c r="I59" s="38">
        <f t="shared" si="1"/>
        <v>0</v>
      </c>
      <c r="J59" s="28"/>
      <c r="K59" s="7"/>
    </row>
    <row r="60" spans="1:11" ht="30" customHeight="1" x14ac:dyDescent="0.25">
      <c r="A60" s="28"/>
      <c r="B60" s="7"/>
      <c r="C60" s="28">
        <f>_xlfn.IFNA(VLOOKUP(B60,'Danh mục hàng hóa'!$C$7:$D$34,2,0),0)</f>
        <v>0</v>
      </c>
      <c r="D60" s="7"/>
      <c r="E60" s="38">
        <f>_xlfn.IFNA(VLOOKUP(B60,'TỔNG HỢP NHẬP XUẤT TỒN'!$A$6:$J$33,10,0),0)</f>
        <v>0</v>
      </c>
      <c r="F60" s="69">
        <f t="shared" si="8"/>
        <v>0</v>
      </c>
      <c r="G60" s="38">
        <f>_xlfn.IFNA(VLOOKUP(B60,'TỔNG HỢP NHẬP XUẤT TỒN'!$A$6:$J$33,10,0)*1.5,0)</f>
        <v>0</v>
      </c>
      <c r="H60" s="38"/>
      <c r="I60" s="38">
        <f t="shared" si="1"/>
        <v>0</v>
      </c>
      <c r="J60" s="28"/>
      <c r="K60" s="7"/>
    </row>
    <row r="61" spans="1:11" ht="30" customHeight="1" x14ac:dyDescent="0.25">
      <c r="A61" s="28"/>
      <c r="B61" s="7"/>
      <c r="C61" s="28">
        <f>_xlfn.IFNA(VLOOKUP(B61,'Danh mục hàng hóa'!$C$7:$D$34,2,0),0)</f>
        <v>0</v>
      </c>
      <c r="D61" s="7"/>
      <c r="E61" s="38">
        <f>_xlfn.IFNA(VLOOKUP(B61,'TỔNG HỢP NHẬP XUẤT TỒN'!$A$6:$J$33,10,0),0)</f>
        <v>0</v>
      </c>
      <c r="F61" s="69">
        <f t="shared" si="8"/>
        <v>0</v>
      </c>
      <c r="G61" s="38">
        <f>_xlfn.IFNA(VLOOKUP(B61,'TỔNG HỢP NHẬP XUẤT TỒN'!$A$6:$J$33,10,0)*1.5,0)</f>
        <v>0</v>
      </c>
      <c r="H61" s="38"/>
      <c r="I61" s="38">
        <f t="shared" si="1"/>
        <v>0</v>
      </c>
      <c r="J61" s="28"/>
      <c r="K61" s="7"/>
    </row>
    <row r="62" spans="1:11" ht="30" customHeight="1" x14ac:dyDescent="0.25">
      <c r="A62" s="28"/>
      <c r="B62" s="7"/>
      <c r="C62" s="28">
        <f>_xlfn.IFNA(VLOOKUP(B62,'Danh mục hàng hóa'!$C$7:$D$34,2,0),0)</f>
        <v>0</v>
      </c>
      <c r="D62" s="7"/>
      <c r="E62" s="38">
        <f>_xlfn.IFNA(VLOOKUP(B62,'TỔNG HỢP NHẬP XUẤT TỒN'!$A$6:$J$33,10,0),0)</f>
        <v>0</v>
      </c>
      <c r="F62" s="69">
        <f t="shared" si="8"/>
        <v>0</v>
      </c>
      <c r="G62" s="38">
        <f>_xlfn.IFNA(VLOOKUP(B62,'TỔNG HỢP NHẬP XUẤT TỒN'!$A$6:$J$33,10,0)*1.5,0)</f>
        <v>0</v>
      </c>
      <c r="H62" s="38"/>
      <c r="I62" s="38">
        <f t="shared" si="1"/>
        <v>0</v>
      </c>
      <c r="J62" s="28"/>
      <c r="K62" s="7"/>
    </row>
    <row r="63" spans="1:11" ht="30" customHeight="1" x14ac:dyDescent="0.25">
      <c r="A63" s="28"/>
      <c r="B63" s="7"/>
      <c r="C63" s="28">
        <f>_xlfn.IFNA(VLOOKUP(B63,'Danh mục hàng hóa'!$C$7:$D$34,2,0),0)</f>
        <v>0</v>
      </c>
      <c r="D63" s="7"/>
      <c r="E63" s="38">
        <f>_xlfn.IFNA(VLOOKUP(B63,'TỔNG HỢP NHẬP XUẤT TỒN'!$A$6:$J$33,10,0),0)</f>
        <v>0</v>
      </c>
      <c r="F63" s="69">
        <f t="shared" si="8"/>
        <v>0</v>
      </c>
      <c r="G63" s="38">
        <f>_xlfn.IFNA(VLOOKUP(B63,'TỔNG HỢP NHẬP XUẤT TỒN'!$A$6:$J$33,10,0)*1.5,0)</f>
        <v>0</v>
      </c>
      <c r="H63" s="38"/>
      <c r="I63" s="38">
        <f t="shared" si="1"/>
        <v>0</v>
      </c>
      <c r="J63" s="28"/>
      <c r="K63" s="7"/>
    </row>
    <row r="64" spans="1:11" ht="30" customHeight="1" x14ac:dyDescent="0.25">
      <c r="A64" s="28"/>
      <c r="B64" s="7"/>
      <c r="C64" s="28">
        <f>_xlfn.IFNA(VLOOKUP(B64,'Danh mục hàng hóa'!$C$7:$D$34,2,0),0)</f>
        <v>0</v>
      </c>
      <c r="D64" s="7"/>
      <c r="E64" s="38">
        <f>_xlfn.IFNA(VLOOKUP(B64,'TỔNG HỢP NHẬP XUẤT TỒN'!$A$6:$J$33,10,0),0)</f>
        <v>0</v>
      </c>
      <c r="F64" s="69">
        <f t="shared" si="8"/>
        <v>0</v>
      </c>
      <c r="G64" s="38">
        <f>_xlfn.IFNA(VLOOKUP(B64,'TỔNG HỢP NHẬP XUẤT TỒN'!$A$6:$J$33,10,0)*1.5,0)</f>
        <v>0</v>
      </c>
      <c r="H64" s="38"/>
      <c r="I64" s="38">
        <f t="shared" si="1"/>
        <v>0</v>
      </c>
      <c r="J64" s="28"/>
      <c r="K64" s="7"/>
    </row>
    <row r="65" spans="1:11" ht="30" customHeight="1" x14ac:dyDescent="0.25">
      <c r="A65" s="28"/>
      <c r="B65" s="7"/>
      <c r="C65" s="28">
        <f>_xlfn.IFNA(VLOOKUP(B65,'Danh mục hàng hóa'!$C$7:$D$34,2,0),0)</f>
        <v>0</v>
      </c>
      <c r="D65" s="7"/>
      <c r="E65" s="38">
        <f>_xlfn.IFNA(VLOOKUP(B65,'TỔNG HỢP NHẬP XUẤT TỒN'!$A$6:$J$33,10,0),0)</f>
        <v>0</v>
      </c>
      <c r="F65" s="69">
        <f t="shared" si="8"/>
        <v>0</v>
      </c>
      <c r="G65" s="38">
        <f>_xlfn.IFNA(VLOOKUP(B65,'TỔNG HỢP NHẬP XUẤT TỒN'!$A$6:$J$33,10,0)*1.5,0)</f>
        <v>0</v>
      </c>
      <c r="H65" s="38"/>
      <c r="I65" s="38">
        <f t="shared" si="1"/>
        <v>0</v>
      </c>
      <c r="J65" s="28"/>
      <c r="K65" s="7"/>
    </row>
    <row r="66" spans="1:11" ht="30" customHeight="1" x14ac:dyDescent="0.25">
      <c r="A66" s="28"/>
      <c r="B66" s="7"/>
      <c r="C66" s="28">
        <f>_xlfn.IFNA(VLOOKUP(B66,'Danh mục hàng hóa'!$C$7:$D$34,2,0),0)</f>
        <v>0</v>
      </c>
      <c r="D66" s="7"/>
      <c r="E66" s="38">
        <f>_xlfn.IFNA(VLOOKUP(B66,'TỔNG HỢP NHẬP XUẤT TỒN'!$A$6:$J$33,10,0),0)</f>
        <v>0</v>
      </c>
      <c r="F66" s="69">
        <f t="shared" ref="F66" si="9">+D66*E66</f>
        <v>0</v>
      </c>
      <c r="G66" s="38">
        <f>_xlfn.IFNA(VLOOKUP(B66,'TỔNG HỢP NHẬP XUẤT TỒN'!$A$6:$J$33,10,0)*1.5,0)</f>
        <v>0</v>
      </c>
      <c r="H66" s="38"/>
      <c r="I66" s="38">
        <f t="shared" si="1"/>
        <v>0</v>
      </c>
      <c r="J66" s="28"/>
      <c r="K66" s="7"/>
    </row>
    <row r="67" spans="1:11" ht="30" customHeight="1" x14ac:dyDescent="0.25">
      <c r="A67" s="28"/>
      <c r="B67" s="7"/>
      <c r="C67" s="28">
        <f>_xlfn.IFNA(VLOOKUP(B67,'Danh mục hàng hóa'!$C$7:$D$34,2,0),0)</f>
        <v>0</v>
      </c>
      <c r="D67" s="7"/>
      <c r="E67" s="38">
        <f>_xlfn.IFNA(VLOOKUP(B67,'TỔNG HỢP NHẬP XUẤT TỒN'!$A$6:$J$33,10,0),0)</f>
        <v>0</v>
      </c>
      <c r="F67" s="69">
        <f t="shared" ref="F67" si="10">+D67*E67</f>
        <v>0</v>
      </c>
      <c r="G67" s="38">
        <f>_xlfn.IFNA(VLOOKUP(B67,'TỔNG HỢP NHẬP XUẤT TỒN'!$A$6:$J$33,10,0)*1.5,0)</f>
        <v>0</v>
      </c>
      <c r="H67" s="38"/>
      <c r="I67" s="38">
        <f t="shared" si="1"/>
        <v>0</v>
      </c>
      <c r="J67" s="28"/>
      <c r="K67" s="7"/>
    </row>
    <row r="68" spans="1:11" ht="30" customHeight="1" x14ac:dyDescent="0.25">
      <c r="A68" s="28"/>
      <c r="B68" s="7"/>
      <c r="C68" s="28">
        <f>_xlfn.IFNA(VLOOKUP(B68,'Danh mục hàng hóa'!$C$7:$D$34,2,0),0)</f>
        <v>0</v>
      </c>
      <c r="D68" s="7"/>
      <c r="E68" s="38">
        <f>_xlfn.IFNA(VLOOKUP(B68,'TỔNG HỢP NHẬP XUẤT TỒN'!$A$6:$J$33,10,0),0)</f>
        <v>0</v>
      </c>
      <c r="F68" s="69">
        <f t="shared" ref="F68" si="11">+D68*E68</f>
        <v>0</v>
      </c>
      <c r="G68" s="38">
        <f>_xlfn.IFNA(VLOOKUP(B68,'TỔNG HỢP NHẬP XUẤT TỒN'!$A$6:$J$33,10,0)*1.5,0)</f>
        <v>0</v>
      </c>
      <c r="H68" s="38"/>
      <c r="I68" s="38">
        <f t="shared" ref="I68:I69" si="12">D68*H68</f>
        <v>0</v>
      </c>
      <c r="J68" s="28"/>
      <c r="K68" s="7"/>
    </row>
    <row r="69" spans="1:11" ht="30" customHeight="1" x14ac:dyDescent="0.25">
      <c r="A69" s="28"/>
      <c r="B69" s="7"/>
      <c r="C69" s="28">
        <f>_xlfn.IFNA(VLOOKUP(B69,'Danh mục hàng hóa'!$C$7:$D$34,2,0),0)</f>
        <v>0</v>
      </c>
      <c r="D69" s="7"/>
      <c r="E69" s="38">
        <f>_xlfn.IFNA(VLOOKUP(B69,'TỔNG HỢP NHẬP XUẤT TỒN'!$A$6:$J$33,10,0),0)</f>
        <v>0</v>
      </c>
      <c r="F69" s="69">
        <f t="shared" ref="F69" si="13">+D69*E69</f>
        <v>0</v>
      </c>
      <c r="G69" s="38">
        <f>_xlfn.IFNA(VLOOKUP(B69,'TỔNG HỢP NHẬP XUẤT TỒN'!$A$6:$J$33,10,0)*1.5,0)</f>
        <v>0</v>
      </c>
      <c r="H69" s="38">
        <f>E69</f>
        <v>0</v>
      </c>
      <c r="I69" s="38">
        <f t="shared" si="12"/>
        <v>0</v>
      </c>
      <c r="J69" s="28"/>
      <c r="K69" s="7"/>
    </row>
    <row r="70" spans="1:11" s="6" customFormat="1" ht="30" customHeight="1" x14ac:dyDescent="0.2">
      <c r="A70" s="23" t="s">
        <v>77</v>
      </c>
      <c r="B70" s="23"/>
      <c r="C70" s="23"/>
      <c r="D70" s="23"/>
      <c r="E70" s="45">
        <f>SUM(E6:E69)</f>
        <v>6564727.4287610743</v>
      </c>
      <c r="F70" s="45">
        <f>SUM(F6:F69)</f>
        <v>7693367.2864547595</v>
      </c>
      <c r="G70" s="45">
        <f>SUM(G6:G69)</f>
        <v>9847091.1431416124</v>
      </c>
      <c r="H70" s="45"/>
      <c r="I70" s="45">
        <f>SUM(I6:I69)</f>
        <v>12887000</v>
      </c>
      <c r="J70" s="23"/>
      <c r="K70" s="23"/>
    </row>
  </sheetData>
  <autoFilter ref="A5:R70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conditionalFormatting sqref="B30">
    <cfRule type="duplicateValues" dxfId="1" priority="1"/>
  </conditionalFormatting>
  <dataValidations count="2">
    <dataValidation type="list" allowBlank="1" showInputMessage="1" showErrorMessage="1" sqref="J1:J5 J70:J1048576" xr:uid="{7F4497E8-B75B-429C-ADBA-8BD1214366C8}">
      <formula1>#REF!</formula1>
    </dataValidation>
    <dataValidation type="list" allowBlank="1" showInputMessage="1" showErrorMessage="1" sqref="J6:J69" xr:uid="{A9821A8D-41B3-4C98-8ABB-B62F0CA6DB81}">
      <formula1>$M$10:$M$13</formula1>
    </dataValidation>
  </dataValidation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C711-48C6-4C6B-B1B6-58EA74195338}">
          <x14:formula1>
            <xm:f>'Danh mục hàng hóa'!$C$7:$C$39</xm:f>
          </x14:formula1>
          <xm:sqref>B4:B69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4"/>
  <sheetViews>
    <sheetView topLeftCell="A2" zoomScale="82" zoomScaleNormal="82" workbookViewId="0">
      <pane ySplit="4" topLeftCell="A25" activePane="bottomLeft" state="frozen"/>
      <selection activeCell="A2" sqref="A2"/>
      <selection pane="bottomLeft" activeCell="H30" sqref="H30"/>
    </sheetView>
  </sheetViews>
  <sheetFormatPr defaultColWidth="9.140625" defaultRowHeight="15" x14ac:dyDescent="0.25"/>
  <cols>
    <col min="1" max="1" width="21" style="12" customWidth="1"/>
    <col min="2" max="2" width="37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8" width="13.5703125" style="12" customWidth="1"/>
    <col min="9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93" customWidth="1"/>
    <col min="15" max="15" width="29" style="97" customWidth="1"/>
    <col min="16" max="16" width="23.140625" style="12" customWidth="1"/>
    <col min="17" max="17" width="22.85546875" style="12" customWidth="1"/>
    <col min="18" max="16384" width="9.140625" style="12"/>
  </cols>
  <sheetData>
    <row r="2" spans="1:17" ht="29.45" customHeight="1" x14ac:dyDescent="0.25">
      <c r="A2" s="111" t="s">
        <v>67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1:17" ht="56.45" customHeight="1" x14ac:dyDescent="0.25">
      <c r="A3" s="118" t="s">
        <v>126</v>
      </c>
      <c r="B3" s="118"/>
      <c r="C3" s="12" t="s">
        <v>65</v>
      </c>
      <c r="D3" s="12" t="s">
        <v>65</v>
      </c>
      <c r="E3" s="12" t="s">
        <v>70</v>
      </c>
      <c r="F3" s="12" t="s">
        <v>70</v>
      </c>
      <c r="G3" s="12" t="s">
        <v>70</v>
      </c>
      <c r="H3" s="12" t="s">
        <v>70</v>
      </c>
      <c r="I3" s="12" t="s">
        <v>70</v>
      </c>
      <c r="J3" s="12" t="s">
        <v>70</v>
      </c>
      <c r="K3" s="12" t="s">
        <v>70</v>
      </c>
      <c r="L3" s="12" t="s">
        <v>70</v>
      </c>
      <c r="M3" s="12" t="s">
        <v>70</v>
      </c>
      <c r="N3" s="93" t="s">
        <v>70</v>
      </c>
      <c r="P3" s="48" t="s">
        <v>100</v>
      </c>
      <c r="Q3" s="48" t="s">
        <v>112</v>
      </c>
    </row>
    <row r="4" spans="1:17" s="39" customFormat="1" ht="40.15" customHeight="1" x14ac:dyDescent="0.25">
      <c r="A4" s="119" t="s">
        <v>56</v>
      </c>
      <c r="B4" s="121" t="s">
        <v>57</v>
      </c>
      <c r="C4" s="123" t="s">
        <v>58</v>
      </c>
      <c r="D4" s="123"/>
      <c r="E4" s="123"/>
      <c r="F4" s="124" t="s">
        <v>59</v>
      </c>
      <c r="G4" s="125"/>
      <c r="H4" s="126"/>
      <c r="I4" s="124" t="s">
        <v>60</v>
      </c>
      <c r="J4" s="125"/>
      <c r="K4" s="126"/>
      <c r="L4" s="124" t="s">
        <v>61</v>
      </c>
      <c r="M4" s="125"/>
      <c r="N4" s="126"/>
      <c r="O4" s="98" t="s">
        <v>134</v>
      </c>
      <c r="P4" s="39" t="s">
        <v>90</v>
      </c>
      <c r="Q4" s="49" t="s">
        <v>94</v>
      </c>
    </row>
    <row r="5" spans="1:17" s="39" customFormat="1" ht="36.6" customHeight="1" x14ac:dyDescent="0.25">
      <c r="A5" s="120"/>
      <c r="B5" s="122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72</v>
      </c>
      <c r="H5" s="31" t="s">
        <v>53</v>
      </c>
      <c r="I5" s="31" t="s">
        <v>7</v>
      </c>
      <c r="J5" s="32" t="s">
        <v>130</v>
      </c>
      <c r="K5" s="31" t="s">
        <v>53</v>
      </c>
      <c r="L5" s="31" t="s">
        <v>7</v>
      </c>
      <c r="M5" s="31" t="s">
        <v>52</v>
      </c>
      <c r="N5" s="92" t="s">
        <v>53</v>
      </c>
      <c r="O5" s="96"/>
      <c r="P5" s="39" t="s">
        <v>96</v>
      </c>
      <c r="Q5" s="49" t="s">
        <v>95</v>
      </c>
    </row>
    <row r="6" spans="1:17" s="39" customFormat="1" ht="24" customHeight="1" x14ac:dyDescent="0.25">
      <c r="A6" s="33" t="s">
        <v>38</v>
      </c>
      <c r="B6" s="34" t="str">
        <f>VLOOKUP(A6,'Danh mục hàng hóa'!$C$7:$D$34,2,0)</f>
        <v>USB</v>
      </c>
      <c r="C6" s="37">
        <v>2</v>
      </c>
      <c r="D6" s="37">
        <v>112852.5</v>
      </c>
      <c r="E6" s="37">
        <f>C6*D6</f>
        <v>225705</v>
      </c>
      <c r="F6" s="37">
        <f>SUMIF('Nhập hàng'!$F$5:$F$22,'TỔNG HỢP NHẬP XUẤT TỒN'!A6,'Nhập hàng'!$H$5:$H$22)</f>
        <v>0</v>
      </c>
      <c r="G6" s="37">
        <f>IFERROR(SUMIF('Nhập hàng'!$F$5:$F$22,'TỔNG HỢP NHẬP XUẤT TỒN'!A6,'Nhập hàng'!$L$5:$L$22)/SUMIF('Nhập hàng'!$F$5:$F$22,'TỔNG HỢP NHẬP XUẤT TỒN'!A6,'Nhập hàng'!$H$5:$H$22),0)</f>
        <v>0</v>
      </c>
      <c r="H6" s="37">
        <f>F6*G6</f>
        <v>0</v>
      </c>
      <c r="I6" s="37">
        <f>SUMIF('Bán hàng'!$B$6:$B$69,'TỔNG HỢP NHẬP XUẤT TỒN'!A6,'Bán hàng'!$D$6:$D$69)</f>
        <v>0</v>
      </c>
      <c r="J6" s="37">
        <f>IFERROR((C6*D6+F6*G6)/(C6+F6),0)</f>
        <v>112852.5</v>
      </c>
      <c r="K6" s="37">
        <f>I6*J6</f>
        <v>0</v>
      </c>
      <c r="L6" s="37">
        <f>C6+F6-I6</f>
        <v>2</v>
      </c>
      <c r="M6" s="37">
        <f>J6</f>
        <v>112852.5</v>
      </c>
      <c r="N6" s="94">
        <f>L6*M6</f>
        <v>225705</v>
      </c>
      <c r="O6" s="98">
        <v>4</v>
      </c>
      <c r="P6" s="39" t="s">
        <v>91</v>
      </c>
      <c r="Q6" s="49" t="s">
        <v>97</v>
      </c>
    </row>
    <row r="7" spans="1:17" s="39" customFormat="1" ht="24" customHeight="1" x14ac:dyDescent="0.25">
      <c r="A7" s="33" t="s">
        <v>39</v>
      </c>
      <c r="B7" s="34" t="str">
        <f>VLOOKUP(A7,'Danh mục hàng hóa'!$C$7:$D$34,2,0)</f>
        <v>Chuột M24</v>
      </c>
      <c r="C7" s="37">
        <v>79</v>
      </c>
      <c r="D7" s="37">
        <v>96821.919038737062</v>
      </c>
      <c r="E7" s="37">
        <f t="shared" ref="E7:E33" si="0">C7*D7</f>
        <v>7648931.604060228</v>
      </c>
      <c r="F7" s="37">
        <f>SUMIF('Nhập hàng'!$F$5:$F$22,'TỔNG HỢP NHẬP XUẤT TỒN'!A7,'Nhập hàng'!$H$5:$H$22)</f>
        <v>0</v>
      </c>
      <c r="G7" s="37">
        <f>IFERROR(SUMIF('Nhập hàng'!$F$5:$F$22,'TỔNG HỢP NHẬP XUẤT TỒN'!A7,'Nhập hàng'!$L$5:$L$22)/SUMIF('Nhập hàng'!$F$5:$F$22,'TỔNG HỢP NHẬP XUẤT TỒN'!A7,'Nhập hàng'!$H$5:$H$22),0)</f>
        <v>0</v>
      </c>
      <c r="H7" s="37">
        <f t="shared" ref="H7:H33" si="1">F7*G7</f>
        <v>0</v>
      </c>
      <c r="I7" s="37">
        <f>SUMIF('Bán hàng'!$B$6:$B$69,'TỔNG HỢP NHẬP XUẤT TỒN'!A7,'Bán hàng'!$D$6:$D$69)</f>
        <v>9</v>
      </c>
      <c r="J7" s="37">
        <f t="shared" ref="J7:J33" si="2">IFERROR((C7*D7+F7*G7)/(C7+F7),0)</f>
        <v>96821.919038737062</v>
      </c>
      <c r="K7" s="37">
        <f t="shared" ref="K7:K33" si="3">I7*J7</f>
        <v>871397.27134863357</v>
      </c>
      <c r="L7" s="37">
        <f t="shared" ref="L7:L33" si="4">C7+F7-I7</f>
        <v>70</v>
      </c>
      <c r="M7" s="37">
        <f t="shared" ref="M7:M33" si="5">J7</f>
        <v>96821.919038737062</v>
      </c>
      <c r="N7" s="94">
        <f t="shared" ref="N7:N33" si="6">L7*M7</f>
        <v>6777534.3327115942</v>
      </c>
      <c r="O7" s="98"/>
      <c r="P7" s="39" t="s">
        <v>92</v>
      </c>
      <c r="Q7" s="49" t="s">
        <v>98</v>
      </c>
    </row>
    <row r="8" spans="1:17" s="39" customFormat="1" ht="24" customHeight="1" x14ac:dyDescent="0.25">
      <c r="A8" s="33" t="s">
        <v>40</v>
      </c>
      <c r="B8" s="34" t="str">
        <f>VLOOKUP(A8,'Danh mục hàng hóa'!$C$7:$D$34,2,0)</f>
        <v>Chuột IBM</v>
      </c>
      <c r="C8" s="37">
        <v>4</v>
      </c>
      <c r="D8" s="37">
        <v>182314.11635138027</v>
      </c>
      <c r="E8" s="37">
        <f t="shared" si="0"/>
        <v>729256.4654055211</v>
      </c>
      <c r="F8" s="37">
        <f>SUMIF('Nhập hàng'!$F$5:$F$22,'TỔNG HỢP NHẬP XUẤT TỒN'!A8,'Nhập hàng'!$H$5:$H$22)</f>
        <v>0</v>
      </c>
      <c r="G8" s="37">
        <f>IFERROR(SUMIF('Nhập hàng'!$F$5:$F$22,'TỔNG HỢP NHẬP XUẤT TỒN'!A8,'Nhập hàng'!$L$5:$L$22)/SUMIF('Nhập hàng'!$F$5:$F$22,'TỔNG HỢP NHẬP XUẤT TỒN'!A8,'Nhập hàng'!$H$5:$H$22),0)</f>
        <v>0</v>
      </c>
      <c r="H8" s="37">
        <f t="shared" si="1"/>
        <v>0</v>
      </c>
      <c r="I8" s="37">
        <f>SUMIF('Bán hàng'!$B$6:$B$69,'TỔNG HỢP NHẬP XUẤT TỒN'!A8,'Bán hàng'!$D$6:$D$69)</f>
        <v>0</v>
      </c>
      <c r="J8" s="37">
        <f t="shared" si="2"/>
        <v>182314.11635138027</v>
      </c>
      <c r="K8" s="37">
        <f t="shared" si="3"/>
        <v>0</v>
      </c>
      <c r="L8" s="37">
        <f t="shared" si="4"/>
        <v>4</v>
      </c>
      <c r="M8" s="37">
        <f t="shared" si="5"/>
        <v>182314.11635138027</v>
      </c>
      <c r="N8" s="94">
        <f t="shared" si="6"/>
        <v>729256.4654055211</v>
      </c>
      <c r="O8" s="98"/>
      <c r="P8" s="39" t="s">
        <v>93</v>
      </c>
      <c r="Q8" s="49" t="s">
        <v>99</v>
      </c>
    </row>
    <row r="9" spans="1:17" s="39" customFormat="1" ht="24" customHeight="1" x14ac:dyDescent="0.25">
      <c r="A9" s="33" t="s">
        <v>41</v>
      </c>
      <c r="B9" s="34" t="str">
        <f>VLOOKUP(A9,'Danh mục hàng hóa'!$C$7:$D$34,2,0)</f>
        <v>Chuột lenovo bluetooth M1</v>
      </c>
      <c r="C9" s="37">
        <v>22</v>
      </c>
      <c r="D9" s="37">
        <v>128976.97420174477</v>
      </c>
      <c r="E9" s="37">
        <f t="shared" si="0"/>
        <v>2837493.4324383847</v>
      </c>
      <c r="F9" s="37">
        <f>SUMIF('Nhập hàng'!$F$5:$F$22,'TỔNG HỢP NHẬP XUẤT TỒN'!A9,'Nhập hàng'!$H$5:$H$22)</f>
        <v>0</v>
      </c>
      <c r="G9" s="37">
        <f>IFERROR(SUMIF('Nhập hàng'!$F$5:$F$22,'TỔNG HỢP NHẬP XUẤT TỒN'!A9,'Nhập hàng'!$L$5:$L$22)/SUMIF('Nhập hàng'!$F$5:$F$22,'TỔNG HỢP NHẬP XUẤT TỒN'!A9,'Nhập hàng'!$H$5:$H$22),0)</f>
        <v>0</v>
      </c>
      <c r="H9" s="37">
        <f t="shared" si="1"/>
        <v>0</v>
      </c>
      <c r="I9" s="37">
        <f>SUMIF('Bán hàng'!$B$6:$B$69,'TỔNG HỢP NHẬP XUẤT TỒN'!A9,'Bán hàng'!$D$6:$D$69)</f>
        <v>4</v>
      </c>
      <c r="J9" s="37">
        <f>IFERROR((C9*D9+F9*G9)/(C9+F9),0)</f>
        <v>128976.97420174476</v>
      </c>
      <c r="K9" s="37">
        <f t="shared" si="3"/>
        <v>515907.89680697903</v>
      </c>
      <c r="L9" s="37">
        <f t="shared" si="4"/>
        <v>18</v>
      </c>
      <c r="M9" s="37">
        <f t="shared" si="5"/>
        <v>128976.97420174476</v>
      </c>
      <c r="N9" s="94">
        <f t="shared" si="6"/>
        <v>2321585.5356314057</v>
      </c>
      <c r="O9" s="98"/>
      <c r="P9" s="39" t="s">
        <v>124</v>
      </c>
      <c r="Q9" s="47" t="s">
        <v>125</v>
      </c>
    </row>
    <row r="10" spans="1:17" s="39" customFormat="1" ht="24" customHeight="1" x14ac:dyDescent="0.25">
      <c r="A10" s="33" t="s">
        <v>44</v>
      </c>
      <c r="B10" s="34" t="str">
        <f>VLOOKUP(A10,'Danh mục hàng hóa'!$C$7:$D$34,2,0)</f>
        <v>USB C 3in1</v>
      </c>
      <c r="C10" s="37">
        <v>6</v>
      </c>
      <c r="D10" s="37">
        <v>92692.5</v>
      </c>
      <c r="E10" s="37">
        <f t="shared" si="0"/>
        <v>556155</v>
      </c>
      <c r="F10" s="37">
        <f>SUMIF('Nhập hàng'!$F$5:$F$22,'TỔNG HỢP NHẬP XUẤT TỒN'!A10,'Nhập hàng'!$H$5:$H$22)</f>
        <v>0</v>
      </c>
      <c r="G10" s="37">
        <f>IFERROR(SUMIF('Nhập hàng'!$F$5:$F$22,'TỔNG HỢP NHẬP XUẤT TỒN'!A10,'Nhập hàng'!$L$5:$L$22)/SUMIF('Nhập hàng'!$F$5:$F$22,'TỔNG HỢP NHẬP XUẤT TỒN'!A10,'Nhập hàng'!$H$5:$H$22),0)</f>
        <v>0</v>
      </c>
      <c r="H10" s="37">
        <f t="shared" si="1"/>
        <v>0</v>
      </c>
      <c r="I10" s="37">
        <f>SUMIF('Bán hàng'!$B$6:$B$69,'TỔNG HỢP NHẬP XUẤT TỒN'!A10,'Bán hàng'!$D$6:$D$69)</f>
        <v>0</v>
      </c>
      <c r="J10" s="37">
        <f t="shared" si="2"/>
        <v>92692.5</v>
      </c>
      <c r="K10" s="37">
        <f t="shared" si="3"/>
        <v>0</v>
      </c>
      <c r="L10" s="37">
        <f t="shared" si="4"/>
        <v>6</v>
      </c>
      <c r="M10" s="37">
        <f t="shared" si="5"/>
        <v>92692.5</v>
      </c>
      <c r="N10" s="94">
        <f t="shared" si="6"/>
        <v>556155</v>
      </c>
      <c r="O10" s="98"/>
    </row>
    <row r="11" spans="1:17" s="39" customFormat="1" ht="24" customHeight="1" x14ac:dyDescent="0.25">
      <c r="A11" s="33" t="s">
        <v>45</v>
      </c>
      <c r="B11" s="34" t="str">
        <f>VLOOKUP(A11,'Danh mục hàng hóa'!$C$7:$D$34,2,0)</f>
        <v>Chuột thinkpad</v>
      </c>
      <c r="C11" s="37">
        <v>5</v>
      </c>
      <c r="D11" s="37">
        <v>251905.6</v>
      </c>
      <c r="E11" s="37">
        <f t="shared" si="0"/>
        <v>1259528</v>
      </c>
      <c r="F11" s="37">
        <f>SUMIF('Nhập hàng'!$F$5:$F$22,'TỔNG HỢP NHẬP XUẤT TỒN'!A11,'Nhập hàng'!$H$5:$H$22)</f>
        <v>0</v>
      </c>
      <c r="G11" s="37">
        <f>IFERROR(SUMIF('Nhập hàng'!$F$5:$F$22,'TỔNG HỢP NHẬP XUẤT TỒN'!A11,'Nhập hàng'!$L$5:$L$22)/SUMIF('Nhập hàng'!$F$5:$F$22,'TỔNG HỢP NHẬP XUẤT TỒN'!A11,'Nhập hàng'!$H$5:$H$22),0)</f>
        <v>0</v>
      </c>
      <c r="H11" s="37">
        <f t="shared" si="1"/>
        <v>0</v>
      </c>
      <c r="I11" s="37">
        <f>SUMIF('Bán hàng'!$B$6:$B$69,'TỔNG HỢP NHẬP XUẤT TỒN'!A11,'Bán hàng'!$D$6:$D$69)</f>
        <v>1</v>
      </c>
      <c r="J11" s="37">
        <f t="shared" si="2"/>
        <v>251905.6</v>
      </c>
      <c r="K11" s="37">
        <f t="shared" si="3"/>
        <v>251905.6</v>
      </c>
      <c r="L11" s="37">
        <f t="shared" si="4"/>
        <v>4</v>
      </c>
      <c r="M11" s="37">
        <f t="shared" si="5"/>
        <v>251905.6</v>
      </c>
      <c r="N11" s="94">
        <f t="shared" si="6"/>
        <v>1007622.4</v>
      </c>
      <c r="O11" s="98"/>
    </row>
    <row r="12" spans="1:17" s="39" customFormat="1" ht="24" customHeight="1" x14ac:dyDescent="0.25">
      <c r="A12" s="33" t="s">
        <v>46</v>
      </c>
      <c r="B12" s="34" t="str">
        <f>VLOOKUP(A12,'Danh mục hàng hóa'!$C$7:$D$34,2,0)</f>
        <v>Trải bàn xiaomi</v>
      </c>
      <c r="C12" s="37">
        <v>10</v>
      </c>
      <c r="D12" s="37">
        <v>123485.81818181816</v>
      </c>
      <c r="E12" s="37">
        <f t="shared" si="0"/>
        <v>1234858.1818181816</v>
      </c>
      <c r="F12" s="37">
        <f>SUMIF('Nhập hàng'!$F$5:$F$22,'TỔNG HỢP NHẬP XUẤT TỒN'!A12,'Nhập hàng'!$H$5:$H$22)</f>
        <v>0</v>
      </c>
      <c r="G12" s="37">
        <f>IFERROR(SUMIF('Nhập hàng'!$F$5:$F$22,'TỔNG HỢP NHẬP XUẤT TỒN'!A12,'Nhập hàng'!$L$5:$L$22)/SUMIF('Nhập hàng'!$F$5:$F$22,'TỔNG HỢP NHẬP XUẤT TỒN'!A12,'Nhập hàng'!$H$5:$H$22),0)</f>
        <v>0</v>
      </c>
      <c r="H12" s="37">
        <f t="shared" si="1"/>
        <v>0</v>
      </c>
      <c r="I12" s="37">
        <f>SUMIF('Bán hàng'!$B$6:$B$69,'TỔNG HỢP NHẬP XUẤT TỒN'!A12,'Bán hàng'!$D$6:$D$69)</f>
        <v>0</v>
      </c>
      <c r="J12" s="37">
        <f t="shared" si="2"/>
        <v>123485.81818181816</v>
      </c>
      <c r="K12" s="37">
        <f t="shared" si="3"/>
        <v>0</v>
      </c>
      <c r="L12" s="37">
        <f t="shared" si="4"/>
        <v>10</v>
      </c>
      <c r="M12" s="37">
        <f t="shared" si="5"/>
        <v>123485.81818181816</v>
      </c>
      <c r="N12" s="94">
        <f t="shared" si="6"/>
        <v>1234858.1818181816</v>
      </c>
      <c r="O12" s="98"/>
    </row>
    <row r="13" spans="1:17" s="39" customFormat="1" ht="24" customHeight="1" x14ac:dyDescent="0.25">
      <c r="A13" s="33" t="s">
        <v>42</v>
      </c>
      <c r="B13" s="34" t="str">
        <f>VLOOKUP(A13,'Danh mục hàng hóa'!$C$7:$D$34,2,0)</f>
        <v>Sạc YOGA</v>
      </c>
      <c r="C13" s="37">
        <v>4</v>
      </c>
      <c r="D13" s="37">
        <v>238082.66611622242</v>
      </c>
      <c r="E13" s="37">
        <f t="shared" si="0"/>
        <v>952330.66446488968</v>
      </c>
      <c r="F13" s="37">
        <f>SUMIF('Nhập hàng'!$F$5:$F$22,'TỔNG HỢP NHẬP XUẤT TỒN'!A13,'Nhập hàng'!$H$5:$H$22)</f>
        <v>0</v>
      </c>
      <c r="G13" s="37">
        <f>IFERROR(SUMIF('Nhập hàng'!$F$5:$F$22,'TỔNG HỢP NHẬP XUẤT TỒN'!A13,'Nhập hàng'!$L$5:$L$22)/SUMIF('Nhập hàng'!$F$5:$F$22,'TỔNG HỢP NHẬP XUẤT TỒN'!A13,'Nhập hàng'!$H$5:$H$22),0)</f>
        <v>0</v>
      </c>
      <c r="H13" s="37">
        <f t="shared" si="1"/>
        <v>0</v>
      </c>
      <c r="I13" s="37">
        <f>SUMIF('Bán hàng'!$B$6:$B$69,'TỔNG HỢP NHẬP XUẤT TỒN'!A13,'Bán hàng'!$D$6:$D$69)</f>
        <v>1</v>
      </c>
      <c r="J13" s="37">
        <f t="shared" si="2"/>
        <v>238082.66611622242</v>
      </c>
      <c r="K13" s="37">
        <f t="shared" si="3"/>
        <v>238082.66611622242</v>
      </c>
      <c r="L13" s="37">
        <f t="shared" si="4"/>
        <v>3</v>
      </c>
      <c r="M13" s="37">
        <f t="shared" si="5"/>
        <v>238082.66611622242</v>
      </c>
      <c r="N13" s="94">
        <f t="shared" si="6"/>
        <v>714247.99834866729</v>
      </c>
      <c r="O13" s="98"/>
    </row>
    <row r="14" spans="1:17" s="39" customFormat="1" ht="24" customHeight="1" x14ac:dyDescent="0.25">
      <c r="A14" s="33" t="s">
        <v>43</v>
      </c>
      <c r="B14" s="34" t="str">
        <f>VLOOKUP(A14,'Danh mục hàng hóa'!$C$7:$D$34,2,0)</f>
        <v>Loa TS32A</v>
      </c>
      <c r="C14" s="37">
        <v>6</v>
      </c>
      <c r="D14" s="37">
        <v>137800</v>
      </c>
      <c r="E14" s="37">
        <f t="shared" si="0"/>
        <v>826800</v>
      </c>
      <c r="F14" s="37">
        <f>SUMIF('Nhập hàng'!$F$5:$F$22,'TỔNG HỢP NHẬP XUẤT TỒN'!A14,'Nhập hàng'!$H$5:$H$22)</f>
        <v>0</v>
      </c>
      <c r="G14" s="37">
        <f>IFERROR(SUMIF('Nhập hàng'!$F$5:$F$22,'TỔNG HỢP NHẬP XUẤT TỒN'!A14,'Nhập hàng'!$L$5:$L$22)/SUMIF('Nhập hàng'!$F$5:$F$22,'TỔNG HỢP NHẬP XUẤT TỒN'!A14,'Nhập hàng'!$H$5:$H$22),0)</f>
        <v>0</v>
      </c>
      <c r="H14" s="37">
        <f t="shared" si="1"/>
        <v>0</v>
      </c>
      <c r="I14" s="37">
        <f>SUMIF('Bán hàng'!$B$6:$B$69,'TỔNG HỢP NHẬP XUẤT TỒN'!A14,'Bán hàng'!$D$6:$D$69)</f>
        <v>0</v>
      </c>
      <c r="J14" s="37">
        <f t="shared" si="2"/>
        <v>137800</v>
      </c>
      <c r="K14" s="37">
        <f t="shared" si="3"/>
        <v>0</v>
      </c>
      <c r="L14" s="37">
        <f t="shared" si="4"/>
        <v>6</v>
      </c>
      <c r="M14" s="37">
        <f t="shared" si="5"/>
        <v>137800</v>
      </c>
      <c r="N14" s="94">
        <f t="shared" si="6"/>
        <v>826800</v>
      </c>
      <c r="O14" s="98"/>
    </row>
    <row r="15" spans="1:17" s="39" customFormat="1" ht="24" customHeight="1" x14ac:dyDescent="0.25">
      <c r="A15" s="33" t="s">
        <v>47</v>
      </c>
      <c r="B15" s="34" t="str">
        <f>VLOOKUP(A15,'Danh mục hàng hóa'!$C$7:$D$34,2,0)</f>
        <v>Sạc gen 1 có hộp</v>
      </c>
      <c r="C15" s="37">
        <v>2</v>
      </c>
      <c r="D15" s="37">
        <v>249127</v>
      </c>
      <c r="E15" s="37">
        <f t="shared" si="0"/>
        <v>498254</v>
      </c>
      <c r="F15" s="37">
        <f>SUMIF('Nhập hàng'!$F$5:$F$22,'TỔNG HỢP NHẬP XUẤT TỒN'!A15,'Nhập hàng'!$H$5:$H$22)</f>
        <v>0</v>
      </c>
      <c r="G15" s="37">
        <f>IFERROR(SUMIF('Nhập hàng'!$F$5:$F$22,'TỔNG HỢP NHẬP XUẤT TỒN'!A15,'Nhập hàng'!$L$5:$L$22)/SUMIF('Nhập hàng'!$F$5:$F$22,'TỔNG HỢP NHẬP XUẤT TỒN'!A15,'Nhập hàng'!$H$5:$H$22),0)</f>
        <v>0</v>
      </c>
      <c r="H15" s="37">
        <f t="shared" si="1"/>
        <v>0</v>
      </c>
      <c r="I15" s="37">
        <f>SUMIF('Bán hàng'!$B$6:$B$69,'TỔNG HỢP NHẬP XUẤT TỒN'!A15,'Bán hàng'!$D$6:$D$69)</f>
        <v>1</v>
      </c>
      <c r="J15" s="37">
        <f t="shared" si="2"/>
        <v>249127</v>
      </c>
      <c r="K15" s="37">
        <f t="shared" si="3"/>
        <v>249127</v>
      </c>
      <c r="L15" s="37">
        <f t="shared" si="4"/>
        <v>1</v>
      </c>
      <c r="M15" s="37">
        <f t="shared" si="5"/>
        <v>249127</v>
      </c>
      <c r="N15" s="94">
        <f t="shared" si="6"/>
        <v>249127</v>
      </c>
      <c r="O15" s="98"/>
    </row>
    <row r="16" spans="1:17" s="39" customFormat="1" ht="24" customHeight="1" x14ac:dyDescent="0.25">
      <c r="A16" s="33" t="s">
        <v>49</v>
      </c>
      <c r="B16" s="34" t="str">
        <f>VLOOKUP(A16,'Danh mục hàng hóa'!$C$7:$D$34,2,0)</f>
        <v>Sạc lenovo to type C</v>
      </c>
      <c r="C16" s="37">
        <v>5</v>
      </c>
      <c r="D16" s="37">
        <v>138090</v>
      </c>
      <c r="E16" s="37">
        <f t="shared" si="0"/>
        <v>690450</v>
      </c>
      <c r="F16" s="37">
        <f>SUMIF('Nhập hàng'!$F$5:$F$22,'TỔNG HỢP NHẬP XUẤT TỒN'!A16,'Nhập hàng'!$H$5:$H$22)</f>
        <v>0</v>
      </c>
      <c r="G16" s="37">
        <f>IFERROR(SUMIF('Nhập hàng'!$F$5:$F$22,'TỔNG HỢP NHẬP XUẤT TỒN'!A16,'Nhập hàng'!$L$5:$L$22)/SUMIF('Nhập hàng'!$F$5:$F$22,'TỔNG HỢP NHẬP XUẤT TỒN'!A16,'Nhập hàng'!$H$5:$H$22),0)</f>
        <v>0</v>
      </c>
      <c r="H16" s="37">
        <f t="shared" si="1"/>
        <v>0</v>
      </c>
      <c r="I16" s="37">
        <f>SUMIF('Bán hàng'!$B$6:$B$69,'TỔNG HỢP NHẬP XUẤT TỒN'!A16,'Bán hàng'!$D$6:$D$69)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94">
        <f t="shared" si="6"/>
        <v>690450</v>
      </c>
      <c r="O16" s="98" t="s">
        <v>155</v>
      </c>
    </row>
    <row r="17" spans="1:15" s="39" customFormat="1" ht="24" customHeight="1" x14ac:dyDescent="0.25">
      <c r="A17" s="33" t="s">
        <v>48</v>
      </c>
      <c r="B17" s="34" t="str">
        <f>VLOOKUP(A17,'Danh mục hàng hóa'!$C$7:$D$34,2,0)</f>
        <v>Loa K3 Pro</v>
      </c>
      <c r="C17" s="37">
        <v>47</v>
      </c>
      <c r="D17" s="37">
        <v>107421.71041666667</v>
      </c>
      <c r="E17" s="37">
        <f t="shared" si="0"/>
        <v>5048820.3895833334</v>
      </c>
      <c r="F17" s="37">
        <f>SUMIF('Nhập hàng'!$F$5:$F$22,'TỔNG HỢP NHẬP XUẤT TỒN'!A17,'Nhập hàng'!$H$5:$H$22)</f>
        <v>0</v>
      </c>
      <c r="G17" s="37">
        <f>IFERROR(SUMIF('Nhập hàng'!$F$5:$F$22,'TỔNG HỢP NHẬP XUẤT TỒN'!A17,'Nhập hàng'!$L$5:$L$22)/SUMIF('Nhập hàng'!$F$5:$F$22,'TỔNG HỢP NHẬP XUẤT TỒN'!A17,'Nhập hàng'!$H$5:$H$22),0)</f>
        <v>0</v>
      </c>
      <c r="H17" s="37">
        <f t="shared" si="1"/>
        <v>0</v>
      </c>
      <c r="I17" s="37">
        <f>SUMIF('Bán hàng'!$B$6:$B$69,'TỔNG HỢP NHẬP XUẤT TỒN'!A17,'Bán hàng'!$D$6:$D$69)</f>
        <v>10</v>
      </c>
      <c r="J17" s="37">
        <f t="shared" si="2"/>
        <v>107421.71041666667</v>
      </c>
      <c r="K17" s="37">
        <f t="shared" si="3"/>
        <v>1074217.1041666667</v>
      </c>
      <c r="L17" s="37">
        <f t="shared" si="4"/>
        <v>37</v>
      </c>
      <c r="M17" s="37">
        <f t="shared" si="5"/>
        <v>107421.71041666667</v>
      </c>
      <c r="N17" s="94">
        <f t="shared" si="6"/>
        <v>3974603.2854166669</v>
      </c>
      <c r="O17" s="98">
        <v>58</v>
      </c>
    </row>
    <row r="18" spans="1:15" s="39" customFormat="1" ht="24" customHeight="1" x14ac:dyDescent="0.25">
      <c r="A18" s="33" t="s">
        <v>135</v>
      </c>
      <c r="B18" s="34" t="str">
        <f>VLOOKUP(A18,'Danh mục hàng hóa'!$C$7:$D$34,2,0)</f>
        <v>Sạc Thinkplus gen 2 có hộp trắng</v>
      </c>
      <c r="C18" s="37">
        <v>0</v>
      </c>
      <c r="D18" s="37">
        <v>327150</v>
      </c>
      <c r="E18" s="37">
        <f t="shared" si="0"/>
        <v>0</v>
      </c>
      <c r="F18" s="37">
        <f>SUMIF('Nhập hàng'!$F$5:$F$22,'TỔNG HỢP NHẬP XUẤT TỒN'!A18,'Nhập hàng'!$H$5:$H$22)</f>
        <v>0</v>
      </c>
      <c r="G18" s="37">
        <f>IFERROR(SUMIF('Nhập hàng'!$F$5:$F$22,'TỔNG HỢP NHẬP XUẤT TỒN'!A18,'Nhập hàng'!$L$5:$L$22)/SUMIF('Nhập hàng'!$F$5:$F$22,'TỔNG HỢP NHẬP XUẤT TỒN'!A18,'Nhập hàng'!$H$5:$H$22),0)</f>
        <v>0</v>
      </c>
      <c r="H18" s="37">
        <f t="shared" si="1"/>
        <v>0</v>
      </c>
      <c r="I18" s="37">
        <f>SUMIF('Bán hàng'!$B$6:$B$69,'TỔNG HỢP NHẬP XUẤT TỒN'!A18,'Bán hàng'!$D$6:$D$69)</f>
        <v>0</v>
      </c>
      <c r="J18" s="37">
        <f t="shared" si="2"/>
        <v>0</v>
      </c>
      <c r="K18" s="37">
        <f t="shared" si="3"/>
        <v>0</v>
      </c>
      <c r="L18" s="37">
        <f t="shared" si="4"/>
        <v>0</v>
      </c>
      <c r="M18" s="37">
        <f t="shared" si="5"/>
        <v>0</v>
      </c>
      <c r="N18" s="94">
        <f t="shared" si="6"/>
        <v>0</v>
      </c>
      <c r="O18" s="98"/>
    </row>
    <row r="19" spans="1:15" s="39" customFormat="1" ht="24" customHeight="1" x14ac:dyDescent="0.25">
      <c r="A19" s="33" t="s">
        <v>50</v>
      </c>
      <c r="B19" s="34" t="str">
        <f>VLOOKUP(A19,'Danh mục hàng hóa'!$C$7:$D$34,2,0)</f>
        <v>Sạc Thinkplus gen 2 k hộp</v>
      </c>
      <c r="C19" s="37">
        <v>6</v>
      </c>
      <c r="D19" s="37">
        <v>298513.47499999998</v>
      </c>
      <c r="E19" s="37">
        <f t="shared" si="0"/>
        <v>1791080.8499999999</v>
      </c>
      <c r="F19" s="37">
        <f>SUMIF('Nhập hàng'!$F$5:$F$22,'TỔNG HỢP NHẬP XUẤT TỒN'!A19,'Nhập hàng'!$H$5:$H$22)</f>
        <v>0</v>
      </c>
      <c r="G19" s="37">
        <f>IFERROR(SUMIF('Nhập hàng'!$F$5:$F$22,'TỔNG HỢP NHẬP XUẤT TỒN'!A19,'Nhập hàng'!$L$5:$L$22)/SUMIF('Nhập hàng'!$F$5:$F$22,'TỔNG HỢP NHẬP XUẤT TỒN'!A19,'Nhập hàng'!$H$5:$H$22),0)</f>
        <v>0</v>
      </c>
      <c r="H19" s="37">
        <f t="shared" si="1"/>
        <v>0</v>
      </c>
      <c r="I19" s="37">
        <f>SUMIF('Bán hàng'!$B$6:$B$69,'TỔNG HỢP NHẬP XUẤT TỒN'!A19,'Bán hàng'!$D$6:$D$69)</f>
        <v>1</v>
      </c>
      <c r="J19" s="37">
        <f t="shared" si="2"/>
        <v>298513.47499999998</v>
      </c>
      <c r="K19" s="37">
        <f t="shared" si="3"/>
        <v>298513.47499999998</v>
      </c>
      <c r="L19" s="37">
        <f t="shared" si="4"/>
        <v>5</v>
      </c>
      <c r="M19" s="37">
        <f t="shared" si="5"/>
        <v>298513.47499999998</v>
      </c>
      <c r="N19" s="94">
        <f t="shared" si="6"/>
        <v>1492567.375</v>
      </c>
      <c r="O19" s="98" t="s">
        <v>156</v>
      </c>
    </row>
    <row r="20" spans="1:15" s="39" customFormat="1" ht="24" customHeight="1" x14ac:dyDescent="0.25">
      <c r="A20" s="33" t="s">
        <v>51</v>
      </c>
      <c r="B20" s="34" t="str">
        <f>VLOOKUP(A20,'Danh mục hàng hóa'!$C$7:$D$34,2,0)</f>
        <v>Dây type C to slim</v>
      </c>
      <c r="C20" s="37">
        <v>9</v>
      </c>
      <c r="D20" s="37">
        <v>73020.600000000006</v>
      </c>
      <c r="E20" s="37">
        <f t="shared" si="0"/>
        <v>657185.4</v>
      </c>
      <c r="F20" s="37">
        <f>SUMIF('Nhập hàng'!$F$5:$F$22,'TỔNG HỢP NHẬP XUẤT TỒN'!A20,'Nhập hàng'!$H$5:$H$22)</f>
        <v>0</v>
      </c>
      <c r="G20" s="37">
        <f>IFERROR(SUMIF('Nhập hàng'!$F$5:$F$22,'TỔNG HỢP NHẬP XUẤT TỒN'!A20,'Nhập hàng'!$L$5:$L$22)/SUMIF('Nhập hàng'!$F$5:$F$22,'TỔNG HỢP NHẬP XUẤT TỒN'!A20,'Nhập hàng'!$H$5:$H$22),0)</f>
        <v>0</v>
      </c>
      <c r="H20" s="37">
        <f t="shared" si="1"/>
        <v>0</v>
      </c>
      <c r="I20" s="37">
        <f>SUMIF('Bán hàng'!$B$6:$B$69,'TỔNG HỢP NHẬP XUẤT TỒN'!A20,'Bán hàng'!$D$6:$D$69)</f>
        <v>2</v>
      </c>
      <c r="J20" s="37">
        <f t="shared" si="2"/>
        <v>73020.600000000006</v>
      </c>
      <c r="K20" s="37">
        <f t="shared" si="3"/>
        <v>146041.20000000001</v>
      </c>
      <c r="L20" s="37">
        <f t="shared" si="4"/>
        <v>7</v>
      </c>
      <c r="M20" s="37">
        <f t="shared" si="5"/>
        <v>73020.600000000006</v>
      </c>
      <c r="N20" s="94">
        <f t="shared" si="6"/>
        <v>511144.20000000007</v>
      </c>
      <c r="O20" s="98"/>
    </row>
    <row r="21" spans="1:15" s="39" customFormat="1" ht="24" customHeight="1" x14ac:dyDescent="0.25">
      <c r="A21" s="33" t="s">
        <v>157</v>
      </c>
      <c r="B21" s="34" t="str">
        <f>VLOOKUP(A21,'Danh mục hàng hóa'!$C$7:$D$34,2,0)</f>
        <v>Sạc lenovo to type C bóc máy</v>
      </c>
      <c r="C21" s="37">
        <v>2</v>
      </c>
      <c r="D21" s="37">
        <v>201040</v>
      </c>
      <c r="E21" s="37">
        <f t="shared" si="0"/>
        <v>402080</v>
      </c>
      <c r="F21" s="37">
        <f>SUMIF('Nhập hàng'!$F$5:$F$22,'TỔNG HỢP NHẬP XUẤT TỒN'!A21,'Nhập hàng'!$H$5:$H$22)</f>
        <v>0</v>
      </c>
      <c r="G21" s="37">
        <f>IFERROR(SUMIF('Nhập hàng'!$F$5:$F$22,'TỔNG HỢP NHẬP XUẤT TỒN'!A21,'Nhập hàng'!$L$5:$L$22)/SUMIF('Nhập hàng'!$F$5:$F$22,'TỔNG HỢP NHẬP XUẤT TỒN'!A21,'Nhập hàng'!$H$5:$H$22),0)</f>
        <v>0</v>
      </c>
      <c r="H21" s="37">
        <f t="shared" ref="H21" si="7">F21*G21</f>
        <v>0</v>
      </c>
      <c r="I21" s="37">
        <f>SUMIF('Bán hàng'!$B$6:$B$69,'TỔNG HỢP NHẬP XUẤT TỒN'!A21,'Bán hàng'!$D$6:$D$69)</f>
        <v>0</v>
      </c>
      <c r="J21" s="37">
        <f t="shared" ref="J21" si="8">IFERROR((C21*D21+F21*G21)/(C21+F21),0)</f>
        <v>201040</v>
      </c>
      <c r="K21" s="37">
        <f t="shared" ref="K21" si="9">I21*J21</f>
        <v>0</v>
      </c>
      <c r="L21" s="37">
        <f t="shared" ref="L21" si="10">C21+F21-I21</f>
        <v>2</v>
      </c>
      <c r="M21" s="37">
        <f t="shared" ref="M21" si="11">J21</f>
        <v>201040</v>
      </c>
      <c r="N21" s="94">
        <f t="shared" ref="N21" si="12">L21*M21</f>
        <v>402080</v>
      </c>
      <c r="O21" s="98"/>
    </row>
    <row r="22" spans="1:15" s="39" customFormat="1" ht="24" customHeight="1" x14ac:dyDescent="0.25">
      <c r="A22" s="33" t="s">
        <v>143</v>
      </c>
      <c r="B22" s="34" t="str">
        <f>VLOOKUP(A22,'Danh mục hàng hóa'!$C$7:$D$34,2,0)</f>
        <v>Sạc Thinkplus trắng gen 2 new</v>
      </c>
      <c r="C22" s="37">
        <v>0</v>
      </c>
      <c r="D22" s="37">
        <v>454365</v>
      </c>
      <c r="E22" s="37">
        <f t="shared" si="0"/>
        <v>0</v>
      </c>
      <c r="F22" s="37">
        <f>SUMIF('Nhập hàng'!$F$5:$F$22,'TỔNG HỢP NHẬP XUẤT TỒN'!A22,'Nhập hàng'!$H$5:$H$22)</f>
        <v>0</v>
      </c>
      <c r="G22" s="37">
        <f>IFERROR(SUMIF('Nhập hàng'!$F$5:$F$22,'TỔNG HỢP NHẬP XUẤT TỒN'!A22,'Nhập hàng'!$L$5:$L$22)/SUMIF('Nhập hàng'!$F$5:$F$22,'TỔNG HỢP NHẬP XUẤT TỒN'!A22,'Nhập hàng'!$H$5:$H$22),0)</f>
        <v>0</v>
      </c>
      <c r="H22" s="37">
        <f t="shared" si="1"/>
        <v>0</v>
      </c>
      <c r="I22" s="37">
        <f>SUMIF('Bán hàng'!$B$6:$B$69,'TỔNG HỢP NHẬP XUẤT TỒN'!A22,'Bán hàng'!$D$6:$D$69)</f>
        <v>0</v>
      </c>
      <c r="J22" s="37">
        <f t="shared" ref="J22:J28" si="13">IFERROR((C22*D22+F22*G22)/(C22+F22),0)</f>
        <v>0</v>
      </c>
      <c r="K22" s="37">
        <f t="shared" ref="K22:K28" si="14">I22*J22</f>
        <v>0</v>
      </c>
      <c r="L22" s="37">
        <f t="shared" ref="L22:L28" si="15">C22+F22-I22</f>
        <v>0</v>
      </c>
      <c r="M22" s="37">
        <f t="shared" ref="M22:M28" si="16">J22</f>
        <v>0</v>
      </c>
      <c r="N22" s="94">
        <f t="shared" ref="N22:N28" si="17">L22*M22</f>
        <v>0</v>
      </c>
      <c r="O22" s="98"/>
    </row>
    <row r="23" spans="1:15" s="39" customFormat="1" ht="24" customHeight="1" x14ac:dyDescent="0.25">
      <c r="A23" s="33" t="s">
        <v>139</v>
      </c>
      <c r="B23" s="34" t="str">
        <f>VLOOKUP(A23,'Danh mục hàng hóa'!$C$7:$D$34,2,0)</f>
        <v>Sạc Thinkplus gen 2 đen new</v>
      </c>
      <c r="C23" s="37">
        <v>2</v>
      </c>
      <c r="D23" s="37">
        <v>468700</v>
      </c>
      <c r="E23" s="37">
        <f t="shared" si="0"/>
        <v>937400</v>
      </c>
      <c r="F23" s="37">
        <f>SUMIF('Nhập hàng'!$F$5:$F$22,'TỔNG HỢP NHẬP XUẤT TỒN'!A23,'Nhập hàng'!$H$5:$H$22)</f>
        <v>5</v>
      </c>
      <c r="G23" s="37">
        <f>IFERROR(SUMIF('Nhập hàng'!$F$5:$F$22,'TỔNG HỢP NHẬP XUẤT TỒN'!A23,'Nhập hàng'!$L$5:$L$22)/SUMIF('Nhập hàng'!$F$5:$F$22,'TỔNG HỢP NHẬP XUẤT TỒN'!A23,'Nhập hàng'!$H$5:$H$22),0)</f>
        <v>441200</v>
      </c>
      <c r="H23" s="37">
        <f t="shared" si="1"/>
        <v>2206000</v>
      </c>
      <c r="I23" s="37">
        <f>SUMIF('Bán hàng'!$B$6:$B$69,'TỔNG HỢP NHẬP XUẤT TỒN'!A23,'Bán hàng'!$D$6:$D$69)</f>
        <v>4</v>
      </c>
      <c r="J23" s="37">
        <f t="shared" si="13"/>
        <v>449057.14285714284</v>
      </c>
      <c r="K23" s="37">
        <f t="shared" si="14"/>
        <v>1796228.5714285714</v>
      </c>
      <c r="L23" s="37">
        <f t="shared" si="15"/>
        <v>3</v>
      </c>
      <c r="M23" s="37">
        <f t="shared" si="16"/>
        <v>449057.14285714284</v>
      </c>
      <c r="N23" s="94">
        <f t="shared" si="17"/>
        <v>1347171.4285714286</v>
      </c>
      <c r="O23" s="98"/>
    </row>
    <row r="24" spans="1:15" s="39" customFormat="1" ht="24" customHeight="1" x14ac:dyDescent="0.25">
      <c r="A24" s="33" t="s">
        <v>140</v>
      </c>
      <c r="B24" s="34" t="str">
        <f>VLOOKUP(A24,'Danh mục hàng hóa'!$C$7:$D$34,2,0)</f>
        <v>Sạc Thinkplus gen 2 Pro đen new</v>
      </c>
      <c r="C24" s="37">
        <v>1</v>
      </c>
      <c r="D24" s="37">
        <v>612000</v>
      </c>
      <c r="E24" s="37">
        <f t="shared" si="0"/>
        <v>612000</v>
      </c>
      <c r="F24" s="37">
        <f>SUMIF('Nhập hàng'!$F$5:$F$22,'TỔNG HỢP NHẬP XUẤT TỒN'!A24,'Nhập hàng'!$H$5:$H$22)</f>
        <v>0</v>
      </c>
      <c r="G24" s="37">
        <f>IFERROR(SUMIF('Nhập hàng'!$F$5:$F$22,'TỔNG HỢP NHẬP XUẤT TỒN'!A24,'Nhập hàng'!$L$5:$L$22)/SUMIF('Nhập hàng'!$F$5:$F$22,'TỔNG HỢP NHẬP XUẤT TỒN'!A24,'Nhập hàng'!$H$5:$H$22),0)</f>
        <v>0</v>
      </c>
      <c r="H24" s="37">
        <f t="shared" si="1"/>
        <v>0</v>
      </c>
      <c r="I24" s="37">
        <f>SUMIF('Bán hàng'!$B$6:$B$69,'TỔNG HỢP NHẬP XUẤT TỒN'!A24,'Bán hàng'!$D$6:$D$69)</f>
        <v>1</v>
      </c>
      <c r="J24" s="37">
        <f t="shared" si="13"/>
        <v>612000</v>
      </c>
      <c r="K24" s="37">
        <f t="shared" si="14"/>
        <v>612000</v>
      </c>
      <c r="L24" s="37">
        <f t="shared" si="15"/>
        <v>0</v>
      </c>
      <c r="M24" s="37">
        <f t="shared" si="16"/>
        <v>612000</v>
      </c>
      <c r="N24" s="94">
        <f t="shared" si="17"/>
        <v>0</v>
      </c>
      <c r="O24" s="98"/>
    </row>
    <row r="25" spans="1:15" s="39" customFormat="1" ht="24" customHeight="1" x14ac:dyDescent="0.25">
      <c r="A25" s="33" t="s">
        <v>136</v>
      </c>
      <c r="B25" s="34" t="str">
        <f>VLOOKUP(A25,'Danh mục hàng hóa'!$C$7:$D$34,2,0)</f>
        <v>Túi chống sốc màu đen Xiaoxin 14</v>
      </c>
      <c r="C25" s="37">
        <v>9</v>
      </c>
      <c r="D25" s="37">
        <v>119648.55442403491</v>
      </c>
      <c r="E25" s="37">
        <f t="shared" si="0"/>
        <v>1076836.9898163143</v>
      </c>
      <c r="F25" s="37">
        <f>SUMIF('Nhập hàng'!$F$5:$F$22,'TỔNG HỢP NHẬP XUẤT TỒN'!A25,'Nhập hàng'!$H$5:$H$22)</f>
        <v>0</v>
      </c>
      <c r="G25" s="37">
        <f>IFERROR(SUMIF('Nhập hàng'!$F$5:$F$22,'TỔNG HỢP NHẬP XUẤT TỒN'!A25,'Nhập hàng'!$L$5:$L$22)/SUMIF('Nhập hàng'!$F$5:$F$22,'TỔNG HỢP NHẬP XUẤT TỒN'!A25,'Nhập hàng'!$H$5:$H$22),0)</f>
        <v>0</v>
      </c>
      <c r="H25" s="37">
        <f t="shared" si="1"/>
        <v>0</v>
      </c>
      <c r="I25" s="37">
        <f>SUMIF('Bán hàng'!$B$6:$B$69,'TỔNG HỢP NHẬP XUẤT TỒN'!A25,'Bán hàng'!$D$6:$D$69)</f>
        <v>4</v>
      </c>
      <c r="J25" s="37">
        <f t="shared" si="13"/>
        <v>119648.55442403493</v>
      </c>
      <c r="K25" s="37">
        <f t="shared" si="14"/>
        <v>478594.21769613971</v>
      </c>
      <c r="L25" s="37">
        <f t="shared" si="15"/>
        <v>5</v>
      </c>
      <c r="M25" s="37">
        <f t="shared" si="16"/>
        <v>119648.55442403493</v>
      </c>
      <c r="N25" s="94">
        <f t="shared" si="17"/>
        <v>598242.7721201746</v>
      </c>
      <c r="O25" s="98"/>
    </row>
    <row r="26" spans="1:15" s="39" customFormat="1" ht="24" customHeight="1" x14ac:dyDescent="0.25">
      <c r="A26" s="33" t="s">
        <v>146</v>
      </c>
      <c r="B26" s="34" t="str">
        <f>VLOOKUP(A26,'Danh mục hàng hóa'!$C$7:$D$34,2,0)</f>
        <v>Sạc gan 1 đen new</v>
      </c>
      <c r="C26" s="37">
        <v>4</v>
      </c>
      <c r="D26" s="37">
        <v>454886.2</v>
      </c>
      <c r="E26" s="37">
        <f t="shared" si="0"/>
        <v>1819544.8</v>
      </c>
      <c r="F26" s="37">
        <f>SUMIF('Nhập hàng'!$F$5:$F$22,'TỔNG HỢP NHẬP XUẤT TỒN'!A26,'Nhập hàng'!$H$5:$H$22)</f>
        <v>0</v>
      </c>
      <c r="G26" s="37">
        <f>IFERROR(SUMIF('Nhập hàng'!$F$5:$F$22,'TỔNG HỢP NHẬP XUẤT TỒN'!A26,'Nhập hàng'!$L$5:$L$22)/SUMIF('Nhập hàng'!$F$5:$F$22,'TỔNG HỢP NHẬP XUẤT TỒN'!A26,'Nhập hàng'!$H$5:$H$22),0)</f>
        <v>0</v>
      </c>
      <c r="H26" s="37">
        <f t="shared" ref="H26" si="18">F26*G26</f>
        <v>0</v>
      </c>
      <c r="I26" s="37">
        <f>SUMIF('Bán hàng'!$B$6:$B$69,'TỔNG HỢP NHẬP XUẤT TỒN'!A26,'Bán hàng'!$D$6:$D$69)</f>
        <v>0</v>
      </c>
      <c r="J26" s="37">
        <f t="shared" ref="J26" si="19">IFERROR((C26*D26+F26*G26)/(C26+F26),0)</f>
        <v>454886.2</v>
      </c>
      <c r="K26" s="37">
        <f t="shared" ref="K26" si="20">I26*J26</f>
        <v>0</v>
      </c>
      <c r="L26" s="37">
        <f t="shared" ref="L26" si="21">C26+F26-I26</f>
        <v>4</v>
      </c>
      <c r="M26" s="37">
        <f t="shared" ref="M26" si="22">J26</f>
        <v>454886.2</v>
      </c>
      <c r="N26" s="94">
        <f t="shared" ref="N26" si="23">L26*M26</f>
        <v>1819544.8</v>
      </c>
      <c r="O26" s="98"/>
    </row>
    <row r="27" spans="1:15" s="39" customFormat="1" ht="24" customHeight="1" x14ac:dyDescent="0.25">
      <c r="A27" s="33" t="s">
        <v>148</v>
      </c>
      <c r="B27" s="34" t="str">
        <f>VLOOKUP(A27,'Danh mục hàng hóa'!$C$7:$D$34,2,0)</f>
        <v>USB C 6in1</v>
      </c>
      <c r="C27" s="37">
        <v>2</v>
      </c>
      <c r="D27" s="37">
        <v>212845.66666666666</v>
      </c>
      <c r="E27" s="37">
        <f t="shared" si="0"/>
        <v>425691.33333333331</v>
      </c>
      <c r="F27" s="37">
        <f>SUMIF('Nhập hàng'!$F$5:$F$22,'TỔNG HỢP NHẬP XUẤT TỒN'!A27,'Nhập hàng'!$H$5:$H$22)</f>
        <v>0</v>
      </c>
      <c r="G27" s="37">
        <f>IFERROR(SUMIF('Nhập hàng'!$F$5:$F$22,'TỔNG HỢP NHẬP XUẤT TỒN'!A27,'Nhập hàng'!$L$5:$L$22)/SUMIF('Nhập hàng'!$F$5:$F$22,'TỔNG HỢP NHẬP XUẤT TỒN'!A27,'Nhập hàng'!$H$5:$H$22),0)</f>
        <v>0</v>
      </c>
      <c r="H27" s="37">
        <f t="shared" ref="H27" si="24">F27*G27</f>
        <v>0</v>
      </c>
      <c r="I27" s="37">
        <f>SUMIF('Bán hàng'!$B$6:$B$69,'TỔNG HỢP NHẬP XUẤT TỒN'!A27,'Bán hàng'!$D$6:$D$69)</f>
        <v>0</v>
      </c>
      <c r="J27" s="37">
        <f t="shared" ref="J27" si="25">IFERROR((C27*D27+F27*G27)/(C27+F27),0)</f>
        <v>212845.66666666666</v>
      </c>
      <c r="K27" s="37">
        <f t="shared" ref="K27" si="26">I27*J27</f>
        <v>0</v>
      </c>
      <c r="L27" s="37">
        <f t="shared" ref="L27" si="27">C27+F27-I27</f>
        <v>2</v>
      </c>
      <c r="M27" s="37">
        <f t="shared" ref="M27" si="28">J27</f>
        <v>212845.66666666666</v>
      </c>
      <c r="N27" s="94">
        <f t="shared" ref="N27" si="29">L27*M27</f>
        <v>425691.33333333331</v>
      </c>
      <c r="O27" s="98"/>
    </row>
    <row r="28" spans="1:15" s="39" customFormat="1" ht="24" customHeight="1" x14ac:dyDescent="0.25">
      <c r="A28" s="33" t="s">
        <v>137</v>
      </c>
      <c r="B28" s="34" t="str">
        <f>VLOOKUP(A28,'Danh mục hàng hóa'!$C$7:$D$34,2,0)</f>
        <v>Balo thinkbook trắng</v>
      </c>
      <c r="C28" s="37">
        <v>0</v>
      </c>
      <c r="D28" s="37">
        <v>0</v>
      </c>
      <c r="E28" s="37">
        <f t="shared" si="0"/>
        <v>0</v>
      </c>
      <c r="F28" s="37">
        <f>SUMIF('Nhập hàng'!$F$5:$F$22,'TỔNG HỢP NHẬP XUẤT TỒN'!A28,'Nhập hàng'!$H$5:$H$22)</f>
        <v>0</v>
      </c>
      <c r="G28" s="37">
        <f>IFERROR(SUMIF('Nhập hàng'!$F$5:$F$22,'TỔNG HỢP NHẬP XUẤT TỒN'!A28,'Nhập hàng'!$L$5:$L$22)/SUMIF('Nhập hàng'!$F$5:$F$22,'TỔNG HỢP NHẬP XUẤT TỒN'!A28,'Nhập hàng'!$H$5:$H$22),0)</f>
        <v>0</v>
      </c>
      <c r="H28" s="37">
        <f t="shared" si="1"/>
        <v>0</v>
      </c>
      <c r="I28" s="37">
        <f>SUMIF('Bán hàng'!$B$6:$B$69,'TỔNG HỢP NHẬP XUẤT TỒN'!A28,'Bán hàng'!$D$6:$D$69)</f>
        <v>0</v>
      </c>
      <c r="J28" s="37">
        <f t="shared" si="13"/>
        <v>0</v>
      </c>
      <c r="K28" s="37">
        <f t="shared" si="14"/>
        <v>0</v>
      </c>
      <c r="L28" s="37">
        <f t="shared" si="15"/>
        <v>0</v>
      </c>
      <c r="M28" s="37">
        <f t="shared" si="16"/>
        <v>0</v>
      </c>
      <c r="N28" s="94">
        <f t="shared" si="17"/>
        <v>0</v>
      </c>
      <c r="O28" s="98"/>
    </row>
    <row r="29" spans="1:15" s="39" customFormat="1" ht="24" customHeight="1" x14ac:dyDescent="0.25">
      <c r="A29" s="33" t="s">
        <v>160</v>
      </c>
      <c r="B29" s="34" t="str">
        <f>VLOOKUP(A29,'Danh mục hàng hóa'!$C$7:$D$34,2,0)</f>
        <v>Túi chống sốc màu đen Xiaoxin 15.6</v>
      </c>
      <c r="C29" s="37">
        <v>3</v>
      </c>
      <c r="D29" s="37">
        <v>120511.18804735476</v>
      </c>
      <c r="E29" s="37">
        <f t="shared" si="0"/>
        <v>361533.56414206431</v>
      </c>
      <c r="F29" s="37">
        <f>SUMIF('Nhập hàng'!$F$5:$F$22,'TỔNG HỢP NHẬP XUẤT TỒN'!A29,'Nhập hàng'!$H$5:$H$22)</f>
        <v>0</v>
      </c>
      <c r="G29" s="37">
        <f>IFERROR(SUMIF('Nhập hàng'!$F$5:$F$22,'TỔNG HỢP NHẬP XUẤT TỒN'!A29,'Nhập hàng'!$L$5:$L$22)/SUMIF('Nhập hàng'!$F$5:$F$22,'TỔNG HỢP NHẬP XUẤT TỒN'!A29,'Nhập hàng'!$H$5:$H$22),0)</f>
        <v>0</v>
      </c>
      <c r="H29" s="37">
        <f t="shared" ref="H29" si="30">F29*G29</f>
        <v>0</v>
      </c>
      <c r="I29" s="37">
        <f>SUMIF('Bán hàng'!$B$6:$B$69,'TỔNG HỢP NHẬP XUẤT TỒN'!A29,'Bán hàng'!$D$6:$D$69)</f>
        <v>0</v>
      </c>
      <c r="J29" s="37">
        <f t="shared" ref="J29" si="31">IFERROR((C29*D29+F29*G29)/(C29+F29),0)</f>
        <v>120511.18804735476</v>
      </c>
      <c r="K29" s="37">
        <f t="shared" ref="K29" si="32">I29*J29</f>
        <v>0</v>
      </c>
      <c r="L29" s="37">
        <f t="shared" ref="L29" si="33">C29+F29-I29</f>
        <v>3</v>
      </c>
      <c r="M29" s="37">
        <f t="shared" ref="M29" si="34">J29</f>
        <v>120511.18804735476</v>
      </c>
      <c r="N29" s="94">
        <f t="shared" ref="N29" si="35">L29*M29</f>
        <v>361533.56414206431</v>
      </c>
      <c r="O29" s="98"/>
    </row>
    <row r="30" spans="1:15" s="39" customFormat="1" ht="24" customHeight="1" x14ac:dyDescent="0.25">
      <c r="A30" s="33" t="s">
        <v>153</v>
      </c>
      <c r="B30" s="34" t="str">
        <f>VLOOKUP(A30,'Danh mục hàng hóa'!$C$7:$D$34,2,0)</f>
        <v>Sạc YOGA 2 cổng C</v>
      </c>
      <c r="C30" s="37">
        <v>1</v>
      </c>
      <c r="D30" s="37">
        <v>284609.30143540667</v>
      </c>
      <c r="E30" s="37">
        <f t="shared" si="0"/>
        <v>284609.30143540667</v>
      </c>
      <c r="F30" s="37">
        <f>SUMIF('Nhập hàng'!$F$5:$F$22,'TỔNG HỢP NHẬP XUẤT TỒN'!A30,'Nhập hàng'!$H$5:$H$22)</f>
        <v>0</v>
      </c>
      <c r="G30" s="37">
        <f>IFERROR(SUMIF('Nhập hàng'!$F$5:$F$22,'TỔNG HỢP NHẬP XUẤT TỒN'!A30,'Nhập hàng'!$L$5:$L$22)/SUMIF('Nhập hàng'!$F$5:$F$22,'TỔNG HỢP NHẬP XUẤT TỒN'!A30,'Nhập hàng'!$H$5:$H$22),0)</f>
        <v>0</v>
      </c>
      <c r="H30" s="37">
        <f t="shared" ref="H30" si="36">F30*G30</f>
        <v>0</v>
      </c>
      <c r="I30" s="37">
        <f>SUMIF('Bán hàng'!$B$6:$B$69,'TỔNG HỢP NHẬP XUẤT TỒN'!A30,'Bán hàng'!$D$6:$D$69)</f>
        <v>0</v>
      </c>
      <c r="J30" s="37">
        <f t="shared" ref="J30" si="37">IFERROR((C30*D30+F30*G30)/(C30+F30),0)</f>
        <v>284609.30143540667</v>
      </c>
      <c r="K30" s="37">
        <f t="shared" ref="K30" si="38">I30*J30</f>
        <v>0</v>
      </c>
      <c r="L30" s="37">
        <f t="shared" ref="L30" si="39">C30+F30-I30</f>
        <v>1</v>
      </c>
      <c r="M30" s="37">
        <f t="shared" ref="M30" si="40">J30</f>
        <v>284609.30143540667</v>
      </c>
      <c r="N30" s="94">
        <f t="shared" ref="N30" si="41">L30*M30</f>
        <v>284609.30143540667</v>
      </c>
      <c r="O30" s="98"/>
    </row>
    <row r="31" spans="1:15" s="39" customFormat="1" ht="24" customHeight="1" x14ac:dyDescent="0.25">
      <c r="A31" s="33" t="s">
        <v>151</v>
      </c>
      <c r="B31" s="34" t="str">
        <f>VLOOKUP(A31,'Danh mục hàng hóa'!$C$7:$D$34,2,0)</f>
        <v>Chuột Thinklife</v>
      </c>
      <c r="C31" s="37">
        <v>3</v>
      </c>
      <c r="D31" s="37">
        <v>312279.65018607123</v>
      </c>
      <c r="E31" s="37">
        <f t="shared" si="0"/>
        <v>936838.95055821375</v>
      </c>
      <c r="F31" s="37">
        <f>SUMIF('Nhập hàng'!$F$5:$F$22,'TỔNG HỢP NHẬP XUẤT TỒN'!A31,'Nhập hàng'!$H$5:$H$22)</f>
        <v>0</v>
      </c>
      <c r="G31" s="37">
        <f>IFERROR(SUMIF('Nhập hàng'!$F$5:$F$22,'TỔNG HỢP NHẬP XUẤT TỒN'!A31,'Nhập hàng'!$L$5:$L$22)/SUMIF('Nhập hàng'!$F$5:$F$22,'TỔNG HỢP NHẬP XUẤT TỒN'!A31,'Nhập hàng'!$H$5:$H$22),0)</f>
        <v>0</v>
      </c>
      <c r="H31" s="37">
        <f t="shared" ref="H31" si="42">F31*G31</f>
        <v>0</v>
      </c>
      <c r="I31" s="37">
        <f>SUMIF('Bán hàng'!$B$6:$B$69,'TỔNG HỢP NHẬP XUẤT TỒN'!A31,'Bán hàng'!$D$6:$D$69)</f>
        <v>3</v>
      </c>
      <c r="J31" s="37">
        <f t="shared" ref="J31" si="43">IFERROR((C31*D31+F31*G31)/(C31+F31),0)</f>
        <v>312279.65018607123</v>
      </c>
      <c r="K31" s="37">
        <f t="shared" ref="K31" si="44">I31*J31</f>
        <v>936838.95055821375</v>
      </c>
      <c r="L31" s="37">
        <f t="shared" ref="L31" si="45">C31+F31-I31</f>
        <v>0</v>
      </c>
      <c r="M31" s="37">
        <f t="shared" ref="M31" si="46">J31</f>
        <v>312279.65018607123</v>
      </c>
      <c r="N31" s="94">
        <f t="shared" ref="N31" si="47">L31*M31</f>
        <v>0</v>
      </c>
      <c r="O31" s="98"/>
    </row>
    <row r="32" spans="1:15" s="39" customFormat="1" ht="24" customHeight="1" x14ac:dyDescent="0.25">
      <c r="A32" s="33" t="s">
        <v>167</v>
      </c>
      <c r="B32" s="34" t="str">
        <f>VLOOKUP(A32,'Danh mục hàng hóa'!$C$7:$D$34,2,0)</f>
        <v>USB 2 đầu 64GB</v>
      </c>
      <c r="C32" s="37">
        <v>0</v>
      </c>
      <c r="D32" s="37"/>
      <c r="E32" s="37">
        <f t="shared" si="0"/>
        <v>0</v>
      </c>
      <c r="F32" s="37">
        <f>SUMIF('Nhập hàng'!$F$5:$F$22,'TỔNG HỢP NHẬP XUẤT TỒN'!A32,'Nhập hàng'!$H$5:$H$22)</f>
        <v>15</v>
      </c>
      <c r="G32" s="37">
        <f>IFERROR(SUMIF('Nhập hàng'!$F$5:$F$22,'TỔNG HỢP NHẬP XUẤT TỒN'!A32,'Nhập hàng'!$L$5:$L$22)/SUMIF('Nhập hàng'!$F$5:$F$22,'TỔNG HỢP NHẬP XUẤT TỒN'!A32,'Nhập hàng'!$H$5:$H$22),0)</f>
        <v>112256.66666666667</v>
      </c>
      <c r="H32" s="37">
        <f t="shared" ref="H32" si="48">F32*G32</f>
        <v>1683850</v>
      </c>
      <c r="I32" s="37">
        <f>SUMIF('Bán hàng'!$B$6:$B$69,'TỔNG HỢP NHẬP XUẤT TỒN'!A32,'Bán hàng'!$D$6:$D$69)</f>
        <v>2</v>
      </c>
      <c r="J32" s="37">
        <f t="shared" ref="J32" si="49">IFERROR((C32*D32+F32*G32)/(C32+F32),0)</f>
        <v>112256.66666666667</v>
      </c>
      <c r="K32" s="37">
        <f t="shared" ref="K32" si="50">I32*J32</f>
        <v>224513.33333333334</v>
      </c>
      <c r="L32" s="37">
        <f t="shared" ref="L32" si="51">C32+F32-I32</f>
        <v>13</v>
      </c>
      <c r="M32" s="37">
        <f t="shared" ref="M32" si="52">J32</f>
        <v>112256.66666666667</v>
      </c>
      <c r="N32" s="94">
        <f t="shared" ref="N32" si="53">L32*M32</f>
        <v>1459336.6666666667</v>
      </c>
      <c r="O32" s="98"/>
    </row>
    <row r="33" spans="1:15" s="39" customFormat="1" ht="24" customHeight="1" x14ac:dyDescent="0.25">
      <c r="A33" s="33" t="s">
        <v>54</v>
      </c>
      <c r="B33" s="34" t="str">
        <f>VLOOKUP(A33,'Danh mục hàng hóa'!$C$7:$D$34,2,0)</f>
        <v>Sạc Dell</v>
      </c>
      <c r="C33" s="37">
        <v>2</v>
      </c>
      <c r="D33" s="37">
        <v>148750</v>
      </c>
      <c r="E33" s="37">
        <f t="shared" si="0"/>
        <v>297500</v>
      </c>
      <c r="F33" s="37">
        <f>SUMIF('Nhập hàng'!$F$5:$F$22,'TỔNG HỢP NHẬP XUẤT TỒN'!A33,'Nhập hàng'!$H$5:$H$22)</f>
        <v>0</v>
      </c>
      <c r="G33" s="37">
        <f>IFERROR(SUMIF('Nhập hàng'!$F$5:$F$22,'TỔNG HỢP NHẬP XUẤT TỒN'!A33,'Nhập hàng'!$L$5:$L$22)/SUMIF('Nhập hàng'!$F$5:$F$22,'TỔNG HỢP NHẬP XUẤT TỒN'!A33,'Nhập hàng'!$H$5:$H$22),0)</f>
        <v>0</v>
      </c>
      <c r="H33" s="37">
        <f t="shared" si="1"/>
        <v>0</v>
      </c>
      <c r="I33" s="37">
        <f>SUMIF('Bán hàng'!$B$6:$B$69,'TỔNG HỢP NHẬP XUẤT TỒN'!A33,'Bán hàng'!$D$6:$D$69)</f>
        <v>0</v>
      </c>
      <c r="J33" s="37">
        <f t="shared" si="2"/>
        <v>148750</v>
      </c>
      <c r="K33" s="37">
        <f t="shared" si="3"/>
        <v>0</v>
      </c>
      <c r="L33" s="37">
        <f t="shared" si="4"/>
        <v>2</v>
      </c>
      <c r="M33" s="37">
        <f t="shared" si="5"/>
        <v>148750</v>
      </c>
      <c r="N33" s="94">
        <f t="shared" si="6"/>
        <v>297500</v>
      </c>
      <c r="O33" s="98"/>
    </row>
    <row r="34" spans="1:15" s="39" customFormat="1" ht="31.5" customHeight="1" x14ac:dyDescent="0.25">
      <c r="A34" s="58" t="s">
        <v>55</v>
      </c>
      <c r="B34" s="58"/>
      <c r="C34" s="58">
        <f>SUM(C6:C33)</f>
        <v>236</v>
      </c>
      <c r="D34" s="59"/>
      <c r="E34" s="59">
        <f>SUM(E6:E33)</f>
        <v>32110883.927055873</v>
      </c>
      <c r="F34" s="59">
        <f>SUM(F6:F33)</f>
        <v>20</v>
      </c>
      <c r="G34" s="59">
        <f>SUM(G6:G33)</f>
        <v>553456.66666666663</v>
      </c>
      <c r="H34" s="59">
        <f>SUM(H6:H33)</f>
        <v>3889850</v>
      </c>
      <c r="I34" s="59">
        <f>SUM(I6:I33)</f>
        <v>43</v>
      </c>
      <c r="J34" s="59"/>
      <c r="K34" s="59">
        <f>SUM(K6:K33)</f>
        <v>7693367.2864547595</v>
      </c>
      <c r="L34" s="59">
        <f>SUM(L6:L33)</f>
        <v>213</v>
      </c>
      <c r="M34" s="59"/>
      <c r="N34" s="95">
        <f>SUM(N6:N33)</f>
        <v>28307366.64060111</v>
      </c>
      <c r="O34" s="98"/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Q4" location="'Nhập hàng'!A1" display="'Nhập hàng'!A1" xr:uid="{00000000-0004-0000-0400-000000000000}"/>
    <hyperlink ref="Q5" location="'Bán hàng'!A1" display="'Bán hàng'!A1" xr:uid="{00000000-0004-0000-0400-000001000000}"/>
    <hyperlink ref="Q6" location="'Các khoản chi phí'!A1" display="'Các khoản chi phí'!A1" xr:uid="{00000000-0004-0000-0400-000002000000}"/>
    <hyperlink ref="Q7" location="'TỔNG HỢP NHẬP XUẤT TỒN'!A1" display="'TỔNG HỢP NHẬP XUẤT TỒN'!A1" xr:uid="{00000000-0004-0000-0400-000003000000}"/>
    <hyperlink ref="Q8" location="'Lãi-Lỗ'!A1" display="'Lãi-Lỗ'!A1" xr:uid="{00000000-0004-0000-0400-000004000000}"/>
    <hyperlink ref="Q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hóa'!$C$7:$C$34</xm:f>
          </x14:formula1>
          <xm:sqref>A6:A33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workbookViewId="0">
      <selection activeCell="E7" sqref="E7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4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110" t="s">
        <v>129</v>
      </c>
      <c r="C2" s="110"/>
      <c r="D2" s="110"/>
      <c r="E2" s="110"/>
      <c r="F2" s="110"/>
    </row>
    <row r="3" spans="2:10" ht="32.450000000000003" customHeight="1" x14ac:dyDescent="0.25">
      <c r="B3" s="36" t="s">
        <v>65</v>
      </c>
      <c r="C3" s="36" t="s">
        <v>82</v>
      </c>
      <c r="D3" s="36" t="s">
        <v>70</v>
      </c>
      <c r="E3" s="36" t="s">
        <v>65</v>
      </c>
      <c r="F3" s="81" t="s">
        <v>65</v>
      </c>
    </row>
    <row r="4" spans="2:10" ht="34.15" customHeight="1" x14ac:dyDescent="0.25">
      <c r="B4" s="60" t="s">
        <v>78</v>
      </c>
      <c r="C4" s="60" t="s">
        <v>79</v>
      </c>
      <c r="D4" s="60" t="s">
        <v>88</v>
      </c>
      <c r="E4" s="60" t="s">
        <v>80</v>
      </c>
      <c r="F4" s="76" t="s">
        <v>66</v>
      </c>
      <c r="H4" s="50" t="s">
        <v>81</v>
      </c>
      <c r="I4" s="50"/>
    </row>
    <row r="5" spans="2:10" ht="30" customHeight="1" x14ac:dyDescent="0.25">
      <c r="B5" s="54"/>
      <c r="C5" s="33" t="s">
        <v>89</v>
      </c>
      <c r="D5" s="33" t="str">
        <f t="shared" ref="D5:D24" si="0">_xlfn.IFNA(VLOOKUP(C5,$H$6:$I$6,2,0),0)</f>
        <v>Chi phí bán hàng</v>
      </c>
      <c r="E5" s="41">
        <v>500000</v>
      </c>
      <c r="F5" s="82"/>
      <c r="J5" s="39" t="s">
        <v>71</v>
      </c>
    </row>
    <row r="6" spans="2:10" ht="25.15" customHeight="1" x14ac:dyDescent="0.25">
      <c r="B6" s="54"/>
      <c r="C6" s="33" t="s">
        <v>89</v>
      </c>
      <c r="D6" s="33" t="str">
        <f t="shared" si="0"/>
        <v>Chi phí bán hàng</v>
      </c>
      <c r="E6" s="41">
        <v>880000</v>
      </c>
      <c r="F6" s="82"/>
      <c r="H6" s="33" t="s">
        <v>89</v>
      </c>
      <c r="I6" s="33" t="s">
        <v>16</v>
      </c>
      <c r="J6" s="41">
        <f>SUMIF($C$5:$C$24,H6,$E$5:$E$24)</f>
        <v>1380000</v>
      </c>
    </row>
    <row r="7" spans="2:10" ht="25.15" customHeight="1" x14ac:dyDescent="0.25">
      <c r="B7" s="46"/>
      <c r="C7" s="33"/>
      <c r="D7" s="33"/>
      <c r="E7" s="41"/>
      <c r="F7" s="82"/>
    </row>
    <row r="8" spans="2:10" ht="25.15" customHeight="1" x14ac:dyDescent="0.25">
      <c r="B8" s="33"/>
      <c r="C8" s="33"/>
      <c r="D8" s="33">
        <f t="shared" si="0"/>
        <v>0</v>
      </c>
      <c r="E8" s="41"/>
      <c r="F8" s="82"/>
    </row>
    <row r="9" spans="2:10" ht="25.15" customHeight="1" x14ac:dyDescent="0.25">
      <c r="B9" s="33"/>
      <c r="C9" s="33"/>
      <c r="D9" s="33">
        <f t="shared" si="0"/>
        <v>0</v>
      </c>
      <c r="E9" s="41"/>
      <c r="F9" s="82"/>
      <c r="H9" s="48" t="s">
        <v>100</v>
      </c>
      <c r="J9" s="48" t="s">
        <v>112</v>
      </c>
    </row>
    <row r="10" spans="2:10" ht="25.15" customHeight="1" x14ac:dyDescent="0.25">
      <c r="B10" s="33"/>
      <c r="C10" s="33"/>
      <c r="D10" s="33">
        <f t="shared" si="0"/>
        <v>0</v>
      </c>
      <c r="E10" s="41"/>
      <c r="F10" s="82"/>
      <c r="H10" s="39" t="s">
        <v>90</v>
      </c>
      <c r="J10" s="51" t="s">
        <v>94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2"/>
      <c r="H11" s="39" t="s">
        <v>96</v>
      </c>
      <c r="J11" s="51" t="s">
        <v>95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2"/>
      <c r="H12" s="39" t="s">
        <v>91</v>
      </c>
      <c r="J12" s="51" t="s">
        <v>97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2"/>
      <c r="H13" s="39" t="s">
        <v>92</v>
      </c>
      <c r="J13" s="51" t="s">
        <v>98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2"/>
      <c r="H14" s="39" t="s">
        <v>93</v>
      </c>
      <c r="J14" s="51" t="s">
        <v>99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2"/>
      <c r="H15" s="39" t="s">
        <v>124</v>
      </c>
      <c r="J15" s="47" t="s">
        <v>125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2"/>
    </row>
    <row r="17" spans="2:6" ht="25.15" customHeight="1" x14ac:dyDescent="0.25">
      <c r="B17" s="33"/>
      <c r="C17" s="33"/>
      <c r="D17" s="33">
        <f t="shared" si="0"/>
        <v>0</v>
      </c>
      <c r="E17" s="41"/>
      <c r="F17" s="82"/>
    </row>
    <row r="18" spans="2:6" ht="25.15" customHeight="1" x14ac:dyDescent="0.25">
      <c r="B18" s="33"/>
      <c r="C18" s="33"/>
      <c r="D18" s="33">
        <f t="shared" si="0"/>
        <v>0</v>
      </c>
      <c r="E18" s="41"/>
      <c r="F18" s="82"/>
    </row>
    <row r="19" spans="2:6" ht="25.15" customHeight="1" x14ac:dyDescent="0.25">
      <c r="B19" s="33"/>
      <c r="C19" s="33"/>
      <c r="D19" s="33">
        <f t="shared" si="0"/>
        <v>0</v>
      </c>
      <c r="E19" s="41"/>
      <c r="F19" s="82"/>
    </row>
    <row r="20" spans="2:6" ht="25.15" customHeight="1" x14ac:dyDescent="0.25">
      <c r="B20" s="33"/>
      <c r="C20" s="33"/>
      <c r="D20" s="33">
        <f t="shared" si="0"/>
        <v>0</v>
      </c>
      <c r="E20" s="41"/>
      <c r="F20" s="82"/>
    </row>
    <row r="21" spans="2:6" ht="25.15" customHeight="1" x14ac:dyDescent="0.25">
      <c r="B21" s="33"/>
      <c r="C21" s="33"/>
      <c r="D21" s="33">
        <f t="shared" si="0"/>
        <v>0</v>
      </c>
      <c r="E21" s="41"/>
      <c r="F21" s="82"/>
    </row>
    <row r="22" spans="2:6" ht="25.15" customHeight="1" x14ac:dyDescent="0.25">
      <c r="B22" s="33"/>
      <c r="C22" s="33"/>
      <c r="D22" s="33">
        <f t="shared" si="0"/>
        <v>0</v>
      </c>
      <c r="E22" s="41"/>
      <c r="F22" s="82"/>
    </row>
    <row r="23" spans="2:6" ht="25.15" customHeight="1" x14ac:dyDescent="0.25">
      <c r="B23" s="33"/>
      <c r="C23" s="33"/>
      <c r="D23" s="33">
        <f t="shared" si="0"/>
        <v>0</v>
      </c>
      <c r="E23" s="41"/>
      <c r="F23" s="82"/>
    </row>
    <row r="24" spans="2:6" ht="25.15" customHeight="1" x14ac:dyDescent="0.25">
      <c r="B24" s="33"/>
      <c r="C24" s="33"/>
      <c r="D24" s="33">
        <f t="shared" si="0"/>
        <v>0</v>
      </c>
      <c r="E24" s="41"/>
      <c r="F24" s="82"/>
    </row>
    <row r="25" spans="2:6" ht="25.15" customHeight="1" x14ac:dyDescent="0.25">
      <c r="B25" s="42" t="s">
        <v>77</v>
      </c>
      <c r="C25" s="42"/>
      <c r="D25" s="35"/>
      <c r="E25" s="67">
        <f>SUM(E5:E24)</f>
        <v>1380000</v>
      </c>
      <c r="F25" s="83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3"/>
  <sheetViews>
    <sheetView workbookViewId="0">
      <selection activeCell="H4" sqref="H4"/>
    </sheetView>
  </sheetViews>
  <sheetFormatPr defaultColWidth="8.85546875" defaultRowHeight="15" x14ac:dyDescent="0.25"/>
  <cols>
    <col min="1" max="1" width="13" style="12" customWidth="1"/>
    <col min="2" max="2" width="20.85546875" style="12" customWidth="1"/>
    <col min="3" max="3" width="9.5703125" style="12" customWidth="1"/>
    <col min="4" max="4" width="21.28515625" style="12" customWidth="1"/>
    <col min="5" max="5" width="11.7109375" style="12" customWidth="1"/>
    <col min="6" max="6" width="8.85546875" style="12"/>
    <col min="7" max="7" width="34.140625" style="12" customWidth="1"/>
    <col min="8" max="8" width="19.7109375" style="12" customWidth="1"/>
    <col min="9" max="9" width="8.85546875" style="12"/>
    <col min="10" max="10" width="22.28515625" style="12" customWidth="1"/>
    <col min="11" max="11" width="28" style="12" customWidth="1"/>
    <col min="12" max="12" width="8.85546875" style="12"/>
    <col min="13" max="13" width="14.140625" style="12" bestFit="1" customWidth="1"/>
    <col min="14" max="14" width="8.85546875" style="12"/>
    <col min="15" max="15" width="11.28515625" style="12" bestFit="1" customWidth="1"/>
    <col min="16" max="16" width="10.42578125" style="12" customWidth="1"/>
    <col min="17" max="17" width="10.140625" style="12" bestFit="1" customWidth="1"/>
    <col min="18" max="16384" width="8.85546875" style="12"/>
  </cols>
  <sheetData>
    <row r="2" spans="1:17" s="30" customFormat="1" ht="18.75" x14ac:dyDescent="0.3">
      <c r="G2" s="110" t="s">
        <v>117</v>
      </c>
      <c r="H2" s="110"/>
    </row>
    <row r="3" spans="1:17" ht="15.75" x14ac:dyDescent="0.25">
      <c r="A3" s="56" t="s">
        <v>107</v>
      </c>
      <c r="B3" s="56"/>
      <c r="C3" s="56"/>
      <c r="D3" s="56"/>
      <c r="E3" s="56"/>
      <c r="H3" s="36" t="s">
        <v>70</v>
      </c>
      <c r="M3" s="79"/>
      <c r="Q3" s="80"/>
    </row>
    <row r="4" spans="1:17" ht="21" customHeight="1" x14ac:dyDescent="0.25">
      <c r="G4" s="60" t="s">
        <v>73</v>
      </c>
      <c r="H4" s="60" t="s">
        <v>74</v>
      </c>
      <c r="J4" s="48" t="s">
        <v>100</v>
      </c>
      <c r="K4" s="48" t="s">
        <v>112</v>
      </c>
      <c r="M4" s="79"/>
    </row>
    <row r="5" spans="1:17" ht="28.5" x14ac:dyDescent="0.25">
      <c r="A5" s="61" t="s">
        <v>113</v>
      </c>
      <c r="B5" s="61" t="s">
        <v>132</v>
      </c>
      <c r="C5" s="62" t="s">
        <v>114</v>
      </c>
      <c r="D5" s="61" t="s">
        <v>115</v>
      </c>
      <c r="E5" s="61" t="s">
        <v>66</v>
      </c>
      <c r="G5" s="33" t="s">
        <v>75</v>
      </c>
      <c r="H5" s="41">
        <f>'Bán hàng'!N14</f>
        <v>12887000</v>
      </c>
      <c r="J5" s="39" t="s">
        <v>90</v>
      </c>
      <c r="K5" s="49" t="s">
        <v>94</v>
      </c>
      <c r="M5" s="79"/>
      <c r="O5" s="105"/>
    </row>
    <row r="6" spans="1:17" ht="23.25" customHeight="1" x14ac:dyDescent="0.25">
      <c r="A6" s="28" t="s">
        <v>14</v>
      </c>
      <c r="B6" s="101">
        <v>12856000</v>
      </c>
      <c r="C6" s="57">
        <f>$B$6/$B$8</f>
        <v>0.40001244593795698</v>
      </c>
      <c r="D6" s="77">
        <f>C6*H10</f>
        <v>1195623.9087853946</v>
      </c>
      <c r="E6" s="7"/>
      <c r="G6" s="33" t="s">
        <v>76</v>
      </c>
      <c r="H6" s="41">
        <f>'Bán hàng'!O14</f>
        <v>7693367.2864547595</v>
      </c>
      <c r="J6" s="39" t="s">
        <v>96</v>
      </c>
      <c r="K6" s="49" t="s">
        <v>95</v>
      </c>
      <c r="M6" s="79"/>
      <c r="O6" s="91"/>
    </row>
    <row r="7" spans="1:17" ht="23.25" customHeight="1" x14ac:dyDescent="0.25">
      <c r="A7" s="28" t="s">
        <v>15</v>
      </c>
      <c r="B7" s="101">
        <v>19283000</v>
      </c>
      <c r="C7" s="57">
        <f>$B$7/$B$8</f>
        <v>0.59998755406204296</v>
      </c>
      <c r="D7" s="77">
        <f>C7*H10</f>
        <v>1793342.8619406321</v>
      </c>
      <c r="E7" s="7"/>
      <c r="G7" s="33" t="s">
        <v>133</v>
      </c>
      <c r="H7" s="41">
        <f>'Các khoản chi phí'!J6</f>
        <v>1380000</v>
      </c>
      <c r="J7" s="39" t="s">
        <v>91</v>
      </c>
      <c r="K7" s="49" t="s">
        <v>97</v>
      </c>
      <c r="M7" s="79"/>
    </row>
    <row r="8" spans="1:17" ht="23.25" customHeight="1" x14ac:dyDescent="0.25">
      <c r="A8" s="102" t="s">
        <v>77</v>
      </c>
      <c r="B8" s="104">
        <f>SUM(B6:B7)</f>
        <v>32139000</v>
      </c>
      <c r="C8" s="103"/>
      <c r="D8" s="78">
        <f>SUM(D6:D7)</f>
        <v>2988966.770726027</v>
      </c>
      <c r="E8" s="63"/>
      <c r="G8" s="35" t="s">
        <v>116</v>
      </c>
      <c r="H8" s="41">
        <f>H5-H6-H7</f>
        <v>3813632.7135452405</v>
      </c>
      <c r="J8" s="39" t="s">
        <v>92</v>
      </c>
      <c r="K8" s="49" t="s">
        <v>98</v>
      </c>
      <c r="M8" s="79"/>
    </row>
    <row r="9" spans="1:17" ht="24" customHeight="1" x14ac:dyDescent="0.25">
      <c r="D9" s="66" t="str">
        <f>IF(D8=H10,"TRUE","FALSE")</f>
        <v>TRUE</v>
      </c>
      <c r="G9" s="53" t="s">
        <v>105</v>
      </c>
      <c r="H9" s="41">
        <f>'Bán hàng'!Q14</f>
        <v>824665.94281921373</v>
      </c>
      <c r="J9" s="39" t="s">
        <v>93</v>
      </c>
      <c r="K9" s="49" t="s">
        <v>99</v>
      </c>
    </row>
    <row r="10" spans="1:17" ht="24" customHeight="1" x14ac:dyDescent="0.25">
      <c r="B10" s="91"/>
      <c r="G10" s="64" t="s">
        <v>106</v>
      </c>
      <c r="H10" s="65">
        <f>+H8-H9</f>
        <v>2988966.770726027</v>
      </c>
      <c r="J10" s="12" t="s">
        <v>124</v>
      </c>
      <c r="K10" s="47" t="s">
        <v>125</v>
      </c>
      <c r="M10" s="91"/>
    </row>
    <row r="11" spans="1:17" x14ac:dyDescent="0.25">
      <c r="G11" s="91"/>
      <c r="H11" s="91"/>
    </row>
    <row r="12" spans="1:17" x14ac:dyDescent="0.25">
      <c r="G12" s="91"/>
      <c r="H12" s="91"/>
    </row>
    <row r="13" spans="1:17" x14ac:dyDescent="0.25">
      <c r="H13" s="79"/>
      <c r="J13" s="91"/>
    </row>
  </sheetData>
  <mergeCells count="1">
    <mergeCell ref="G2:H2"/>
  </mergeCells>
  <hyperlinks>
    <hyperlink ref="K5" location="'Nhập hàng'!A1" display="'Nhập hàng'!A1" xr:uid="{00000000-0004-0000-0600-000000000000}"/>
    <hyperlink ref="K6" location="'Bán hàng'!A1" display="'Bán hàng'!A1" xr:uid="{00000000-0004-0000-0600-000001000000}"/>
    <hyperlink ref="K7" location="'Các khoản chi phí'!A1" display="'Các khoản chi phí'!A1" xr:uid="{00000000-0004-0000-0600-000002000000}"/>
    <hyperlink ref="K8" location="'TỔNG HỢP NHẬP XUẤT TỒN'!A1" display="'TỔNG HỢP NHẬP XUẤT TỒN'!A1" xr:uid="{00000000-0004-0000-0600-000003000000}"/>
    <hyperlink ref="K9" location="'Lãi-Lỗ'!A1" display="'Lãi-Lỗ'!A1" xr:uid="{00000000-0004-0000-0600-000004000000}"/>
    <hyperlink ref="K10" location="'Danh mục hàng hóa'!A1" display="'Danh mục hàng hóa'!A1" xr:uid="{00000000-0004-0000-0600-000005000000}"/>
  </hyperlinks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 tồn kho cũ</vt:lpstr>
      <vt:lpstr>Danh mục hàng hóa</vt:lpstr>
      <vt:lpstr>Nhập hàng</vt:lpstr>
      <vt:lpstr>Bán hàng</vt:lpstr>
      <vt:lpstr>TỔNG HỢP NHẬP XUẤT TỒN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</cp:lastModifiedBy>
  <dcterms:created xsi:type="dcterms:W3CDTF">2023-02-07T15:09:46Z</dcterms:created>
  <dcterms:modified xsi:type="dcterms:W3CDTF">2023-05-14T10:20:55Z</dcterms:modified>
</cp:coreProperties>
</file>